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slicerCaches/slicerCache7.xml" ContentType="application/vnd.ms-excel.slicerCache+xml"/>
  <Override PartName="/xl/slicerCaches/slicerCache8.xml" ContentType="application/vnd.ms-excel.slicerCache+xml"/>
  <Override PartName="/xl/slicerCaches/slicerCache9.xml" ContentType="application/vnd.ms-excel.slicerCache+xml"/>
  <Override PartName="/xl/slicerCaches/slicerCache10.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pivotTables/pivotTable10.xml" ContentType="application/vnd.openxmlformats-officedocument.spreadsheetml.pivotTable+xml"/>
  <Override PartName="/xl/tables/table1.xml" ContentType="application/vnd.openxmlformats-officedocument.spreadsheetml.table+xml"/>
  <Override PartName="/xl/comments1.xml" ContentType="application/vnd.openxmlformats-officedocument.spreadsheetml.comments+xml"/>
  <Override PartName="/xl/tables/table2.xml" ContentType="application/vnd.openxmlformats-officedocument.spreadsheetml.table+xml"/>
  <Override PartName="/xl/drawings/drawing2.xml" ContentType="application/vnd.openxmlformats-officedocument.drawing+xml"/>
  <Override PartName="/xl/drawings/drawing3.xml" ContentType="application/vnd.openxmlformats-officedocument.drawing+xml"/>
  <Override PartName="/xl/pivotTables/pivotTable11.xml" ContentType="application/vnd.openxmlformats-officedocument.spreadsheetml.pivotTable+xml"/>
  <Override PartName="/xl/pivotTables/pivotTable12.xml" ContentType="application/vnd.openxmlformats-officedocument.spreadsheetml.pivotTable+xml"/>
  <Override PartName="/xl/pivotTables/pivotTable13.xml" ContentType="application/vnd.openxmlformats-officedocument.spreadsheetml.pivotTable+xml"/>
  <Override PartName="/xl/pivotTables/pivotTable14.xml" ContentType="application/vnd.openxmlformats-officedocument.spreadsheetml.pivotTable+xml"/>
  <Override PartName="/xl/pivotTables/pivotTable15.xml" ContentType="application/vnd.openxmlformats-officedocument.spreadsheetml.pivotTable+xml"/>
  <Override PartName="/xl/pivotTables/pivotTable16.xml" ContentType="application/vnd.openxmlformats-officedocument.spreadsheetml.pivotTable+xml"/>
  <Override PartName="/xl/pivotTables/pivotTable17.xml" ContentType="application/vnd.openxmlformats-officedocument.spreadsheetml.pivotTable+xml"/>
  <Override PartName="/xl/pivotTables/pivotTable18.xml" ContentType="application/vnd.openxmlformats-officedocument.spreadsheetml.pivotTable+xml"/>
  <Override PartName="/xl/pivotTables/pivotTable19.xml" ContentType="application/vnd.openxmlformats-officedocument.spreadsheetml.pivotTable+xml"/>
  <Override PartName="/xl/pivotTables/pivotTable20.xml" ContentType="application/vnd.openxmlformats-officedocument.spreadsheetml.pivotTable+xml"/>
  <Override PartName="/xl/pivotTables/pivotTable21.xml" ContentType="application/vnd.openxmlformats-officedocument.spreadsheetml.pivotTable+xml"/>
  <Override PartName="/xl/pivotTables/pivotTable22.xml" ContentType="application/vnd.openxmlformats-officedocument.spreadsheetml.pivotTable+xml"/>
  <Override PartName="/xl/pivotTables/pivotTable23.xml" ContentType="application/vnd.openxmlformats-officedocument.spreadsheetml.pivotTable+xml"/>
  <Override PartName="/xl/pivotTables/pivotTable24.xml" ContentType="application/vnd.openxmlformats-officedocument.spreadsheetml.pivotTable+xml"/>
  <Override PartName="/xl/pivotTables/pivotTable25.xml" ContentType="application/vnd.openxmlformats-officedocument.spreadsheetml.pivotTable+xml"/>
  <Override PartName="/xl/pivotTables/pivotTable26.xml" ContentType="application/vnd.openxmlformats-officedocument.spreadsheetml.pivotTable+xml"/>
  <Override PartName="/xl/pivotTables/pivotTable27.xml" ContentType="application/vnd.openxmlformats-officedocument.spreadsheetml.pivotTable+xml"/>
  <Override PartName="/xl/pivotTables/pivotTable28.xml" ContentType="application/vnd.openxmlformats-officedocument.spreadsheetml.pivotTable+xml"/>
  <Override PartName="/xl/pivotTables/pivotTable29.xml" ContentType="application/vnd.openxmlformats-officedocument.spreadsheetml.pivotTable+xml"/>
  <Override PartName="/xl/drawings/drawing4.xml" ContentType="application/vnd.openxmlformats-officedocument.drawing+xml"/>
  <Override PartName="/xl/slicers/slicer1.xml" ContentType="application/vnd.ms-excel.slicer+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charts/chart44.xml" ContentType="application/vnd.openxmlformats-officedocument.drawingml.chart+xml"/>
  <Override PartName="/xl/charts/style44.xml" ContentType="application/vnd.ms-office.chartstyle+xml"/>
  <Override PartName="/xl/charts/colors44.xml" ContentType="application/vnd.ms-office.chartcolorstyle+xml"/>
  <Override PartName="/xl/charts/chart45.xml" ContentType="application/vnd.openxmlformats-officedocument.drawingml.chart+xml"/>
  <Override PartName="/xl/charts/style45.xml" ContentType="application/vnd.ms-office.chartstyle+xml"/>
  <Override PartName="/xl/charts/colors45.xml" ContentType="application/vnd.ms-office.chartcolorstyle+xml"/>
  <Override PartName="/xl/charts/chart46.xml" ContentType="application/vnd.openxmlformats-officedocument.drawingml.chart+xml"/>
  <Override PartName="/xl/charts/style46.xml" ContentType="application/vnd.ms-office.chartstyle+xml"/>
  <Override PartName="/xl/charts/colors46.xml" ContentType="application/vnd.ms-office.chartcolorstyle+xml"/>
  <Override PartName="/xl/charts/chart47.xml" ContentType="application/vnd.openxmlformats-officedocument.drawingml.chart+xml"/>
  <Override PartName="/xl/charts/style47.xml" ContentType="application/vnd.ms-office.chartstyle+xml"/>
  <Override PartName="/xl/charts/colors47.xml" ContentType="application/vnd.ms-office.chartcolorstyle+xml"/>
  <Override PartName="/xl/charts/chart48.xml" ContentType="application/vnd.openxmlformats-officedocument.drawingml.chart+xml"/>
  <Override PartName="/xl/charts/style48.xml" ContentType="application/vnd.ms-office.chartstyle+xml"/>
  <Override PartName="/xl/charts/colors48.xml" ContentType="application/vnd.ms-office.chartcolorstyle+xml"/>
  <Override PartName="/xl/charts/chart49.xml" ContentType="application/vnd.openxmlformats-officedocument.drawingml.chart+xml"/>
  <Override PartName="/xl/charts/style49.xml" ContentType="application/vnd.ms-office.chartstyle+xml"/>
  <Override PartName="/xl/charts/colors49.xml" ContentType="application/vnd.ms-office.chartcolorstyle+xml"/>
  <Override PartName="/xl/charts/chart50.xml" ContentType="application/vnd.openxmlformats-officedocument.drawingml.chart+xml"/>
  <Override PartName="/xl/charts/style50.xml" ContentType="application/vnd.ms-office.chartstyle+xml"/>
  <Override PartName="/xl/charts/colors50.xml" ContentType="application/vnd.ms-office.chartcolorstyle+xml"/>
  <Override PartName="/xl/pivotTables/pivotTable30.xml" ContentType="application/vnd.openxmlformats-officedocument.spreadsheetml.pivotTable+xml"/>
  <Override PartName="/xl/drawings/drawing5.xml" ContentType="application/vnd.openxmlformats-officedocument.drawing+xml"/>
  <Override PartName="/xl/slicers/slicer2.xml" ContentType="application/vnd.ms-excel.slicer+xml"/>
  <Override PartName="/xl/charts/chart51.xml" ContentType="application/vnd.openxmlformats-officedocument.drawingml.chart+xml"/>
  <Override PartName="/xl/charts/style51.xml" ContentType="application/vnd.ms-office.chartstyle+xml"/>
  <Override PartName="/xl/charts/colors51.xml" ContentType="application/vnd.ms-office.chartcolorstyle+xml"/>
  <Override PartName="/xl/drawings/drawing6.xml" ContentType="application/vnd.openxmlformats-officedocument.drawing+xml"/>
  <Override PartName="/xl/tables/table3.xml" ContentType="application/vnd.openxmlformats-officedocument.spreadsheetml.table+xml"/>
  <Override PartName="/xl/charts/chart52.xml" ContentType="application/vnd.openxmlformats-officedocument.drawingml.chart+xml"/>
  <Override PartName="/xl/charts/style52.xml" ContentType="application/vnd.ms-office.chartstyle+xml"/>
  <Override PartName="/xl/charts/colors52.xml" ContentType="application/vnd.ms-office.chartcolorstyle+xml"/>
  <Override PartName="/xl/charts/chart53.xml" ContentType="application/vnd.openxmlformats-officedocument.drawingml.chart+xml"/>
  <Override PartName="/xl/charts/style53.xml" ContentType="application/vnd.ms-office.chartstyle+xml"/>
  <Override PartName="/xl/charts/colors53.xml" ContentType="application/vnd.ms-office.chartcolorstyle+xml"/>
  <Override PartName="/xl/charts/chart54.xml" ContentType="application/vnd.openxmlformats-officedocument.drawingml.chart+xml"/>
  <Override PartName="/xl/charts/style54.xml" ContentType="application/vnd.ms-office.chartstyle+xml"/>
  <Override PartName="/xl/charts/colors54.xml" ContentType="application/vnd.ms-office.chartcolorstyle+xml"/>
  <Override PartName="/xl/charts/chart55.xml" ContentType="application/vnd.openxmlformats-officedocument.drawingml.chart+xml"/>
  <Override PartName="/xl/charts/style55.xml" ContentType="application/vnd.ms-office.chartstyle+xml"/>
  <Override PartName="/xl/charts/colors55.xml" ContentType="application/vnd.ms-office.chartcolorstyle+xml"/>
  <Override PartName="/xl/charts/chart56.xml" ContentType="application/vnd.openxmlformats-officedocument.drawingml.chart+xml"/>
  <Override PartName="/xl/charts/style56.xml" ContentType="application/vnd.ms-office.chartstyle+xml"/>
  <Override PartName="/xl/charts/colors56.xml" ContentType="application/vnd.ms-office.chartcolorstyle+xml"/>
  <Override PartName="/xl/charts/chart57.xml" ContentType="application/vnd.openxmlformats-officedocument.drawingml.chart+xml"/>
  <Override PartName="/xl/charts/style57.xml" ContentType="application/vnd.ms-office.chartstyle+xml"/>
  <Override PartName="/xl/charts/colors57.xml" ContentType="application/vnd.ms-office.chartcolorstyle+xml"/>
  <Override PartName="/xl/charts/chart58.xml" ContentType="application/vnd.openxmlformats-officedocument.drawingml.chart+xml"/>
  <Override PartName="/xl/charts/style58.xml" ContentType="application/vnd.ms-office.chartstyle+xml"/>
  <Override PartName="/xl/charts/colors58.xml" ContentType="application/vnd.ms-office.chartcolorstyle+xml"/>
  <Override PartName="/xl/charts/chart59.xml" ContentType="application/vnd.openxmlformats-officedocument.drawingml.chart+xml"/>
  <Override PartName="/xl/charts/style59.xml" ContentType="application/vnd.ms-office.chartstyle+xml"/>
  <Override PartName="/xl/charts/colors59.xml" ContentType="application/vnd.ms-office.chartcolorstyle+xml"/>
  <Override PartName="/xl/charts/chart60.xml" ContentType="application/vnd.openxmlformats-officedocument.drawingml.chart+xml"/>
  <Override PartName="/xl/charts/style60.xml" ContentType="application/vnd.ms-office.chartstyle+xml"/>
  <Override PartName="/xl/charts/colors60.xml" ContentType="application/vnd.ms-office.chartcolorstyle+xml"/>
  <Override PartName="/xl/charts/chart61.xml" ContentType="application/vnd.openxmlformats-officedocument.drawingml.chart+xml"/>
  <Override PartName="/xl/charts/style61.xml" ContentType="application/vnd.ms-office.chartstyle+xml"/>
  <Override PartName="/xl/charts/colors61.xml" ContentType="application/vnd.ms-office.chartcolorstyle+xml"/>
  <Override PartName="/xl/charts/chart62.xml" ContentType="application/vnd.openxmlformats-officedocument.drawingml.chart+xml"/>
  <Override PartName="/xl/charts/chart63.xml" ContentType="application/vnd.openxmlformats-officedocument.drawingml.chart+xml"/>
  <Override PartName="/xl/charts/style62.xml" ContentType="application/vnd.ms-office.chartstyle+xml"/>
  <Override PartName="/xl/charts/colors62.xml" ContentType="application/vnd.ms-office.chartcolorstyle+xml"/>
  <Override PartName="/xl/charts/chart64.xml" ContentType="application/vnd.openxmlformats-officedocument.drawingml.chart+xml"/>
  <Override PartName="/xl/charts/style63.xml" ContentType="application/vnd.ms-office.chartstyle+xml"/>
  <Override PartName="/xl/charts/colors63.xml" ContentType="application/vnd.ms-office.chartcolorstyle+xml"/>
  <Override PartName="/xl/charts/chart65.xml" ContentType="application/vnd.openxmlformats-officedocument.drawingml.chart+xml"/>
  <Override PartName="/xl/charts/style64.xml" ContentType="application/vnd.ms-office.chartstyle+xml"/>
  <Override PartName="/xl/charts/colors64.xml" ContentType="application/vnd.ms-office.chartcolorstyle+xml"/>
  <Override PartName="/xl/charts/chart66.xml" ContentType="application/vnd.openxmlformats-officedocument.drawingml.chart+xml"/>
  <Override PartName="/xl/charts/style65.xml" ContentType="application/vnd.ms-office.chartstyle+xml"/>
  <Override PartName="/xl/charts/colors65.xml" ContentType="application/vnd.ms-office.chartcolorstyle+xml"/>
  <Override PartName="/xl/drawings/drawing7.xml" ContentType="application/vnd.openxmlformats-officedocument.drawing+xml"/>
  <Override PartName="/xl/tables/table4.xml" ContentType="application/vnd.openxmlformats-officedocument.spreadsheetml.table+xml"/>
  <Override PartName="/xl/charts/chart67.xml" ContentType="application/vnd.openxmlformats-officedocument.drawingml.chart+xml"/>
  <Override PartName="/xl/charts/style66.xml" ContentType="application/vnd.ms-office.chartstyle+xml"/>
  <Override PartName="/xl/charts/colors66.xml" ContentType="application/vnd.ms-office.chartcolorstyle+xml"/>
  <Override PartName="/xl/charts/chart68.xml" ContentType="application/vnd.openxmlformats-officedocument.drawingml.chart+xml"/>
  <Override PartName="/xl/charts/style67.xml" ContentType="application/vnd.ms-office.chartstyle+xml"/>
  <Override PartName="/xl/charts/colors67.xml" ContentType="application/vnd.ms-office.chartcolorstyle+xml"/>
  <Override PartName="/xl/charts/chart69.xml" ContentType="application/vnd.openxmlformats-officedocument.drawingml.chart+xml"/>
  <Override PartName="/xl/charts/style68.xml" ContentType="application/vnd.ms-office.chartstyle+xml"/>
  <Override PartName="/xl/charts/colors68.xml" ContentType="application/vnd.ms-office.chartcolorstyle+xml"/>
  <Override PartName="/xl/charts/chart70.xml" ContentType="application/vnd.openxmlformats-officedocument.drawingml.chart+xml"/>
  <Override PartName="/xl/charts/style69.xml" ContentType="application/vnd.ms-office.chartstyle+xml"/>
  <Override PartName="/xl/charts/colors69.xml" ContentType="application/vnd.ms-office.chartcolorstyle+xml"/>
  <Override PartName="/xl/charts/chart71.xml" ContentType="application/vnd.openxmlformats-officedocument.drawingml.chart+xml"/>
  <Override PartName="/xl/charts/style70.xml" ContentType="application/vnd.ms-office.chartstyle+xml"/>
  <Override PartName="/xl/charts/colors70.xml" ContentType="application/vnd.ms-office.chartcolorstyle+xml"/>
  <Override PartName="/xl/charts/chart72.xml" ContentType="application/vnd.openxmlformats-officedocument.drawingml.chart+xml"/>
  <Override PartName="/xl/charts/style71.xml" ContentType="application/vnd.ms-office.chartstyle+xml"/>
  <Override PartName="/xl/charts/colors71.xml" ContentType="application/vnd.ms-office.chartcolorstyle+xml"/>
  <Override PartName="/xl/drawings/drawing8.xml" ContentType="application/vnd.openxmlformats-officedocument.drawingml.chartshapes+xml"/>
  <Override PartName="/xl/charts/chart73.xml" ContentType="application/vnd.openxmlformats-officedocument.drawingml.chart+xml"/>
  <Override PartName="/xl/charts/style72.xml" ContentType="application/vnd.ms-office.chartstyle+xml"/>
  <Override PartName="/xl/charts/colors72.xml" ContentType="application/vnd.ms-office.chartcolorstyle+xml"/>
  <Override PartName="/xl/charts/chart74.xml" ContentType="application/vnd.openxmlformats-officedocument.drawingml.chart+xml"/>
  <Override PartName="/xl/charts/style73.xml" ContentType="application/vnd.ms-office.chartstyle+xml"/>
  <Override PartName="/xl/charts/colors73.xml" ContentType="application/vnd.ms-office.chartcolorstyle+xml"/>
  <Override PartName="/xl/charts/chart75.xml" ContentType="application/vnd.openxmlformats-officedocument.drawingml.chart+xml"/>
  <Override PartName="/xl/charts/style74.xml" ContentType="application/vnd.ms-office.chartstyle+xml"/>
  <Override PartName="/xl/charts/colors74.xml" ContentType="application/vnd.ms-office.chartcolorstyle+xml"/>
  <Override PartName="/xl/charts/chart76.xml" ContentType="application/vnd.openxmlformats-officedocument.drawingml.chart+xml"/>
  <Override PartName="/xl/charts/style75.xml" ContentType="application/vnd.ms-office.chartstyle+xml"/>
  <Override PartName="/xl/charts/colors75.xml" ContentType="application/vnd.ms-office.chartcolorstyle+xml"/>
  <Override PartName="/xl/charts/chart77.xml" ContentType="application/vnd.openxmlformats-officedocument.drawingml.chart+xml"/>
  <Override PartName="/xl/charts/style76.xml" ContentType="application/vnd.ms-office.chartstyle+xml"/>
  <Override PartName="/xl/charts/colors76.xml" ContentType="application/vnd.ms-office.chartcolorstyle+xml"/>
  <Override PartName="/xl/charts/chart78.xml" ContentType="application/vnd.openxmlformats-officedocument.drawingml.chart+xml"/>
  <Override PartName="/xl/charts/style77.xml" ContentType="application/vnd.ms-office.chartstyle+xml"/>
  <Override PartName="/xl/charts/colors77.xml" ContentType="application/vnd.ms-office.chartcolorstyle+xml"/>
  <Override PartName="/xl/charts/chart79.xml" ContentType="application/vnd.openxmlformats-officedocument.drawingml.chart+xml"/>
  <Override PartName="/xl/charts/style78.xml" ContentType="application/vnd.ms-office.chartstyle+xml"/>
  <Override PartName="/xl/charts/colors78.xml" ContentType="application/vnd.ms-office.chartcolorstyle+xml"/>
  <Override PartName="/xl/charts/chart80.xml" ContentType="application/vnd.openxmlformats-officedocument.drawingml.chart+xml"/>
  <Override PartName="/xl/charts/style79.xml" ContentType="application/vnd.ms-office.chartstyle+xml"/>
  <Override PartName="/xl/charts/colors79.xml" ContentType="application/vnd.ms-office.chartcolorstyle+xml"/>
  <Override PartName="/xl/charts/chart81.xml" ContentType="application/vnd.openxmlformats-officedocument.drawingml.chart+xml"/>
  <Override PartName="/xl/charts/style80.xml" ContentType="application/vnd.ms-office.chartstyle+xml"/>
  <Override PartName="/xl/charts/colors80.xml" ContentType="application/vnd.ms-office.chartcolorstyle+xml"/>
  <Override PartName="/xl/drawings/drawing9.xml" ContentType="application/vnd.openxmlformats-officedocument.drawing+xml"/>
  <Override PartName="/xl/tables/table5.xml" ContentType="application/vnd.openxmlformats-officedocument.spreadsheetml.table+xml"/>
  <Override PartName="/xl/charts/chart82.xml" ContentType="application/vnd.openxmlformats-officedocument.drawingml.chart+xml"/>
  <Override PartName="/xl/charts/style81.xml" ContentType="application/vnd.ms-office.chartstyle+xml"/>
  <Override PartName="/xl/charts/colors81.xml" ContentType="application/vnd.ms-office.chartcolorstyle+xml"/>
  <Override PartName="/xl/charts/chart83.xml" ContentType="application/vnd.openxmlformats-officedocument.drawingml.chart+xml"/>
  <Override PartName="/xl/charts/style82.xml" ContentType="application/vnd.ms-office.chartstyle+xml"/>
  <Override PartName="/xl/charts/colors82.xml" ContentType="application/vnd.ms-office.chartcolorstyle+xml"/>
  <Override PartName="/xl/charts/chart84.xml" ContentType="application/vnd.openxmlformats-officedocument.drawingml.chart+xml"/>
  <Override PartName="/xl/charts/style83.xml" ContentType="application/vnd.ms-office.chartstyle+xml"/>
  <Override PartName="/xl/charts/colors83.xml" ContentType="application/vnd.ms-office.chartcolorstyle+xml"/>
  <Override PartName="/xl/charts/chart85.xml" ContentType="application/vnd.openxmlformats-officedocument.drawingml.chart+xml"/>
  <Override PartName="/xl/charts/style84.xml" ContentType="application/vnd.ms-office.chartstyle+xml"/>
  <Override PartName="/xl/charts/colors84.xml" ContentType="application/vnd.ms-office.chartcolorstyle+xml"/>
  <Override PartName="/xl/charts/chart86.xml" ContentType="application/vnd.openxmlformats-officedocument.drawingml.chart+xml"/>
  <Override PartName="/xl/charts/style85.xml" ContentType="application/vnd.ms-office.chartstyle+xml"/>
  <Override PartName="/xl/charts/colors85.xml" ContentType="application/vnd.ms-office.chartcolorstyle+xml"/>
  <Override PartName="/xl/charts/chart87.xml" ContentType="application/vnd.openxmlformats-officedocument.drawingml.chart+xml"/>
  <Override PartName="/xl/charts/style86.xml" ContentType="application/vnd.ms-office.chartstyle+xml"/>
  <Override PartName="/xl/charts/colors86.xml" ContentType="application/vnd.ms-office.chartcolorstyle+xml"/>
  <Override PartName="/xl/charts/chart88.xml" ContentType="application/vnd.openxmlformats-officedocument.drawingml.chart+xml"/>
  <Override PartName="/xl/charts/style87.xml" ContentType="application/vnd.ms-office.chartstyle+xml"/>
  <Override PartName="/xl/charts/colors87.xml" ContentType="application/vnd.ms-office.chartcolorstyle+xml"/>
  <Override PartName="/xl/charts/chart89.xml" ContentType="application/vnd.openxmlformats-officedocument.drawingml.chart+xml"/>
  <Override PartName="/xl/charts/style88.xml" ContentType="application/vnd.ms-office.chartstyle+xml"/>
  <Override PartName="/xl/charts/colors88.xml" ContentType="application/vnd.ms-office.chartcolorstyle+xml"/>
  <Override PartName="/xl/charts/chart90.xml" ContentType="application/vnd.openxmlformats-officedocument.drawingml.chart+xml"/>
  <Override PartName="/xl/charts/style89.xml" ContentType="application/vnd.ms-office.chartstyle+xml"/>
  <Override PartName="/xl/charts/colors89.xml" ContentType="application/vnd.ms-office.chartcolorstyle+xml"/>
  <Override PartName="/xl/charts/chart91.xml" ContentType="application/vnd.openxmlformats-officedocument.drawingml.chart+xml"/>
  <Override PartName="/xl/charts/style90.xml" ContentType="application/vnd.ms-office.chartstyle+xml"/>
  <Override PartName="/xl/charts/colors90.xml" ContentType="application/vnd.ms-office.chartcolorstyle+xml"/>
  <Override PartName="/xl/charts/chart92.xml" ContentType="application/vnd.openxmlformats-officedocument.drawingml.chart+xml"/>
  <Override PartName="/xl/charts/style91.xml" ContentType="application/vnd.ms-office.chartstyle+xml"/>
  <Override PartName="/xl/charts/colors91.xml" ContentType="application/vnd.ms-office.chartcolorstyle+xml"/>
  <Override PartName="/xl/charts/chart93.xml" ContentType="application/vnd.openxmlformats-officedocument.drawingml.chart+xml"/>
  <Override PartName="/xl/charts/style92.xml" ContentType="application/vnd.ms-office.chartstyle+xml"/>
  <Override PartName="/xl/charts/colors92.xml" ContentType="application/vnd.ms-office.chartcolorstyle+xml"/>
  <Override PartName="/xl/charts/chart94.xml" ContentType="application/vnd.openxmlformats-officedocument.drawingml.chart+xml"/>
  <Override PartName="/xl/charts/style93.xml" ContentType="application/vnd.ms-office.chartstyle+xml"/>
  <Override PartName="/xl/charts/colors93.xml" ContentType="application/vnd.ms-office.chartcolorstyle+xml"/>
  <Override PartName="/xl/charts/chart95.xml" ContentType="application/vnd.openxmlformats-officedocument.drawingml.chart+xml"/>
  <Override PartName="/xl/charts/style94.xml" ContentType="application/vnd.ms-office.chartstyle+xml"/>
  <Override PartName="/xl/charts/colors94.xml" ContentType="application/vnd.ms-office.chartcolorstyle+xml"/>
  <Override PartName="/xl/charts/chart96.xml" ContentType="application/vnd.openxmlformats-officedocument.drawingml.chart+xml"/>
  <Override PartName="/xl/charts/style95.xml" ContentType="application/vnd.ms-office.chartstyle+xml"/>
  <Override PartName="/xl/charts/colors95.xml" ContentType="application/vnd.ms-office.chartcolorstyle+xml"/>
  <Override PartName="/xl/pivotTables/pivotTable31.xml" ContentType="application/vnd.openxmlformats-officedocument.spreadsheetml.pivotTable+xml"/>
  <Override PartName="/xl/drawings/drawing10.xml" ContentType="application/vnd.openxmlformats-officedocument.drawing+xml"/>
  <Override PartName="/xl/slicers/slicer3.xml" ContentType="application/vnd.ms-excel.slicer+xml"/>
  <Override PartName="/xl/charts/chart97.xml" ContentType="application/vnd.openxmlformats-officedocument.drawingml.chart+xml"/>
  <Override PartName="/xl/charts/style96.xml" ContentType="application/vnd.ms-office.chartstyle+xml"/>
  <Override PartName="/xl/charts/colors96.xml" ContentType="application/vnd.ms-office.chartcolorstyle+xml"/>
  <Override PartName="/xl/drawings/drawing11.xml" ContentType="application/vnd.openxmlformats-officedocument.drawing+xml"/>
  <Override PartName="/xl/tables/table6.xml" ContentType="application/vnd.openxmlformats-officedocument.spreadsheetml.table+xml"/>
  <Override PartName="/xl/tables/table7.xml" ContentType="application/vnd.openxmlformats-officedocument.spreadsheetml.table+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hidePivotFieldList="1"/>
  <mc:AlternateContent xmlns:mc="http://schemas.openxmlformats.org/markup-compatibility/2006">
    <mc:Choice Requires="x15">
      <x15ac:absPath xmlns:x15ac="http://schemas.microsoft.com/office/spreadsheetml/2010/11/ac" url="C:\Users\mthaw\Mee Mee\2. Information Management\B_ 4 W\002. 4Ws matrix\004.Yangon\Working\2018\Q1_2018\"/>
    </mc:Choice>
  </mc:AlternateContent>
  <bookViews>
    <workbookView xWindow="0" yWindow="0" windowWidth="21600" windowHeight="9405" tabRatio="631" firstSheet="7" activeTab="13"/>
  </bookViews>
  <sheets>
    <sheet name="Guide" sheetId="81" r:id="rId1"/>
    <sheet name="HRP" sheetId="89" r:id="rId2"/>
    <sheet name="Sheet1" sheetId="95" state="hidden" r:id="rId3"/>
    <sheet name="DATABASE" sheetId="25" r:id="rId4"/>
    <sheet name="Site_DB" sheetId="91" r:id="rId5"/>
    <sheet name="Indicator Summary  Eng" sheetId="87" r:id="rId6"/>
    <sheet name="Indicator Summary MM " sheetId="85" r:id="rId7"/>
    <sheet name="HRP Calculations" sheetId="34" r:id="rId8"/>
    <sheet name="Analysis" sheetId="92" r:id="rId9"/>
    <sheet name="Quarterly Dashboard" sheetId="100" r:id="rId10"/>
    <sheet name="Kachin" sheetId="93" r:id="rId11"/>
    <sheet name="Rakhine" sheetId="98" r:id="rId12"/>
    <sheet name="Shan(n)" sheetId="94" r:id="rId13"/>
    <sheet name="By Camps" sheetId="102" r:id="rId14"/>
    <sheet name="Lookup" sheetId="32" state="hidden" r:id="rId15"/>
  </sheets>
  <externalReferences>
    <externalReference r:id="rId16"/>
    <externalReference r:id="rId17"/>
    <externalReference r:id="rId18"/>
    <externalReference r:id="rId19"/>
    <externalReference r:id="rId20"/>
    <externalReference r:id="rId21"/>
    <externalReference r:id="rId22"/>
    <externalReference r:id="rId23"/>
    <externalReference r:id="rId24"/>
  </externalReferences>
  <definedNames>
    <definedName name="_Fill" localSheetId="13" hidden="1">#REF!</definedName>
    <definedName name="_Fill" localSheetId="11" hidden="1">#REF!</definedName>
    <definedName name="_Fill" localSheetId="12" hidden="1">#REF!</definedName>
    <definedName name="_Fill" hidden="1">#REF!</definedName>
    <definedName name="_xlnm._FilterDatabase" localSheetId="3" hidden="1">DATABASE!#REF!</definedName>
    <definedName name="_xlnm._FilterDatabase" localSheetId="14" hidden="1">Lookup!$A$3:$AA$457</definedName>
    <definedName name="_Key1" localSheetId="13" hidden="1">[1]Data!#REF!</definedName>
    <definedName name="_Key1" localSheetId="11" hidden="1">[1]Data!#REF!</definedName>
    <definedName name="_Key1" localSheetId="12" hidden="1">[1]Data!#REF!</definedName>
    <definedName name="_Key1" hidden="1">[1]Data!#REF!</definedName>
    <definedName name="_Order1" hidden="1">255</definedName>
    <definedName name="aa" localSheetId="13">#REF!</definedName>
    <definedName name="aa" localSheetId="11">#REF!</definedName>
    <definedName name="aa" localSheetId="12">#REF!</definedName>
    <definedName name="aa" localSheetId="4">#REF!</definedName>
    <definedName name="aa">#REF!</definedName>
    <definedName name="Camp">[2]List!$E$23:$E$26</definedName>
    <definedName name="Donor_Results" localSheetId="13">#REF!</definedName>
    <definedName name="Donor_Results" localSheetId="11">#REF!</definedName>
    <definedName name="Donor_Results" localSheetId="12">#REF!</definedName>
    <definedName name="Donor_Results" localSheetId="4">#REF!</definedName>
    <definedName name="Donor_Results">#REF!</definedName>
    <definedName name="List" localSheetId="13">#REF!</definedName>
    <definedName name="List" localSheetId="11">#REF!</definedName>
    <definedName name="List" localSheetId="12">#REF!</definedName>
    <definedName name="List" localSheetId="4">#REF!</definedName>
    <definedName name="List">#REF!</definedName>
    <definedName name="neworgcode">[3]Definition!$Z$2:$Z$7</definedName>
    <definedName name="Organization_Code">[4]Definition!$Z$2:$Z$7</definedName>
    <definedName name="_xlnm.Print_Area" localSheetId="7">'HRP Calculations'!$A$1:$F$8</definedName>
    <definedName name="_xlnm.Print_Area" localSheetId="10">Kachin!$B$1:$AC$62</definedName>
    <definedName name="_xlnm.Print_Area" localSheetId="11">Rakhine!$A$1:$AC$54</definedName>
    <definedName name="_xlnm.Print_Area" localSheetId="12">'Shan(n)'!$B$2:$AB$50</definedName>
    <definedName name="Sasha" hidden="1">{#N/A,#N/A,FALSE,"Truck Rent"}</definedName>
    <definedName name="Slicer_Location_Type">#N/A</definedName>
    <definedName name="Slicer_Location_Type1">#N/A</definedName>
    <definedName name="Slicer_Location_Type11">#N/A</definedName>
    <definedName name="Slicer_State">#N/A</definedName>
    <definedName name="Slicer_State1">#N/A</definedName>
    <definedName name="Slicer_State11">#N/A</definedName>
    <definedName name="Slicer_Township">#N/A</definedName>
    <definedName name="Slicer_Township1">#N/A</definedName>
    <definedName name="Slicer_WASH_focal_Agency">#N/A</definedName>
    <definedName name="Slicer_WASH_focal_Agency1">#N/A</definedName>
    <definedName name="State_list">Lookup!$AB$3:$AB$83</definedName>
    <definedName name="Statestart_1">Lookup!$AB$3</definedName>
    <definedName name="TSps">Lookup!$AC$3:$AC$83</definedName>
    <definedName name="Tsps_look">Lookup!$AF$3:$AF$786</definedName>
    <definedName name="Tsps_lookstart">Lookup!$AF$3</definedName>
    <definedName name="Type_of_Accomodation">[3]Definition!$N$2:$N$6</definedName>
    <definedName name="Type_Population">[3]Definition!$V$2:$V$10</definedName>
    <definedName name="Village">[2]List!$F$23:$F$25</definedName>
    <definedName name="wrn.MUSA._.TRUCKS." hidden="1">{#N/A,#N/A,FALSE,"Truck Rent"}</definedName>
    <definedName name="www">[5]Lookup!$AB$3:$AB$83</definedName>
  </definedNames>
  <calcPr calcId="152511"/>
  <pivotCaches>
    <pivotCache cacheId="0" r:id="rId25"/>
  </pivotCaches>
  <extLst>
    <ext xmlns:x14="http://schemas.microsoft.com/office/spreadsheetml/2009/9/main" uri="{BBE1A952-AA13-448e-AADC-164F8A28A991}">
      <x14:slicerCaches>
        <x14:slicerCache r:id="rId26"/>
        <x14:slicerCache r:id="rId27"/>
        <x14:slicerCache r:id="rId28"/>
        <x14:slicerCache r:id="rId29"/>
        <x14:slicerCache r:id="rId30"/>
        <x14:slicerCache r:id="rId31"/>
        <x14:slicerCache r:id="rId32"/>
        <x14:slicerCache r:id="rId33"/>
        <x14:slicerCache r:id="rId34"/>
        <x14:slicerCache r:id="rId35"/>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W7" i="25" l="1"/>
  <c r="BV7" i="25"/>
  <c r="BR7" i="25"/>
  <c r="F41" i="89" l="1"/>
  <c r="C80" i="89"/>
  <c r="C69" i="89"/>
  <c r="C68" i="89"/>
  <c r="C67" i="89"/>
  <c r="F42" i="89" l="1"/>
  <c r="F37" i="89"/>
  <c r="F36" i="89"/>
  <c r="F35" i="89"/>
  <c r="G176" i="89" l="1"/>
  <c r="Z161" i="89"/>
  <c r="G157" i="89"/>
  <c r="G159" i="89"/>
  <c r="G127" i="89"/>
  <c r="AT126" i="89"/>
  <c r="Z125" i="89"/>
  <c r="G141" i="89"/>
  <c r="AA161" i="89"/>
  <c r="AA125" i="89"/>
  <c r="AB161" i="89" l="1"/>
  <c r="AB125" i="89"/>
  <c r="D45" i="94"/>
  <c r="D53" i="98"/>
  <c r="D62" i="93"/>
  <c r="CM389" i="25"/>
  <c r="CL389" i="25"/>
  <c r="CK389" i="25"/>
  <c r="CJ389" i="25"/>
  <c r="CI389" i="25"/>
  <c r="CH389" i="25"/>
  <c r="CG389" i="25"/>
  <c r="BT389" i="25" s="1"/>
  <c r="CF389" i="25"/>
  <c r="CE389" i="25"/>
  <c r="CD389" i="25"/>
  <c r="CC389" i="25"/>
  <c r="CA389" i="25"/>
  <c r="BZ389" i="25"/>
  <c r="BY389" i="25"/>
  <c r="BS389" i="25" s="1"/>
  <c r="BX389" i="25"/>
  <c r="BU389" i="25" s="1"/>
  <c r="BR389" i="25"/>
  <c r="BW389" i="25" s="1"/>
  <c r="BH389" i="25"/>
  <c r="BN389" i="25" s="1"/>
  <c r="BF389" i="25"/>
  <c r="AX389" i="25"/>
  <c r="AU389" i="25"/>
  <c r="AT389" i="25"/>
  <c r="AS389" i="25"/>
  <c r="AR389" i="25"/>
  <c r="BG389" i="25" s="1"/>
  <c r="CM388" i="25"/>
  <c r="CL388" i="25"/>
  <c r="CK388" i="25"/>
  <c r="CJ388" i="25"/>
  <c r="CI388" i="25"/>
  <c r="CH388" i="25"/>
  <c r="CG388" i="25"/>
  <c r="BT388" i="25" s="1"/>
  <c r="CF388" i="25"/>
  <c r="CE388" i="25"/>
  <c r="CD388" i="25"/>
  <c r="CC388" i="25"/>
  <c r="CA388" i="25"/>
  <c r="BZ388" i="25"/>
  <c r="BY388" i="25"/>
  <c r="BS388" i="25" s="1"/>
  <c r="BX388" i="25"/>
  <c r="BU388" i="25" s="1"/>
  <c r="BR388" i="25"/>
  <c r="BW388" i="25" s="1"/>
  <c r="BN388" i="25"/>
  <c r="BI388" i="25"/>
  <c r="BJ388" i="25" s="1"/>
  <c r="BH388" i="25"/>
  <c r="BF388" i="25"/>
  <c r="AX388" i="25"/>
  <c r="AU388" i="25"/>
  <c r="AT388" i="25"/>
  <c r="AS388" i="25"/>
  <c r="AR388" i="25"/>
  <c r="CM387" i="25"/>
  <c r="CL387" i="25"/>
  <c r="CK387" i="25"/>
  <c r="CJ387" i="25"/>
  <c r="CI387" i="25"/>
  <c r="CH387" i="25"/>
  <c r="CG387" i="25"/>
  <c r="BT387" i="25" s="1"/>
  <c r="CF387" i="25"/>
  <c r="CE387" i="25"/>
  <c r="CD387" i="25"/>
  <c r="CC387" i="25"/>
  <c r="CA387" i="25"/>
  <c r="BZ387" i="25"/>
  <c r="BY387" i="25"/>
  <c r="BS387" i="25" s="1"/>
  <c r="BX387" i="25"/>
  <c r="BU387" i="25" s="1"/>
  <c r="BR387" i="25"/>
  <c r="BW387" i="25" s="1"/>
  <c r="BN387" i="25"/>
  <c r="BH387" i="25"/>
  <c r="BF387" i="25"/>
  <c r="AX387" i="25"/>
  <c r="AU387" i="25"/>
  <c r="AT387" i="25"/>
  <c r="AS387" i="25"/>
  <c r="AR387" i="25"/>
  <c r="CM386" i="25"/>
  <c r="CL386" i="25"/>
  <c r="CK386" i="25"/>
  <c r="CJ386" i="25"/>
  <c r="CI386" i="25"/>
  <c r="CH386" i="25"/>
  <c r="CG386" i="25"/>
  <c r="BT386" i="25" s="1"/>
  <c r="CF386" i="25"/>
  <c r="CE386" i="25"/>
  <c r="CD386" i="25"/>
  <c r="CC386" i="25"/>
  <c r="CA386" i="25"/>
  <c r="BZ386" i="25"/>
  <c r="BY386" i="25"/>
  <c r="BS386" i="25" s="1"/>
  <c r="BX386" i="25"/>
  <c r="BU386" i="25" s="1"/>
  <c r="BR386" i="25"/>
  <c r="BW386" i="25" s="1"/>
  <c r="BN386" i="25"/>
  <c r="BH386" i="25"/>
  <c r="BF386" i="25"/>
  <c r="AX386" i="25"/>
  <c r="AU386" i="25"/>
  <c r="AT386" i="25"/>
  <c r="AS386" i="25"/>
  <c r="AR386" i="25"/>
  <c r="BG386" i="25" s="1"/>
  <c r="CM385" i="25"/>
  <c r="CL385" i="25"/>
  <c r="CK385" i="25"/>
  <c r="CJ385" i="25"/>
  <c r="CI385" i="25"/>
  <c r="CH385" i="25"/>
  <c r="CG385" i="25"/>
  <c r="BT385" i="25" s="1"/>
  <c r="CF385" i="25"/>
  <c r="CE385" i="25"/>
  <c r="CD385" i="25"/>
  <c r="CC385" i="25"/>
  <c r="CA385" i="25"/>
  <c r="BZ385" i="25"/>
  <c r="BY385" i="25"/>
  <c r="BS385" i="25" s="1"/>
  <c r="BX385" i="25"/>
  <c r="BU385" i="25"/>
  <c r="BR385" i="25"/>
  <c r="BW385" i="25" s="1"/>
  <c r="BH385" i="25"/>
  <c r="BN385" i="25" s="1"/>
  <c r="BF385" i="25"/>
  <c r="AX385" i="25"/>
  <c r="AU385" i="25"/>
  <c r="AT385" i="25"/>
  <c r="AS385" i="25"/>
  <c r="AR385" i="25"/>
  <c r="CM384" i="25"/>
  <c r="CL384" i="25"/>
  <c r="CK384" i="25"/>
  <c r="CJ384" i="25"/>
  <c r="CI384" i="25"/>
  <c r="CH384" i="25"/>
  <c r="CG384" i="25"/>
  <c r="BT384" i="25" s="1"/>
  <c r="CF384" i="25"/>
  <c r="CE384" i="25"/>
  <c r="CD384" i="25"/>
  <c r="CC384" i="25"/>
  <c r="CA384" i="25"/>
  <c r="BZ384" i="25"/>
  <c r="BY384" i="25"/>
  <c r="BS384" i="25" s="1"/>
  <c r="BX384" i="25"/>
  <c r="BU384" i="25" s="1"/>
  <c r="BR384" i="25"/>
  <c r="BW384" i="25" s="1"/>
  <c r="BN384" i="25"/>
  <c r="BH384" i="25"/>
  <c r="BF384" i="25"/>
  <c r="AX384" i="25"/>
  <c r="AT384" i="25"/>
  <c r="AS384" i="25"/>
  <c r="AR384" i="25"/>
  <c r="Q384" i="25"/>
  <c r="AU384" i="25" s="1"/>
  <c r="CM383" i="25"/>
  <c r="CL383" i="25"/>
  <c r="CK383" i="25"/>
  <c r="CJ383" i="25"/>
  <c r="CI383" i="25"/>
  <c r="CH383" i="25"/>
  <c r="CG383" i="25"/>
  <c r="BT383" i="25" s="1"/>
  <c r="CF383" i="25"/>
  <c r="CE383" i="25"/>
  <c r="CD383" i="25"/>
  <c r="CC383" i="25"/>
  <c r="CA383" i="25"/>
  <c r="BZ383" i="25"/>
  <c r="BY383" i="25"/>
  <c r="BS383" i="25" s="1"/>
  <c r="BX383" i="25"/>
  <c r="BU383" i="25" s="1"/>
  <c r="BR383" i="25"/>
  <c r="BW383" i="25" s="1"/>
  <c r="BH383" i="25"/>
  <c r="BN383" i="25" s="1"/>
  <c r="BF383" i="25"/>
  <c r="AX383" i="25"/>
  <c r="AY383" i="25" s="1"/>
  <c r="AU383" i="25"/>
  <c r="AT383" i="25"/>
  <c r="AS383" i="25"/>
  <c r="AR383" i="25"/>
  <c r="CM382" i="25"/>
  <c r="CL382" i="25"/>
  <c r="CK382" i="25"/>
  <c r="CJ382" i="25"/>
  <c r="CI382" i="25"/>
  <c r="CH382" i="25"/>
  <c r="CG382" i="25"/>
  <c r="BT382" i="25" s="1"/>
  <c r="CF382" i="25"/>
  <c r="CE382" i="25"/>
  <c r="CD382" i="25"/>
  <c r="CC382" i="25"/>
  <c r="CA382" i="25"/>
  <c r="BZ382" i="25"/>
  <c r="BY382" i="25"/>
  <c r="BS382" i="25" s="1"/>
  <c r="BX382" i="25"/>
  <c r="BU382" i="25" s="1"/>
  <c r="BR382" i="25"/>
  <c r="BW382" i="25" s="1"/>
  <c r="BN382" i="25"/>
  <c r="BH382" i="25"/>
  <c r="BF382" i="25"/>
  <c r="AX382" i="25"/>
  <c r="AY382" i="25" s="1"/>
  <c r="AU382" i="25"/>
  <c r="AT382" i="25"/>
  <c r="AS382" i="25"/>
  <c r="AR382" i="25"/>
  <c r="CM381" i="25"/>
  <c r="CL381" i="25"/>
  <c r="CK381" i="25"/>
  <c r="CJ381" i="25"/>
  <c r="CI381" i="25"/>
  <c r="CH381" i="25"/>
  <c r="CG381" i="25"/>
  <c r="BT381" i="25" s="1"/>
  <c r="CF381" i="25"/>
  <c r="CE381" i="25"/>
  <c r="CD381" i="25"/>
  <c r="CC381" i="25"/>
  <c r="CA381" i="25"/>
  <c r="BZ381" i="25"/>
  <c r="BY381" i="25"/>
  <c r="BS381" i="25" s="1"/>
  <c r="BX381" i="25"/>
  <c r="BU381" i="25" s="1"/>
  <c r="BR381" i="25"/>
  <c r="BW381" i="25" s="1"/>
  <c r="BN381" i="25"/>
  <c r="BH381" i="25"/>
  <c r="BF381" i="25"/>
  <c r="AX381" i="25"/>
  <c r="AU381" i="25"/>
  <c r="AT381" i="25"/>
  <c r="AS381" i="25"/>
  <c r="AR381" i="25"/>
  <c r="CM380" i="25"/>
  <c r="CL380" i="25"/>
  <c r="CK380" i="25"/>
  <c r="CJ380" i="25"/>
  <c r="CI380" i="25"/>
  <c r="CH380" i="25"/>
  <c r="CG380" i="25"/>
  <c r="BM380" i="25" s="1"/>
  <c r="CF380" i="25"/>
  <c r="CE380" i="25"/>
  <c r="CD380" i="25"/>
  <c r="CC380" i="25"/>
  <c r="CA380" i="25"/>
  <c r="BZ380" i="25"/>
  <c r="BY380" i="25"/>
  <c r="BS380" i="25" s="1"/>
  <c r="BX380" i="25"/>
  <c r="BU380" i="25" s="1"/>
  <c r="BR380" i="25"/>
  <c r="BW380" i="25" s="1"/>
  <c r="BH380" i="25"/>
  <c r="BN380" i="25" s="1"/>
  <c r="BF380" i="25"/>
  <c r="AX380" i="25"/>
  <c r="AU380" i="25"/>
  <c r="AT380" i="25"/>
  <c r="AS380" i="25"/>
  <c r="AR380" i="25"/>
  <c r="CM379" i="25"/>
  <c r="CL379" i="25"/>
  <c r="CK379" i="25"/>
  <c r="CJ379" i="25"/>
  <c r="CI379" i="25"/>
  <c r="CH379" i="25"/>
  <c r="CG379" i="25"/>
  <c r="BT379" i="25" s="1"/>
  <c r="CF379" i="25"/>
  <c r="CE379" i="25"/>
  <c r="CD379" i="25"/>
  <c r="CC379" i="25"/>
  <c r="CA379" i="25"/>
  <c r="BZ379" i="25"/>
  <c r="BY379" i="25"/>
  <c r="BS379" i="25" s="1"/>
  <c r="BX379" i="25"/>
  <c r="BU379" i="25" s="1"/>
  <c r="BR379" i="25"/>
  <c r="BW379" i="25" s="1"/>
  <c r="BN379" i="25"/>
  <c r="BH379" i="25"/>
  <c r="BF379" i="25"/>
  <c r="AX379" i="25"/>
  <c r="AU379" i="25"/>
  <c r="AT379" i="25"/>
  <c r="AS379" i="25"/>
  <c r="AR379" i="25"/>
  <c r="CM378" i="25"/>
  <c r="CL378" i="25"/>
  <c r="CK378" i="25"/>
  <c r="CJ378" i="25"/>
  <c r="CI378" i="25"/>
  <c r="CH378" i="25"/>
  <c r="CG378" i="25"/>
  <c r="BT378" i="25" s="1"/>
  <c r="CF378" i="25"/>
  <c r="CE378" i="25"/>
  <c r="CD378" i="25"/>
  <c r="CC378" i="25"/>
  <c r="CA378" i="25"/>
  <c r="BZ378" i="25"/>
  <c r="BY378" i="25"/>
  <c r="BS378" i="25" s="1"/>
  <c r="BX378" i="25"/>
  <c r="BU378" i="25" s="1"/>
  <c r="BR378" i="25"/>
  <c r="BW378" i="25" s="1"/>
  <c r="BN378" i="25"/>
  <c r="BH378" i="25"/>
  <c r="BF378" i="25"/>
  <c r="AX378" i="25"/>
  <c r="AU378" i="25"/>
  <c r="AT378" i="25"/>
  <c r="AS378" i="25"/>
  <c r="AR378" i="25"/>
  <c r="CM377" i="25"/>
  <c r="CL377" i="25"/>
  <c r="CK377" i="25"/>
  <c r="CJ377" i="25"/>
  <c r="CI377" i="25"/>
  <c r="CH377" i="25"/>
  <c r="CG377" i="25"/>
  <c r="BO377" i="25" s="1"/>
  <c r="CF377" i="25"/>
  <c r="CE377" i="25"/>
  <c r="CD377" i="25"/>
  <c r="CC377" i="25"/>
  <c r="CA377" i="25"/>
  <c r="BZ377" i="25"/>
  <c r="BY377" i="25"/>
  <c r="BS377" i="25" s="1"/>
  <c r="BX377" i="25"/>
  <c r="BU377" i="25" s="1"/>
  <c r="BR377" i="25"/>
  <c r="BW377" i="25" s="1"/>
  <c r="BH377" i="25"/>
  <c r="BF377" i="25"/>
  <c r="AX377" i="25"/>
  <c r="AU377" i="25"/>
  <c r="AT377" i="25"/>
  <c r="AS377" i="25"/>
  <c r="AR377" i="25"/>
  <c r="CM376" i="25"/>
  <c r="CL376" i="25"/>
  <c r="CK376" i="25"/>
  <c r="CJ376" i="25"/>
  <c r="CI376" i="25"/>
  <c r="CH376" i="25"/>
  <c r="CG376" i="25"/>
  <c r="BM376" i="25" s="1"/>
  <c r="CF376" i="25"/>
  <c r="CE376" i="25"/>
  <c r="CD376" i="25"/>
  <c r="CC376" i="25"/>
  <c r="CA376" i="25"/>
  <c r="BZ376" i="25"/>
  <c r="BY376" i="25"/>
  <c r="BS376" i="25" s="1"/>
  <c r="BX376" i="25"/>
  <c r="BU376" i="25" s="1"/>
  <c r="BR376" i="25"/>
  <c r="BW376" i="25" s="1"/>
  <c r="BN376" i="25"/>
  <c r="BH376" i="25"/>
  <c r="BF376" i="25"/>
  <c r="AX376" i="25"/>
  <c r="AU376" i="25"/>
  <c r="AT376" i="25"/>
  <c r="AS376" i="25"/>
  <c r="AR376" i="25"/>
  <c r="CM375" i="25"/>
  <c r="CL375" i="25"/>
  <c r="CK375" i="25"/>
  <c r="CJ375" i="25"/>
  <c r="CI375" i="25"/>
  <c r="CH375" i="25"/>
  <c r="CG375" i="25"/>
  <c r="BM375" i="25" s="1"/>
  <c r="CF375" i="25"/>
  <c r="CE375" i="25"/>
  <c r="CD375" i="25"/>
  <c r="CC375" i="25"/>
  <c r="CA375" i="25"/>
  <c r="BZ375" i="25"/>
  <c r="BY375" i="25"/>
  <c r="BS375" i="25" s="1"/>
  <c r="BX375" i="25"/>
  <c r="BU375" i="25" s="1"/>
  <c r="BR375" i="25"/>
  <c r="BW375" i="25" s="1"/>
  <c r="BN375" i="25"/>
  <c r="BH375" i="25"/>
  <c r="BF375" i="25"/>
  <c r="AX375" i="25"/>
  <c r="AU375" i="25"/>
  <c r="AT375" i="25"/>
  <c r="AS375" i="25"/>
  <c r="AR375" i="25"/>
  <c r="CM374" i="25"/>
  <c r="CL374" i="25"/>
  <c r="CK374" i="25"/>
  <c r="CJ374" i="25"/>
  <c r="CI374" i="25"/>
  <c r="CH374" i="25"/>
  <c r="CG374" i="25"/>
  <c r="BT374" i="25" s="1"/>
  <c r="CF374" i="25"/>
  <c r="CE374" i="25"/>
  <c r="CD374" i="25"/>
  <c r="CC374" i="25"/>
  <c r="CA374" i="25"/>
  <c r="BZ374" i="25"/>
  <c r="BY374" i="25"/>
  <c r="BS374" i="25" s="1"/>
  <c r="BX374" i="25"/>
  <c r="BU374" i="25" s="1"/>
  <c r="BR374" i="25"/>
  <c r="BW374" i="25" s="1"/>
  <c r="BH374" i="25"/>
  <c r="BF374" i="25"/>
  <c r="AX374" i="25"/>
  <c r="AU374" i="25"/>
  <c r="AT374" i="25"/>
  <c r="AS374" i="25"/>
  <c r="AR374" i="25"/>
  <c r="CM373" i="25"/>
  <c r="CL373" i="25"/>
  <c r="CK373" i="25"/>
  <c r="CJ373" i="25"/>
  <c r="CI373" i="25"/>
  <c r="CH373" i="25"/>
  <c r="CG373" i="25"/>
  <c r="BO373" i="25" s="1"/>
  <c r="CF373" i="25"/>
  <c r="CE373" i="25"/>
  <c r="CD373" i="25"/>
  <c r="CC373" i="25"/>
  <c r="CA373" i="25"/>
  <c r="BZ373" i="25"/>
  <c r="BY373" i="25"/>
  <c r="BS373" i="25" s="1"/>
  <c r="BX373" i="25"/>
  <c r="BU373" i="25" s="1"/>
  <c r="BR373" i="25"/>
  <c r="BW373" i="25" s="1"/>
  <c r="BN373" i="25"/>
  <c r="BH373" i="25"/>
  <c r="BF373" i="25"/>
  <c r="AX373" i="25"/>
  <c r="AU373" i="25"/>
  <c r="AT373" i="25"/>
  <c r="AS373" i="25"/>
  <c r="AR373" i="25"/>
  <c r="CM372" i="25"/>
  <c r="CL372" i="25"/>
  <c r="CK372" i="25"/>
  <c r="CJ372" i="25"/>
  <c r="CI372" i="25"/>
  <c r="CH372" i="25"/>
  <c r="CG372" i="25"/>
  <c r="CF372" i="25"/>
  <c r="CE372" i="25"/>
  <c r="CD372" i="25"/>
  <c r="CC372" i="25"/>
  <c r="CA372" i="25"/>
  <c r="BZ372" i="25"/>
  <c r="BY372" i="25"/>
  <c r="BS372" i="25" s="1"/>
  <c r="BX372" i="25"/>
  <c r="BU372" i="25" s="1"/>
  <c r="BT372" i="25"/>
  <c r="BR372" i="25"/>
  <c r="BW372" i="25" s="1"/>
  <c r="BN372" i="25"/>
  <c r="BH372" i="25"/>
  <c r="BF372" i="25"/>
  <c r="AX372" i="25"/>
  <c r="AT372" i="25"/>
  <c r="AS372" i="25"/>
  <c r="AR372" i="25"/>
  <c r="Q372" i="25"/>
  <c r="AU372" i="25" s="1"/>
  <c r="CM371" i="25"/>
  <c r="CL371" i="25"/>
  <c r="CK371" i="25"/>
  <c r="CJ371" i="25"/>
  <c r="CI371" i="25"/>
  <c r="CH371" i="25"/>
  <c r="CG371" i="25"/>
  <c r="CF371" i="25"/>
  <c r="CE371" i="25"/>
  <c r="CD371" i="25"/>
  <c r="CC371" i="25"/>
  <c r="CA371" i="25"/>
  <c r="BZ371" i="25"/>
  <c r="BY371" i="25"/>
  <c r="BS371" i="25" s="1"/>
  <c r="BX371" i="25"/>
  <c r="BU371" i="25" s="1"/>
  <c r="BR371" i="25"/>
  <c r="BW371" i="25" s="1"/>
  <c r="BN371" i="25"/>
  <c r="BH371" i="25"/>
  <c r="BF371" i="25"/>
  <c r="AX371" i="25"/>
  <c r="AY371" i="25" s="1"/>
  <c r="AU371" i="25"/>
  <c r="AT371" i="25"/>
  <c r="AS371" i="25"/>
  <c r="AR371" i="25"/>
  <c r="CM370" i="25"/>
  <c r="CL370" i="25"/>
  <c r="CK370" i="25"/>
  <c r="CJ370" i="25"/>
  <c r="CI370" i="25"/>
  <c r="CH370" i="25"/>
  <c r="CG370" i="25"/>
  <c r="BM370" i="25" s="1"/>
  <c r="CF370" i="25"/>
  <c r="CE370" i="25"/>
  <c r="CD370" i="25"/>
  <c r="CC370" i="25"/>
  <c r="CA370" i="25"/>
  <c r="BZ370" i="25"/>
  <c r="BY370" i="25"/>
  <c r="BS370" i="25" s="1"/>
  <c r="BX370" i="25"/>
  <c r="BU370" i="25" s="1"/>
  <c r="BR370" i="25"/>
  <c r="BW370" i="25" s="1"/>
  <c r="BN370" i="25"/>
  <c r="BH370" i="25"/>
  <c r="BF370" i="25"/>
  <c r="AX370" i="25"/>
  <c r="AY370" i="25" s="1"/>
  <c r="AU370" i="25"/>
  <c r="AT370" i="25"/>
  <c r="AS370" i="25"/>
  <c r="AR370" i="25"/>
  <c r="CM369" i="25"/>
  <c r="CL369" i="25"/>
  <c r="CK369" i="25"/>
  <c r="CJ369" i="25"/>
  <c r="CI369" i="25"/>
  <c r="CH369" i="25"/>
  <c r="CG369" i="25"/>
  <c r="BM369" i="25" s="1"/>
  <c r="CF369" i="25"/>
  <c r="CE369" i="25"/>
  <c r="CD369" i="25"/>
  <c r="CC369" i="25"/>
  <c r="CA369" i="25"/>
  <c r="BZ369" i="25"/>
  <c r="BY369" i="25"/>
  <c r="BS369" i="25" s="1"/>
  <c r="BX369" i="25"/>
  <c r="BU369" i="25" s="1"/>
  <c r="BR369" i="25"/>
  <c r="BW369" i="25" s="1"/>
  <c r="BH369" i="25"/>
  <c r="BN369" i="25" s="1"/>
  <c r="BF369" i="25"/>
  <c r="AX369" i="25"/>
  <c r="AY369" i="25" s="1"/>
  <c r="AU369" i="25"/>
  <c r="AT369" i="25"/>
  <c r="AS369" i="25"/>
  <c r="AR369" i="25"/>
  <c r="CM368" i="25"/>
  <c r="CL368" i="25"/>
  <c r="CK368" i="25"/>
  <c r="CJ368" i="25"/>
  <c r="CI368" i="25"/>
  <c r="CH368" i="25"/>
  <c r="CG368" i="25"/>
  <c r="BI368" i="25" s="1"/>
  <c r="BJ368" i="25" s="1"/>
  <c r="CF368" i="25"/>
  <c r="CE368" i="25"/>
  <c r="CD368" i="25"/>
  <c r="CC368" i="25"/>
  <c r="CA368" i="25"/>
  <c r="BZ368" i="25"/>
  <c r="BY368" i="25"/>
  <c r="BS368" i="25" s="1"/>
  <c r="BX368" i="25"/>
  <c r="BU368" i="25" s="1"/>
  <c r="BR368" i="25"/>
  <c r="BW368" i="25" s="1"/>
  <c r="BN368" i="25"/>
  <c r="BH368" i="25"/>
  <c r="BF368" i="25"/>
  <c r="AX368" i="25"/>
  <c r="AY368" i="25" s="1"/>
  <c r="AU368" i="25"/>
  <c r="AT368" i="25"/>
  <c r="AS368" i="25"/>
  <c r="AR368" i="25"/>
  <c r="CM367" i="25"/>
  <c r="CL367" i="25"/>
  <c r="CK367" i="25"/>
  <c r="CJ367" i="25"/>
  <c r="CI367" i="25"/>
  <c r="CH367" i="25"/>
  <c r="CG367" i="25"/>
  <c r="BM367" i="25" s="1"/>
  <c r="CF367" i="25"/>
  <c r="CE367" i="25"/>
  <c r="CD367" i="25"/>
  <c r="CC367" i="25"/>
  <c r="CA367" i="25"/>
  <c r="BZ367" i="25"/>
  <c r="BY367" i="25"/>
  <c r="BS367" i="25" s="1"/>
  <c r="BX367" i="25"/>
  <c r="BU367" i="25" s="1"/>
  <c r="BR367" i="25"/>
  <c r="BW367" i="25" s="1"/>
  <c r="BN367" i="25"/>
  <c r="BH367" i="25"/>
  <c r="BF367" i="25"/>
  <c r="AX367" i="25"/>
  <c r="AY367" i="25" s="1"/>
  <c r="AT367" i="25"/>
  <c r="AS367" i="25"/>
  <c r="AR367" i="25"/>
  <c r="Q367" i="25"/>
  <c r="AU367" i="25" s="1"/>
  <c r="CM366" i="25"/>
  <c r="CL366" i="25"/>
  <c r="CK366" i="25"/>
  <c r="CJ366" i="25"/>
  <c r="CI366" i="25"/>
  <c r="CH366" i="25"/>
  <c r="CG366" i="25"/>
  <c r="BM366" i="25" s="1"/>
  <c r="CF366" i="25"/>
  <c r="CE366" i="25"/>
  <c r="CD366" i="25"/>
  <c r="CC366" i="25"/>
  <c r="CA366" i="25"/>
  <c r="BZ366" i="25"/>
  <c r="BY366" i="25"/>
  <c r="BS366" i="25" s="1"/>
  <c r="BX366" i="25"/>
  <c r="BU366" i="25" s="1"/>
  <c r="BR366" i="25"/>
  <c r="BW366" i="25" s="1"/>
  <c r="BN366" i="25"/>
  <c r="BH366" i="25"/>
  <c r="BF366" i="25"/>
  <c r="AX366" i="25"/>
  <c r="AY366" i="25" s="1"/>
  <c r="AU366" i="25"/>
  <c r="AT366" i="25"/>
  <c r="AS366" i="25"/>
  <c r="AR366" i="25"/>
  <c r="CM365" i="25"/>
  <c r="CL365" i="25"/>
  <c r="CK365" i="25"/>
  <c r="CJ365" i="25"/>
  <c r="CI365" i="25"/>
  <c r="CH365" i="25"/>
  <c r="CG365" i="25"/>
  <c r="BI365" i="25" s="1"/>
  <c r="BJ365" i="25" s="1"/>
  <c r="CF365" i="25"/>
  <c r="CE365" i="25"/>
  <c r="CD365" i="25"/>
  <c r="CC365" i="25"/>
  <c r="CA365" i="25"/>
  <c r="BZ365" i="25"/>
  <c r="BY365" i="25"/>
  <c r="BS365" i="25" s="1"/>
  <c r="BX365" i="25"/>
  <c r="BU365" i="25" s="1"/>
  <c r="BR365" i="25"/>
  <c r="BW365" i="25" s="1"/>
  <c r="BN365" i="25"/>
  <c r="BH365" i="25"/>
  <c r="BF365" i="25"/>
  <c r="AX365" i="25"/>
  <c r="AY365" i="25" s="1"/>
  <c r="AU365" i="25"/>
  <c r="AT365" i="25"/>
  <c r="AS365" i="25"/>
  <c r="AR365" i="25"/>
  <c r="CM364" i="25"/>
  <c r="CL364" i="25"/>
  <c r="CK364" i="25"/>
  <c r="CJ364" i="25"/>
  <c r="CI364" i="25"/>
  <c r="CH364" i="25"/>
  <c r="CG364" i="25"/>
  <c r="BI364" i="25" s="1"/>
  <c r="BJ364" i="25" s="1"/>
  <c r="CF364" i="25"/>
  <c r="CE364" i="25"/>
  <c r="CD364" i="25"/>
  <c r="CC364" i="25"/>
  <c r="CA364" i="25"/>
  <c r="BZ364" i="25"/>
  <c r="BY364" i="25"/>
  <c r="BS364" i="25" s="1"/>
  <c r="BX364" i="25"/>
  <c r="BU364" i="25" s="1"/>
  <c r="BR364" i="25"/>
  <c r="BW364" i="25" s="1"/>
  <c r="BN364" i="25"/>
  <c r="BH364" i="25"/>
  <c r="BF364" i="25"/>
  <c r="AX364" i="25"/>
  <c r="AY364" i="25" s="1"/>
  <c r="AS364" i="25"/>
  <c r="AR364" i="25"/>
  <c r="Q364" i="25"/>
  <c r="AU364" i="25" s="1"/>
  <c r="CM363" i="25"/>
  <c r="CL363" i="25"/>
  <c r="CK363" i="25"/>
  <c r="CJ363" i="25"/>
  <c r="CI363" i="25"/>
  <c r="CH363" i="25"/>
  <c r="CG363" i="25"/>
  <c r="BO363" i="25" s="1"/>
  <c r="CF363" i="25"/>
  <c r="CE363" i="25"/>
  <c r="CD363" i="25"/>
  <c r="CC363" i="25"/>
  <c r="CA363" i="25"/>
  <c r="BZ363" i="25"/>
  <c r="BY363" i="25"/>
  <c r="BS363" i="25" s="1"/>
  <c r="BX363" i="25"/>
  <c r="BU363" i="25" s="1"/>
  <c r="BR363" i="25"/>
  <c r="BW363" i="25" s="1"/>
  <c r="BN363" i="25"/>
  <c r="BH363" i="25"/>
  <c r="BF363" i="25"/>
  <c r="AX363" i="25"/>
  <c r="AY363" i="25" s="1"/>
  <c r="AU363" i="25"/>
  <c r="AT363" i="25"/>
  <c r="AS363" i="25"/>
  <c r="AR363" i="25"/>
  <c r="CM362" i="25"/>
  <c r="CL362" i="25"/>
  <c r="CK362" i="25"/>
  <c r="CJ362" i="25"/>
  <c r="CI362" i="25"/>
  <c r="CH362" i="25"/>
  <c r="CG362" i="25"/>
  <c r="BO362" i="25" s="1"/>
  <c r="CF362" i="25"/>
  <c r="CE362" i="25"/>
  <c r="CD362" i="25"/>
  <c r="CC362" i="25"/>
  <c r="CA362" i="25"/>
  <c r="BZ362" i="25"/>
  <c r="BY362" i="25"/>
  <c r="BS362" i="25" s="1"/>
  <c r="BX362" i="25"/>
  <c r="BU362" i="25" s="1"/>
  <c r="BR362" i="25"/>
  <c r="BW362" i="25" s="1"/>
  <c r="BN362" i="25"/>
  <c r="BH362" i="25"/>
  <c r="BF362" i="25"/>
  <c r="AX362" i="25"/>
  <c r="AY362" i="25" s="1"/>
  <c r="AU362" i="25"/>
  <c r="AT362" i="25"/>
  <c r="AS362" i="25"/>
  <c r="AR362" i="25"/>
  <c r="CM361" i="25"/>
  <c r="CL361" i="25"/>
  <c r="CK361" i="25"/>
  <c r="CJ361" i="25"/>
  <c r="CI361" i="25"/>
  <c r="CH361" i="25"/>
  <c r="CG361" i="25"/>
  <c r="BO361" i="25" s="1"/>
  <c r="CF361" i="25"/>
  <c r="CE361" i="25"/>
  <c r="CD361" i="25"/>
  <c r="CC361" i="25"/>
  <c r="CA361" i="25"/>
  <c r="BZ361" i="25"/>
  <c r="BY361" i="25"/>
  <c r="BS361" i="25" s="1"/>
  <c r="BX361" i="25"/>
  <c r="BU361" i="25" s="1"/>
  <c r="BR361" i="25"/>
  <c r="BW361" i="25" s="1"/>
  <c r="BH361" i="25"/>
  <c r="BN361" i="25" s="1"/>
  <c r="BF361" i="25"/>
  <c r="AX361" i="25"/>
  <c r="AY361" i="25" s="1"/>
  <c r="AU361" i="25"/>
  <c r="AT361" i="25"/>
  <c r="AS361" i="25"/>
  <c r="AR361" i="25"/>
  <c r="CM360" i="25"/>
  <c r="CL360" i="25"/>
  <c r="CK360" i="25"/>
  <c r="CJ360" i="25"/>
  <c r="CI360" i="25"/>
  <c r="CH360" i="25"/>
  <c r="CG360" i="25"/>
  <c r="BO360" i="25" s="1"/>
  <c r="CF360" i="25"/>
  <c r="CE360" i="25"/>
  <c r="CD360" i="25"/>
  <c r="CC360" i="25"/>
  <c r="CA360" i="25"/>
  <c r="BZ360" i="25"/>
  <c r="BY360" i="25"/>
  <c r="BS360" i="25" s="1"/>
  <c r="BX360" i="25"/>
  <c r="BU360" i="25" s="1"/>
  <c r="BR360" i="25"/>
  <c r="BW360" i="25" s="1"/>
  <c r="BH360" i="25"/>
  <c r="BN360" i="25" s="1"/>
  <c r="BF360" i="25"/>
  <c r="AX360" i="25"/>
  <c r="AY360" i="25" s="1"/>
  <c r="AU360" i="25"/>
  <c r="AT360" i="25"/>
  <c r="AS360" i="25"/>
  <c r="AR360" i="25"/>
  <c r="CM359" i="25"/>
  <c r="CL359" i="25"/>
  <c r="CK359" i="25"/>
  <c r="CJ359" i="25"/>
  <c r="CI359" i="25"/>
  <c r="CH359" i="25"/>
  <c r="CG359" i="25"/>
  <c r="BO359" i="25" s="1"/>
  <c r="CF359" i="25"/>
  <c r="CE359" i="25"/>
  <c r="CD359" i="25"/>
  <c r="CC359" i="25"/>
  <c r="CA359" i="25"/>
  <c r="BZ359" i="25"/>
  <c r="BY359" i="25"/>
  <c r="BS359" i="25" s="1"/>
  <c r="BX359" i="25"/>
  <c r="BU359" i="25" s="1"/>
  <c r="BR359" i="25"/>
  <c r="BW359" i="25" s="1"/>
  <c r="BN359" i="25"/>
  <c r="BM359" i="25"/>
  <c r="BH359" i="25"/>
  <c r="BF359" i="25"/>
  <c r="AX359" i="25"/>
  <c r="AY359" i="25" s="1"/>
  <c r="AU359" i="25"/>
  <c r="AT359" i="25"/>
  <c r="AS359" i="25"/>
  <c r="AR359" i="25"/>
  <c r="CM358" i="25"/>
  <c r="CL358" i="25"/>
  <c r="CK358" i="25"/>
  <c r="CJ358" i="25"/>
  <c r="CI358" i="25"/>
  <c r="CH358" i="25"/>
  <c r="CG358" i="25"/>
  <c r="BO358" i="25" s="1"/>
  <c r="CF358" i="25"/>
  <c r="CE358" i="25"/>
  <c r="CD358" i="25"/>
  <c r="CC358" i="25"/>
  <c r="CA358" i="25"/>
  <c r="BZ358" i="25"/>
  <c r="BY358" i="25"/>
  <c r="BS358" i="25" s="1"/>
  <c r="BX358" i="25"/>
  <c r="BU358" i="25" s="1"/>
  <c r="BT358" i="25"/>
  <c r="BR358" i="25"/>
  <c r="BW358" i="25" s="1"/>
  <c r="BN358" i="25"/>
  <c r="BM358" i="25"/>
  <c r="BH358" i="25"/>
  <c r="BF358" i="25"/>
  <c r="AX358" i="25"/>
  <c r="AU358" i="25"/>
  <c r="AT358" i="25"/>
  <c r="AS358" i="25"/>
  <c r="AR358" i="25"/>
  <c r="CM357" i="25"/>
  <c r="CL357" i="25"/>
  <c r="CK357" i="25"/>
  <c r="CJ357" i="25"/>
  <c r="CI357" i="25"/>
  <c r="CH357" i="25"/>
  <c r="CG357" i="25"/>
  <c r="CF357" i="25"/>
  <c r="CE357" i="25"/>
  <c r="CD357" i="25"/>
  <c r="CC357" i="25"/>
  <c r="CA357" i="25"/>
  <c r="BZ357" i="25"/>
  <c r="BY357" i="25"/>
  <c r="BS357" i="25" s="1"/>
  <c r="BX357" i="25"/>
  <c r="BU357" i="25" s="1"/>
  <c r="BT357" i="25"/>
  <c r="BR357" i="25"/>
  <c r="BW357" i="25" s="1"/>
  <c r="BN357" i="25"/>
  <c r="BI357" i="25"/>
  <c r="BJ357" i="25" s="1"/>
  <c r="BH357" i="25"/>
  <c r="BF357" i="25"/>
  <c r="AX357" i="25"/>
  <c r="AY357" i="25" s="1"/>
  <c r="AU357" i="25"/>
  <c r="AT357" i="25"/>
  <c r="AS357" i="25"/>
  <c r="AR357" i="25"/>
  <c r="CM356" i="25"/>
  <c r="CL356" i="25"/>
  <c r="CK356" i="25"/>
  <c r="CJ356" i="25"/>
  <c r="CI356" i="25"/>
  <c r="CH356" i="25"/>
  <c r="CG356" i="25"/>
  <c r="CF356" i="25"/>
  <c r="CE356" i="25"/>
  <c r="CD356" i="25"/>
  <c r="CC356" i="25"/>
  <c r="CA356" i="25"/>
  <c r="BZ356" i="25"/>
  <c r="BY356" i="25"/>
  <c r="BS356" i="25" s="1"/>
  <c r="BX356" i="25"/>
  <c r="BU356" i="25" s="1"/>
  <c r="BR356" i="25"/>
  <c r="BW356" i="25" s="1"/>
  <c r="BN356" i="25"/>
  <c r="BH356" i="25"/>
  <c r="BF356" i="25"/>
  <c r="AX356" i="25"/>
  <c r="AY356" i="25" s="1"/>
  <c r="AU356" i="25"/>
  <c r="AT356" i="25"/>
  <c r="AS356" i="25"/>
  <c r="AR356" i="25"/>
  <c r="CM355" i="25"/>
  <c r="CL355" i="25"/>
  <c r="CK355" i="25"/>
  <c r="CJ355" i="25"/>
  <c r="CI355" i="25"/>
  <c r="CH355" i="25"/>
  <c r="CG355" i="25"/>
  <c r="CF355" i="25"/>
  <c r="CE355" i="25"/>
  <c r="CD355" i="25"/>
  <c r="CA355" i="25"/>
  <c r="BZ355" i="25"/>
  <c r="BT355" i="25"/>
  <c r="BR355" i="25"/>
  <c r="BW355" i="25" s="1"/>
  <c r="BN355" i="25"/>
  <c r="BH355" i="25"/>
  <c r="BF355" i="25"/>
  <c r="AX355" i="25"/>
  <c r="AY355" i="25" s="1"/>
  <c r="AU355" i="25"/>
  <c r="AT355" i="25"/>
  <c r="AS355" i="25"/>
  <c r="AR355" i="25"/>
  <c r="F355" i="25"/>
  <c r="BX355" i="25" s="1"/>
  <c r="BU355" i="25" s="1"/>
  <c r="CM354" i="25"/>
  <c r="CL354" i="25"/>
  <c r="CK354" i="25"/>
  <c r="CJ354" i="25"/>
  <c r="CI354" i="25"/>
  <c r="CH354" i="25"/>
  <c r="CG354" i="25"/>
  <c r="BI354" i="25" s="1"/>
  <c r="BJ354" i="25" s="1"/>
  <c r="CF354" i="25"/>
  <c r="CE354" i="25"/>
  <c r="CD354" i="25"/>
  <c r="CC354" i="25"/>
  <c r="CA354" i="25"/>
  <c r="BZ354" i="25"/>
  <c r="BY354" i="25"/>
  <c r="BS354" i="25" s="1"/>
  <c r="BX354" i="25"/>
  <c r="BU354" i="25" s="1"/>
  <c r="BT354" i="25"/>
  <c r="BR354" i="25"/>
  <c r="BW354" i="25" s="1"/>
  <c r="BN354" i="25"/>
  <c r="BH354" i="25"/>
  <c r="BF354" i="25"/>
  <c r="AX354" i="25"/>
  <c r="AY354" i="25" s="1"/>
  <c r="AU354" i="25"/>
  <c r="AT354" i="25"/>
  <c r="AS354" i="25"/>
  <c r="AR354" i="25"/>
  <c r="CM353" i="25"/>
  <c r="CL353" i="25"/>
  <c r="CK353" i="25"/>
  <c r="CJ353" i="25"/>
  <c r="CI353" i="25"/>
  <c r="CH353" i="25"/>
  <c r="CG353" i="25"/>
  <c r="CF353" i="25"/>
  <c r="CE353" i="25"/>
  <c r="CD353" i="25"/>
  <c r="CC353" i="25"/>
  <c r="CA353" i="25"/>
  <c r="BZ353" i="25"/>
  <c r="BY353" i="25"/>
  <c r="BS353" i="25" s="1"/>
  <c r="BX353" i="25"/>
  <c r="BU353" i="25" s="1"/>
  <c r="BT353" i="25"/>
  <c r="BR353" i="25"/>
  <c r="BW353" i="25" s="1"/>
  <c r="BN353" i="25"/>
  <c r="BH353" i="25"/>
  <c r="BF353" i="25"/>
  <c r="AX353" i="25"/>
  <c r="AY353" i="25" s="1"/>
  <c r="AU353" i="25"/>
  <c r="AT353" i="25"/>
  <c r="AS353" i="25"/>
  <c r="AR353" i="25"/>
  <c r="CM352" i="25"/>
  <c r="CL352" i="25"/>
  <c r="CK352" i="25"/>
  <c r="CJ352" i="25"/>
  <c r="CI352" i="25"/>
  <c r="CH352" i="25"/>
  <c r="CG352" i="25"/>
  <c r="CF352" i="25"/>
  <c r="CE352" i="25"/>
  <c r="CD352" i="25"/>
  <c r="CC352" i="25"/>
  <c r="CA352" i="25"/>
  <c r="BZ352" i="25"/>
  <c r="BY352" i="25"/>
  <c r="BS352" i="25" s="1"/>
  <c r="BX352" i="25"/>
  <c r="BU352" i="25" s="1"/>
  <c r="BT352" i="25"/>
  <c r="BR352" i="25"/>
  <c r="BW352" i="25" s="1"/>
  <c r="BN352" i="25"/>
  <c r="BI352" i="25"/>
  <c r="BJ352" i="25" s="1"/>
  <c r="BH352" i="25"/>
  <c r="BF352" i="25"/>
  <c r="AX352" i="25"/>
  <c r="AY352" i="25" s="1"/>
  <c r="AU352" i="25"/>
  <c r="AT352" i="25"/>
  <c r="AS352" i="25"/>
  <c r="AR352" i="25"/>
  <c r="CM351" i="25"/>
  <c r="CL351" i="25"/>
  <c r="CK351" i="25"/>
  <c r="CJ351" i="25"/>
  <c r="CI351" i="25"/>
  <c r="CH351" i="25"/>
  <c r="CG351" i="25"/>
  <c r="BI351" i="25" s="1"/>
  <c r="BJ351" i="25" s="1"/>
  <c r="CF351" i="25"/>
  <c r="CE351" i="25"/>
  <c r="CD351" i="25"/>
  <c r="CC351" i="25"/>
  <c r="CA351" i="25"/>
  <c r="BZ351" i="25"/>
  <c r="BY351" i="25"/>
  <c r="BS351" i="25" s="1"/>
  <c r="BX351" i="25"/>
  <c r="BU351" i="25" s="1"/>
  <c r="BT351" i="25"/>
  <c r="BR351" i="25"/>
  <c r="BW351" i="25" s="1"/>
  <c r="BN351" i="25"/>
  <c r="BH351" i="25"/>
  <c r="BF351" i="25"/>
  <c r="AX351" i="25"/>
  <c r="AY351" i="25" s="1"/>
  <c r="AU351" i="25"/>
  <c r="AT351" i="25"/>
  <c r="AS351" i="25"/>
  <c r="AR351" i="25"/>
  <c r="CM350" i="25"/>
  <c r="CL350" i="25"/>
  <c r="CK350" i="25"/>
  <c r="CJ350" i="25"/>
  <c r="CI350" i="25"/>
  <c r="CH350" i="25"/>
  <c r="CG350" i="25"/>
  <c r="CF350" i="25"/>
  <c r="CE350" i="25"/>
  <c r="CD350" i="25"/>
  <c r="CC350" i="25"/>
  <c r="CA350" i="25"/>
  <c r="BZ350" i="25"/>
  <c r="BY350" i="25"/>
  <c r="BS350" i="25" s="1"/>
  <c r="BX350" i="25"/>
  <c r="BU350" i="25" s="1"/>
  <c r="BT350" i="25"/>
  <c r="BR350" i="25"/>
  <c r="BW350" i="25" s="1"/>
  <c r="BN350" i="25"/>
  <c r="BI350" i="25"/>
  <c r="BJ350" i="25" s="1"/>
  <c r="BH350" i="25"/>
  <c r="BF350" i="25"/>
  <c r="AX350" i="25"/>
  <c r="AY350" i="25" s="1"/>
  <c r="AU350" i="25"/>
  <c r="AT350" i="25"/>
  <c r="AS350" i="25"/>
  <c r="AR350" i="25"/>
  <c r="CM349" i="25"/>
  <c r="CL349" i="25"/>
  <c r="CK349" i="25"/>
  <c r="CJ349" i="25"/>
  <c r="CI349" i="25"/>
  <c r="CH349" i="25"/>
  <c r="CG349" i="25"/>
  <c r="BO349" i="25" s="1"/>
  <c r="CF349" i="25"/>
  <c r="CE349" i="25"/>
  <c r="CD349" i="25"/>
  <c r="CC349" i="25"/>
  <c r="CA349" i="25"/>
  <c r="BZ349" i="25"/>
  <c r="BY349" i="25"/>
  <c r="BS349" i="25" s="1"/>
  <c r="BX349" i="25"/>
  <c r="BU349" i="25" s="1"/>
  <c r="BR349" i="25"/>
  <c r="BW349" i="25" s="1"/>
  <c r="BN349" i="25"/>
  <c r="BH349" i="25"/>
  <c r="BF349" i="25"/>
  <c r="AX349" i="25"/>
  <c r="AY349" i="25" s="1"/>
  <c r="AU349" i="25"/>
  <c r="AT349" i="25"/>
  <c r="AS349" i="25"/>
  <c r="AR349" i="25"/>
  <c r="CM348" i="25"/>
  <c r="CL348" i="25"/>
  <c r="CK348" i="25"/>
  <c r="CJ348" i="25"/>
  <c r="CI348" i="25"/>
  <c r="CH348" i="25"/>
  <c r="CG348" i="25"/>
  <c r="BO348" i="25" s="1"/>
  <c r="CF348" i="25"/>
  <c r="CE348" i="25"/>
  <c r="CD348" i="25"/>
  <c r="CC348" i="25"/>
  <c r="CA348" i="25"/>
  <c r="BZ348" i="25"/>
  <c r="BY348" i="25"/>
  <c r="BS348" i="25" s="1"/>
  <c r="BX348" i="25"/>
  <c r="BU348" i="25" s="1"/>
  <c r="BR348" i="25"/>
  <c r="BW348" i="25" s="1"/>
  <c r="BN348" i="25"/>
  <c r="BH348" i="25"/>
  <c r="BF348" i="25"/>
  <c r="AX348" i="25"/>
  <c r="AY348" i="25" s="1"/>
  <c r="AU348" i="25"/>
  <c r="AT348" i="25"/>
  <c r="AS348" i="25"/>
  <c r="AR348" i="25"/>
  <c r="CM347" i="25"/>
  <c r="CL347" i="25"/>
  <c r="CK347" i="25"/>
  <c r="CJ347" i="25"/>
  <c r="CI347" i="25"/>
  <c r="CH347" i="25"/>
  <c r="CG347" i="25"/>
  <c r="BI347" i="25" s="1"/>
  <c r="BJ347" i="25" s="1"/>
  <c r="CF347" i="25"/>
  <c r="CE347" i="25"/>
  <c r="CD347" i="25"/>
  <c r="CC347" i="25"/>
  <c r="CA347" i="25"/>
  <c r="BZ347" i="25"/>
  <c r="BY347" i="25"/>
  <c r="BS347" i="25" s="1"/>
  <c r="BX347" i="25"/>
  <c r="BU347" i="25" s="1"/>
  <c r="BR347" i="25"/>
  <c r="BW347" i="25" s="1"/>
  <c r="BH347" i="25"/>
  <c r="BN347" i="25" s="1"/>
  <c r="BF347" i="25"/>
  <c r="AX347" i="25"/>
  <c r="AY347" i="25" s="1"/>
  <c r="AU347" i="25"/>
  <c r="AT347" i="25"/>
  <c r="AS347" i="25"/>
  <c r="AR347" i="25"/>
  <c r="CM346" i="25"/>
  <c r="CL346" i="25"/>
  <c r="CK346" i="25"/>
  <c r="CJ346" i="25"/>
  <c r="CI346" i="25"/>
  <c r="CH346" i="25"/>
  <c r="CG346" i="25"/>
  <c r="BO346" i="25" s="1"/>
  <c r="CF346" i="25"/>
  <c r="CE346" i="25"/>
  <c r="CD346" i="25"/>
  <c r="CC346" i="25"/>
  <c r="CA346" i="25"/>
  <c r="BZ346" i="25"/>
  <c r="BY346" i="25"/>
  <c r="BS346" i="25" s="1"/>
  <c r="BX346" i="25"/>
  <c r="BU346" i="25" s="1"/>
  <c r="BR346" i="25"/>
  <c r="BW346" i="25" s="1"/>
  <c r="BH346" i="25"/>
  <c r="BF346" i="25"/>
  <c r="AX346" i="25"/>
  <c r="AY346" i="25" s="1"/>
  <c r="AU346" i="25"/>
  <c r="AT346" i="25"/>
  <c r="AS346" i="25"/>
  <c r="AR346" i="25"/>
  <c r="CM345" i="25"/>
  <c r="CL345" i="25"/>
  <c r="CK345" i="25"/>
  <c r="CJ345" i="25"/>
  <c r="CI345" i="25"/>
  <c r="CH345" i="25"/>
  <c r="CG345" i="25"/>
  <c r="BO345" i="25" s="1"/>
  <c r="CF345" i="25"/>
  <c r="CE345" i="25"/>
  <c r="CD345" i="25"/>
  <c r="CC345" i="25"/>
  <c r="CA345" i="25"/>
  <c r="BZ345" i="25"/>
  <c r="BY345" i="25"/>
  <c r="BS345" i="25" s="1"/>
  <c r="BX345" i="25"/>
  <c r="BU345" i="25" s="1"/>
  <c r="BR345" i="25"/>
  <c r="BW345" i="25" s="1"/>
  <c r="BH345" i="25"/>
  <c r="BF345" i="25"/>
  <c r="AX345" i="25"/>
  <c r="AY345" i="25" s="1"/>
  <c r="AU345" i="25"/>
  <c r="AT345" i="25"/>
  <c r="AS345" i="25"/>
  <c r="AR345" i="25"/>
  <c r="CM344" i="25"/>
  <c r="CL344" i="25"/>
  <c r="CK344" i="25"/>
  <c r="CJ344" i="25"/>
  <c r="CI344" i="25"/>
  <c r="CH344" i="25"/>
  <c r="CG344" i="25"/>
  <c r="BO344" i="25" s="1"/>
  <c r="CF344" i="25"/>
  <c r="CE344" i="25"/>
  <c r="CD344" i="25"/>
  <c r="CC344" i="25"/>
  <c r="CA344" i="25"/>
  <c r="BZ344" i="25"/>
  <c r="BY344" i="25"/>
  <c r="BS344" i="25" s="1"/>
  <c r="BX344" i="25"/>
  <c r="BU344" i="25" s="1"/>
  <c r="BR344" i="25"/>
  <c r="BW344" i="25" s="1"/>
  <c r="BH344" i="25"/>
  <c r="BF344" i="25"/>
  <c r="AX344" i="25"/>
  <c r="AY344" i="25" s="1"/>
  <c r="AU344" i="25"/>
  <c r="AT344" i="25"/>
  <c r="AS344" i="25"/>
  <c r="AR344" i="25"/>
  <c r="CM343" i="25"/>
  <c r="CL343" i="25"/>
  <c r="CK343" i="25"/>
  <c r="CJ343" i="25"/>
  <c r="CI343" i="25"/>
  <c r="CH343" i="25"/>
  <c r="CG343" i="25"/>
  <c r="BT343" i="25" s="1"/>
  <c r="CF343" i="25"/>
  <c r="CE343" i="25"/>
  <c r="CD343" i="25"/>
  <c r="CC343" i="25"/>
  <c r="CA343" i="25"/>
  <c r="BZ343" i="25"/>
  <c r="BY343" i="25"/>
  <c r="BS343" i="25" s="1"/>
  <c r="BX343" i="25"/>
  <c r="BU343" i="25" s="1"/>
  <c r="BR343" i="25"/>
  <c r="BW343" i="25" s="1"/>
  <c r="BN343" i="25"/>
  <c r="BM343" i="25"/>
  <c r="BH343" i="25"/>
  <c r="BF343" i="25"/>
  <c r="AX343" i="25"/>
  <c r="AY343" i="25" s="1"/>
  <c r="AU343" i="25"/>
  <c r="AT343" i="25"/>
  <c r="AS343" i="25"/>
  <c r="AR343" i="25"/>
  <c r="CM342" i="25"/>
  <c r="CL342" i="25"/>
  <c r="CK342" i="25"/>
  <c r="CJ342" i="25"/>
  <c r="CI342" i="25"/>
  <c r="CH342" i="25"/>
  <c r="CG342" i="25"/>
  <c r="BT342" i="25" s="1"/>
  <c r="CF342" i="25"/>
  <c r="CE342" i="25"/>
  <c r="CD342" i="25"/>
  <c r="CC342" i="25"/>
  <c r="CA342" i="25"/>
  <c r="BZ342" i="25"/>
  <c r="BY342" i="25"/>
  <c r="BS342" i="25" s="1"/>
  <c r="BX342" i="25"/>
  <c r="BU342" i="25" s="1"/>
  <c r="BR342" i="25"/>
  <c r="BW342" i="25" s="1"/>
  <c r="BN342" i="25"/>
  <c r="BI342" i="25"/>
  <c r="BJ342" i="25" s="1"/>
  <c r="BH342" i="25"/>
  <c r="BF342" i="25"/>
  <c r="AX342" i="25"/>
  <c r="AU342" i="25"/>
  <c r="AT342" i="25"/>
  <c r="AS342" i="25"/>
  <c r="AR342" i="25"/>
  <c r="BG342" i="25" s="1"/>
  <c r="CM341" i="25"/>
  <c r="CL341" i="25"/>
  <c r="CK341" i="25"/>
  <c r="CJ341" i="25"/>
  <c r="CI341" i="25"/>
  <c r="CH341" i="25"/>
  <c r="CG341" i="25"/>
  <c r="BT341" i="25" s="1"/>
  <c r="CF341" i="25"/>
  <c r="CE341" i="25"/>
  <c r="CD341" i="25"/>
  <c r="CC341" i="25"/>
  <c r="BZ341" i="25"/>
  <c r="BX341" i="25"/>
  <c r="BU341" i="25" s="1"/>
  <c r="BR341" i="25"/>
  <c r="BW341" i="25" s="1"/>
  <c r="BO341" i="25"/>
  <c r="BI341" i="25"/>
  <c r="BJ341" i="25" s="1"/>
  <c r="BH341" i="25"/>
  <c r="BF341" i="25"/>
  <c r="AX341" i="25"/>
  <c r="AU341" i="25"/>
  <c r="AT341" i="25"/>
  <c r="AS341" i="25"/>
  <c r="AR341" i="25"/>
  <c r="AO341" i="25"/>
  <c r="BY341" i="25" s="1"/>
  <c r="BS341" i="25" s="1"/>
  <c r="CM340" i="25"/>
  <c r="CL340" i="25"/>
  <c r="CK340" i="25"/>
  <c r="CJ340" i="25"/>
  <c r="CI340" i="25"/>
  <c r="CH340" i="25"/>
  <c r="CG340" i="25"/>
  <c r="BI340" i="25" s="1"/>
  <c r="BJ340" i="25" s="1"/>
  <c r="CF340" i="25"/>
  <c r="CE340" i="25"/>
  <c r="CD340" i="25"/>
  <c r="CC340" i="25"/>
  <c r="CA340" i="25"/>
  <c r="BZ340" i="25"/>
  <c r="BY340" i="25"/>
  <c r="BX340" i="25"/>
  <c r="BU340" i="25" s="1"/>
  <c r="BS340" i="25"/>
  <c r="BR340" i="25"/>
  <c r="BW340" i="25" s="1"/>
  <c r="BH340" i="25"/>
  <c r="BN340" i="25" s="1"/>
  <c r="BF340" i="25"/>
  <c r="AX340" i="25"/>
  <c r="AY340" i="25" s="1"/>
  <c r="AU340" i="25"/>
  <c r="AT340" i="25"/>
  <c r="AS340" i="25"/>
  <c r="AR340" i="25"/>
  <c r="CM339" i="25"/>
  <c r="CL339" i="25"/>
  <c r="CK339" i="25"/>
  <c r="CJ339" i="25"/>
  <c r="CI339" i="25"/>
  <c r="CH339" i="25"/>
  <c r="CG339" i="25"/>
  <c r="BM339" i="25" s="1"/>
  <c r="CF339" i="25"/>
  <c r="CE339" i="25"/>
  <c r="CD339" i="25"/>
  <c r="CC339" i="25"/>
  <c r="CA339" i="25"/>
  <c r="CB339" i="25" s="1"/>
  <c r="BZ339" i="25"/>
  <c r="BY339" i="25"/>
  <c r="BS339" i="25" s="1"/>
  <c r="BX339" i="25"/>
  <c r="BU339" i="25" s="1"/>
  <c r="BW339" i="25"/>
  <c r="BR339" i="25"/>
  <c r="BN339" i="25"/>
  <c r="BH339" i="25"/>
  <c r="BF339" i="25"/>
  <c r="AX339" i="25"/>
  <c r="AY339" i="25" s="1"/>
  <c r="AU339" i="25"/>
  <c r="AT339" i="25"/>
  <c r="AS339" i="25"/>
  <c r="AR339" i="25"/>
  <c r="CM338" i="25"/>
  <c r="CL338" i="25"/>
  <c r="CK338" i="25"/>
  <c r="CJ338" i="25"/>
  <c r="CI338" i="25"/>
  <c r="CH338" i="25"/>
  <c r="CG338" i="25"/>
  <c r="BT338" i="25" s="1"/>
  <c r="CF338" i="25"/>
  <c r="CE338" i="25"/>
  <c r="CD338" i="25"/>
  <c r="CC338" i="25"/>
  <c r="CA338" i="25"/>
  <c r="BZ338" i="25"/>
  <c r="BY338" i="25"/>
  <c r="BS338" i="25" s="1"/>
  <c r="BX338" i="25"/>
  <c r="BU338" i="25" s="1"/>
  <c r="BR338" i="25"/>
  <c r="BW338" i="25" s="1"/>
  <c r="BH338" i="25"/>
  <c r="BN338" i="25" s="1"/>
  <c r="BF338" i="25"/>
  <c r="AX338" i="25"/>
  <c r="AY338" i="25" s="1"/>
  <c r="AU338" i="25"/>
  <c r="AT338" i="25"/>
  <c r="AS338" i="25"/>
  <c r="AR338" i="25"/>
  <c r="CM337" i="25"/>
  <c r="CL337" i="25"/>
  <c r="CK337" i="25"/>
  <c r="CJ337" i="25"/>
  <c r="CI337" i="25"/>
  <c r="CH337" i="25"/>
  <c r="CG337" i="25"/>
  <c r="BI337" i="25" s="1"/>
  <c r="BJ337" i="25" s="1"/>
  <c r="CF337" i="25"/>
  <c r="CE337" i="25"/>
  <c r="CD337" i="25"/>
  <c r="CC337" i="25"/>
  <c r="CA337" i="25"/>
  <c r="BZ337" i="25"/>
  <c r="BY337" i="25"/>
  <c r="BS337" i="25" s="1"/>
  <c r="BX337" i="25"/>
  <c r="BU337" i="25" s="1"/>
  <c r="BT337" i="25"/>
  <c r="BR337" i="25"/>
  <c r="BW337" i="25" s="1"/>
  <c r="BH337" i="25"/>
  <c r="BN337" i="25" s="1"/>
  <c r="BF337" i="25"/>
  <c r="AX337" i="25"/>
  <c r="AU337" i="25"/>
  <c r="AT337" i="25"/>
  <c r="AS337" i="25"/>
  <c r="AR337" i="25"/>
  <c r="AB337" i="25"/>
  <c r="CM336" i="25"/>
  <c r="CL336" i="25"/>
  <c r="CK336" i="25"/>
  <c r="CJ336" i="25"/>
  <c r="CI336" i="25"/>
  <c r="CH336" i="25"/>
  <c r="CG336" i="25"/>
  <c r="BI336" i="25" s="1"/>
  <c r="BJ336" i="25" s="1"/>
  <c r="CF336" i="25"/>
  <c r="CE336" i="25"/>
  <c r="CD336" i="25"/>
  <c r="CC336" i="25"/>
  <c r="CA336" i="25"/>
  <c r="BZ336" i="25"/>
  <c r="BY336" i="25"/>
  <c r="BS336" i="25" s="1"/>
  <c r="BX336" i="25"/>
  <c r="BU336" i="25" s="1"/>
  <c r="BR336" i="25"/>
  <c r="BW336" i="25" s="1"/>
  <c r="BH336" i="25"/>
  <c r="BF336" i="25"/>
  <c r="AX336" i="25"/>
  <c r="AY336" i="25" s="1"/>
  <c r="AU336" i="25"/>
  <c r="AT336" i="25"/>
  <c r="AV336" i="25" s="1"/>
  <c r="AW336" i="25" s="1"/>
  <c r="AS336" i="25"/>
  <c r="AR336" i="25"/>
  <c r="CM335" i="25"/>
  <c r="CL335" i="25"/>
  <c r="CK335" i="25"/>
  <c r="CJ335" i="25"/>
  <c r="CI335" i="25"/>
  <c r="CH335" i="25"/>
  <c r="CG335" i="25"/>
  <c r="BT335" i="25" s="1"/>
  <c r="CF335" i="25"/>
  <c r="CE335" i="25"/>
  <c r="CD335" i="25"/>
  <c r="CC335" i="25"/>
  <c r="CA335" i="25"/>
  <c r="BZ335" i="25"/>
  <c r="BY335" i="25"/>
  <c r="BS335" i="25" s="1"/>
  <c r="BX335" i="25"/>
  <c r="BU335" i="25" s="1"/>
  <c r="BR335" i="25"/>
  <c r="BW335" i="25" s="1"/>
  <c r="BH335" i="25"/>
  <c r="BF335" i="25"/>
  <c r="AX335" i="25"/>
  <c r="AY335" i="25" s="1"/>
  <c r="AU335" i="25"/>
  <c r="AT335" i="25"/>
  <c r="AS335" i="25"/>
  <c r="AR335" i="25"/>
  <c r="CM334" i="25"/>
  <c r="CL334" i="25"/>
  <c r="CK334" i="25"/>
  <c r="CJ334" i="25"/>
  <c r="CI334" i="25"/>
  <c r="CH334" i="25"/>
  <c r="CG334" i="25"/>
  <c r="BO334" i="25" s="1"/>
  <c r="CF334" i="25"/>
  <c r="CE334" i="25"/>
  <c r="CD334" i="25"/>
  <c r="CC334" i="25"/>
  <c r="CA334" i="25"/>
  <c r="BZ334" i="25"/>
  <c r="BY334" i="25"/>
  <c r="BS334" i="25" s="1"/>
  <c r="BX334" i="25"/>
  <c r="BU334" i="25" s="1"/>
  <c r="BR334" i="25"/>
  <c r="BW334" i="25" s="1"/>
  <c r="BH334" i="25"/>
  <c r="BF334" i="25"/>
  <c r="AX334" i="25"/>
  <c r="AY334" i="25" s="1"/>
  <c r="AU334" i="25"/>
  <c r="AT334" i="25"/>
  <c r="AS334" i="25"/>
  <c r="AR334" i="25"/>
  <c r="CM333" i="25"/>
  <c r="CL333" i="25"/>
  <c r="CK333" i="25"/>
  <c r="CJ333" i="25"/>
  <c r="CI333" i="25"/>
  <c r="CH333" i="25"/>
  <c r="CG333" i="25"/>
  <c r="BO333" i="25" s="1"/>
  <c r="CF333" i="25"/>
  <c r="CE333" i="25"/>
  <c r="CD333" i="25"/>
  <c r="CC333" i="25"/>
  <c r="CA333" i="25"/>
  <c r="BZ333" i="25"/>
  <c r="BY333" i="25"/>
  <c r="BS333" i="25" s="1"/>
  <c r="BX333" i="25"/>
  <c r="BU333" i="25" s="1"/>
  <c r="BR333" i="25"/>
  <c r="BW333" i="25" s="1"/>
  <c r="BN333" i="25"/>
  <c r="BM333" i="25"/>
  <c r="BH333" i="25"/>
  <c r="BF333" i="25"/>
  <c r="AX333" i="25"/>
  <c r="AU333" i="25"/>
  <c r="AT333" i="25"/>
  <c r="AS333" i="25"/>
  <c r="AR333" i="25"/>
  <c r="CM332" i="25"/>
  <c r="CL332" i="25"/>
  <c r="CK332" i="25"/>
  <c r="CJ332" i="25"/>
  <c r="CI332" i="25"/>
  <c r="CH332" i="25"/>
  <c r="CG332" i="25"/>
  <c r="BM332" i="25" s="1"/>
  <c r="CF332" i="25"/>
  <c r="CE332" i="25"/>
  <c r="CD332" i="25"/>
  <c r="CC332" i="25"/>
  <c r="CA332" i="25"/>
  <c r="BZ332" i="25"/>
  <c r="BY332" i="25"/>
  <c r="BS332" i="25" s="1"/>
  <c r="BX332" i="25"/>
  <c r="BU332" i="25" s="1"/>
  <c r="BT332" i="25"/>
  <c r="BR332" i="25"/>
  <c r="BW332" i="25" s="1"/>
  <c r="BN332" i="25"/>
  <c r="BH332" i="25"/>
  <c r="BF332" i="25"/>
  <c r="AX332" i="25"/>
  <c r="AY332" i="25" s="1"/>
  <c r="AU332" i="25"/>
  <c r="AT332" i="25"/>
  <c r="AS332" i="25"/>
  <c r="AR332" i="25"/>
  <c r="CM331" i="25"/>
  <c r="CL331" i="25"/>
  <c r="CK331" i="25"/>
  <c r="CJ331" i="25"/>
  <c r="CI331" i="25"/>
  <c r="CH331" i="25"/>
  <c r="CG331" i="25"/>
  <c r="BO331" i="25" s="1"/>
  <c r="CF331" i="25"/>
  <c r="CE331" i="25"/>
  <c r="CD331" i="25"/>
  <c r="CC331" i="25"/>
  <c r="CA331" i="25"/>
  <c r="BZ331" i="25"/>
  <c r="CB331" i="25" s="1"/>
  <c r="BY331" i="25"/>
  <c r="BS331" i="25" s="1"/>
  <c r="BX331" i="25"/>
  <c r="BU331" i="25" s="1"/>
  <c r="BR331" i="25"/>
  <c r="BW331" i="25" s="1"/>
  <c r="BN331" i="25"/>
  <c r="BH331" i="25"/>
  <c r="BF331" i="25"/>
  <c r="AX331" i="25"/>
  <c r="AY331" i="25" s="1"/>
  <c r="AU331" i="25"/>
  <c r="AT331" i="25"/>
  <c r="AS331" i="25"/>
  <c r="AR331" i="25"/>
  <c r="CM330" i="25"/>
  <c r="CL330" i="25"/>
  <c r="CK330" i="25"/>
  <c r="CJ330" i="25"/>
  <c r="CI330" i="25"/>
  <c r="CH330" i="25"/>
  <c r="CG330" i="25"/>
  <c r="BO330" i="25" s="1"/>
  <c r="CF330" i="25"/>
  <c r="CE330" i="25"/>
  <c r="CD330" i="25"/>
  <c r="CC330" i="25"/>
  <c r="CA330" i="25"/>
  <c r="BZ330" i="25"/>
  <c r="CB330" i="25" s="1"/>
  <c r="BY330" i="25"/>
  <c r="BS330" i="25" s="1"/>
  <c r="BX330" i="25"/>
  <c r="BU330" i="25" s="1"/>
  <c r="BR330" i="25"/>
  <c r="BW330" i="25" s="1"/>
  <c r="BN330" i="25"/>
  <c r="BH330" i="25"/>
  <c r="BF330" i="25"/>
  <c r="AX330" i="25"/>
  <c r="AY330" i="25" s="1"/>
  <c r="AU330" i="25"/>
  <c r="AT330" i="25"/>
  <c r="AS330" i="25"/>
  <c r="AR330" i="25"/>
  <c r="CM329" i="25"/>
  <c r="CL329" i="25"/>
  <c r="CK329" i="25"/>
  <c r="CJ329" i="25"/>
  <c r="CI329" i="25"/>
  <c r="CH329" i="25"/>
  <c r="CG329" i="25"/>
  <c r="BT329" i="25" s="1"/>
  <c r="CF329" i="25"/>
  <c r="CE329" i="25"/>
  <c r="CD329" i="25"/>
  <c r="CC329" i="25"/>
  <c r="CA329" i="25"/>
  <c r="BZ329" i="25"/>
  <c r="BY329" i="25"/>
  <c r="BS329" i="25" s="1"/>
  <c r="BX329" i="25"/>
  <c r="BU329" i="25" s="1"/>
  <c r="BR329" i="25"/>
  <c r="BW329" i="25" s="1"/>
  <c r="BN329" i="25"/>
  <c r="BI329" i="25"/>
  <c r="BJ329" i="25" s="1"/>
  <c r="BH329" i="25"/>
  <c r="BF329" i="25"/>
  <c r="AX329" i="25"/>
  <c r="AY329" i="25" s="1"/>
  <c r="AU329" i="25"/>
  <c r="AT329" i="25"/>
  <c r="AS329" i="25"/>
  <c r="AR329" i="25"/>
  <c r="BG329" i="25" s="1"/>
  <c r="CM328" i="25"/>
  <c r="CL328" i="25"/>
  <c r="CK328" i="25"/>
  <c r="CJ328" i="25"/>
  <c r="CI328" i="25"/>
  <c r="CH328" i="25"/>
  <c r="CG328" i="25"/>
  <c r="BM328" i="25" s="1"/>
  <c r="CF328" i="25"/>
  <c r="CE328" i="25"/>
  <c r="CD328" i="25"/>
  <c r="CC328" i="25"/>
  <c r="CA328" i="25"/>
  <c r="BZ328" i="25"/>
  <c r="BY328" i="25"/>
  <c r="BS328" i="25" s="1"/>
  <c r="BX328" i="25"/>
  <c r="BU328" i="25" s="1"/>
  <c r="BT328" i="25"/>
  <c r="BR328" i="25"/>
  <c r="BW328" i="25" s="1"/>
  <c r="BO328" i="25"/>
  <c r="BN328" i="25"/>
  <c r="BI328" i="25"/>
  <c r="BJ328" i="25" s="1"/>
  <c r="BH328" i="25"/>
  <c r="BF328" i="25"/>
  <c r="AX328" i="25"/>
  <c r="AY328" i="25" s="1"/>
  <c r="AU328" i="25"/>
  <c r="AV328" i="25" s="1"/>
  <c r="AW328" i="25" s="1"/>
  <c r="AT328" i="25"/>
  <c r="AS328" i="25"/>
  <c r="AR328" i="25"/>
  <c r="CM327" i="25"/>
  <c r="CL327" i="25"/>
  <c r="CK327" i="25"/>
  <c r="CJ327" i="25"/>
  <c r="CI327" i="25"/>
  <c r="CH327" i="25"/>
  <c r="CG327" i="25"/>
  <c r="CF327" i="25"/>
  <c r="CE327" i="25"/>
  <c r="CD327" i="25"/>
  <c r="CC327" i="25"/>
  <c r="CA327" i="25"/>
  <c r="BZ327" i="25"/>
  <c r="CB327" i="25" s="1"/>
  <c r="BY327" i="25"/>
  <c r="BS327" i="25" s="1"/>
  <c r="BX327" i="25"/>
  <c r="BU327" i="25" s="1"/>
  <c r="BR327" i="25"/>
  <c r="BW327" i="25" s="1"/>
  <c r="BN327" i="25"/>
  <c r="BH327" i="25"/>
  <c r="BF327" i="25"/>
  <c r="AX327" i="25"/>
  <c r="AY327" i="25" s="1"/>
  <c r="AU327" i="25"/>
  <c r="AT327" i="25"/>
  <c r="AS327" i="25"/>
  <c r="AR327" i="25"/>
  <c r="CM326" i="25"/>
  <c r="CL326" i="25"/>
  <c r="CK326" i="25"/>
  <c r="CJ326" i="25"/>
  <c r="CI326" i="25"/>
  <c r="CH326" i="25"/>
  <c r="CG326" i="25"/>
  <c r="BO326" i="25" s="1"/>
  <c r="CF326" i="25"/>
  <c r="CE326" i="25"/>
  <c r="CD326" i="25"/>
  <c r="CC326" i="25"/>
  <c r="CA326" i="25"/>
  <c r="BZ326" i="25"/>
  <c r="CB326" i="25" s="1"/>
  <c r="BY326" i="25"/>
  <c r="BS326" i="25" s="1"/>
  <c r="BX326" i="25"/>
  <c r="BU326" i="25" s="1"/>
  <c r="BR326" i="25"/>
  <c r="BW326" i="25" s="1"/>
  <c r="BN326" i="25"/>
  <c r="BM326" i="25"/>
  <c r="BH326" i="25"/>
  <c r="BF326" i="25"/>
  <c r="AX326" i="25"/>
  <c r="AY326" i="25" s="1"/>
  <c r="AU326" i="25"/>
  <c r="AT326" i="25"/>
  <c r="AS326" i="25"/>
  <c r="AR326" i="25"/>
  <c r="CM325" i="25"/>
  <c r="CL325" i="25"/>
  <c r="CK325" i="25"/>
  <c r="CJ325" i="25"/>
  <c r="CI325" i="25"/>
  <c r="CH325" i="25"/>
  <c r="CG325" i="25"/>
  <c r="BT325" i="25" s="1"/>
  <c r="CF325" i="25"/>
  <c r="CE325" i="25"/>
  <c r="CD325" i="25"/>
  <c r="CC325" i="25"/>
  <c r="CA325" i="25"/>
  <c r="BZ325" i="25"/>
  <c r="BY325" i="25"/>
  <c r="BS325" i="25" s="1"/>
  <c r="BX325" i="25"/>
  <c r="BU325" i="25" s="1"/>
  <c r="BR325" i="25"/>
  <c r="BW325" i="25" s="1"/>
  <c r="BN325" i="25"/>
  <c r="BH325" i="25"/>
  <c r="BF325" i="25"/>
  <c r="AX325" i="25"/>
  <c r="AY325" i="25" s="1"/>
  <c r="AU325" i="25"/>
  <c r="AT325" i="25"/>
  <c r="AS325" i="25"/>
  <c r="AR325" i="25"/>
  <c r="CM324" i="25"/>
  <c r="CL324" i="25"/>
  <c r="CK324" i="25"/>
  <c r="CJ324" i="25"/>
  <c r="CI324" i="25"/>
  <c r="CH324" i="25"/>
  <c r="CG324" i="25"/>
  <c r="BM324" i="25" s="1"/>
  <c r="CF324" i="25"/>
  <c r="CE324" i="25"/>
  <c r="CD324" i="25"/>
  <c r="CC324" i="25"/>
  <c r="CA324" i="25"/>
  <c r="BZ324" i="25"/>
  <c r="BY324" i="25"/>
  <c r="BS324" i="25" s="1"/>
  <c r="BX324" i="25"/>
  <c r="BU324" i="25" s="1"/>
  <c r="BR324" i="25"/>
  <c r="BW324" i="25" s="1"/>
  <c r="BN324" i="25"/>
  <c r="BH324" i="25"/>
  <c r="BF324" i="25"/>
  <c r="AX324" i="25"/>
  <c r="AY324" i="25" s="1"/>
  <c r="AU324" i="25"/>
  <c r="AT324" i="25"/>
  <c r="AS324" i="25"/>
  <c r="AR324" i="25"/>
  <c r="CM323" i="25"/>
  <c r="CL323" i="25"/>
  <c r="CK323" i="25"/>
  <c r="CJ323" i="25"/>
  <c r="CI323" i="25"/>
  <c r="CH323" i="25"/>
  <c r="CG323" i="25"/>
  <c r="CF323" i="25"/>
  <c r="CE323" i="25"/>
  <c r="CD323" i="25"/>
  <c r="CC323" i="25"/>
  <c r="CA323" i="25"/>
  <c r="BZ323" i="25"/>
  <c r="BY323" i="25"/>
  <c r="BS323" i="25" s="1"/>
  <c r="BX323" i="25"/>
  <c r="BU323" i="25" s="1"/>
  <c r="BR323" i="25"/>
  <c r="BW323" i="25" s="1"/>
  <c r="BH323" i="25"/>
  <c r="BF323" i="25"/>
  <c r="AX323" i="25"/>
  <c r="AY323" i="25" s="1"/>
  <c r="AU323" i="25"/>
  <c r="AT323" i="25"/>
  <c r="AS323" i="25"/>
  <c r="AR323" i="25"/>
  <c r="CM322" i="25"/>
  <c r="CL322" i="25"/>
  <c r="CK322" i="25"/>
  <c r="CJ322" i="25"/>
  <c r="CI322" i="25"/>
  <c r="CH322" i="25"/>
  <c r="CG322" i="25"/>
  <c r="BI322" i="25" s="1"/>
  <c r="BJ322" i="25" s="1"/>
  <c r="CF322" i="25"/>
  <c r="CE322" i="25"/>
  <c r="CD322" i="25"/>
  <c r="CC322" i="25"/>
  <c r="CA322" i="25"/>
  <c r="BZ322" i="25"/>
  <c r="BY322" i="25"/>
  <c r="BS322" i="25" s="1"/>
  <c r="BX322" i="25"/>
  <c r="BU322" i="25" s="1"/>
  <c r="BR322" i="25"/>
  <c r="BW322" i="25" s="1"/>
  <c r="BN322" i="25"/>
  <c r="BM322" i="25"/>
  <c r="BH322" i="25"/>
  <c r="BF322" i="25"/>
  <c r="AX322" i="25"/>
  <c r="AY322" i="25" s="1"/>
  <c r="AU322" i="25"/>
  <c r="AT322" i="25"/>
  <c r="AS322" i="25"/>
  <c r="AR322" i="25"/>
  <c r="CM321" i="25"/>
  <c r="CL321" i="25"/>
  <c r="CK321" i="25"/>
  <c r="CJ321" i="25"/>
  <c r="CI321" i="25"/>
  <c r="CH321" i="25"/>
  <c r="CG321" i="25"/>
  <c r="CF321" i="25"/>
  <c r="CE321" i="25"/>
  <c r="CD321" i="25"/>
  <c r="CC321" i="25"/>
  <c r="CA321" i="25"/>
  <c r="BZ321" i="25"/>
  <c r="BY321" i="25"/>
  <c r="BS321" i="25" s="1"/>
  <c r="BX321" i="25"/>
  <c r="BU321" i="25" s="1"/>
  <c r="BR321" i="25"/>
  <c r="BW321" i="25" s="1"/>
  <c r="BN321" i="25"/>
  <c r="BH321" i="25"/>
  <c r="BF321" i="25"/>
  <c r="AX321" i="25"/>
  <c r="AY321" i="25" s="1"/>
  <c r="AU321" i="25"/>
  <c r="AT321" i="25"/>
  <c r="AS321" i="25"/>
  <c r="AR321" i="25"/>
  <c r="CM320" i="25"/>
  <c r="CL320" i="25"/>
  <c r="CK320" i="25"/>
  <c r="CJ320" i="25"/>
  <c r="CI320" i="25"/>
  <c r="CH320" i="25"/>
  <c r="CG320" i="25"/>
  <c r="BM320" i="25" s="1"/>
  <c r="CF320" i="25"/>
  <c r="CE320" i="25"/>
  <c r="CD320" i="25"/>
  <c r="CC320" i="25"/>
  <c r="CA320" i="25"/>
  <c r="BZ320" i="25"/>
  <c r="BY320" i="25"/>
  <c r="BS320" i="25" s="1"/>
  <c r="BX320" i="25"/>
  <c r="BU320" i="25" s="1"/>
  <c r="BR320" i="25"/>
  <c r="BW320" i="25" s="1"/>
  <c r="BN320" i="25"/>
  <c r="BH320" i="25"/>
  <c r="BF320" i="25"/>
  <c r="AX320" i="25"/>
  <c r="AU320" i="25"/>
  <c r="AT320" i="25"/>
  <c r="AS320" i="25"/>
  <c r="AR320" i="25"/>
  <c r="CM319" i="25"/>
  <c r="CL319" i="25"/>
  <c r="CK319" i="25"/>
  <c r="CJ319" i="25"/>
  <c r="CI319" i="25"/>
  <c r="CH319" i="25"/>
  <c r="CG319" i="25"/>
  <c r="BM319" i="25" s="1"/>
  <c r="CF319" i="25"/>
  <c r="CE319" i="25"/>
  <c r="CD319" i="25"/>
  <c r="CC319" i="25"/>
  <c r="CA319" i="25"/>
  <c r="BZ319" i="25"/>
  <c r="BY319" i="25"/>
  <c r="BS319" i="25" s="1"/>
  <c r="BX319" i="25"/>
  <c r="BU319" i="25" s="1"/>
  <c r="BR319" i="25"/>
  <c r="BW319" i="25" s="1"/>
  <c r="BN319" i="25"/>
  <c r="BI319" i="25"/>
  <c r="BJ319" i="25" s="1"/>
  <c r="BH319" i="25"/>
  <c r="BF319" i="25"/>
  <c r="AX319" i="25"/>
  <c r="AU319" i="25"/>
  <c r="AV319" i="25" s="1"/>
  <c r="AW319" i="25" s="1"/>
  <c r="AT319" i="25"/>
  <c r="AS319" i="25"/>
  <c r="AR319" i="25"/>
  <c r="CM318" i="25"/>
  <c r="CL318" i="25"/>
  <c r="CK318" i="25"/>
  <c r="CJ318" i="25"/>
  <c r="CI318" i="25"/>
  <c r="CH318" i="25"/>
  <c r="CG318" i="25"/>
  <c r="CF318" i="25"/>
  <c r="CE318" i="25"/>
  <c r="CD318" i="25"/>
  <c r="CC318" i="25"/>
  <c r="CA318" i="25"/>
  <c r="BZ318" i="25"/>
  <c r="BY318" i="25"/>
  <c r="BS318" i="25" s="1"/>
  <c r="BX318" i="25"/>
  <c r="BU318" i="25" s="1"/>
  <c r="BR318" i="25"/>
  <c r="BW318" i="25" s="1"/>
  <c r="BH318" i="25"/>
  <c r="BN318" i="25" s="1"/>
  <c r="BF318" i="25"/>
  <c r="AX318" i="25"/>
  <c r="AU318" i="25"/>
  <c r="AT318" i="25"/>
  <c r="AS318" i="25"/>
  <c r="AR318" i="25"/>
  <c r="CM317" i="25"/>
  <c r="CL317" i="25"/>
  <c r="CK317" i="25"/>
  <c r="CJ317" i="25"/>
  <c r="CI317" i="25"/>
  <c r="CH317" i="25"/>
  <c r="CG317" i="25"/>
  <c r="BT317" i="25" s="1"/>
  <c r="CF317" i="25"/>
  <c r="CE317" i="25"/>
  <c r="CD317" i="25"/>
  <c r="CC317" i="25"/>
  <c r="CA317" i="25"/>
  <c r="BZ317" i="25"/>
  <c r="BY317" i="25"/>
  <c r="BS317" i="25" s="1"/>
  <c r="BX317" i="25"/>
  <c r="BU317" i="25" s="1"/>
  <c r="BR317" i="25"/>
  <c r="BW317" i="25" s="1"/>
  <c r="BN317" i="25"/>
  <c r="BH317" i="25"/>
  <c r="BF317" i="25"/>
  <c r="AX317" i="25"/>
  <c r="AU317" i="25"/>
  <c r="AT317" i="25"/>
  <c r="AS317" i="25"/>
  <c r="AR317" i="25"/>
  <c r="CM316" i="25"/>
  <c r="CL316" i="25"/>
  <c r="CK316" i="25"/>
  <c r="CJ316" i="25"/>
  <c r="CI316" i="25"/>
  <c r="CH316" i="25"/>
  <c r="CG316" i="25"/>
  <c r="BT316" i="25" s="1"/>
  <c r="CF316" i="25"/>
  <c r="CE316" i="25"/>
  <c r="CD316" i="25"/>
  <c r="CC316" i="25"/>
  <c r="CA316" i="25"/>
  <c r="BZ316" i="25"/>
  <c r="BY316" i="25"/>
  <c r="BS316" i="25" s="1"/>
  <c r="BX316" i="25"/>
  <c r="BU316" i="25" s="1"/>
  <c r="BR316" i="25"/>
  <c r="BW316" i="25" s="1"/>
  <c r="BH316" i="25"/>
  <c r="BF316" i="25"/>
  <c r="AX316" i="25"/>
  <c r="AU316" i="25"/>
  <c r="AT316" i="25"/>
  <c r="AS316" i="25"/>
  <c r="AR316" i="25"/>
  <c r="CM315" i="25"/>
  <c r="CL315" i="25"/>
  <c r="CK315" i="25"/>
  <c r="CJ315" i="25"/>
  <c r="CI315" i="25"/>
  <c r="CH315" i="25"/>
  <c r="CG315" i="25"/>
  <c r="BM315" i="25" s="1"/>
  <c r="CF315" i="25"/>
  <c r="CE315" i="25"/>
  <c r="CD315" i="25"/>
  <c r="CC315" i="25"/>
  <c r="CA315" i="25"/>
  <c r="BZ315" i="25"/>
  <c r="BY315" i="25"/>
  <c r="BS315" i="25" s="1"/>
  <c r="BX315" i="25"/>
  <c r="BU315" i="25" s="1"/>
  <c r="BT315" i="25"/>
  <c r="BR315" i="25"/>
  <c r="BW315" i="25" s="1"/>
  <c r="BN315" i="25"/>
  <c r="BH315" i="25"/>
  <c r="BF315" i="25"/>
  <c r="AX315" i="25"/>
  <c r="AU315" i="25"/>
  <c r="AV315" i="25" s="1"/>
  <c r="AW315" i="25" s="1"/>
  <c r="AT315" i="25"/>
  <c r="AS315" i="25"/>
  <c r="AR315" i="25"/>
  <c r="BG315" i="25" s="1"/>
  <c r="CM314" i="25"/>
  <c r="CL314" i="25"/>
  <c r="CK314" i="25"/>
  <c r="CJ314" i="25"/>
  <c r="CI314" i="25"/>
  <c r="CH314" i="25"/>
  <c r="CG314" i="25"/>
  <c r="BO314" i="25" s="1"/>
  <c r="CF314" i="25"/>
  <c r="CE314" i="25"/>
  <c r="CD314" i="25"/>
  <c r="CC314" i="25"/>
  <c r="CA314" i="25"/>
  <c r="BZ314" i="25"/>
  <c r="BY314" i="25"/>
  <c r="BS314" i="25" s="1"/>
  <c r="BX314" i="25"/>
  <c r="BU314" i="25" s="1"/>
  <c r="BR314" i="25"/>
  <c r="BW314" i="25" s="1"/>
  <c r="BI314" i="25"/>
  <c r="BJ314" i="25" s="1"/>
  <c r="BH314" i="25"/>
  <c r="BF314" i="25"/>
  <c r="AX314" i="25"/>
  <c r="AU314" i="25"/>
  <c r="AT314" i="25"/>
  <c r="AS314" i="25"/>
  <c r="AR314" i="25"/>
  <c r="CM313" i="25"/>
  <c r="CL313" i="25"/>
  <c r="CK313" i="25"/>
  <c r="CJ313" i="25"/>
  <c r="CI313" i="25"/>
  <c r="CH313" i="25"/>
  <c r="CG313" i="25"/>
  <c r="BM313" i="25" s="1"/>
  <c r="CF313" i="25"/>
  <c r="CE313" i="25"/>
  <c r="CD313" i="25"/>
  <c r="CC313" i="25"/>
  <c r="CA313" i="25"/>
  <c r="BZ313" i="25"/>
  <c r="BY313" i="25"/>
  <c r="BS313" i="25" s="1"/>
  <c r="BX313" i="25"/>
  <c r="BU313" i="25" s="1"/>
  <c r="BT313" i="25"/>
  <c r="BR313" i="25"/>
  <c r="BW313" i="25" s="1"/>
  <c r="BN313" i="25"/>
  <c r="BH313" i="25"/>
  <c r="BF313" i="25"/>
  <c r="AX313" i="25"/>
  <c r="AU313" i="25"/>
  <c r="AT313" i="25"/>
  <c r="AS313" i="25"/>
  <c r="AR313" i="25"/>
  <c r="CM312" i="25"/>
  <c r="CL312" i="25"/>
  <c r="CK312" i="25"/>
  <c r="CJ312" i="25"/>
  <c r="CI312" i="25"/>
  <c r="CH312" i="25"/>
  <c r="CG312" i="25"/>
  <c r="BM312" i="25" s="1"/>
  <c r="CF312" i="25"/>
  <c r="CE312" i="25"/>
  <c r="CD312" i="25"/>
  <c r="CA312" i="25"/>
  <c r="BZ312" i="25"/>
  <c r="BT312" i="25"/>
  <c r="BR312" i="25"/>
  <c r="BW312" i="25" s="1"/>
  <c r="BO312" i="25"/>
  <c r="BN312" i="25"/>
  <c r="BH312" i="25"/>
  <c r="BL312" i="25" s="1"/>
  <c r="BK312" i="25" s="1"/>
  <c r="BF312" i="25"/>
  <c r="AX312" i="25"/>
  <c r="AU312" i="25"/>
  <c r="AV312" i="25" s="1"/>
  <c r="AW312" i="25" s="1"/>
  <c r="AT312" i="25"/>
  <c r="AS312" i="25"/>
  <c r="AR312" i="25"/>
  <c r="F312" i="25"/>
  <c r="CM311" i="25"/>
  <c r="CL311" i="25"/>
  <c r="CK311" i="25"/>
  <c r="CJ311" i="25"/>
  <c r="CI311" i="25"/>
  <c r="CH311" i="25"/>
  <c r="CG311" i="25"/>
  <c r="BO311" i="25" s="1"/>
  <c r="CF311" i="25"/>
  <c r="CE311" i="25"/>
  <c r="CD311" i="25"/>
  <c r="CC311" i="25"/>
  <c r="CA311" i="25"/>
  <c r="BZ311" i="25"/>
  <c r="BY311" i="25"/>
  <c r="BS311" i="25" s="1"/>
  <c r="BX311" i="25"/>
  <c r="BU311" i="25" s="1"/>
  <c r="BT311" i="25"/>
  <c r="BR311" i="25"/>
  <c r="BW311" i="25" s="1"/>
  <c r="BN311" i="25"/>
  <c r="BM311" i="25"/>
  <c r="BH311" i="25"/>
  <c r="BF311" i="25"/>
  <c r="AX311" i="25"/>
  <c r="AY311" i="25" s="1"/>
  <c r="AU311" i="25"/>
  <c r="AT311" i="25"/>
  <c r="AS311" i="25"/>
  <c r="AR311" i="25"/>
  <c r="CM310" i="25"/>
  <c r="CL310" i="25"/>
  <c r="CK310" i="25"/>
  <c r="CJ310" i="25"/>
  <c r="CI310" i="25"/>
  <c r="CH310" i="25"/>
  <c r="CG310" i="25"/>
  <c r="BO310" i="25" s="1"/>
  <c r="CF310" i="25"/>
  <c r="CE310" i="25"/>
  <c r="CD310" i="25"/>
  <c r="CC310" i="25"/>
  <c r="CA310" i="25"/>
  <c r="BZ310" i="25"/>
  <c r="BY310" i="25"/>
  <c r="BS310" i="25" s="1"/>
  <c r="BX310" i="25"/>
  <c r="BU310" i="25" s="1"/>
  <c r="BR310" i="25"/>
  <c r="BW310" i="25" s="1"/>
  <c r="BH310" i="25"/>
  <c r="BF310" i="25"/>
  <c r="AX310" i="25"/>
  <c r="AY310" i="25" s="1"/>
  <c r="AU310" i="25"/>
  <c r="AT310" i="25"/>
  <c r="AS310" i="25"/>
  <c r="AR310" i="25"/>
  <c r="CM309" i="25"/>
  <c r="CL309" i="25"/>
  <c r="CK309" i="25"/>
  <c r="CJ309" i="25"/>
  <c r="CI309" i="25"/>
  <c r="CH309" i="25"/>
  <c r="CG309" i="25"/>
  <c r="BO309" i="25" s="1"/>
  <c r="CF309" i="25"/>
  <c r="CE309" i="25"/>
  <c r="CD309" i="25"/>
  <c r="CA309" i="25"/>
  <c r="BZ309" i="25"/>
  <c r="BT309" i="25"/>
  <c r="BR309" i="25"/>
  <c r="BW309" i="25" s="1"/>
  <c r="BN309" i="25"/>
  <c r="BH309" i="25"/>
  <c r="BF309" i="25"/>
  <c r="AX309" i="25"/>
  <c r="AU309" i="25"/>
  <c r="AT309" i="25"/>
  <c r="AS309" i="25"/>
  <c r="AR309" i="25"/>
  <c r="F309" i="25"/>
  <c r="CC309" i="25" s="1"/>
  <c r="CM308" i="25"/>
  <c r="CL308" i="25"/>
  <c r="CK308" i="25"/>
  <c r="CJ308" i="25"/>
  <c r="CI308" i="25"/>
  <c r="CH308" i="25"/>
  <c r="CG308" i="25"/>
  <c r="BO308" i="25" s="1"/>
  <c r="CF308" i="25"/>
  <c r="CE308" i="25"/>
  <c r="CD308" i="25"/>
  <c r="CA308" i="25"/>
  <c r="BZ308" i="25"/>
  <c r="BT308" i="25"/>
  <c r="BR308" i="25"/>
  <c r="BW308" i="25" s="1"/>
  <c r="BN308" i="25"/>
  <c r="BH308" i="25"/>
  <c r="BF308" i="25"/>
  <c r="AX308" i="25"/>
  <c r="AY308" i="25" s="1"/>
  <c r="AU308" i="25"/>
  <c r="AT308" i="25"/>
  <c r="AS308" i="25"/>
  <c r="AR308" i="25"/>
  <c r="F308" i="25"/>
  <c r="CC308" i="25" s="1"/>
  <c r="CM307" i="25"/>
  <c r="CL307" i="25"/>
  <c r="CK307" i="25"/>
  <c r="CJ307" i="25"/>
  <c r="CI307" i="25"/>
  <c r="CH307" i="25"/>
  <c r="CG307" i="25"/>
  <c r="BO307" i="25" s="1"/>
  <c r="CF307" i="25"/>
  <c r="CE307" i="25"/>
  <c r="CD307" i="25"/>
  <c r="CA307" i="25"/>
  <c r="BZ307" i="25"/>
  <c r="BT307" i="25"/>
  <c r="BR307" i="25"/>
  <c r="BW307" i="25" s="1"/>
  <c r="BN307" i="25"/>
  <c r="BH307" i="25"/>
  <c r="BF307" i="25"/>
  <c r="AX307" i="25"/>
  <c r="AY307" i="25" s="1"/>
  <c r="AU307" i="25"/>
  <c r="AT307" i="25"/>
  <c r="AS307" i="25"/>
  <c r="AR307" i="25"/>
  <c r="F307" i="25"/>
  <c r="BY307" i="25" s="1"/>
  <c r="BS307" i="25" s="1"/>
  <c r="CM306" i="25"/>
  <c r="CL306" i="25"/>
  <c r="CK306" i="25"/>
  <c r="CJ306" i="25"/>
  <c r="CI306" i="25"/>
  <c r="CH306" i="25"/>
  <c r="CG306" i="25"/>
  <c r="CF306" i="25"/>
  <c r="CE306" i="25"/>
  <c r="CD306" i="25"/>
  <c r="CA306" i="25"/>
  <c r="BZ306" i="25"/>
  <c r="BT306" i="25"/>
  <c r="BR306" i="25"/>
  <c r="BW306" i="25" s="1"/>
  <c r="BN306" i="25"/>
  <c r="BH306" i="25"/>
  <c r="BF306" i="25"/>
  <c r="AX306" i="25"/>
  <c r="AY306" i="25" s="1"/>
  <c r="AU306" i="25"/>
  <c r="AT306" i="25"/>
  <c r="AS306" i="25"/>
  <c r="AR306" i="25"/>
  <c r="F306" i="25"/>
  <c r="BX306" i="25" s="1"/>
  <c r="BU306" i="25" s="1"/>
  <c r="CM305" i="25"/>
  <c r="CL305" i="25"/>
  <c r="CK305" i="25"/>
  <c r="CJ305" i="25"/>
  <c r="CI305" i="25"/>
  <c r="CH305" i="25"/>
  <c r="CG305" i="25"/>
  <c r="BO305" i="25" s="1"/>
  <c r="CF305" i="25"/>
  <c r="CE305" i="25"/>
  <c r="CD305" i="25"/>
  <c r="CC305" i="25"/>
  <c r="CA305" i="25"/>
  <c r="BZ305" i="25"/>
  <c r="BY305" i="25"/>
  <c r="BS305" i="25" s="1"/>
  <c r="BX305" i="25"/>
  <c r="BU305" i="25" s="1"/>
  <c r="BT305" i="25"/>
  <c r="BR305" i="25"/>
  <c r="BW305" i="25" s="1"/>
  <c r="BN305" i="25"/>
  <c r="BM305" i="25"/>
  <c r="BH305" i="25"/>
  <c r="BF305" i="25"/>
  <c r="AX305" i="25"/>
  <c r="AU305" i="25"/>
  <c r="AT305" i="25"/>
  <c r="AS305" i="25"/>
  <c r="AR305" i="25"/>
  <c r="CM304" i="25"/>
  <c r="CL304" i="25"/>
  <c r="CK304" i="25"/>
  <c r="CJ304" i="25"/>
  <c r="CI304" i="25"/>
  <c r="CH304" i="25"/>
  <c r="CG304" i="25"/>
  <c r="BM304" i="25" s="1"/>
  <c r="CF304" i="25"/>
  <c r="CE304" i="25"/>
  <c r="CD304" i="25"/>
  <c r="CC304" i="25"/>
  <c r="CA304" i="25"/>
  <c r="BZ304" i="25"/>
  <c r="BY304" i="25"/>
  <c r="BS304" i="25" s="1"/>
  <c r="BX304" i="25"/>
  <c r="BU304" i="25" s="1"/>
  <c r="BT304" i="25"/>
  <c r="BR304" i="25"/>
  <c r="BW304" i="25" s="1"/>
  <c r="BN304" i="25"/>
  <c r="BH304" i="25"/>
  <c r="BF304" i="25"/>
  <c r="AX304" i="25"/>
  <c r="AU304" i="25"/>
  <c r="AT304" i="25"/>
  <c r="AS304" i="25"/>
  <c r="AR304" i="25"/>
  <c r="CM303" i="25"/>
  <c r="CL303" i="25"/>
  <c r="CK303" i="25"/>
  <c r="CJ303" i="25"/>
  <c r="CI303" i="25"/>
  <c r="CH303" i="25"/>
  <c r="CG303" i="25"/>
  <c r="BM303" i="25" s="1"/>
  <c r="CF303" i="25"/>
  <c r="CE303" i="25"/>
  <c r="CD303" i="25"/>
  <c r="CC303" i="25"/>
  <c r="CA303" i="25"/>
  <c r="BZ303" i="25"/>
  <c r="BY303" i="25"/>
  <c r="BS303" i="25" s="1"/>
  <c r="BX303" i="25"/>
  <c r="BU303" i="25" s="1"/>
  <c r="BT303" i="25"/>
  <c r="BR303" i="25"/>
  <c r="BW303" i="25" s="1"/>
  <c r="BN303" i="25"/>
  <c r="BH303" i="25"/>
  <c r="BF303" i="25"/>
  <c r="AX303" i="25"/>
  <c r="AU303" i="25"/>
  <c r="AT303" i="25"/>
  <c r="AS303" i="25"/>
  <c r="AR303" i="25"/>
  <c r="CM302" i="25"/>
  <c r="CL302" i="25"/>
  <c r="CK302" i="25"/>
  <c r="CJ302" i="25"/>
  <c r="CI302" i="25"/>
  <c r="CH302" i="25"/>
  <c r="CG302" i="25"/>
  <c r="BM302" i="25" s="1"/>
  <c r="CF302" i="25"/>
  <c r="CE302" i="25"/>
  <c r="CD302" i="25"/>
  <c r="CA302" i="25"/>
  <c r="BZ302" i="25"/>
  <c r="BT302" i="25"/>
  <c r="BR302" i="25"/>
  <c r="BW302" i="25" s="1"/>
  <c r="BO302" i="25"/>
  <c r="BN302" i="25"/>
  <c r="BH302" i="25"/>
  <c r="BF302" i="25"/>
  <c r="AX302" i="25"/>
  <c r="AU302" i="25"/>
  <c r="AT302" i="25"/>
  <c r="AS302" i="25"/>
  <c r="AR302" i="25"/>
  <c r="F302" i="25"/>
  <c r="CC302" i="25" s="1"/>
  <c r="CM301" i="25"/>
  <c r="CL301" i="25"/>
  <c r="CK301" i="25"/>
  <c r="CJ301" i="25"/>
  <c r="CI301" i="25"/>
  <c r="CH301" i="25"/>
  <c r="CG301" i="25"/>
  <c r="BM301" i="25" s="1"/>
  <c r="CF301" i="25"/>
  <c r="CE301" i="25"/>
  <c r="CD301" i="25"/>
  <c r="CC301" i="25"/>
  <c r="CA301" i="25"/>
  <c r="BZ301" i="25"/>
  <c r="BY301" i="25"/>
  <c r="BS301" i="25" s="1"/>
  <c r="BX301" i="25"/>
  <c r="BU301" i="25" s="1"/>
  <c r="BT301" i="25"/>
  <c r="BR301" i="25"/>
  <c r="BW301" i="25" s="1"/>
  <c r="BN301" i="25"/>
  <c r="BH301" i="25"/>
  <c r="BF301" i="25"/>
  <c r="AX301" i="25"/>
  <c r="AY301" i="25" s="1"/>
  <c r="AU301" i="25"/>
  <c r="AT301" i="25"/>
  <c r="AS301" i="25"/>
  <c r="AR301" i="25"/>
  <c r="CM300" i="25"/>
  <c r="CL300" i="25"/>
  <c r="CK300" i="25"/>
  <c r="CJ300" i="25"/>
  <c r="CI300" i="25"/>
  <c r="CH300" i="25"/>
  <c r="CG300" i="25"/>
  <c r="CF300" i="25"/>
  <c r="CE300" i="25"/>
  <c r="CD300" i="25"/>
  <c r="CC300" i="25"/>
  <c r="CA300" i="25"/>
  <c r="BZ300" i="25"/>
  <c r="BY300" i="25"/>
  <c r="BS300" i="25" s="1"/>
  <c r="BX300" i="25"/>
  <c r="BU300" i="25" s="1"/>
  <c r="BT300" i="25"/>
  <c r="BR300" i="25"/>
  <c r="BW300" i="25" s="1"/>
  <c r="BN300" i="25"/>
  <c r="BH300" i="25"/>
  <c r="BF300" i="25"/>
  <c r="AX300" i="25"/>
  <c r="AY300" i="25" s="1"/>
  <c r="AU300" i="25"/>
  <c r="AT300" i="25"/>
  <c r="AS300" i="25"/>
  <c r="AR300" i="25"/>
  <c r="CM299" i="25"/>
  <c r="CL299" i="25"/>
  <c r="CK299" i="25"/>
  <c r="CJ299" i="25"/>
  <c r="CI299" i="25"/>
  <c r="CH299" i="25"/>
  <c r="CG299" i="25"/>
  <c r="BO299" i="25" s="1"/>
  <c r="CF299" i="25"/>
  <c r="CE299" i="25"/>
  <c r="CD299" i="25"/>
  <c r="CA299" i="25"/>
  <c r="BZ299" i="25"/>
  <c r="BT299" i="25"/>
  <c r="BR299" i="25"/>
  <c r="BW299" i="25" s="1"/>
  <c r="BN299" i="25"/>
  <c r="BH299" i="25"/>
  <c r="BF299" i="25"/>
  <c r="AX299" i="25"/>
  <c r="AY299" i="25" s="1"/>
  <c r="AU299" i="25"/>
  <c r="AT299" i="25"/>
  <c r="AS299" i="25"/>
  <c r="AR299" i="25"/>
  <c r="BG299" i="25" s="1"/>
  <c r="F299" i="25"/>
  <c r="CC299" i="25" s="1"/>
  <c r="CM298" i="25"/>
  <c r="CL298" i="25"/>
  <c r="CK298" i="25"/>
  <c r="CJ298" i="25"/>
  <c r="CI298" i="25"/>
  <c r="CH298" i="25"/>
  <c r="CG298" i="25"/>
  <c r="BO298" i="25" s="1"/>
  <c r="CF298" i="25"/>
  <c r="CE298" i="25"/>
  <c r="CD298" i="25"/>
  <c r="CC298" i="25"/>
  <c r="CA298" i="25"/>
  <c r="BZ298" i="25"/>
  <c r="BY298" i="25"/>
  <c r="BS298" i="25" s="1"/>
  <c r="BX298" i="25"/>
  <c r="BU298" i="25" s="1"/>
  <c r="BR298" i="25"/>
  <c r="BW298" i="25" s="1"/>
  <c r="BH298" i="25"/>
  <c r="BN298" i="25" s="1"/>
  <c r="BF298" i="25"/>
  <c r="AX298" i="25"/>
  <c r="AY298" i="25" s="1"/>
  <c r="AU298" i="25"/>
  <c r="AT298" i="25"/>
  <c r="AS298" i="25"/>
  <c r="AR298" i="25"/>
  <c r="CM297" i="25"/>
  <c r="CL297" i="25"/>
  <c r="CK297" i="25"/>
  <c r="CJ297" i="25"/>
  <c r="CI297" i="25"/>
  <c r="CH297" i="25"/>
  <c r="CG297" i="25"/>
  <c r="BO297" i="25" s="1"/>
  <c r="CF297" i="25"/>
  <c r="CE297" i="25"/>
  <c r="CD297" i="25"/>
  <c r="CC297" i="25"/>
  <c r="CA297" i="25"/>
  <c r="BZ297" i="25"/>
  <c r="BY297" i="25"/>
  <c r="BS297" i="25" s="1"/>
  <c r="BX297" i="25"/>
  <c r="BU297" i="25" s="1"/>
  <c r="BR297" i="25"/>
  <c r="BW297" i="25" s="1"/>
  <c r="BN297" i="25"/>
  <c r="BH297" i="25"/>
  <c r="BF297" i="25"/>
  <c r="AX297" i="25"/>
  <c r="AY297" i="25" s="1"/>
  <c r="AU297" i="25"/>
  <c r="AT297" i="25"/>
  <c r="AS297" i="25"/>
  <c r="AR297" i="25"/>
  <c r="CM296" i="25"/>
  <c r="CL296" i="25"/>
  <c r="CK296" i="25"/>
  <c r="CJ296" i="25"/>
  <c r="CI296" i="25"/>
  <c r="CH296" i="25"/>
  <c r="CG296" i="25"/>
  <c r="BO296" i="25" s="1"/>
  <c r="CF296" i="25"/>
  <c r="CE296" i="25"/>
  <c r="CD296" i="25"/>
  <c r="CC296" i="25"/>
  <c r="CA296" i="25"/>
  <c r="BZ296" i="25"/>
  <c r="BY296" i="25"/>
  <c r="BS296" i="25" s="1"/>
  <c r="BX296" i="25"/>
  <c r="BU296" i="25" s="1"/>
  <c r="BT296" i="25"/>
  <c r="BR296" i="25"/>
  <c r="BW296" i="25" s="1"/>
  <c r="BN296" i="25"/>
  <c r="BI296" i="25"/>
  <c r="BJ296" i="25" s="1"/>
  <c r="BH296" i="25"/>
  <c r="BF296" i="25"/>
  <c r="AX296" i="25"/>
  <c r="AY296" i="25" s="1"/>
  <c r="AU296" i="25"/>
  <c r="AV296" i="25" s="1"/>
  <c r="AW296" i="25" s="1"/>
  <c r="AT296" i="25"/>
  <c r="AS296" i="25"/>
  <c r="AR296" i="25"/>
  <c r="CM295" i="25"/>
  <c r="CL295" i="25"/>
  <c r="CK295" i="25"/>
  <c r="CJ295" i="25"/>
  <c r="CI295" i="25"/>
  <c r="CH295" i="25"/>
  <c r="CG295" i="25"/>
  <c r="BO295" i="25" s="1"/>
  <c r="CF295" i="25"/>
  <c r="CE295" i="25"/>
  <c r="CD295" i="25"/>
  <c r="CC295" i="25"/>
  <c r="CA295" i="25"/>
  <c r="BZ295" i="25"/>
  <c r="BY295" i="25"/>
  <c r="BS295" i="25" s="1"/>
  <c r="BX295" i="25"/>
  <c r="BU295" i="25" s="1"/>
  <c r="BR295" i="25"/>
  <c r="BW295" i="25" s="1"/>
  <c r="BH295" i="25"/>
  <c r="BN295" i="25" s="1"/>
  <c r="BF295" i="25"/>
  <c r="AX295" i="25"/>
  <c r="AY295" i="25" s="1"/>
  <c r="AU295" i="25"/>
  <c r="AT295" i="25"/>
  <c r="AS295" i="25"/>
  <c r="AR295" i="25"/>
  <c r="CM294" i="25"/>
  <c r="CL294" i="25"/>
  <c r="CK294" i="25"/>
  <c r="CJ294" i="25"/>
  <c r="CI294" i="25"/>
  <c r="CH294" i="25"/>
  <c r="CG294" i="25"/>
  <c r="BO294" i="25" s="1"/>
  <c r="CF294" i="25"/>
  <c r="CE294" i="25"/>
  <c r="CD294" i="25"/>
  <c r="CC294" i="25"/>
  <c r="CA294" i="25"/>
  <c r="BZ294" i="25"/>
  <c r="BY294" i="25"/>
  <c r="BS294" i="25" s="1"/>
  <c r="BX294" i="25"/>
  <c r="BU294" i="25" s="1"/>
  <c r="BR294" i="25"/>
  <c r="BW294" i="25" s="1"/>
  <c r="BH294" i="25"/>
  <c r="BN294" i="25" s="1"/>
  <c r="BF294" i="25"/>
  <c r="AX294" i="25"/>
  <c r="AY294" i="25" s="1"/>
  <c r="AU294" i="25"/>
  <c r="AT294" i="25"/>
  <c r="AS294" i="25"/>
  <c r="AR294" i="25"/>
  <c r="CM293" i="25"/>
  <c r="CL293" i="25"/>
  <c r="CK293" i="25"/>
  <c r="CJ293" i="25"/>
  <c r="CI293" i="25"/>
  <c r="CH293" i="25"/>
  <c r="CG293" i="25"/>
  <c r="BO293" i="25" s="1"/>
  <c r="CF293" i="25"/>
  <c r="CE293" i="25"/>
  <c r="CD293" i="25"/>
  <c r="CC293" i="25"/>
  <c r="CA293" i="25"/>
  <c r="BZ293" i="25"/>
  <c r="BY293" i="25"/>
  <c r="BS293" i="25" s="1"/>
  <c r="BX293" i="25"/>
  <c r="BU293" i="25" s="1"/>
  <c r="BT293" i="25"/>
  <c r="BR293" i="25"/>
  <c r="BW293" i="25" s="1"/>
  <c r="BN293" i="25"/>
  <c r="BH293" i="25"/>
  <c r="BF293" i="25"/>
  <c r="AX293" i="25"/>
  <c r="AY293" i="25" s="1"/>
  <c r="AU293" i="25"/>
  <c r="AT293" i="25"/>
  <c r="AS293" i="25"/>
  <c r="AR293" i="25"/>
  <c r="CM292" i="25"/>
  <c r="CL292" i="25"/>
  <c r="CK292" i="25"/>
  <c r="CJ292" i="25"/>
  <c r="CI292" i="25"/>
  <c r="CH292" i="25"/>
  <c r="CG292" i="25"/>
  <c r="BO292" i="25" s="1"/>
  <c r="CF292" i="25"/>
  <c r="CE292" i="25"/>
  <c r="CD292" i="25"/>
  <c r="CC292" i="25"/>
  <c r="CA292" i="25"/>
  <c r="BZ292" i="25"/>
  <c r="BY292" i="25"/>
  <c r="BS292" i="25" s="1"/>
  <c r="BX292" i="25"/>
  <c r="BU292" i="25" s="1"/>
  <c r="BT292" i="25"/>
  <c r="BR292" i="25"/>
  <c r="BW292" i="25" s="1"/>
  <c r="BH292" i="25"/>
  <c r="BF292" i="25"/>
  <c r="AX292" i="25"/>
  <c r="AY292" i="25" s="1"/>
  <c r="AU292" i="25"/>
  <c r="AT292" i="25"/>
  <c r="AS292" i="25"/>
  <c r="AR292" i="25"/>
  <c r="CM291" i="25"/>
  <c r="CL291" i="25"/>
  <c r="CK291" i="25"/>
  <c r="CJ291" i="25"/>
  <c r="CI291" i="25"/>
  <c r="CH291" i="25"/>
  <c r="CG291" i="25"/>
  <c r="BO291" i="25" s="1"/>
  <c r="CF291" i="25"/>
  <c r="CE291" i="25"/>
  <c r="CD291" i="25"/>
  <c r="CC291" i="25"/>
  <c r="CA291" i="25"/>
  <c r="BZ291" i="25"/>
  <c r="BY291" i="25"/>
  <c r="BS291" i="25" s="1"/>
  <c r="BX291" i="25"/>
  <c r="BU291" i="25" s="1"/>
  <c r="BT291" i="25"/>
  <c r="BR291" i="25"/>
  <c r="BW291" i="25" s="1"/>
  <c r="BH291" i="25"/>
  <c r="BF291" i="25"/>
  <c r="AX291" i="25"/>
  <c r="AY291" i="25" s="1"/>
  <c r="AU291" i="25"/>
  <c r="AT291" i="25"/>
  <c r="AS291" i="25"/>
  <c r="AR291" i="25"/>
  <c r="CM290" i="25"/>
  <c r="CL290" i="25"/>
  <c r="CK290" i="25"/>
  <c r="CJ290" i="25"/>
  <c r="CI290" i="25"/>
  <c r="CH290" i="25"/>
  <c r="CG290" i="25"/>
  <c r="BO290" i="25" s="1"/>
  <c r="CF290" i="25"/>
  <c r="CE290" i="25"/>
  <c r="CD290" i="25"/>
  <c r="CC290" i="25"/>
  <c r="CA290" i="25"/>
  <c r="BZ290" i="25"/>
  <c r="BY290" i="25"/>
  <c r="BS290" i="25" s="1"/>
  <c r="BX290" i="25"/>
  <c r="BU290" i="25" s="1"/>
  <c r="BR290" i="25"/>
  <c r="BW290" i="25" s="1"/>
  <c r="BN290" i="25"/>
  <c r="BH290" i="25"/>
  <c r="BF290" i="25"/>
  <c r="AX290" i="25"/>
  <c r="AU290" i="25"/>
  <c r="AT290" i="25"/>
  <c r="AS290" i="25"/>
  <c r="AR290" i="25"/>
  <c r="CM289" i="25"/>
  <c r="CL289" i="25"/>
  <c r="CK289" i="25"/>
  <c r="CJ289" i="25"/>
  <c r="CI289" i="25"/>
  <c r="CH289" i="25"/>
  <c r="CG289" i="25"/>
  <c r="BO289" i="25" s="1"/>
  <c r="CF289" i="25"/>
  <c r="CE289" i="25"/>
  <c r="CD289" i="25"/>
  <c r="CC289" i="25"/>
  <c r="CA289" i="25"/>
  <c r="BZ289" i="25"/>
  <c r="BY289" i="25"/>
  <c r="BS289" i="25" s="1"/>
  <c r="BX289" i="25"/>
  <c r="BU289" i="25" s="1"/>
  <c r="BR289" i="25"/>
  <c r="BW289" i="25" s="1"/>
  <c r="BN289" i="25"/>
  <c r="BH289" i="25"/>
  <c r="BF289" i="25"/>
  <c r="AX289" i="25"/>
  <c r="AY289" i="25" s="1"/>
  <c r="AU289" i="25"/>
  <c r="AT289" i="25"/>
  <c r="AS289" i="25"/>
  <c r="AR289" i="25"/>
  <c r="CM288" i="25"/>
  <c r="CL288" i="25"/>
  <c r="CK288" i="25"/>
  <c r="CJ288" i="25"/>
  <c r="CI288" i="25"/>
  <c r="CH288" i="25"/>
  <c r="CG288" i="25"/>
  <c r="BO288" i="25" s="1"/>
  <c r="CF288" i="25"/>
  <c r="CE288" i="25"/>
  <c r="CD288" i="25"/>
  <c r="CC288" i="25"/>
  <c r="CA288" i="25"/>
  <c r="BZ288" i="25"/>
  <c r="BY288" i="25"/>
  <c r="BS288" i="25" s="1"/>
  <c r="BX288" i="25"/>
  <c r="BU288" i="25" s="1"/>
  <c r="BR288" i="25"/>
  <c r="BW288" i="25" s="1"/>
  <c r="BN288" i="25"/>
  <c r="BH288" i="25"/>
  <c r="BF288" i="25"/>
  <c r="AX288" i="25"/>
  <c r="AY288" i="25" s="1"/>
  <c r="AU288" i="25"/>
  <c r="AT288" i="25"/>
  <c r="AS288" i="25"/>
  <c r="AR288" i="25"/>
  <c r="CM287" i="25"/>
  <c r="CL287" i="25"/>
  <c r="CK287" i="25"/>
  <c r="CJ287" i="25"/>
  <c r="CI287" i="25"/>
  <c r="CH287" i="25"/>
  <c r="CG287" i="25"/>
  <c r="CF287" i="25"/>
  <c r="CE287" i="25"/>
  <c r="CD287" i="25"/>
  <c r="CC287" i="25"/>
  <c r="CA287" i="25"/>
  <c r="BZ287" i="25"/>
  <c r="BY287" i="25"/>
  <c r="BS287" i="25" s="1"/>
  <c r="BX287" i="25"/>
  <c r="BU287" i="25" s="1"/>
  <c r="BR287" i="25"/>
  <c r="BW287" i="25" s="1"/>
  <c r="BN287" i="25"/>
  <c r="BH287" i="25"/>
  <c r="BF287" i="25"/>
  <c r="AX287" i="25"/>
  <c r="AY287" i="25" s="1"/>
  <c r="AU287" i="25"/>
  <c r="AT287" i="25"/>
  <c r="AS287" i="25"/>
  <c r="AR287" i="25"/>
  <c r="CM286" i="25"/>
  <c r="CL286" i="25"/>
  <c r="CK286" i="25"/>
  <c r="CJ286" i="25"/>
  <c r="CI286" i="25"/>
  <c r="CH286" i="25"/>
  <c r="CG286" i="25"/>
  <c r="BM286" i="25" s="1"/>
  <c r="CF286" i="25"/>
  <c r="CE286" i="25"/>
  <c r="CD286" i="25"/>
  <c r="CC286" i="25"/>
  <c r="CA286" i="25"/>
  <c r="BZ286" i="25"/>
  <c r="BY286" i="25"/>
  <c r="BS286" i="25" s="1"/>
  <c r="BX286" i="25"/>
  <c r="BU286" i="25" s="1"/>
  <c r="BR286" i="25"/>
  <c r="BW286" i="25" s="1"/>
  <c r="BN286" i="25"/>
  <c r="BH286" i="25"/>
  <c r="BF286" i="25"/>
  <c r="AX286" i="25"/>
  <c r="AY286" i="25" s="1"/>
  <c r="AU286" i="25"/>
  <c r="AT286" i="25"/>
  <c r="AS286" i="25"/>
  <c r="AR286" i="25"/>
  <c r="CM285" i="25"/>
  <c r="CL285" i="25"/>
  <c r="CK285" i="25"/>
  <c r="CJ285" i="25"/>
  <c r="CI285" i="25"/>
  <c r="CH285" i="25"/>
  <c r="CG285" i="25"/>
  <c r="BO285" i="25" s="1"/>
  <c r="CF285" i="25"/>
  <c r="CE285" i="25"/>
  <c r="CD285" i="25"/>
  <c r="CC285" i="25"/>
  <c r="CA285" i="25"/>
  <c r="BZ285" i="25"/>
  <c r="BY285" i="25"/>
  <c r="BS285" i="25" s="1"/>
  <c r="BX285" i="25"/>
  <c r="BU285" i="25" s="1"/>
  <c r="BR285" i="25"/>
  <c r="BW285" i="25" s="1"/>
  <c r="BN285" i="25"/>
  <c r="BH285" i="25"/>
  <c r="BF285" i="25"/>
  <c r="AX285" i="25"/>
  <c r="AY285" i="25" s="1"/>
  <c r="AU285" i="25"/>
  <c r="AT285" i="25"/>
  <c r="AS285" i="25"/>
  <c r="AR285" i="25"/>
  <c r="CM284" i="25"/>
  <c r="CL284" i="25"/>
  <c r="CK284" i="25"/>
  <c r="CJ284" i="25"/>
  <c r="CI284" i="25"/>
  <c r="CH284" i="25"/>
  <c r="CG284" i="25"/>
  <c r="BM284" i="25" s="1"/>
  <c r="CF284" i="25"/>
  <c r="CE284" i="25"/>
  <c r="CD284" i="25"/>
  <c r="CC284" i="25"/>
  <c r="CA284" i="25"/>
  <c r="BZ284" i="25"/>
  <c r="BY284" i="25"/>
  <c r="BS284" i="25" s="1"/>
  <c r="BX284" i="25"/>
  <c r="BU284" i="25" s="1"/>
  <c r="BR284" i="25"/>
  <c r="BW284" i="25" s="1"/>
  <c r="BN284" i="25"/>
  <c r="BH284" i="25"/>
  <c r="BF284" i="25"/>
  <c r="AX284" i="25"/>
  <c r="AY284" i="25" s="1"/>
  <c r="AU284" i="25"/>
  <c r="AT284" i="25"/>
  <c r="AS284" i="25"/>
  <c r="AR284" i="25"/>
  <c r="CM283" i="25"/>
  <c r="CL283" i="25"/>
  <c r="CK283" i="25"/>
  <c r="CJ283" i="25"/>
  <c r="CI283" i="25"/>
  <c r="CH283" i="25"/>
  <c r="CG283" i="25"/>
  <c r="BM283" i="25" s="1"/>
  <c r="CF283" i="25"/>
  <c r="CE283" i="25"/>
  <c r="CD283" i="25"/>
  <c r="CC283" i="25"/>
  <c r="CA283" i="25"/>
  <c r="BZ283" i="25"/>
  <c r="BY283" i="25"/>
  <c r="BS283" i="25" s="1"/>
  <c r="BX283" i="25"/>
  <c r="BU283" i="25" s="1"/>
  <c r="BR283" i="25"/>
  <c r="BW283" i="25" s="1"/>
  <c r="BN283" i="25"/>
  <c r="BH283" i="25"/>
  <c r="BF283" i="25"/>
  <c r="AX283" i="25"/>
  <c r="AY283" i="25" s="1"/>
  <c r="AU283" i="25"/>
  <c r="AT283" i="25"/>
  <c r="AS283" i="25"/>
  <c r="AR283" i="25"/>
  <c r="CM282" i="25"/>
  <c r="CL282" i="25"/>
  <c r="CK282" i="25"/>
  <c r="CJ282" i="25"/>
  <c r="CI282" i="25"/>
  <c r="CH282" i="25"/>
  <c r="CG282" i="25"/>
  <c r="BM282" i="25" s="1"/>
  <c r="CF282" i="25"/>
  <c r="CE282" i="25"/>
  <c r="CD282" i="25"/>
  <c r="CC282" i="25"/>
  <c r="CA282" i="25"/>
  <c r="BZ282" i="25"/>
  <c r="BY282" i="25"/>
  <c r="BS282" i="25" s="1"/>
  <c r="BX282" i="25"/>
  <c r="BU282" i="25" s="1"/>
  <c r="BR282" i="25"/>
  <c r="BW282" i="25" s="1"/>
  <c r="BN282" i="25"/>
  <c r="BH282" i="25"/>
  <c r="BF282" i="25"/>
  <c r="AX282" i="25"/>
  <c r="AY282" i="25" s="1"/>
  <c r="AU282" i="25"/>
  <c r="AT282" i="25"/>
  <c r="AS282" i="25"/>
  <c r="AR282" i="25"/>
  <c r="CM281" i="25"/>
  <c r="CL281" i="25"/>
  <c r="CK281" i="25"/>
  <c r="CJ281" i="25"/>
  <c r="CI281" i="25"/>
  <c r="CH281" i="25"/>
  <c r="CG281" i="25"/>
  <c r="BM281" i="25" s="1"/>
  <c r="CF281" i="25"/>
  <c r="CE281" i="25"/>
  <c r="CD281" i="25"/>
  <c r="CC281" i="25"/>
  <c r="CA281" i="25"/>
  <c r="BZ281" i="25"/>
  <c r="BY281" i="25"/>
  <c r="BS281" i="25" s="1"/>
  <c r="BX281" i="25"/>
  <c r="BU281" i="25" s="1"/>
  <c r="BR281" i="25"/>
  <c r="BW281" i="25" s="1"/>
  <c r="BN281" i="25"/>
  <c r="BH281" i="25"/>
  <c r="BF281" i="25"/>
  <c r="AX281" i="25"/>
  <c r="AY281" i="25" s="1"/>
  <c r="AU281" i="25"/>
  <c r="AT281" i="25"/>
  <c r="AS281" i="25"/>
  <c r="AR281" i="25"/>
  <c r="CM280" i="25"/>
  <c r="CL280" i="25"/>
  <c r="CK280" i="25"/>
  <c r="CJ280" i="25"/>
  <c r="CI280" i="25"/>
  <c r="CH280" i="25"/>
  <c r="CG280" i="25"/>
  <c r="CF280" i="25"/>
  <c r="CE280" i="25"/>
  <c r="CD280" i="25"/>
  <c r="CC280" i="25"/>
  <c r="CA280" i="25"/>
  <c r="BZ280" i="25"/>
  <c r="BY280" i="25"/>
  <c r="BS280" i="25" s="1"/>
  <c r="BX280" i="25"/>
  <c r="BU280" i="25" s="1"/>
  <c r="BR280" i="25"/>
  <c r="BW280" i="25" s="1"/>
  <c r="BN280" i="25"/>
  <c r="BH280" i="25"/>
  <c r="BF280" i="25"/>
  <c r="AX280" i="25"/>
  <c r="AY280" i="25" s="1"/>
  <c r="AU280" i="25"/>
  <c r="AT280" i="25"/>
  <c r="AS280" i="25"/>
  <c r="AR280" i="25"/>
  <c r="CM279" i="25"/>
  <c r="CL279" i="25"/>
  <c r="CK279" i="25"/>
  <c r="CJ279" i="25"/>
  <c r="CI279" i="25"/>
  <c r="CH279" i="25"/>
  <c r="CG279" i="25"/>
  <c r="CF279" i="25"/>
  <c r="CE279" i="25"/>
  <c r="CD279" i="25"/>
  <c r="CC279" i="25"/>
  <c r="CA279" i="25"/>
  <c r="BZ279" i="25"/>
  <c r="BY279" i="25"/>
  <c r="BS279" i="25" s="1"/>
  <c r="BX279" i="25"/>
  <c r="BU279" i="25" s="1"/>
  <c r="BR279" i="25"/>
  <c r="BW279" i="25" s="1"/>
  <c r="BN279" i="25"/>
  <c r="BH279" i="25"/>
  <c r="BF279" i="25"/>
  <c r="AX279" i="25"/>
  <c r="AY279" i="25" s="1"/>
  <c r="AU279" i="25"/>
  <c r="AT279" i="25"/>
  <c r="AS279" i="25"/>
  <c r="AR279" i="25"/>
  <c r="CM278" i="25"/>
  <c r="CL278" i="25"/>
  <c r="CK278" i="25"/>
  <c r="CJ278" i="25"/>
  <c r="CI278" i="25"/>
  <c r="CH278" i="25"/>
  <c r="CG278" i="25"/>
  <c r="CF278" i="25"/>
  <c r="CE278" i="25"/>
  <c r="CD278" i="25"/>
  <c r="CC278" i="25"/>
  <c r="CA278" i="25"/>
  <c r="BZ278" i="25"/>
  <c r="BY278" i="25"/>
  <c r="BS278" i="25" s="1"/>
  <c r="BX278" i="25"/>
  <c r="BU278" i="25" s="1"/>
  <c r="BR278" i="25"/>
  <c r="BW278" i="25" s="1"/>
  <c r="BN278" i="25"/>
  <c r="BH278" i="25"/>
  <c r="BF278" i="25"/>
  <c r="AX278" i="25"/>
  <c r="AY278" i="25" s="1"/>
  <c r="AU278" i="25"/>
  <c r="AT278" i="25"/>
  <c r="AS278" i="25"/>
  <c r="AR278" i="25"/>
  <c r="CM277" i="25"/>
  <c r="CL277" i="25"/>
  <c r="CK277" i="25"/>
  <c r="CJ277" i="25"/>
  <c r="CI277" i="25"/>
  <c r="CH277" i="25"/>
  <c r="CG277" i="25"/>
  <c r="BT277" i="25" s="1"/>
  <c r="CF277" i="25"/>
  <c r="CE277" i="25"/>
  <c r="CD277" i="25"/>
  <c r="CC277" i="25"/>
  <c r="CA277" i="25"/>
  <c r="BZ277" i="25"/>
  <c r="BY277" i="25"/>
  <c r="BS277" i="25" s="1"/>
  <c r="BX277" i="25"/>
  <c r="BU277" i="25" s="1"/>
  <c r="BR277" i="25"/>
  <c r="BW277" i="25" s="1"/>
  <c r="BN277" i="25"/>
  <c r="BH277" i="25"/>
  <c r="BF277" i="25"/>
  <c r="AX277" i="25"/>
  <c r="AY277" i="25" s="1"/>
  <c r="AU277" i="25"/>
  <c r="AT277" i="25"/>
  <c r="AS277" i="25"/>
  <c r="AR277" i="25"/>
  <c r="CM276" i="25"/>
  <c r="CL276" i="25"/>
  <c r="CK276" i="25"/>
  <c r="CJ276" i="25"/>
  <c r="CI276" i="25"/>
  <c r="CH276" i="25"/>
  <c r="CG276" i="25"/>
  <c r="BM276" i="25" s="1"/>
  <c r="CF276" i="25"/>
  <c r="CE276" i="25"/>
  <c r="CD276" i="25"/>
  <c r="CC276" i="25"/>
  <c r="CA276" i="25"/>
  <c r="BZ276" i="25"/>
  <c r="BY276" i="25"/>
  <c r="BS276" i="25" s="1"/>
  <c r="BX276" i="25"/>
  <c r="BU276" i="25" s="1"/>
  <c r="BR276" i="25"/>
  <c r="BW276" i="25" s="1"/>
  <c r="BN276" i="25"/>
  <c r="BH276" i="25"/>
  <c r="BF276" i="25"/>
  <c r="AX276" i="25"/>
  <c r="AY276" i="25" s="1"/>
  <c r="AU276" i="25"/>
  <c r="AT276" i="25"/>
  <c r="AS276" i="25"/>
  <c r="AR276" i="25"/>
  <c r="CM275" i="25"/>
  <c r="CL275" i="25"/>
  <c r="CK275" i="25"/>
  <c r="CJ275" i="25"/>
  <c r="CI275" i="25"/>
  <c r="CH275" i="25"/>
  <c r="CG275" i="25"/>
  <c r="BM275" i="25" s="1"/>
  <c r="CF275" i="25"/>
  <c r="CE275" i="25"/>
  <c r="CD275" i="25"/>
  <c r="CC275" i="25"/>
  <c r="CA275" i="25"/>
  <c r="BZ275" i="25"/>
  <c r="BY275" i="25"/>
  <c r="BS275" i="25" s="1"/>
  <c r="BX275" i="25"/>
  <c r="BU275" i="25" s="1"/>
  <c r="BR275" i="25"/>
  <c r="BW275" i="25" s="1"/>
  <c r="BN275" i="25"/>
  <c r="BI275" i="25"/>
  <c r="BJ275" i="25" s="1"/>
  <c r="BH275" i="25"/>
  <c r="BF275" i="25"/>
  <c r="AX275" i="25"/>
  <c r="AY275" i="25" s="1"/>
  <c r="AU275" i="25"/>
  <c r="AV275" i="25" s="1"/>
  <c r="AW275" i="25" s="1"/>
  <c r="AT275" i="25"/>
  <c r="AS275" i="25"/>
  <c r="AR275" i="25"/>
  <c r="CM274" i="25"/>
  <c r="CL274" i="25"/>
  <c r="CK274" i="25"/>
  <c r="CJ274" i="25"/>
  <c r="CI274" i="25"/>
  <c r="CH274" i="25"/>
  <c r="CG274" i="25"/>
  <c r="BT274" i="25" s="1"/>
  <c r="CF274" i="25"/>
  <c r="CE274" i="25"/>
  <c r="CD274" i="25"/>
  <c r="CC274" i="25"/>
  <c r="CA274" i="25"/>
  <c r="BZ274" i="25"/>
  <c r="BY274" i="25"/>
  <c r="BS274" i="25" s="1"/>
  <c r="BX274" i="25"/>
  <c r="BU274" i="25" s="1"/>
  <c r="BR274" i="25"/>
  <c r="BW274" i="25" s="1"/>
  <c r="BN274" i="25"/>
  <c r="BH274" i="25"/>
  <c r="BF274" i="25"/>
  <c r="AX274" i="25"/>
  <c r="AY274" i="25" s="1"/>
  <c r="AU274" i="25"/>
  <c r="AT274" i="25"/>
  <c r="AS274" i="25"/>
  <c r="AR274" i="25"/>
  <c r="CM273" i="25"/>
  <c r="CL273" i="25"/>
  <c r="CK273" i="25"/>
  <c r="CJ273" i="25"/>
  <c r="CI273" i="25"/>
  <c r="CH273" i="25"/>
  <c r="CG273" i="25"/>
  <c r="BT273" i="25" s="1"/>
  <c r="CF273" i="25"/>
  <c r="CE273" i="25"/>
  <c r="CD273" i="25"/>
  <c r="CC273" i="25"/>
  <c r="CA273" i="25"/>
  <c r="BZ273" i="25"/>
  <c r="BY273" i="25"/>
  <c r="BS273" i="25" s="1"/>
  <c r="BX273" i="25"/>
  <c r="BU273" i="25" s="1"/>
  <c r="BR273" i="25"/>
  <c r="BW273" i="25" s="1"/>
  <c r="BN273" i="25"/>
  <c r="BH273" i="25"/>
  <c r="BF273" i="25"/>
  <c r="AX273" i="25"/>
  <c r="AY273" i="25" s="1"/>
  <c r="AU273" i="25"/>
  <c r="AT273" i="25"/>
  <c r="AS273" i="25"/>
  <c r="AR273" i="25"/>
  <c r="CM272" i="25"/>
  <c r="CL272" i="25"/>
  <c r="CK272" i="25"/>
  <c r="CJ272" i="25"/>
  <c r="CI272" i="25"/>
  <c r="CH272" i="25"/>
  <c r="CG272" i="25"/>
  <c r="BM272" i="25" s="1"/>
  <c r="CF272" i="25"/>
  <c r="CE272" i="25"/>
  <c r="CD272" i="25"/>
  <c r="CA272" i="25"/>
  <c r="BZ272" i="25"/>
  <c r="BT272" i="25"/>
  <c r="BR272" i="25"/>
  <c r="BW272" i="25" s="1"/>
  <c r="BN272" i="25"/>
  <c r="BH272" i="25"/>
  <c r="BF272" i="25"/>
  <c r="AX272" i="25"/>
  <c r="AY272" i="25" s="1"/>
  <c r="AU272" i="25"/>
  <c r="AT272" i="25"/>
  <c r="AS272" i="25"/>
  <c r="AR272" i="25"/>
  <c r="F272" i="25"/>
  <c r="CC272" i="25" s="1"/>
  <c r="CM271" i="25"/>
  <c r="CL271" i="25"/>
  <c r="CK271" i="25"/>
  <c r="CJ271" i="25"/>
  <c r="CI271" i="25"/>
  <c r="CH271" i="25"/>
  <c r="CG271" i="25"/>
  <c r="CF271" i="25"/>
  <c r="CE271" i="25"/>
  <c r="CD271" i="25"/>
  <c r="CA271" i="25"/>
  <c r="BZ271" i="25"/>
  <c r="BT271" i="25"/>
  <c r="BR271" i="25"/>
  <c r="BW271" i="25" s="1"/>
  <c r="BN271" i="25"/>
  <c r="BH271" i="25"/>
  <c r="BF271" i="25"/>
  <c r="AX271" i="25"/>
  <c r="AY271" i="25" s="1"/>
  <c r="AU271" i="25"/>
  <c r="AT271" i="25"/>
  <c r="AS271" i="25"/>
  <c r="AR271" i="25"/>
  <c r="F271" i="25"/>
  <c r="BX271" i="25" s="1"/>
  <c r="BU271" i="25" s="1"/>
  <c r="CM270" i="25"/>
  <c r="CL270" i="25"/>
  <c r="CK270" i="25"/>
  <c r="CJ270" i="25"/>
  <c r="CI270" i="25"/>
  <c r="CH270" i="25"/>
  <c r="CG270" i="25"/>
  <c r="BO270" i="25" s="1"/>
  <c r="CF270" i="25"/>
  <c r="CE270" i="25"/>
  <c r="CD270" i="25"/>
  <c r="CA270" i="25"/>
  <c r="BZ270" i="25"/>
  <c r="BT270" i="25"/>
  <c r="BR270" i="25"/>
  <c r="BW270" i="25" s="1"/>
  <c r="BN270" i="25"/>
  <c r="BH270" i="25"/>
  <c r="BF270" i="25"/>
  <c r="AX270" i="25"/>
  <c r="AY270" i="25" s="1"/>
  <c r="AU270" i="25"/>
  <c r="AT270" i="25"/>
  <c r="AS270" i="25"/>
  <c r="AR270" i="25"/>
  <c r="F270" i="25"/>
  <c r="CC270" i="25" s="1"/>
  <c r="CM269" i="25"/>
  <c r="CL269" i="25"/>
  <c r="CK269" i="25"/>
  <c r="CJ269" i="25"/>
  <c r="CI269" i="25"/>
  <c r="CH269" i="25"/>
  <c r="CG269" i="25"/>
  <c r="CF269" i="25"/>
  <c r="CE269" i="25"/>
  <c r="CD269" i="25"/>
  <c r="CA269" i="25"/>
  <c r="BZ269" i="25"/>
  <c r="BT269" i="25"/>
  <c r="BR269" i="25"/>
  <c r="BW269" i="25" s="1"/>
  <c r="BN269" i="25"/>
  <c r="BH269" i="25"/>
  <c r="BF269" i="25"/>
  <c r="AX269" i="25"/>
  <c r="AY269" i="25" s="1"/>
  <c r="AU269" i="25"/>
  <c r="AT269" i="25"/>
  <c r="AS269" i="25"/>
  <c r="AR269" i="25"/>
  <c r="F269" i="25"/>
  <c r="CC269" i="25" s="1"/>
  <c r="CM268" i="25"/>
  <c r="CL268" i="25"/>
  <c r="CK268" i="25"/>
  <c r="CJ268" i="25"/>
  <c r="CI268" i="25"/>
  <c r="CH268" i="25"/>
  <c r="CG268" i="25"/>
  <c r="BO268" i="25" s="1"/>
  <c r="CF268" i="25"/>
  <c r="CE268" i="25"/>
  <c r="CD268" i="25"/>
  <c r="CA268" i="25"/>
  <c r="BZ268" i="25"/>
  <c r="BT268" i="25"/>
  <c r="BR268" i="25"/>
  <c r="BW268" i="25" s="1"/>
  <c r="BN268" i="25"/>
  <c r="BH268" i="25"/>
  <c r="BF268" i="25"/>
  <c r="AX268" i="25"/>
  <c r="AU268" i="25"/>
  <c r="AT268" i="25"/>
  <c r="AS268" i="25"/>
  <c r="AR268" i="25"/>
  <c r="F268" i="25"/>
  <c r="CC268" i="25" s="1"/>
  <c r="CM267" i="25"/>
  <c r="CL267" i="25"/>
  <c r="CK267" i="25"/>
  <c r="CJ267" i="25"/>
  <c r="CI267" i="25"/>
  <c r="CH267" i="25"/>
  <c r="CG267" i="25"/>
  <c r="BM267" i="25" s="1"/>
  <c r="CF267" i="25"/>
  <c r="CE267" i="25"/>
  <c r="CD267" i="25"/>
  <c r="CA267" i="25"/>
  <c r="BZ267" i="25"/>
  <c r="BT267" i="25"/>
  <c r="BR267" i="25"/>
  <c r="BW267" i="25" s="1"/>
  <c r="BN267" i="25"/>
  <c r="BH267" i="25"/>
  <c r="BF267" i="25"/>
  <c r="AX267" i="25"/>
  <c r="AY267" i="25" s="1"/>
  <c r="AU267" i="25"/>
  <c r="AT267" i="25"/>
  <c r="AS267" i="25"/>
  <c r="AR267" i="25"/>
  <c r="F267" i="25"/>
  <c r="CM266" i="25"/>
  <c r="CL266" i="25"/>
  <c r="CK266" i="25"/>
  <c r="CJ266" i="25"/>
  <c r="CI266" i="25"/>
  <c r="CH266" i="25"/>
  <c r="CG266" i="25"/>
  <c r="BO266" i="25" s="1"/>
  <c r="CF266" i="25"/>
  <c r="CE266" i="25"/>
  <c r="CD266" i="25"/>
  <c r="CA266" i="25"/>
  <c r="BZ266" i="25"/>
  <c r="BT266" i="25"/>
  <c r="BR266" i="25"/>
  <c r="BW266" i="25" s="1"/>
  <c r="BN266" i="25"/>
  <c r="BH266" i="25"/>
  <c r="BF266" i="25"/>
  <c r="AX266" i="25"/>
  <c r="AY266" i="25" s="1"/>
  <c r="AU266" i="25"/>
  <c r="AV266" i="25" s="1"/>
  <c r="AW266" i="25" s="1"/>
  <c r="AT266" i="25"/>
  <c r="AS266" i="25"/>
  <c r="AR266" i="25"/>
  <c r="F266" i="25"/>
  <c r="BX266" i="25" s="1"/>
  <c r="BU266" i="25" s="1"/>
  <c r="CM265" i="25"/>
  <c r="CL265" i="25"/>
  <c r="CK265" i="25"/>
  <c r="CJ265" i="25"/>
  <c r="CI265" i="25"/>
  <c r="CH265" i="25"/>
  <c r="CG265" i="25"/>
  <c r="BM265" i="25" s="1"/>
  <c r="CF265" i="25"/>
  <c r="CE265" i="25"/>
  <c r="CD265" i="25"/>
  <c r="CA265" i="25"/>
  <c r="BZ265" i="25"/>
  <c r="BT265" i="25"/>
  <c r="BR265" i="25"/>
  <c r="BW265" i="25" s="1"/>
  <c r="BN265" i="25"/>
  <c r="BH265" i="25"/>
  <c r="BF265" i="25"/>
  <c r="AX265" i="25"/>
  <c r="AY265" i="25" s="1"/>
  <c r="AU265" i="25"/>
  <c r="AT265" i="25"/>
  <c r="AS265" i="25"/>
  <c r="AR265" i="25"/>
  <c r="F265" i="25"/>
  <c r="CM264" i="25"/>
  <c r="CL264" i="25"/>
  <c r="CK264" i="25"/>
  <c r="CJ264" i="25"/>
  <c r="CI264" i="25"/>
  <c r="CH264" i="25"/>
  <c r="CG264" i="25"/>
  <c r="BM264" i="25" s="1"/>
  <c r="CF264" i="25"/>
  <c r="CE264" i="25"/>
  <c r="CD264" i="25"/>
  <c r="CA264" i="25"/>
  <c r="BZ264" i="25"/>
  <c r="BT264" i="25"/>
  <c r="BR264" i="25"/>
  <c r="BW264" i="25" s="1"/>
  <c r="BN264" i="25"/>
  <c r="BH264" i="25"/>
  <c r="BF264" i="25"/>
  <c r="AX264" i="25"/>
  <c r="AY264" i="25" s="1"/>
  <c r="AU264" i="25"/>
  <c r="AT264" i="25"/>
  <c r="AS264" i="25"/>
  <c r="AR264" i="25"/>
  <c r="F264" i="25"/>
  <c r="CC264" i="25" s="1"/>
  <c r="CM263" i="25"/>
  <c r="CL263" i="25"/>
  <c r="CK263" i="25"/>
  <c r="CJ263" i="25"/>
  <c r="CI263" i="25"/>
  <c r="CH263" i="25"/>
  <c r="CG263" i="25"/>
  <c r="BM263" i="25" s="1"/>
  <c r="CF263" i="25"/>
  <c r="CE263" i="25"/>
  <c r="CD263" i="25"/>
  <c r="CA263" i="25"/>
  <c r="BZ263" i="25"/>
  <c r="BT263" i="25"/>
  <c r="BR263" i="25"/>
  <c r="BW263" i="25" s="1"/>
  <c r="BN263" i="25"/>
  <c r="BH263" i="25"/>
  <c r="BF263" i="25"/>
  <c r="AX263" i="25"/>
  <c r="AY263" i="25" s="1"/>
  <c r="AU263" i="25"/>
  <c r="AT263" i="25"/>
  <c r="AS263" i="25"/>
  <c r="AR263" i="25"/>
  <c r="F263" i="25"/>
  <c r="BX263" i="25" s="1"/>
  <c r="BU263" i="25" s="1"/>
  <c r="CM262" i="25"/>
  <c r="CL262" i="25"/>
  <c r="CK262" i="25"/>
  <c r="CJ262" i="25"/>
  <c r="CI262" i="25"/>
  <c r="CH262" i="25"/>
  <c r="CG262" i="25"/>
  <c r="BO262" i="25" s="1"/>
  <c r="CF262" i="25"/>
  <c r="CE262" i="25"/>
  <c r="CD262" i="25"/>
  <c r="CA262" i="25"/>
  <c r="BZ262" i="25"/>
  <c r="BT262" i="25"/>
  <c r="BR262" i="25"/>
  <c r="BW262" i="25" s="1"/>
  <c r="BN262" i="25"/>
  <c r="BH262" i="25"/>
  <c r="BF262" i="25"/>
  <c r="AX262" i="25"/>
  <c r="AY262" i="25" s="1"/>
  <c r="AU262" i="25"/>
  <c r="AT262" i="25"/>
  <c r="AS262" i="25"/>
  <c r="AR262" i="25"/>
  <c r="F262" i="25"/>
  <c r="CC262" i="25" s="1"/>
  <c r="CM261" i="25"/>
  <c r="CL261" i="25"/>
  <c r="CK261" i="25"/>
  <c r="CJ261" i="25"/>
  <c r="CI261" i="25"/>
  <c r="CH261" i="25"/>
  <c r="CG261" i="25"/>
  <c r="BM261" i="25" s="1"/>
  <c r="CF261" i="25"/>
  <c r="CE261" i="25"/>
  <c r="CD261" i="25"/>
  <c r="CA261" i="25"/>
  <c r="BZ261" i="25"/>
  <c r="BT261" i="25"/>
  <c r="BR261" i="25"/>
  <c r="BW261" i="25" s="1"/>
  <c r="BN261" i="25"/>
  <c r="BH261" i="25"/>
  <c r="BF261" i="25"/>
  <c r="AX261" i="25"/>
  <c r="AY261" i="25" s="1"/>
  <c r="AU261" i="25"/>
  <c r="AT261" i="25"/>
  <c r="AS261" i="25"/>
  <c r="AR261" i="25"/>
  <c r="F261" i="25"/>
  <c r="BX261" i="25" s="1"/>
  <c r="BU261" i="25" s="1"/>
  <c r="CM260" i="25"/>
  <c r="CL260" i="25"/>
  <c r="CK260" i="25"/>
  <c r="CJ260" i="25"/>
  <c r="CI260" i="25"/>
  <c r="CH260" i="25"/>
  <c r="CG260" i="25"/>
  <c r="CF260" i="25"/>
  <c r="CE260" i="25"/>
  <c r="CD260" i="25"/>
  <c r="CA260" i="25"/>
  <c r="BZ260" i="25"/>
  <c r="BT260" i="25"/>
  <c r="BR260" i="25"/>
  <c r="BW260" i="25" s="1"/>
  <c r="BN260" i="25"/>
  <c r="BH260" i="25"/>
  <c r="BF260" i="25"/>
  <c r="BE260" i="25" s="1"/>
  <c r="AX260" i="25"/>
  <c r="AU260" i="25"/>
  <c r="AT260" i="25"/>
  <c r="AS260" i="25"/>
  <c r="AR260" i="25"/>
  <c r="F260" i="25"/>
  <c r="BX260" i="25" s="1"/>
  <c r="BU260" i="25" s="1"/>
  <c r="CM259" i="25"/>
  <c r="CL259" i="25"/>
  <c r="CK259" i="25"/>
  <c r="CJ259" i="25"/>
  <c r="CI259" i="25"/>
  <c r="CH259" i="25"/>
  <c r="CG259" i="25"/>
  <c r="BO259" i="25" s="1"/>
  <c r="CF259" i="25"/>
  <c r="CE259" i="25"/>
  <c r="CD259" i="25"/>
  <c r="CA259" i="25"/>
  <c r="BZ259" i="25"/>
  <c r="BT259" i="25"/>
  <c r="BR259" i="25"/>
  <c r="BW259" i="25" s="1"/>
  <c r="BN259" i="25"/>
  <c r="BH259" i="25"/>
  <c r="BF259" i="25"/>
  <c r="AX259" i="25"/>
  <c r="AY259" i="25" s="1"/>
  <c r="AU259" i="25"/>
  <c r="AT259" i="25"/>
  <c r="AS259" i="25"/>
  <c r="AR259" i="25"/>
  <c r="F259" i="25"/>
  <c r="BX259" i="25" s="1"/>
  <c r="BU259" i="25" s="1"/>
  <c r="CM258" i="25"/>
  <c r="CL258" i="25"/>
  <c r="CK258" i="25"/>
  <c r="CJ258" i="25"/>
  <c r="CI258" i="25"/>
  <c r="CH258" i="25"/>
  <c r="CG258" i="25"/>
  <c r="BT258" i="25" s="1"/>
  <c r="CF258" i="25"/>
  <c r="CE258" i="25"/>
  <c r="CD258" i="25"/>
  <c r="CC258" i="25"/>
  <c r="CA258" i="25"/>
  <c r="BZ258" i="25"/>
  <c r="BY258" i="25"/>
  <c r="BS258" i="25" s="1"/>
  <c r="BX258" i="25"/>
  <c r="BU258" i="25" s="1"/>
  <c r="BR258" i="25"/>
  <c r="BW258" i="25" s="1"/>
  <c r="BH258" i="25"/>
  <c r="BN258" i="25" s="1"/>
  <c r="BF258" i="25"/>
  <c r="AX258" i="25"/>
  <c r="AY258" i="25" s="1"/>
  <c r="AU258" i="25"/>
  <c r="AT258" i="25"/>
  <c r="AS258" i="25"/>
  <c r="AR258" i="25"/>
  <c r="CM257" i="25"/>
  <c r="CL257" i="25"/>
  <c r="CK257" i="25"/>
  <c r="CJ257" i="25"/>
  <c r="CI257" i="25"/>
  <c r="CH257" i="25"/>
  <c r="CG257" i="25"/>
  <c r="BT257" i="25" s="1"/>
  <c r="CF257" i="25"/>
  <c r="CE257" i="25"/>
  <c r="CD257" i="25"/>
  <c r="CC257" i="25"/>
  <c r="CA257" i="25"/>
  <c r="BZ257" i="25"/>
  <c r="BY257" i="25"/>
  <c r="BS257" i="25" s="1"/>
  <c r="BX257" i="25"/>
  <c r="BU257" i="25" s="1"/>
  <c r="BR257" i="25"/>
  <c r="BW257" i="25" s="1"/>
  <c r="BH257" i="25"/>
  <c r="BN257" i="25" s="1"/>
  <c r="BF257" i="25"/>
  <c r="AX257" i="25"/>
  <c r="AY257" i="25" s="1"/>
  <c r="AU257" i="25"/>
  <c r="AT257" i="25"/>
  <c r="AS257" i="25"/>
  <c r="AR257" i="25"/>
  <c r="CM256" i="25"/>
  <c r="CL256" i="25"/>
  <c r="CK256" i="25"/>
  <c r="CJ256" i="25"/>
  <c r="CI256" i="25"/>
  <c r="CH256" i="25"/>
  <c r="CG256" i="25"/>
  <c r="BT256" i="25" s="1"/>
  <c r="CF256" i="25"/>
  <c r="CE256" i="25"/>
  <c r="CD256" i="25"/>
  <c r="CC256" i="25"/>
  <c r="CA256" i="25"/>
  <c r="BZ256" i="25"/>
  <c r="BY256" i="25"/>
  <c r="BS256" i="25" s="1"/>
  <c r="BX256" i="25"/>
  <c r="BU256" i="25" s="1"/>
  <c r="BR256" i="25"/>
  <c r="BW256" i="25" s="1"/>
  <c r="BH256" i="25"/>
  <c r="BN256" i="25" s="1"/>
  <c r="BF256" i="25"/>
  <c r="AX256" i="25"/>
  <c r="AY256" i="25" s="1"/>
  <c r="AU256" i="25"/>
  <c r="AT256" i="25"/>
  <c r="AS256" i="25"/>
  <c r="AR256" i="25"/>
  <c r="CM255" i="25"/>
  <c r="CL255" i="25"/>
  <c r="CK255" i="25"/>
  <c r="CJ255" i="25"/>
  <c r="CI255" i="25"/>
  <c r="CH255" i="25"/>
  <c r="CG255" i="25"/>
  <c r="BT255" i="25" s="1"/>
  <c r="CF255" i="25"/>
  <c r="CE255" i="25"/>
  <c r="CD255" i="25"/>
  <c r="CC255" i="25"/>
  <c r="CA255" i="25"/>
  <c r="BZ255" i="25"/>
  <c r="BY255" i="25"/>
  <c r="BS255" i="25" s="1"/>
  <c r="BX255" i="25"/>
  <c r="BU255" i="25" s="1"/>
  <c r="BR255" i="25"/>
  <c r="BW255" i="25" s="1"/>
  <c r="BN255" i="25"/>
  <c r="BH255" i="25"/>
  <c r="BF255" i="25"/>
  <c r="AX255" i="25"/>
  <c r="AY255" i="25" s="1"/>
  <c r="AU255" i="25"/>
  <c r="AT255" i="25"/>
  <c r="AS255" i="25"/>
  <c r="AR255" i="25"/>
  <c r="CM254" i="25"/>
  <c r="CL254" i="25"/>
  <c r="CK254" i="25"/>
  <c r="CJ254" i="25"/>
  <c r="CI254" i="25"/>
  <c r="CH254" i="25"/>
  <c r="CG254" i="25"/>
  <c r="BT254" i="25" s="1"/>
  <c r="CF254" i="25"/>
  <c r="CE254" i="25"/>
  <c r="CD254" i="25"/>
  <c r="CC254" i="25"/>
  <c r="CA254" i="25"/>
  <c r="BZ254" i="25"/>
  <c r="BY254" i="25"/>
  <c r="BS254" i="25" s="1"/>
  <c r="BX254" i="25"/>
  <c r="BU254" i="25" s="1"/>
  <c r="BR254" i="25"/>
  <c r="BW254" i="25" s="1"/>
  <c r="BH254" i="25"/>
  <c r="BN254" i="25" s="1"/>
  <c r="BF254" i="25"/>
  <c r="AX254" i="25"/>
  <c r="AY254" i="25" s="1"/>
  <c r="AU254" i="25"/>
  <c r="AT254" i="25"/>
  <c r="AS254" i="25"/>
  <c r="AR254" i="25"/>
  <c r="CM253" i="25"/>
  <c r="CL253" i="25"/>
  <c r="CK253" i="25"/>
  <c r="CJ253" i="25"/>
  <c r="CI253" i="25"/>
  <c r="CH253" i="25"/>
  <c r="CG253" i="25"/>
  <c r="BM253" i="25" s="1"/>
  <c r="BL253" i="25" s="1"/>
  <c r="CF253" i="25"/>
  <c r="CE253" i="25"/>
  <c r="CD253" i="25"/>
  <c r="CA253" i="25"/>
  <c r="BZ253" i="25"/>
  <c r="BT253" i="25"/>
  <c r="BR253" i="25"/>
  <c r="BW253" i="25" s="1"/>
  <c r="BN253" i="25"/>
  <c r="BH253" i="25"/>
  <c r="BF253" i="25"/>
  <c r="AX253" i="25"/>
  <c r="AY253" i="25" s="1"/>
  <c r="AU253" i="25"/>
  <c r="AT253" i="25"/>
  <c r="AS253" i="25"/>
  <c r="AR253" i="25"/>
  <c r="F253" i="25"/>
  <c r="BX253" i="25" s="1"/>
  <c r="BU253" i="25" s="1"/>
  <c r="CM252" i="25"/>
  <c r="CL252" i="25"/>
  <c r="CK252" i="25"/>
  <c r="CJ252" i="25"/>
  <c r="CI252" i="25"/>
  <c r="CH252" i="25"/>
  <c r="CG252" i="25"/>
  <c r="BO252" i="25" s="1"/>
  <c r="CF252" i="25"/>
  <c r="CE252" i="25"/>
  <c r="CD252" i="25"/>
  <c r="CA252" i="25"/>
  <c r="BZ252" i="25"/>
  <c r="BT252" i="25"/>
  <c r="BR252" i="25"/>
  <c r="BW252" i="25" s="1"/>
  <c r="BN252" i="25"/>
  <c r="BH252" i="25"/>
  <c r="BF252" i="25"/>
  <c r="AX252" i="25"/>
  <c r="AU252" i="25"/>
  <c r="AT252" i="25"/>
  <c r="AS252" i="25"/>
  <c r="AR252" i="25"/>
  <c r="F252" i="25"/>
  <c r="CC252" i="25" s="1"/>
  <c r="CM251" i="25"/>
  <c r="CL251" i="25"/>
  <c r="CK251" i="25"/>
  <c r="CJ251" i="25"/>
  <c r="CI251" i="25"/>
  <c r="CH251" i="25"/>
  <c r="CG251" i="25"/>
  <c r="BO251" i="25" s="1"/>
  <c r="CF251" i="25"/>
  <c r="CE251" i="25"/>
  <c r="CD251" i="25"/>
  <c r="CA251" i="25"/>
  <c r="BZ251" i="25"/>
  <c r="BT251" i="25"/>
  <c r="BR251" i="25"/>
  <c r="BW251" i="25" s="1"/>
  <c r="BN251" i="25"/>
  <c r="BH251" i="25"/>
  <c r="BF251" i="25"/>
  <c r="AX251" i="25"/>
  <c r="AY251" i="25" s="1"/>
  <c r="AU251" i="25"/>
  <c r="AT251" i="25"/>
  <c r="AS251" i="25"/>
  <c r="AR251" i="25"/>
  <c r="F251" i="25"/>
  <c r="CC251" i="25" s="1"/>
  <c r="CM250" i="25"/>
  <c r="CL250" i="25"/>
  <c r="CK250" i="25"/>
  <c r="CJ250" i="25"/>
  <c r="CI250" i="25"/>
  <c r="CH250" i="25"/>
  <c r="CG250" i="25"/>
  <c r="BO250" i="25" s="1"/>
  <c r="CF250" i="25"/>
  <c r="CE250" i="25"/>
  <c r="CD250" i="25"/>
  <c r="CA250" i="25"/>
  <c r="BZ250" i="25"/>
  <c r="BT250" i="25"/>
  <c r="BR250" i="25"/>
  <c r="BW250" i="25" s="1"/>
  <c r="BN250" i="25"/>
  <c r="BH250" i="25"/>
  <c r="BF250" i="25"/>
  <c r="AX250" i="25"/>
  <c r="AY250" i="25" s="1"/>
  <c r="AU250" i="25"/>
  <c r="AT250" i="25"/>
  <c r="AS250" i="25"/>
  <c r="AR250" i="25"/>
  <c r="F250" i="25"/>
  <c r="CC250" i="25" s="1"/>
  <c r="CM249" i="25"/>
  <c r="CL249" i="25"/>
  <c r="CK249" i="25"/>
  <c r="CJ249" i="25"/>
  <c r="CI249" i="25"/>
  <c r="CH249" i="25"/>
  <c r="CG249" i="25"/>
  <c r="BI249" i="25" s="1"/>
  <c r="BJ249" i="25" s="1"/>
  <c r="CF249" i="25"/>
  <c r="CE249" i="25"/>
  <c r="CD249" i="25"/>
  <c r="CA249" i="25"/>
  <c r="BZ249" i="25"/>
  <c r="BT249" i="25"/>
  <c r="BR249" i="25"/>
  <c r="BW249" i="25" s="1"/>
  <c r="BN249" i="25"/>
  <c r="BH249" i="25"/>
  <c r="BF249" i="25"/>
  <c r="AX249" i="25"/>
  <c r="AY249" i="25" s="1"/>
  <c r="AU249" i="25"/>
  <c r="AT249" i="25"/>
  <c r="AS249" i="25"/>
  <c r="AR249" i="25"/>
  <c r="F249" i="25"/>
  <c r="BX249" i="25" s="1"/>
  <c r="BU249" i="25" s="1"/>
  <c r="CM248" i="25"/>
  <c r="CL248" i="25"/>
  <c r="CK248" i="25"/>
  <c r="CJ248" i="25"/>
  <c r="CI248" i="25"/>
  <c r="CH248" i="25"/>
  <c r="CG248" i="25"/>
  <c r="BI248" i="25" s="1"/>
  <c r="BJ248" i="25" s="1"/>
  <c r="CF248" i="25"/>
  <c r="CE248" i="25"/>
  <c r="CD248" i="25"/>
  <c r="CC248" i="25"/>
  <c r="CA248" i="25"/>
  <c r="BZ248" i="25"/>
  <c r="BY248" i="25"/>
  <c r="BS248" i="25" s="1"/>
  <c r="BX248" i="25"/>
  <c r="BU248" i="25" s="1"/>
  <c r="BT248" i="25"/>
  <c r="BR248" i="25"/>
  <c r="BW248" i="25" s="1"/>
  <c r="BN248" i="25"/>
  <c r="BH248" i="25"/>
  <c r="BF248" i="25"/>
  <c r="AX248" i="25"/>
  <c r="AU248" i="25"/>
  <c r="AT248" i="25"/>
  <c r="AS248" i="25"/>
  <c r="AR248" i="25"/>
  <c r="CM247" i="25"/>
  <c r="CL247" i="25"/>
  <c r="CK247" i="25"/>
  <c r="CJ247" i="25"/>
  <c r="CI247" i="25"/>
  <c r="CH247" i="25"/>
  <c r="CG247" i="25"/>
  <c r="BT247" i="25" s="1"/>
  <c r="CF247" i="25"/>
  <c r="CE247" i="25"/>
  <c r="CD247" i="25"/>
  <c r="CC247" i="25"/>
  <c r="CA247" i="25"/>
  <c r="BZ247" i="25"/>
  <c r="BY247" i="25"/>
  <c r="BS247" i="25" s="1"/>
  <c r="BX247" i="25"/>
  <c r="BU247" i="25" s="1"/>
  <c r="BR247" i="25"/>
  <c r="BW247" i="25" s="1"/>
  <c r="BN247" i="25"/>
  <c r="BH247" i="25"/>
  <c r="BF247" i="25"/>
  <c r="AX247" i="25"/>
  <c r="AU247" i="25"/>
  <c r="AT247" i="25"/>
  <c r="AS247" i="25"/>
  <c r="AR247" i="25"/>
  <c r="CM246" i="25"/>
  <c r="CL246" i="25"/>
  <c r="CK246" i="25"/>
  <c r="CJ246" i="25"/>
  <c r="CI246" i="25"/>
  <c r="CH246" i="25"/>
  <c r="CG246" i="25"/>
  <c r="BM246" i="25" s="1"/>
  <c r="CF246" i="25"/>
  <c r="CE246" i="25"/>
  <c r="CD246" i="25"/>
  <c r="CC246" i="25"/>
  <c r="CA246" i="25"/>
  <c r="BZ246" i="25"/>
  <c r="BY246" i="25"/>
  <c r="BS246" i="25" s="1"/>
  <c r="BX246" i="25"/>
  <c r="BU246" i="25" s="1"/>
  <c r="BT246" i="25"/>
  <c r="BR246" i="25"/>
  <c r="BW246" i="25" s="1"/>
  <c r="BN246" i="25"/>
  <c r="BI246" i="25"/>
  <c r="BJ246" i="25" s="1"/>
  <c r="BH246" i="25"/>
  <c r="BF246" i="25"/>
  <c r="AX246" i="25"/>
  <c r="AU246" i="25"/>
  <c r="AV246" i="25" s="1"/>
  <c r="AW246" i="25" s="1"/>
  <c r="AT246" i="25"/>
  <c r="AS246" i="25"/>
  <c r="AR246" i="25"/>
  <c r="CM245" i="25"/>
  <c r="CL245" i="25"/>
  <c r="CK245" i="25"/>
  <c r="CJ245" i="25"/>
  <c r="CI245" i="25"/>
  <c r="CH245" i="25"/>
  <c r="CG245" i="25"/>
  <c r="BM245" i="25" s="1"/>
  <c r="CF245" i="25"/>
  <c r="CE245" i="25"/>
  <c r="CD245" i="25"/>
  <c r="CC245" i="25"/>
  <c r="CA245" i="25"/>
  <c r="BZ245" i="25"/>
  <c r="BY245" i="25"/>
  <c r="BS245" i="25" s="1"/>
  <c r="BX245" i="25"/>
  <c r="BU245" i="25" s="1"/>
  <c r="BT245" i="25"/>
  <c r="BR245" i="25"/>
  <c r="BW245" i="25" s="1"/>
  <c r="BN245" i="25"/>
  <c r="BH245" i="25"/>
  <c r="BF245" i="25"/>
  <c r="AX245" i="25"/>
  <c r="AU245" i="25"/>
  <c r="AT245" i="25"/>
  <c r="AS245" i="25"/>
  <c r="AR245" i="25"/>
  <c r="CM244" i="25"/>
  <c r="CL244" i="25"/>
  <c r="CK244" i="25"/>
  <c r="CJ244" i="25"/>
  <c r="CI244" i="25"/>
  <c r="CH244" i="25"/>
  <c r="CG244" i="25"/>
  <c r="BM244" i="25" s="1"/>
  <c r="CF244" i="25"/>
  <c r="CE244" i="25"/>
  <c r="CD244" i="25"/>
  <c r="CC244" i="25"/>
  <c r="CA244" i="25"/>
  <c r="BZ244" i="25"/>
  <c r="BY244" i="25"/>
  <c r="BS244" i="25" s="1"/>
  <c r="BX244" i="25"/>
  <c r="BU244" i="25" s="1"/>
  <c r="BT244" i="25"/>
  <c r="BR244" i="25"/>
  <c r="BW244" i="25" s="1"/>
  <c r="BN244" i="25"/>
  <c r="BH244" i="25"/>
  <c r="BF244" i="25"/>
  <c r="AX244" i="25"/>
  <c r="AU244" i="25"/>
  <c r="AT244" i="25"/>
  <c r="AS244" i="25"/>
  <c r="AR244" i="25"/>
  <c r="CM243" i="25"/>
  <c r="CL243" i="25"/>
  <c r="CK243" i="25"/>
  <c r="CJ243" i="25"/>
  <c r="CI243" i="25"/>
  <c r="CH243" i="25"/>
  <c r="CG243" i="25"/>
  <c r="BT243" i="25" s="1"/>
  <c r="CF243" i="25"/>
  <c r="CE243" i="25"/>
  <c r="CD243" i="25"/>
  <c r="CC243" i="25"/>
  <c r="CA243" i="25"/>
  <c r="BZ243" i="25"/>
  <c r="BY243" i="25"/>
  <c r="BS243" i="25" s="1"/>
  <c r="BX243" i="25"/>
  <c r="BU243" i="25" s="1"/>
  <c r="BR243" i="25"/>
  <c r="BW243" i="25" s="1"/>
  <c r="BN243" i="25"/>
  <c r="BM243" i="25"/>
  <c r="BH243" i="25"/>
  <c r="BF243" i="25"/>
  <c r="AX243" i="25"/>
  <c r="AU243" i="25"/>
  <c r="AT243" i="25"/>
  <c r="AS243" i="25"/>
  <c r="AR243" i="25"/>
  <c r="CM242" i="25"/>
  <c r="CL242" i="25"/>
  <c r="CK242" i="25"/>
  <c r="CJ242" i="25"/>
  <c r="CI242" i="25"/>
  <c r="CH242" i="25"/>
  <c r="CG242" i="25"/>
  <c r="BM242" i="25" s="1"/>
  <c r="CF242" i="25"/>
  <c r="CE242" i="25"/>
  <c r="CD242" i="25"/>
  <c r="CC242" i="25"/>
  <c r="CA242" i="25"/>
  <c r="BZ242" i="25"/>
  <c r="BY242" i="25"/>
  <c r="BS242" i="25" s="1"/>
  <c r="BX242" i="25"/>
  <c r="BU242" i="25" s="1"/>
  <c r="BT242" i="25"/>
  <c r="BR242" i="25"/>
  <c r="BW242" i="25" s="1"/>
  <c r="BN242" i="25"/>
  <c r="BH242" i="25"/>
  <c r="BF242" i="25"/>
  <c r="AX242" i="25"/>
  <c r="AU242" i="25"/>
  <c r="AT242" i="25"/>
  <c r="AS242" i="25"/>
  <c r="AR242" i="25"/>
  <c r="CM241" i="25"/>
  <c r="CL241" i="25"/>
  <c r="CK241" i="25"/>
  <c r="CJ241" i="25"/>
  <c r="CI241" i="25"/>
  <c r="CH241" i="25"/>
  <c r="CG241" i="25"/>
  <c r="BM241" i="25" s="1"/>
  <c r="CF241" i="25"/>
  <c r="CE241" i="25"/>
  <c r="CD241" i="25"/>
  <c r="CC241" i="25"/>
  <c r="CA241" i="25"/>
  <c r="BZ241" i="25"/>
  <c r="BY241" i="25"/>
  <c r="BS241" i="25" s="1"/>
  <c r="BX241" i="25"/>
  <c r="BU241" i="25" s="1"/>
  <c r="BT241" i="25"/>
  <c r="BR241" i="25"/>
  <c r="BW241" i="25" s="1"/>
  <c r="BN241" i="25"/>
  <c r="BI241" i="25"/>
  <c r="BJ241" i="25" s="1"/>
  <c r="BH241" i="25"/>
  <c r="BF241" i="25"/>
  <c r="AX241" i="25"/>
  <c r="AU241" i="25"/>
  <c r="AV241" i="25" s="1"/>
  <c r="AW241" i="25" s="1"/>
  <c r="AT241" i="25"/>
  <c r="AS241" i="25"/>
  <c r="AR241" i="25"/>
  <c r="CM240" i="25"/>
  <c r="CL240" i="25"/>
  <c r="CK240" i="25"/>
  <c r="CJ240" i="25"/>
  <c r="CI240" i="25"/>
  <c r="CH240" i="25"/>
  <c r="CG240" i="25"/>
  <c r="BT240" i="25" s="1"/>
  <c r="CF240" i="25"/>
  <c r="CE240" i="25"/>
  <c r="CD240" i="25"/>
  <c r="CC240" i="25"/>
  <c r="CA240" i="25"/>
  <c r="BZ240" i="25"/>
  <c r="BY240" i="25"/>
  <c r="BS240" i="25" s="1"/>
  <c r="BX240" i="25"/>
  <c r="BU240" i="25" s="1"/>
  <c r="BR240" i="25"/>
  <c r="BW240" i="25" s="1"/>
  <c r="BN240" i="25"/>
  <c r="BM240" i="25"/>
  <c r="BH240" i="25"/>
  <c r="BF240" i="25"/>
  <c r="AX240" i="25"/>
  <c r="AU240" i="25"/>
  <c r="AT240" i="25"/>
  <c r="AS240" i="25"/>
  <c r="AR240" i="25"/>
  <c r="CM239" i="25"/>
  <c r="CL239" i="25"/>
  <c r="CK239" i="25"/>
  <c r="CJ239" i="25"/>
  <c r="CI239" i="25"/>
  <c r="CH239" i="25"/>
  <c r="CG239" i="25"/>
  <c r="BT239" i="25" s="1"/>
  <c r="CF239" i="25"/>
  <c r="CE239" i="25"/>
  <c r="CD239" i="25"/>
  <c r="CC239" i="25"/>
  <c r="CA239" i="25"/>
  <c r="BZ239" i="25"/>
  <c r="BY239" i="25"/>
  <c r="BS239" i="25" s="1"/>
  <c r="BX239" i="25"/>
  <c r="BU239" i="25" s="1"/>
  <c r="BR239" i="25"/>
  <c r="BW239" i="25" s="1"/>
  <c r="BN239" i="25"/>
  <c r="BH239" i="25"/>
  <c r="BF239" i="25"/>
  <c r="AX239" i="25"/>
  <c r="AU239" i="25"/>
  <c r="AT239" i="25"/>
  <c r="AS239" i="25"/>
  <c r="AR239" i="25"/>
  <c r="CM238" i="25"/>
  <c r="CL238" i="25"/>
  <c r="CK238" i="25"/>
  <c r="CJ238" i="25"/>
  <c r="CI238" i="25"/>
  <c r="CH238" i="25"/>
  <c r="CG238" i="25"/>
  <c r="BT238" i="25" s="1"/>
  <c r="CF238" i="25"/>
  <c r="CE238" i="25"/>
  <c r="CD238" i="25"/>
  <c r="CC238" i="25"/>
  <c r="CA238" i="25"/>
  <c r="BZ238" i="25"/>
  <c r="BY238" i="25"/>
  <c r="BS238" i="25" s="1"/>
  <c r="BX238" i="25"/>
  <c r="BU238" i="25" s="1"/>
  <c r="BR238" i="25"/>
  <c r="BW238" i="25" s="1"/>
  <c r="BN238" i="25"/>
  <c r="BH238" i="25"/>
  <c r="BF238" i="25"/>
  <c r="AX238" i="25"/>
  <c r="AU238" i="25"/>
  <c r="AT238" i="25"/>
  <c r="AS238" i="25"/>
  <c r="AR238" i="25"/>
  <c r="CM237" i="25"/>
  <c r="CL237" i="25"/>
  <c r="CK237" i="25"/>
  <c r="CJ237" i="25"/>
  <c r="CI237" i="25"/>
  <c r="CH237" i="25"/>
  <c r="CG237" i="25"/>
  <c r="BM237" i="25" s="1"/>
  <c r="CF237" i="25"/>
  <c r="CE237" i="25"/>
  <c r="CD237" i="25"/>
  <c r="CC237" i="25"/>
  <c r="CA237" i="25"/>
  <c r="BZ237" i="25"/>
  <c r="BY237" i="25"/>
  <c r="BS237" i="25" s="1"/>
  <c r="BX237" i="25"/>
  <c r="BU237" i="25" s="1"/>
  <c r="BR237" i="25"/>
  <c r="BW237" i="25" s="1"/>
  <c r="BN237" i="25"/>
  <c r="BH237" i="25"/>
  <c r="BF237" i="25"/>
  <c r="AX237" i="25"/>
  <c r="AU237" i="25"/>
  <c r="AT237" i="25"/>
  <c r="AS237" i="25"/>
  <c r="AR237" i="25"/>
  <c r="CM236" i="25"/>
  <c r="CL236" i="25"/>
  <c r="CK236" i="25"/>
  <c r="CJ236" i="25"/>
  <c r="CI236" i="25"/>
  <c r="CH236" i="25"/>
  <c r="CG236" i="25"/>
  <c r="BM236" i="25" s="1"/>
  <c r="CF236" i="25"/>
  <c r="CE236" i="25"/>
  <c r="CD236" i="25"/>
  <c r="CC236" i="25"/>
  <c r="CA236" i="25"/>
  <c r="BZ236" i="25"/>
  <c r="BY236" i="25"/>
  <c r="BS236" i="25" s="1"/>
  <c r="BX236" i="25"/>
  <c r="BU236" i="25" s="1"/>
  <c r="BR236" i="25"/>
  <c r="BW236" i="25" s="1"/>
  <c r="BN236" i="25"/>
  <c r="BH236" i="25"/>
  <c r="BF236" i="25"/>
  <c r="AX236" i="25"/>
  <c r="AU236" i="25"/>
  <c r="AT236" i="25"/>
  <c r="AS236" i="25"/>
  <c r="AR236" i="25"/>
  <c r="CM235" i="25"/>
  <c r="CL235" i="25"/>
  <c r="CK235" i="25"/>
  <c r="CJ235" i="25"/>
  <c r="CI235" i="25"/>
  <c r="CH235" i="25"/>
  <c r="CG235" i="25"/>
  <c r="BO235" i="25" s="1"/>
  <c r="CF235" i="25"/>
  <c r="CE235" i="25"/>
  <c r="CD235" i="25"/>
  <c r="CC235" i="25"/>
  <c r="CA235" i="25"/>
  <c r="BZ235" i="25"/>
  <c r="BY235" i="25"/>
  <c r="BX235" i="25"/>
  <c r="BU235" i="25" s="1"/>
  <c r="BT235" i="25"/>
  <c r="BS235" i="25"/>
  <c r="BR235" i="25"/>
  <c r="BW235" i="25" s="1"/>
  <c r="BN235" i="25"/>
  <c r="BM235" i="25"/>
  <c r="BH235" i="25"/>
  <c r="BF235" i="25"/>
  <c r="AX235" i="25"/>
  <c r="AU235" i="25"/>
  <c r="AT235" i="25"/>
  <c r="AS235" i="25"/>
  <c r="AR235" i="25"/>
  <c r="CM234" i="25"/>
  <c r="CL234" i="25"/>
  <c r="CK234" i="25"/>
  <c r="CJ234" i="25"/>
  <c r="CI234" i="25"/>
  <c r="CH234" i="25"/>
  <c r="CG234" i="25"/>
  <c r="BT234" i="25" s="1"/>
  <c r="CF234" i="25"/>
  <c r="CE234" i="25"/>
  <c r="CD234" i="25"/>
  <c r="CC234" i="25"/>
  <c r="CA234" i="25"/>
  <c r="BZ234" i="25"/>
  <c r="BY234" i="25"/>
  <c r="BS234" i="25" s="1"/>
  <c r="BX234" i="25"/>
  <c r="BU234" i="25" s="1"/>
  <c r="BR234" i="25"/>
  <c r="BW234" i="25" s="1"/>
  <c r="BN234" i="25"/>
  <c r="BI234" i="25"/>
  <c r="BJ234" i="25" s="1"/>
  <c r="BH234" i="25"/>
  <c r="BF234" i="25"/>
  <c r="AX234" i="25"/>
  <c r="AU234" i="25"/>
  <c r="AV234" i="25" s="1"/>
  <c r="AW234" i="25" s="1"/>
  <c r="AT234" i="25"/>
  <c r="AS234" i="25"/>
  <c r="AR234" i="25"/>
  <c r="BG234" i="25" s="1"/>
  <c r="CM233" i="25"/>
  <c r="CL233" i="25"/>
  <c r="CK233" i="25"/>
  <c r="CJ233" i="25"/>
  <c r="CI233" i="25"/>
  <c r="CH233" i="25"/>
  <c r="CG233" i="25"/>
  <c r="BM233" i="25" s="1"/>
  <c r="CF233" i="25"/>
  <c r="CE233" i="25"/>
  <c r="CD233" i="25"/>
  <c r="CC233" i="25"/>
  <c r="CA233" i="25"/>
  <c r="BZ233" i="25"/>
  <c r="BY233" i="25"/>
  <c r="BX233" i="25"/>
  <c r="BU233" i="25" s="1"/>
  <c r="BT233" i="25"/>
  <c r="BS233" i="25"/>
  <c r="BR233" i="25"/>
  <c r="BW233" i="25" s="1"/>
  <c r="BO233" i="25"/>
  <c r="BN233" i="25"/>
  <c r="BI233" i="25"/>
  <c r="BJ233" i="25" s="1"/>
  <c r="BH233" i="25"/>
  <c r="BL233" i="25" s="1"/>
  <c r="BK233" i="25" s="1"/>
  <c r="BF233" i="25"/>
  <c r="AX233" i="25"/>
  <c r="AU233" i="25"/>
  <c r="AV233" i="25" s="1"/>
  <c r="AW233" i="25" s="1"/>
  <c r="AT233" i="25"/>
  <c r="AS233" i="25"/>
  <c r="AR233" i="25"/>
  <c r="CM232" i="25"/>
  <c r="CL232" i="25"/>
  <c r="CK232" i="25"/>
  <c r="CJ232" i="25"/>
  <c r="CI232" i="25"/>
  <c r="CH232" i="25"/>
  <c r="CG232" i="25"/>
  <c r="BO232" i="25" s="1"/>
  <c r="CF232" i="25"/>
  <c r="CE232" i="25"/>
  <c r="CD232" i="25"/>
  <c r="CC232" i="25"/>
  <c r="CA232" i="25"/>
  <c r="BZ232" i="25"/>
  <c r="CB232" i="25" s="1"/>
  <c r="BY232" i="25"/>
  <c r="BS232" i="25" s="1"/>
  <c r="BX232" i="25"/>
  <c r="BU232" i="25" s="1"/>
  <c r="BR232" i="25"/>
  <c r="BW232" i="25" s="1"/>
  <c r="BN232" i="25"/>
  <c r="BH232" i="25"/>
  <c r="BF232" i="25"/>
  <c r="AX232" i="25"/>
  <c r="AU232" i="25"/>
  <c r="AT232" i="25"/>
  <c r="AS232" i="25"/>
  <c r="AR232" i="25"/>
  <c r="CM231" i="25"/>
  <c r="CL231" i="25"/>
  <c r="CK231" i="25"/>
  <c r="CJ231" i="25"/>
  <c r="CI231" i="25"/>
  <c r="CH231" i="25"/>
  <c r="CG231" i="25"/>
  <c r="CF231" i="25"/>
  <c r="CE231" i="25"/>
  <c r="CD231" i="25"/>
  <c r="CC231" i="25"/>
  <c r="CA231" i="25"/>
  <c r="BZ231" i="25"/>
  <c r="BY231" i="25"/>
  <c r="BS231" i="25" s="1"/>
  <c r="BX231" i="25"/>
  <c r="BU231" i="25" s="1"/>
  <c r="BR231" i="25"/>
  <c r="BW231" i="25" s="1"/>
  <c r="BN231" i="25"/>
  <c r="BH231" i="25"/>
  <c r="BF231" i="25"/>
  <c r="AX231" i="25"/>
  <c r="AU231" i="25"/>
  <c r="AT231" i="25"/>
  <c r="AS231" i="25"/>
  <c r="AR231" i="25"/>
  <c r="CM230" i="25"/>
  <c r="CL230" i="25"/>
  <c r="CK230" i="25"/>
  <c r="CJ230" i="25"/>
  <c r="CI230" i="25"/>
  <c r="CH230" i="25"/>
  <c r="CG230" i="25"/>
  <c r="BO230" i="25" s="1"/>
  <c r="CF230" i="25"/>
  <c r="CE230" i="25"/>
  <c r="CD230" i="25"/>
  <c r="CC230" i="25"/>
  <c r="CA230" i="25"/>
  <c r="BZ230" i="25"/>
  <c r="BY230" i="25"/>
  <c r="BS230" i="25" s="1"/>
  <c r="BX230" i="25"/>
  <c r="BU230" i="25" s="1"/>
  <c r="BT230" i="25"/>
  <c r="BR230" i="25"/>
  <c r="BW230" i="25" s="1"/>
  <c r="BN230" i="25"/>
  <c r="BM230" i="25"/>
  <c r="BH230" i="25"/>
  <c r="BF230" i="25"/>
  <c r="AX230" i="25"/>
  <c r="AU230" i="25"/>
  <c r="AT230" i="25"/>
  <c r="AS230" i="25"/>
  <c r="AR230" i="25"/>
  <c r="CM229" i="25"/>
  <c r="CL229" i="25"/>
  <c r="CK229" i="25"/>
  <c r="CJ229" i="25"/>
  <c r="CI229" i="25"/>
  <c r="CH229" i="25"/>
  <c r="CG229" i="25"/>
  <c r="BI229" i="25" s="1"/>
  <c r="BJ229" i="25" s="1"/>
  <c r="CF229" i="25"/>
  <c r="CE229" i="25"/>
  <c r="CD229" i="25"/>
  <c r="CC229" i="25"/>
  <c r="CA229" i="25"/>
  <c r="BZ229" i="25"/>
  <c r="BY229" i="25"/>
  <c r="BS229" i="25" s="1"/>
  <c r="BX229" i="25"/>
  <c r="BU229" i="25" s="1"/>
  <c r="BT229" i="25"/>
  <c r="BR229" i="25"/>
  <c r="BW229" i="25" s="1"/>
  <c r="BN229" i="25"/>
  <c r="BH229" i="25"/>
  <c r="BF229" i="25"/>
  <c r="AX229" i="25"/>
  <c r="AY229" i="25" s="1"/>
  <c r="AU229" i="25"/>
  <c r="AT229" i="25"/>
  <c r="AS229" i="25"/>
  <c r="AR229" i="25"/>
  <c r="CM228" i="25"/>
  <c r="CL228" i="25"/>
  <c r="CK228" i="25"/>
  <c r="CJ228" i="25"/>
  <c r="CI228" i="25"/>
  <c r="CH228" i="25"/>
  <c r="CG228" i="25"/>
  <c r="BM228" i="25" s="1"/>
  <c r="CF228" i="25"/>
  <c r="CE228" i="25"/>
  <c r="CD228" i="25"/>
  <c r="CC228" i="25"/>
  <c r="CA228" i="25"/>
  <c r="BZ228" i="25"/>
  <c r="BY228" i="25"/>
  <c r="BS228" i="25" s="1"/>
  <c r="BX228" i="25"/>
  <c r="BU228" i="25" s="1"/>
  <c r="BT228" i="25"/>
  <c r="BR228" i="25"/>
  <c r="BW228" i="25" s="1"/>
  <c r="BO228" i="25"/>
  <c r="BN228" i="25"/>
  <c r="BH228" i="25"/>
  <c r="BF228" i="25"/>
  <c r="AX228" i="25"/>
  <c r="AY228" i="25" s="1"/>
  <c r="AU228" i="25"/>
  <c r="AT228" i="25"/>
  <c r="AS228" i="25"/>
  <c r="AR228" i="25"/>
  <c r="CM227" i="25"/>
  <c r="CL227" i="25"/>
  <c r="CK227" i="25"/>
  <c r="CJ227" i="25"/>
  <c r="CI227" i="25"/>
  <c r="CH227" i="25"/>
  <c r="CG227" i="25"/>
  <c r="BM227" i="25" s="1"/>
  <c r="CF227" i="25"/>
  <c r="CE227" i="25"/>
  <c r="CD227" i="25"/>
  <c r="CC227" i="25"/>
  <c r="CA227" i="25"/>
  <c r="BZ227" i="25"/>
  <c r="BY227" i="25"/>
  <c r="BS227" i="25" s="1"/>
  <c r="BX227" i="25"/>
  <c r="BU227" i="25" s="1"/>
  <c r="BT227" i="25"/>
  <c r="BR227" i="25"/>
  <c r="BW227" i="25" s="1"/>
  <c r="BN227" i="25"/>
  <c r="BH227" i="25"/>
  <c r="BF227" i="25"/>
  <c r="AX227" i="25"/>
  <c r="AY227" i="25" s="1"/>
  <c r="AU227" i="25"/>
  <c r="AT227" i="25"/>
  <c r="AS227" i="25"/>
  <c r="AR227" i="25"/>
  <c r="CM226" i="25"/>
  <c r="CL226" i="25"/>
  <c r="CK226" i="25"/>
  <c r="CJ226" i="25"/>
  <c r="CI226" i="25"/>
  <c r="CH226" i="25"/>
  <c r="CG226" i="25"/>
  <c r="BO226" i="25" s="1"/>
  <c r="CF226" i="25"/>
  <c r="CE226" i="25"/>
  <c r="CD226" i="25"/>
  <c r="CC226" i="25"/>
  <c r="CA226" i="25"/>
  <c r="BZ226" i="25"/>
  <c r="BY226" i="25"/>
  <c r="BS226" i="25" s="1"/>
  <c r="BX226" i="25"/>
  <c r="BU226" i="25" s="1"/>
  <c r="BT226" i="25"/>
  <c r="BR226" i="25"/>
  <c r="BW226" i="25" s="1"/>
  <c r="BN226" i="25"/>
  <c r="BH226" i="25"/>
  <c r="BF226" i="25"/>
  <c r="AX226" i="25"/>
  <c r="AU226" i="25"/>
  <c r="AT226" i="25"/>
  <c r="AS226" i="25"/>
  <c r="AR226" i="25"/>
  <c r="CM225" i="25"/>
  <c r="CL225" i="25"/>
  <c r="CK225" i="25"/>
  <c r="CJ225" i="25"/>
  <c r="CI225" i="25"/>
  <c r="CH225" i="25"/>
  <c r="CG225" i="25"/>
  <c r="BO225" i="25" s="1"/>
  <c r="CF225" i="25"/>
  <c r="CE225" i="25"/>
  <c r="CD225" i="25"/>
  <c r="CA225" i="25"/>
  <c r="BZ225" i="25"/>
  <c r="BT225" i="25"/>
  <c r="BR225" i="25"/>
  <c r="BW225" i="25" s="1"/>
  <c r="BN225" i="25"/>
  <c r="BH225" i="25"/>
  <c r="BF225" i="25"/>
  <c r="AX225" i="25"/>
  <c r="AY225" i="25" s="1"/>
  <c r="AU225" i="25"/>
  <c r="AT225" i="25"/>
  <c r="AS225" i="25"/>
  <c r="AR225" i="25"/>
  <c r="F225" i="25"/>
  <c r="CM224" i="25"/>
  <c r="CL224" i="25"/>
  <c r="CK224" i="25"/>
  <c r="CJ224" i="25"/>
  <c r="CI224" i="25"/>
  <c r="CH224" i="25"/>
  <c r="CG224" i="25"/>
  <c r="BM224" i="25" s="1"/>
  <c r="CF224" i="25"/>
  <c r="CE224" i="25"/>
  <c r="CD224" i="25"/>
  <c r="CC224" i="25"/>
  <c r="CA224" i="25"/>
  <c r="BZ224" i="25"/>
  <c r="BY224" i="25"/>
  <c r="BS224" i="25" s="1"/>
  <c r="BX224" i="25"/>
  <c r="BU224" i="25" s="1"/>
  <c r="BT224" i="25"/>
  <c r="BR224" i="25"/>
  <c r="BW224" i="25" s="1"/>
  <c r="BN224" i="25"/>
  <c r="BH224" i="25"/>
  <c r="BF224" i="25"/>
  <c r="AX224" i="25"/>
  <c r="AY224" i="25" s="1"/>
  <c r="AU224" i="25"/>
  <c r="AT224" i="25"/>
  <c r="AS224" i="25"/>
  <c r="AR224" i="25"/>
  <c r="CM223" i="25"/>
  <c r="CL223" i="25"/>
  <c r="CK223" i="25"/>
  <c r="CJ223" i="25"/>
  <c r="CI223" i="25"/>
  <c r="CH223" i="25"/>
  <c r="CG223" i="25"/>
  <c r="BO223" i="25" s="1"/>
  <c r="CF223" i="25"/>
  <c r="CE223" i="25"/>
  <c r="CD223" i="25"/>
  <c r="CA223" i="25"/>
  <c r="BZ223" i="25"/>
  <c r="BT223" i="25"/>
  <c r="BR223" i="25"/>
  <c r="BW223" i="25" s="1"/>
  <c r="BN223" i="25"/>
  <c r="BH223" i="25"/>
  <c r="BF223" i="25"/>
  <c r="AX223" i="25"/>
  <c r="AY223" i="25" s="1"/>
  <c r="AU223" i="25"/>
  <c r="AT223" i="25"/>
  <c r="AS223" i="25"/>
  <c r="AR223" i="25"/>
  <c r="F223" i="25"/>
  <c r="CC223" i="25" s="1"/>
  <c r="CM222" i="25"/>
  <c r="CL222" i="25"/>
  <c r="CK222" i="25"/>
  <c r="CJ222" i="25"/>
  <c r="CI222" i="25"/>
  <c r="CH222" i="25"/>
  <c r="CG222" i="25"/>
  <c r="BI222" i="25" s="1"/>
  <c r="BJ222" i="25" s="1"/>
  <c r="CF222" i="25"/>
  <c r="CE222" i="25"/>
  <c r="CD222" i="25"/>
  <c r="CC222" i="25"/>
  <c r="CA222" i="25"/>
  <c r="BZ222" i="25"/>
  <c r="BY222" i="25"/>
  <c r="BS222" i="25" s="1"/>
  <c r="BX222" i="25"/>
  <c r="BU222" i="25" s="1"/>
  <c r="BT222" i="25"/>
  <c r="BR222" i="25"/>
  <c r="BW222" i="25" s="1"/>
  <c r="BN222" i="25"/>
  <c r="BH222" i="25"/>
  <c r="BF222" i="25"/>
  <c r="AX222" i="25"/>
  <c r="AU222" i="25"/>
  <c r="AT222" i="25"/>
  <c r="AS222" i="25"/>
  <c r="AR222" i="25"/>
  <c r="CM221" i="25"/>
  <c r="CL221" i="25"/>
  <c r="CK221" i="25"/>
  <c r="CJ221" i="25"/>
  <c r="CI221" i="25"/>
  <c r="CH221" i="25"/>
  <c r="CG221" i="25"/>
  <c r="CF221" i="25"/>
  <c r="CE221" i="25"/>
  <c r="CD221" i="25"/>
  <c r="CA221" i="25"/>
  <c r="BZ221" i="25"/>
  <c r="BT221" i="25"/>
  <c r="BR221" i="25"/>
  <c r="BW221" i="25" s="1"/>
  <c r="BN221" i="25"/>
  <c r="BH221" i="25"/>
  <c r="BF221" i="25"/>
  <c r="AX221" i="25"/>
  <c r="AU221" i="25"/>
  <c r="AT221" i="25"/>
  <c r="AS221" i="25"/>
  <c r="AR221" i="25"/>
  <c r="F221" i="25"/>
  <c r="BY221" i="25" s="1"/>
  <c r="BS221" i="25" s="1"/>
  <c r="CM220" i="25"/>
  <c r="CL220" i="25"/>
  <c r="CK220" i="25"/>
  <c r="CJ220" i="25"/>
  <c r="CI220" i="25"/>
  <c r="CH220" i="25"/>
  <c r="CG220" i="25"/>
  <c r="BM220" i="25" s="1"/>
  <c r="CF220" i="25"/>
  <c r="CE220" i="25"/>
  <c r="CD220" i="25"/>
  <c r="CC220" i="25"/>
  <c r="CA220" i="25"/>
  <c r="BZ220" i="25"/>
  <c r="BY220" i="25"/>
  <c r="BS220" i="25" s="1"/>
  <c r="BX220" i="25"/>
  <c r="BU220" i="25" s="1"/>
  <c r="BT220" i="25"/>
  <c r="BR220" i="25"/>
  <c r="BW220" i="25" s="1"/>
  <c r="BN220" i="25"/>
  <c r="BI220" i="25"/>
  <c r="BJ220" i="25" s="1"/>
  <c r="BH220" i="25"/>
  <c r="BF220" i="25"/>
  <c r="AX220" i="25"/>
  <c r="AY220" i="25" s="1"/>
  <c r="AU220" i="25"/>
  <c r="AT220" i="25"/>
  <c r="AS220" i="25"/>
  <c r="AR220" i="25"/>
  <c r="CM219" i="25"/>
  <c r="CL219" i="25"/>
  <c r="CK219" i="25"/>
  <c r="CJ219" i="25"/>
  <c r="CI219" i="25"/>
  <c r="CH219" i="25"/>
  <c r="CG219" i="25"/>
  <c r="CF219" i="25"/>
  <c r="CE219" i="25"/>
  <c r="CD219" i="25"/>
  <c r="CC219" i="25"/>
  <c r="CA219" i="25"/>
  <c r="BZ219" i="25"/>
  <c r="BY219" i="25"/>
  <c r="BS219" i="25" s="1"/>
  <c r="BX219" i="25"/>
  <c r="BU219" i="25" s="1"/>
  <c r="BT219" i="25"/>
  <c r="BR219" i="25"/>
  <c r="BW219" i="25" s="1"/>
  <c r="BN219" i="25"/>
  <c r="BM219" i="25"/>
  <c r="BH219" i="25"/>
  <c r="BF219" i="25"/>
  <c r="AX219" i="25"/>
  <c r="AY219" i="25" s="1"/>
  <c r="AU219" i="25"/>
  <c r="AT219" i="25"/>
  <c r="AS219" i="25"/>
  <c r="AR219" i="25"/>
  <c r="CM218" i="25"/>
  <c r="CL218" i="25"/>
  <c r="CK218" i="25"/>
  <c r="CJ218" i="25"/>
  <c r="CI218" i="25"/>
  <c r="CH218" i="25"/>
  <c r="CG218" i="25"/>
  <c r="CF218" i="25"/>
  <c r="CE218" i="25"/>
  <c r="CD218" i="25"/>
  <c r="CA218" i="25"/>
  <c r="BZ218" i="25"/>
  <c r="BT218" i="25"/>
  <c r="BR218" i="25"/>
  <c r="BW218" i="25" s="1"/>
  <c r="BN218" i="25"/>
  <c r="BH218" i="25"/>
  <c r="BF218" i="25"/>
  <c r="AX218" i="25"/>
  <c r="AU218" i="25"/>
  <c r="AT218" i="25"/>
  <c r="AS218" i="25"/>
  <c r="AR218" i="25"/>
  <c r="F218" i="25"/>
  <c r="CC218" i="25" s="1"/>
  <c r="CM217" i="25"/>
  <c r="CL217" i="25"/>
  <c r="CK217" i="25"/>
  <c r="CJ217" i="25"/>
  <c r="CI217" i="25"/>
  <c r="CH217" i="25"/>
  <c r="CG217" i="25"/>
  <c r="BO217" i="25" s="1"/>
  <c r="CF217" i="25"/>
  <c r="CE217" i="25"/>
  <c r="CD217" i="25"/>
  <c r="CC217" i="25"/>
  <c r="CA217" i="25"/>
  <c r="BZ217" i="25"/>
  <c r="BY217" i="25"/>
  <c r="BS217" i="25" s="1"/>
  <c r="BX217" i="25"/>
  <c r="BU217" i="25" s="1"/>
  <c r="BT217" i="25"/>
  <c r="BR217" i="25"/>
  <c r="BW217" i="25" s="1"/>
  <c r="BN217" i="25"/>
  <c r="BH217" i="25"/>
  <c r="BF217" i="25"/>
  <c r="AX217" i="25"/>
  <c r="AY217" i="25" s="1"/>
  <c r="AU217" i="25"/>
  <c r="AT217" i="25"/>
  <c r="AS217" i="25"/>
  <c r="AR217" i="25"/>
  <c r="CM216" i="25"/>
  <c r="CL216" i="25"/>
  <c r="CK216" i="25"/>
  <c r="CJ216" i="25"/>
  <c r="CI216" i="25"/>
  <c r="CH216" i="25"/>
  <c r="CG216" i="25"/>
  <c r="BM216" i="25" s="1"/>
  <c r="CF216" i="25"/>
  <c r="CE216" i="25"/>
  <c r="CD216" i="25"/>
  <c r="CC216" i="25"/>
  <c r="CA216" i="25"/>
  <c r="BZ216" i="25"/>
  <c r="BY216" i="25"/>
  <c r="BS216" i="25" s="1"/>
  <c r="BX216" i="25"/>
  <c r="BU216" i="25" s="1"/>
  <c r="BT216" i="25"/>
  <c r="BR216" i="25"/>
  <c r="BW216" i="25" s="1"/>
  <c r="BN216" i="25"/>
  <c r="BH216" i="25"/>
  <c r="BF216" i="25"/>
  <c r="AX216" i="25"/>
  <c r="AY216" i="25" s="1"/>
  <c r="AU216" i="25"/>
  <c r="AT216" i="25"/>
  <c r="AS216" i="25"/>
  <c r="AR216" i="25"/>
  <c r="CM215" i="25"/>
  <c r="CL215" i="25"/>
  <c r="CK215" i="25"/>
  <c r="CJ215" i="25"/>
  <c r="CI215" i="25"/>
  <c r="CH215" i="25"/>
  <c r="CG215" i="25"/>
  <c r="CF215" i="25"/>
  <c r="CE215" i="25"/>
  <c r="CD215" i="25"/>
  <c r="CA215" i="25"/>
  <c r="BZ215" i="25"/>
  <c r="BT215" i="25"/>
  <c r="BR215" i="25"/>
  <c r="BW215" i="25" s="1"/>
  <c r="BN215" i="25"/>
  <c r="BH215" i="25"/>
  <c r="BF215" i="25"/>
  <c r="AX215" i="25"/>
  <c r="AY215" i="25" s="1"/>
  <c r="AU215" i="25"/>
  <c r="AT215" i="25"/>
  <c r="AS215" i="25"/>
  <c r="AR215" i="25"/>
  <c r="F215" i="25"/>
  <c r="CM214" i="25"/>
  <c r="CL214" i="25"/>
  <c r="CK214" i="25"/>
  <c r="CJ214" i="25"/>
  <c r="CI214" i="25"/>
  <c r="CH214" i="25"/>
  <c r="CG214" i="25"/>
  <c r="BI214" i="25" s="1"/>
  <c r="BJ214" i="25" s="1"/>
  <c r="CF214" i="25"/>
  <c r="CE214" i="25"/>
  <c r="CD214" i="25"/>
  <c r="CC214" i="25"/>
  <c r="CA214" i="25"/>
  <c r="CB214" i="25" s="1"/>
  <c r="BZ214" i="25"/>
  <c r="BY214" i="25"/>
  <c r="BS214" i="25" s="1"/>
  <c r="BX214" i="25"/>
  <c r="BU214" i="25" s="1"/>
  <c r="BT214" i="25"/>
  <c r="BR214" i="25"/>
  <c r="BW214" i="25" s="1"/>
  <c r="BN214" i="25"/>
  <c r="BH214" i="25"/>
  <c r="BF214" i="25"/>
  <c r="AX214" i="25"/>
  <c r="AY214" i="25" s="1"/>
  <c r="AU214" i="25"/>
  <c r="AT214" i="25"/>
  <c r="AS214" i="25"/>
  <c r="AR214" i="25"/>
  <c r="CM213" i="25"/>
  <c r="CL213" i="25"/>
  <c r="CK213" i="25"/>
  <c r="CJ213" i="25"/>
  <c r="CI213" i="25"/>
  <c r="CH213" i="25"/>
  <c r="CG213" i="25"/>
  <c r="BM213" i="25" s="1"/>
  <c r="CF213" i="25"/>
  <c r="CE213" i="25"/>
  <c r="CD213" i="25"/>
  <c r="CC213" i="25"/>
  <c r="CA213" i="25"/>
  <c r="BZ213" i="25"/>
  <c r="BY213" i="25"/>
  <c r="BS213" i="25" s="1"/>
  <c r="BX213" i="25"/>
  <c r="BU213" i="25" s="1"/>
  <c r="BT213" i="25"/>
  <c r="BR213" i="25"/>
  <c r="BW213" i="25" s="1"/>
  <c r="BN213" i="25"/>
  <c r="BH213" i="25"/>
  <c r="BF213" i="25"/>
  <c r="AX213" i="25"/>
  <c r="AY213" i="25" s="1"/>
  <c r="AU213" i="25"/>
  <c r="AT213" i="25"/>
  <c r="AS213" i="25"/>
  <c r="AR213" i="25"/>
  <c r="CM212" i="25"/>
  <c r="CL212" i="25"/>
  <c r="CK212" i="25"/>
  <c r="CJ212" i="25"/>
  <c r="CI212" i="25"/>
  <c r="CH212" i="25"/>
  <c r="CG212" i="25"/>
  <c r="BM212" i="25" s="1"/>
  <c r="CF212" i="25"/>
  <c r="CE212" i="25"/>
  <c r="CD212" i="25"/>
  <c r="CA212" i="25"/>
  <c r="BZ212" i="25"/>
  <c r="BT212" i="25"/>
  <c r="BR212" i="25"/>
  <c r="BW212" i="25" s="1"/>
  <c r="BN212" i="25"/>
  <c r="BH212" i="25"/>
  <c r="BF212" i="25"/>
  <c r="AX212" i="25"/>
  <c r="AU212" i="25"/>
  <c r="AT212" i="25"/>
  <c r="AS212" i="25"/>
  <c r="AR212" i="25"/>
  <c r="F212" i="25"/>
  <c r="CC212" i="25" s="1"/>
  <c r="CM211" i="25"/>
  <c r="CL211" i="25"/>
  <c r="CK211" i="25"/>
  <c r="CJ211" i="25"/>
  <c r="CI211" i="25"/>
  <c r="CH211" i="25"/>
  <c r="CG211" i="25"/>
  <c r="BM211" i="25" s="1"/>
  <c r="CF211" i="25"/>
  <c r="CE211" i="25"/>
  <c r="CD211" i="25"/>
  <c r="CC211" i="25"/>
  <c r="CA211" i="25"/>
  <c r="BZ211" i="25"/>
  <c r="BY211" i="25"/>
  <c r="BS211" i="25" s="1"/>
  <c r="BX211" i="25"/>
  <c r="BU211" i="25" s="1"/>
  <c r="BT211" i="25"/>
  <c r="BR211" i="25"/>
  <c r="BW211" i="25" s="1"/>
  <c r="BN211" i="25"/>
  <c r="BH211" i="25"/>
  <c r="BF211" i="25"/>
  <c r="AX211" i="25"/>
  <c r="AY211" i="25" s="1"/>
  <c r="AU211" i="25"/>
  <c r="AT211" i="25"/>
  <c r="AS211" i="25"/>
  <c r="AR211" i="25"/>
  <c r="CM210" i="25"/>
  <c r="CL210" i="25"/>
  <c r="CK210" i="25"/>
  <c r="CJ210" i="25"/>
  <c r="CI210" i="25"/>
  <c r="CH210" i="25"/>
  <c r="CG210" i="25"/>
  <c r="BM210" i="25" s="1"/>
  <c r="CF210" i="25"/>
  <c r="CE210" i="25"/>
  <c r="CD210" i="25"/>
  <c r="CC210" i="25"/>
  <c r="CA210" i="25"/>
  <c r="BZ210" i="25"/>
  <c r="BY210" i="25"/>
  <c r="BS210" i="25" s="1"/>
  <c r="BX210" i="25"/>
  <c r="BU210" i="25" s="1"/>
  <c r="BT210" i="25"/>
  <c r="BR210" i="25"/>
  <c r="BW210" i="25" s="1"/>
  <c r="BN210" i="25"/>
  <c r="BI210" i="25"/>
  <c r="BJ210" i="25" s="1"/>
  <c r="BH210" i="25"/>
  <c r="BF210" i="25"/>
  <c r="AX210" i="25"/>
  <c r="AY210" i="25" s="1"/>
  <c r="AU210" i="25"/>
  <c r="AT210" i="25"/>
  <c r="AS210" i="25"/>
  <c r="AR210" i="25"/>
  <c r="CM209" i="25"/>
  <c r="CL209" i="25"/>
  <c r="CK209" i="25"/>
  <c r="CJ209" i="25"/>
  <c r="CI209" i="25"/>
  <c r="CH209" i="25"/>
  <c r="CG209" i="25"/>
  <c r="BM209" i="25" s="1"/>
  <c r="CF209" i="25"/>
  <c r="CE209" i="25"/>
  <c r="CD209" i="25"/>
  <c r="CC209" i="25"/>
  <c r="CA209" i="25"/>
  <c r="BZ209" i="25"/>
  <c r="BY209" i="25"/>
  <c r="BX209" i="25"/>
  <c r="BU209" i="25" s="1"/>
  <c r="BT209" i="25"/>
  <c r="BS209" i="25"/>
  <c r="BR209" i="25"/>
  <c r="BW209" i="25" s="1"/>
  <c r="BN209" i="25"/>
  <c r="BH209" i="25"/>
  <c r="BF209" i="25"/>
  <c r="AX209" i="25"/>
  <c r="AY209" i="25" s="1"/>
  <c r="AU209" i="25"/>
  <c r="AT209" i="25"/>
  <c r="AS209" i="25"/>
  <c r="AR209" i="25"/>
  <c r="CM208" i="25"/>
  <c r="CL208" i="25"/>
  <c r="CK208" i="25"/>
  <c r="CJ208" i="25"/>
  <c r="CI208" i="25"/>
  <c r="CH208" i="25"/>
  <c r="CG208" i="25"/>
  <c r="BM208" i="25" s="1"/>
  <c r="CF208" i="25"/>
  <c r="CE208" i="25"/>
  <c r="CD208" i="25"/>
  <c r="CC208" i="25"/>
  <c r="CA208" i="25"/>
  <c r="BZ208" i="25"/>
  <c r="BY208" i="25"/>
  <c r="BS208" i="25" s="1"/>
  <c r="BX208" i="25"/>
  <c r="BU208" i="25" s="1"/>
  <c r="BT208" i="25"/>
  <c r="BR208" i="25"/>
  <c r="BW208" i="25" s="1"/>
  <c r="BN208" i="25"/>
  <c r="BH208" i="25"/>
  <c r="BF208" i="25"/>
  <c r="AX208" i="25"/>
  <c r="AY208" i="25" s="1"/>
  <c r="AU208" i="25"/>
  <c r="AT208" i="25"/>
  <c r="AS208" i="25"/>
  <c r="AR208" i="25"/>
  <c r="CM207" i="25"/>
  <c r="CL207" i="25"/>
  <c r="CK207" i="25"/>
  <c r="CJ207" i="25"/>
  <c r="CI207" i="25"/>
  <c r="CH207" i="25"/>
  <c r="CG207" i="25"/>
  <c r="CF207" i="25"/>
  <c r="CE207" i="25"/>
  <c r="CD207" i="25"/>
  <c r="CC207" i="25"/>
  <c r="CA207" i="25"/>
  <c r="BZ207" i="25"/>
  <c r="BY207" i="25"/>
  <c r="BS207" i="25" s="1"/>
  <c r="BX207" i="25"/>
  <c r="BU207" i="25" s="1"/>
  <c r="BT207" i="25"/>
  <c r="BR207" i="25"/>
  <c r="BW207" i="25" s="1"/>
  <c r="BN207" i="25"/>
  <c r="BM207" i="25"/>
  <c r="BH207" i="25"/>
  <c r="BF207" i="25"/>
  <c r="AX207" i="25"/>
  <c r="AY207" i="25" s="1"/>
  <c r="AU207" i="25"/>
  <c r="AT207" i="25"/>
  <c r="AS207" i="25"/>
  <c r="AR207" i="25"/>
  <c r="CM206" i="25"/>
  <c r="CL206" i="25"/>
  <c r="CK206" i="25"/>
  <c r="CJ206" i="25"/>
  <c r="CI206" i="25"/>
  <c r="CH206" i="25"/>
  <c r="CG206" i="25"/>
  <c r="BI206" i="25" s="1"/>
  <c r="BJ206" i="25" s="1"/>
  <c r="CF206" i="25"/>
  <c r="CE206" i="25"/>
  <c r="CD206" i="25"/>
  <c r="CC206" i="25"/>
  <c r="CA206" i="25"/>
  <c r="BZ206" i="25"/>
  <c r="BY206" i="25"/>
  <c r="BS206" i="25" s="1"/>
  <c r="BX206" i="25"/>
  <c r="BU206" i="25" s="1"/>
  <c r="BT206" i="25"/>
  <c r="BR206" i="25"/>
  <c r="BW206" i="25" s="1"/>
  <c r="BN206" i="25"/>
  <c r="BH206" i="25"/>
  <c r="BF206" i="25"/>
  <c r="AX206" i="25"/>
  <c r="AY206" i="25" s="1"/>
  <c r="AU206" i="25"/>
  <c r="AT206" i="25"/>
  <c r="AS206" i="25"/>
  <c r="AR206" i="25"/>
  <c r="CM205" i="25"/>
  <c r="CL205" i="25"/>
  <c r="CK205" i="25"/>
  <c r="CJ205" i="25"/>
  <c r="CI205" i="25"/>
  <c r="CH205" i="25"/>
  <c r="CG205" i="25"/>
  <c r="BM205" i="25" s="1"/>
  <c r="CF205" i="25"/>
  <c r="CE205" i="25"/>
  <c r="CD205" i="25"/>
  <c r="CC205" i="25"/>
  <c r="CA205" i="25"/>
  <c r="BZ205" i="25"/>
  <c r="BY205" i="25"/>
  <c r="BS205" i="25" s="1"/>
  <c r="BX205" i="25"/>
  <c r="BU205" i="25" s="1"/>
  <c r="BT205" i="25"/>
  <c r="BR205" i="25"/>
  <c r="BW205" i="25" s="1"/>
  <c r="BN205" i="25"/>
  <c r="BH205" i="25"/>
  <c r="BF205" i="25"/>
  <c r="AX205" i="25"/>
  <c r="AY205" i="25" s="1"/>
  <c r="AU205" i="25"/>
  <c r="AT205" i="25"/>
  <c r="AS205" i="25"/>
  <c r="AR205" i="25"/>
  <c r="CM204" i="25"/>
  <c r="CL204" i="25"/>
  <c r="CK204" i="25"/>
  <c r="CJ204" i="25"/>
  <c r="CI204" i="25"/>
  <c r="CH204" i="25"/>
  <c r="CG204" i="25"/>
  <c r="BM204" i="25" s="1"/>
  <c r="CF204" i="25"/>
  <c r="CE204" i="25"/>
  <c r="CD204" i="25"/>
  <c r="CC204" i="25"/>
  <c r="CA204" i="25"/>
  <c r="BZ204" i="25"/>
  <c r="BY204" i="25"/>
  <c r="BS204" i="25" s="1"/>
  <c r="BX204" i="25"/>
  <c r="BU204" i="25" s="1"/>
  <c r="BT204" i="25"/>
  <c r="BR204" i="25"/>
  <c r="BW204" i="25" s="1"/>
  <c r="BN204" i="25"/>
  <c r="BH204" i="25"/>
  <c r="BF204" i="25"/>
  <c r="AX204" i="25"/>
  <c r="AY204" i="25" s="1"/>
  <c r="AU204" i="25"/>
  <c r="AT204" i="25"/>
  <c r="AS204" i="25"/>
  <c r="AR204" i="25"/>
  <c r="CM203" i="25"/>
  <c r="CL203" i="25"/>
  <c r="CK203" i="25"/>
  <c r="CJ203" i="25"/>
  <c r="CI203" i="25"/>
  <c r="CH203" i="25"/>
  <c r="CG203" i="25"/>
  <c r="CF203" i="25"/>
  <c r="CE203" i="25"/>
  <c r="CD203" i="25"/>
  <c r="CC203" i="25"/>
  <c r="CA203" i="25"/>
  <c r="BZ203" i="25"/>
  <c r="BY203" i="25"/>
  <c r="BS203" i="25" s="1"/>
  <c r="BX203" i="25"/>
  <c r="BU203" i="25" s="1"/>
  <c r="BT203" i="25"/>
  <c r="BR203" i="25"/>
  <c r="BW203" i="25" s="1"/>
  <c r="BN203" i="25"/>
  <c r="BM203" i="25"/>
  <c r="BH203" i="25"/>
  <c r="BF203" i="25"/>
  <c r="AX203" i="25"/>
  <c r="AY203" i="25" s="1"/>
  <c r="AU203" i="25"/>
  <c r="AT203" i="25"/>
  <c r="AS203" i="25"/>
  <c r="AR203" i="25"/>
  <c r="CM202" i="25"/>
  <c r="CL202" i="25"/>
  <c r="CK202" i="25"/>
  <c r="CJ202" i="25"/>
  <c r="CI202" i="25"/>
  <c r="CH202" i="25"/>
  <c r="CG202" i="25"/>
  <c r="BI202" i="25" s="1"/>
  <c r="BJ202" i="25" s="1"/>
  <c r="CF202" i="25"/>
  <c r="CE202" i="25"/>
  <c r="CD202" i="25"/>
  <c r="CC202" i="25"/>
  <c r="CA202" i="25"/>
  <c r="BZ202" i="25"/>
  <c r="BY202" i="25"/>
  <c r="BS202" i="25" s="1"/>
  <c r="BX202" i="25"/>
  <c r="BU202" i="25" s="1"/>
  <c r="BT202" i="25"/>
  <c r="BR202" i="25"/>
  <c r="BW202" i="25" s="1"/>
  <c r="BO202" i="25"/>
  <c r="BN202" i="25"/>
  <c r="BH202" i="25"/>
  <c r="BF202" i="25"/>
  <c r="AX202" i="25"/>
  <c r="AY202" i="25" s="1"/>
  <c r="AU202" i="25"/>
  <c r="AT202" i="25"/>
  <c r="AS202" i="25"/>
  <c r="AR202" i="25"/>
  <c r="CM201" i="25"/>
  <c r="CL201" i="25"/>
  <c r="CK201" i="25"/>
  <c r="CJ201" i="25"/>
  <c r="CI201" i="25"/>
  <c r="CH201" i="25"/>
  <c r="CG201" i="25"/>
  <c r="BM201" i="25" s="1"/>
  <c r="CF201" i="25"/>
  <c r="CE201" i="25"/>
  <c r="CD201" i="25"/>
  <c r="CC201" i="25"/>
  <c r="CA201" i="25"/>
  <c r="BZ201" i="25"/>
  <c r="BY201" i="25"/>
  <c r="BS201" i="25" s="1"/>
  <c r="BX201" i="25"/>
  <c r="BU201" i="25" s="1"/>
  <c r="BT201" i="25"/>
  <c r="BR201" i="25"/>
  <c r="BW201" i="25" s="1"/>
  <c r="BN201" i="25"/>
  <c r="BH201" i="25"/>
  <c r="BF201" i="25"/>
  <c r="AX201" i="25"/>
  <c r="AY201" i="25" s="1"/>
  <c r="AU201" i="25"/>
  <c r="AT201" i="25"/>
  <c r="AS201" i="25"/>
  <c r="AR201" i="25"/>
  <c r="CM200" i="25"/>
  <c r="CL200" i="25"/>
  <c r="CK200" i="25"/>
  <c r="CJ200" i="25"/>
  <c r="CI200" i="25"/>
  <c r="CH200" i="25"/>
  <c r="CG200" i="25"/>
  <c r="BI200" i="25" s="1"/>
  <c r="BJ200" i="25" s="1"/>
  <c r="CF200" i="25"/>
  <c r="CE200" i="25"/>
  <c r="CD200" i="25"/>
  <c r="CC200" i="25"/>
  <c r="CA200" i="25"/>
  <c r="BZ200" i="25"/>
  <c r="BY200" i="25"/>
  <c r="BS200" i="25" s="1"/>
  <c r="BX200" i="25"/>
  <c r="BU200" i="25" s="1"/>
  <c r="BT200" i="25"/>
  <c r="BR200" i="25"/>
  <c r="BW200" i="25" s="1"/>
  <c r="BO200" i="25"/>
  <c r="BN200" i="25"/>
  <c r="BM200" i="25"/>
  <c r="BH200" i="25"/>
  <c r="BF200" i="25"/>
  <c r="AX200" i="25"/>
  <c r="AY200" i="25" s="1"/>
  <c r="AU200" i="25"/>
  <c r="AT200" i="25"/>
  <c r="AS200" i="25"/>
  <c r="AR200" i="25"/>
  <c r="CM199" i="25"/>
  <c r="CL199" i="25"/>
  <c r="CK199" i="25"/>
  <c r="CJ199" i="25"/>
  <c r="CI199" i="25"/>
  <c r="CH199" i="25"/>
  <c r="CG199" i="25"/>
  <c r="CF199" i="25"/>
  <c r="CE199" i="25"/>
  <c r="CD199" i="25"/>
  <c r="CC199" i="25"/>
  <c r="CA199" i="25"/>
  <c r="BZ199" i="25"/>
  <c r="BY199" i="25"/>
  <c r="BS199" i="25" s="1"/>
  <c r="BX199" i="25"/>
  <c r="BU199" i="25" s="1"/>
  <c r="BT199" i="25"/>
  <c r="BR199" i="25"/>
  <c r="BW199" i="25" s="1"/>
  <c r="BN199" i="25"/>
  <c r="BM199" i="25"/>
  <c r="BH199" i="25"/>
  <c r="BF199" i="25"/>
  <c r="AX199" i="25"/>
  <c r="AY199" i="25" s="1"/>
  <c r="AU199" i="25"/>
  <c r="AT199" i="25"/>
  <c r="AS199" i="25"/>
  <c r="AR199" i="25"/>
  <c r="CM198" i="25"/>
  <c r="CL198" i="25"/>
  <c r="CK198" i="25"/>
  <c r="CJ198" i="25"/>
  <c r="CI198" i="25"/>
  <c r="CH198" i="25"/>
  <c r="CG198" i="25"/>
  <c r="BM198" i="25" s="1"/>
  <c r="CF198" i="25"/>
  <c r="CE198" i="25"/>
  <c r="CD198" i="25"/>
  <c r="CC198" i="25"/>
  <c r="CA198" i="25"/>
  <c r="BZ198" i="25"/>
  <c r="BY198" i="25"/>
  <c r="BS198" i="25" s="1"/>
  <c r="BX198" i="25"/>
  <c r="BU198" i="25" s="1"/>
  <c r="BT198" i="25"/>
  <c r="BR198" i="25"/>
  <c r="BW198" i="25" s="1"/>
  <c r="BN198" i="25"/>
  <c r="BH198" i="25"/>
  <c r="BF198" i="25"/>
  <c r="AX198" i="25"/>
  <c r="AU198" i="25"/>
  <c r="AT198" i="25"/>
  <c r="AS198" i="25"/>
  <c r="AR198" i="25"/>
  <c r="CM197" i="25"/>
  <c r="CL197" i="25"/>
  <c r="CK197" i="25"/>
  <c r="CJ197" i="25"/>
  <c r="CI197" i="25"/>
  <c r="CH197" i="25"/>
  <c r="CG197" i="25"/>
  <c r="BM197" i="25" s="1"/>
  <c r="CF197" i="25"/>
  <c r="CE197" i="25"/>
  <c r="CD197" i="25"/>
  <c r="CC197" i="25"/>
  <c r="CA197" i="25"/>
  <c r="BZ197" i="25"/>
  <c r="BY197" i="25"/>
  <c r="BS197" i="25" s="1"/>
  <c r="BX197" i="25"/>
  <c r="BU197" i="25" s="1"/>
  <c r="BT197" i="25"/>
  <c r="BR197" i="25"/>
  <c r="BW197" i="25" s="1"/>
  <c r="BN197" i="25"/>
  <c r="BH197" i="25"/>
  <c r="BF197" i="25"/>
  <c r="AX197" i="25"/>
  <c r="AY197" i="25" s="1"/>
  <c r="AU197" i="25"/>
  <c r="AT197" i="25"/>
  <c r="AS197" i="25"/>
  <c r="AR197" i="25"/>
  <c r="CM196" i="25"/>
  <c r="CL196" i="25"/>
  <c r="CK196" i="25"/>
  <c r="CJ196" i="25"/>
  <c r="CI196" i="25"/>
  <c r="CH196" i="25"/>
  <c r="CG196" i="25"/>
  <c r="BM196" i="25" s="1"/>
  <c r="CF196" i="25"/>
  <c r="CE196" i="25"/>
  <c r="CD196" i="25"/>
  <c r="CC196" i="25"/>
  <c r="CA196" i="25"/>
  <c r="BZ196" i="25"/>
  <c r="BY196" i="25"/>
  <c r="BS196" i="25" s="1"/>
  <c r="BX196" i="25"/>
  <c r="BU196" i="25" s="1"/>
  <c r="BT196" i="25"/>
  <c r="BR196" i="25"/>
  <c r="BW196" i="25" s="1"/>
  <c r="BN196" i="25"/>
  <c r="BH196" i="25"/>
  <c r="BF196" i="25"/>
  <c r="AX196" i="25"/>
  <c r="AY196" i="25" s="1"/>
  <c r="AU196" i="25"/>
  <c r="AT196" i="25"/>
  <c r="AS196" i="25"/>
  <c r="AR196" i="25"/>
  <c r="CM195" i="25"/>
  <c r="CL195" i="25"/>
  <c r="CK195" i="25"/>
  <c r="CJ195" i="25"/>
  <c r="CI195" i="25"/>
  <c r="CH195" i="25"/>
  <c r="CG195" i="25"/>
  <c r="BO195" i="25" s="1"/>
  <c r="CF195" i="25"/>
  <c r="CE195" i="25"/>
  <c r="CD195" i="25"/>
  <c r="CC195" i="25"/>
  <c r="CA195" i="25"/>
  <c r="BZ195" i="25"/>
  <c r="BY195" i="25"/>
  <c r="BS195" i="25" s="1"/>
  <c r="BX195" i="25"/>
  <c r="BU195" i="25" s="1"/>
  <c r="BT195" i="25"/>
  <c r="BR195" i="25"/>
  <c r="BW195" i="25" s="1"/>
  <c r="BN195" i="25"/>
  <c r="BH195" i="25"/>
  <c r="BF195" i="25"/>
  <c r="AX195" i="25"/>
  <c r="AY195" i="25" s="1"/>
  <c r="AU195" i="25"/>
  <c r="AT195" i="25"/>
  <c r="AS195" i="25"/>
  <c r="AR195" i="25"/>
  <c r="CM194" i="25"/>
  <c r="CL194" i="25"/>
  <c r="CK194" i="25"/>
  <c r="CJ194" i="25"/>
  <c r="CI194" i="25"/>
  <c r="CH194" i="25"/>
  <c r="CG194" i="25"/>
  <c r="BM194" i="25" s="1"/>
  <c r="CF194" i="25"/>
  <c r="CE194" i="25"/>
  <c r="CD194" i="25"/>
  <c r="CC194" i="25"/>
  <c r="CA194" i="25"/>
  <c r="BZ194" i="25"/>
  <c r="BY194" i="25"/>
  <c r="BS194" i="25" s="1"/>
  <c r="BX194" i="25"/>
  <c r="BU194" i="25" s="1"/>
  <c r="BT194" i="25"/>
  <c r="BR194" i="25"/>
  <c r="BW194" i="25" s="1"/>
  <c r="BN194" i="25"/>
  <c r="BH194" i="25"/>
  <c r="BF194" i="25"/>
  <c r="AX194" i="25"/>
  <c r="AU194" i="25"/>
  <c r="AT194" i="25"/>
  <c r="AS194" i="25"/>
  <c r="AR194" i="25"/>
  <c r="CM193" i="25"/>
  <c r="CL193" i="25"/>
  <c r="CK193" i="25"/>
  <c r="CJ193" i="25"/>
  <c r="CI193" i="25"/>
  <c r="CH193" i="25"/>
  <c r="CG193" i="25"/>
  <c r="BM193" i="25" s="1"/>
  <c r="CF193" i="25"/>
  <c r="CE193" i="25"/>
  <c r="CD193" i="25"/>
  <c r="CC193" i="25"/>
  <c r="CA193" i="25"/>
  <c r="BZ193" i="25"/>
  <c r="BY193" i="25"/>
  <c r="BX193" i="25"/>
  <c r="BU193" i="25" s="1"/>
  <c r="BT193" i="25"/>
  <c r="BS193" i="25"/>
  <c r="BR193" i="25"/>
  <c r="BW193" i="25" s="1"/>
  <c r="BN193" i="25"/>
  <c r="BH193" i="25"/>
  <c r="BF193" i="25"/>
  <c r="AX193" i="25"/>
  <c r="AY193" i="25" s="1"/>
  <c r="AU193" i="25"/>
  <c r="AT193" i="25"/>
  <c r="AS193" i="25"/>
  <c r="AR193" i="25"/>
  <c r="CM192" i="25"/>
  <c r="CL192" i="25"/>
  <c r="CK192" i="25"/>
  <c r="CJ192" i="25"/>
  <c r="CI192" i="25"/>
  <c r="CH192" i="25"/>
  <c r="CG192" i="25"/>
  <c r="BM192" i="25" s="1"/>
  <c r="CF192" i="25"/>
  <c r="CE192" i="25"/>
  <c r="CD192" i="25"/>
  <c r="CC192" i="25"/>
  <c r="CA192" i="25"/>
  <c r="BZ192" i="25"/>
  <c r="BY192" i="25"/>
  <c r="BS192" i="25" s="1"/>
  <c r="BX192" i="25"/>
  <c r="BU192" i="25" s="1"/>
  <c r="BT192" i="25"/>
  <c r="BR192" i="25"/>
  <c r="BW192" i="25" s="1"/>
  <c r="BN192" i="25"/>
  <c r="BH192" i="25"/>
  <c r="BF192" i="25"/>
  <c r="AX192" i="25"/>
  <c r="AY192" i="25" s="1"/>
  <c r="AU192" i="25"/>
  <c r="AT192" i="25"/>
  <c r="AS192" i="25"/>
  <c r="AR192" i="25"/>
  <c r="CM191" i="25"/>
  <c r="CL191" i="25"/>
  <c r="CK191" i="25"/>
  <c r="CJ191" i="25"/>
  <c r="CI191" i="25"/>
  <c r="CH191" i="25"/>
  <c r="CG191" i="25"/>
  <c r="BO191" i="25" s="1"/>
  <c r="CF191" i="25"/>
  <c r="CE191" i="25"/>
  <c r="CD191" i="25"/>
  <c r="CC191" i="25"/>
  <c r="CA191" i="25"/>
  <c r="BZ191" i="25"/>
  <c r="BY191" i="25"/>
  <c r="BS191" i="25" s="1"/>
  <c r="BX191" i="25"/>
  <c r="BU191" i="25" s="1"/>
  <c r="BT191" i="25"/>
  <c r="BR191" i="25"/>
  <c r="BW191" i="25" s="1"/>
  <c r="BN191" i="25"/>
  <c r="BH191" i="25"/>
  <c r="BF191" i="25"/>
  <c r="AX191" i="25"/>
  <c r="AY191" i="25" s="1"/>
  <c r="AU191" i="25"/>
  <c r="AT191" i="25"/>
  <c r="AS191" i="25"/>
  <c r="BG191" i="25" s="1"/>
  <c r="AR191" i="25"/>
  <c r="CM190" i="25"/>
  <c r="CL190" i="25"/>
  <c r="CK190" i="25"/>
  <c r="CJ190" i="25"/>
  <c r="CI190" i="25"/>
  <c r="CH190" i="25"/>
  <c r="CG190" i="25"/>
  <c r="BO190" i="25" s="1"/>
  <c r="CF190" i="25"/>
  <c r="CE190" i="25"/>
  <c r="CD190" i="25"/>
  <c r="CC190" i="25"/>
  <c r="CA190" i="25"/>
  <c r="BZ190" i="25"/>
  <c r="BY190" i="25"/>
  <c r="BS190" i="25" s="1"/>
  <c r="BX190" i="25"/>
  <c r="BU190" i="25" s="1"/>
  <c r="BT190" i="25"/>
  <c r="BR190" i="25"/>
  <c r="BW190" i="25" s="1"/>
  <c r="BN190" i="25"/>
  <c r="BI190" i="25"/>
  <c r="BJ190" i="25" s="1"/>
  <c r="BH190" i="25"/>
  <c r="BF190" i="25"/>
  <c r="AX190" i="25"/>
  <c r="AU190" i="25"/>
  <c r="AV190" i="25" s="1"/>
  <c r="AW190" i="25" s="1"/>
  <c r="AT190" i="25"/>
  <c r="AS190" i="25"/>
  <c r="AR190" i="25"/>
  <c r="CM189" i="25"/>
  <c r="CL189" i="25"/>
  <c r="CK189" i="25"/>
  <c r="CJ189" i="25"/>
  <c r="CI189" i="25"/>
  <c r="CH189" i="25"/>
  <c r="CG189" i="25"/>
  <c r="BM189" i="25" s="1"/>
  <c r="CF189" i="25"/>
  <c r="CE189" i="25"/>
  <c r="CD189" i="25"/>
  <c r="CC189" i="25"/>
  <c r="CA189" i="25"/>
  <c r="BZ189" i="25"/>
  <c r="BY189" i="25"/>
  <c r="BS189" i="25" s="1"/>
  <c r="BX189" i="25"/>
  <c r="BU189" i="25" s="1"/>
  <c r="BT189" i="25"/>
  <c r="BR189" i="25"/>
  <c r="BW189" i="25" s="1"/>
  <c r="BN189" i="25"/>
  <c r="BH189" i="25"/>
  <c r="BF189" i="25"/>
  <c r="AX189" i="25"/>
  <c r="AY189" i="25" s="1"/>
  <c r="AU189" i="25"/>
  <c r="AT189" i="25"/>
  <c r="AS189" i="25"/>
  <c r="AR189" i="25"/>
  <c r="CM188" i="25"/>
  <c r="CL188" i="25"/>
  <c r="CK188" i="25"/>
  <c r="CJ188" i="25"/>
  <c r="CI188" i="25"/>
  <c r="CH188" i="25"/>
  <c r="CG188" i="25"/>
  <c r="BM188" i="25" s="1"/>
  <c r="CF188" i="25"/>
  <c r="CE188" i="25"/>
  <c r="CD188" i="25"/>
  <c r="CC188" i="25"/>
  <c r="CA188" i="25"/>
  <c r="BZ188" i="25"/>
  <c r="BY188" i="25"/>
  <c r="BS188" i="25" s="1"/>
  <c r="BX188" i="25"/>
  <c r="BU188" i="25" s="1"/>
  <c r="BT188" i="25"/>
  <c r="BR188" i="25"/>
  <c r="BW188" i="25" s="1"/>
  <c r="BN188" i="25"/>
  <c r="BH188" i="25"/>
  <c r="BF188" i="25"/>
  <c r="AX188" i="25"/>
  <c r="AY188" i="25" s="1"/>
  <c r="AU188" i="25"/>
  <c r="AT188" i="25"/>
  <c r="AS188" i="25"/>
  <c r="AR188" i="25"/>
  <c r="CM187" i="25"/>
  <c r="CL187" i="25"/>
  <c r="CK187" i="25"/>
  <c r="CJ187" i="25"/>
  <c r="CI187" i="25"/>
  <c r="CH187" i="25"/>
  <c r="CG187" i="25"/>
  <c r="BO187" i="25" s="1"/>
  <c r="CF187" i="25"/>
  <c r="CE187" i="25"/>
  <c r="CD187" i="25"/>
  <c r="CC187" i="25"/>
  <c r="CA187" i="25"/>
  <c r="BZ187" i="25"/>
  <c r="BY187" i="25"/>
  <c r="BS187" i="25" s="1"/>
  <c r="BX187" i="25"/>
  <c r="BU187" i="25" s="1"/>
  <c r="BT187" i="25"/>
  <c r="BR187" i="25"/>
  <c r="BW187" i="25" s="1"/>
  <c r="BN187" i="25"/>
  <c r="BH187" i="25"/>
  <c r="BF187" i="25"/>
  <c r="AX187" i="25"/>
  <c r="AY187" i="25" s="1"/>
  <c r="AU187" i="25"/>
  <c r="AT187" i="25"/>
  <c r="AS187" i="25"/>
  <c r="AR187" i="25"/>
  <c r="CM186" i="25"/>
  <c r="CL186" i="25"/>
  <c r="CK186" i="25"/>
  <c r="CJ186" i="25"/>
  <c r="CI186" i="25"/>
  <c r="CH186" i="25"/>
  <c r="CG186" i="25"/>
  <c r="BO186" i="25" s="1"/>
  <c r="CF186" i="25"/>
  <c r="CE186" i="25"/>
  <c r="CD186" i="25"/>
  <c r="CC186" i="25"/>
  <c r="CA186" i="25"/>
  <c r="BZ186" i="25"/>
  <c r="BY186" i="25"/>
  <c r="BS186" i="25" s="1"/>
  <c r="BX186" i="25"/>
  <c r="BU186" i="25" s="1"/>
  <c r="BR186" i="25"/>
  <c r="BW186" i="25" s="1"/>
  <c r="BH186" i="25"/>
  <c r="BF186" i="25"/>
  <c r="AX186" i="25"/>
  <c r="AU186" i="25"/>
  <c r="AT186" i="25"/>
  <c r="AS186" i="25"/>
  <c r="BG186" i="25" s="1"/>
  <c r="AR186" i="25"/>
  <c r="CM185" i="25"/>
  <c r="CL185" i="25"/>
  <c r="CK185" i="25"/>
  <c r="CJ185" i="25"/>
  <c r="CI185" i="25"/>
  <c r="CH185" i="25"/>
  <c r="CG185" i="25"/>
  <c r="BM185" i="25" s="1"/>
  <c r="CF185" i="25"/>
  <c r="CE185" i="25"/>
  <c r="CD185" i="25"/>
  <c r="CC185" i="25"/>
  <c r="CA185" i="25"/>
  <c r="BZ185" i="25"/>
  <c r="BY185" i="25"/>
  <c r="BS185" i="25" s="1"/>
  <c r="BX185" i="25"/>
  <c r="BU185" i="25" s="1"/>
  <c r="BR185" i="25"/>
  <c r="BW185" i="25" s="1"/>
  <c r="BH185" i="25"/>
  <c r="BF185" i="25"/>
  <c r="AX185" i="25"/>
  <c r="AY185" i="25" s="1"/>
  <c r="AU185" i="25"/>
  <c r="AT185" i="25"/>
  <c r="AS185" i="25"/>
  <c r="AR185" i="25"/>
  <c r="CM184" i="25"/>
  <c r="CL184" i="25"/>
  <c r="CK184" i="25"/>
  <c r="CJ184" i="25"/>
  <c r="CI184" i="25"/>
  <c r="CH184" i="25"/>
  <c r="CG184" i="25"/>
  <c r="BT184" i="25" s="1"/>
  <c r="CF184" i="25"/>
  <c r="CE184" i="25"/>
  <c r="CD184" i="25"/>
  <c r="CC184" i="25"/>
  <c r="CA184" i="25"/>
  <c r="BZ184" i="25"/>
  <c r="BY184" i="25"/>
  <c r="BS184" i="25" s="1"/>
  <c r="BX184" i="25"/>
  <c r="BU184" i="25" s="1"/>
  <c r="BR184" i="25"/>
  <c r="BW184" i="25" s="1"/>
  <c r="BN184" i="25"/>
  <c r="BH184" i="25"/>
  <c r="BF184" i="25"/>
  <c r="AX184" i="25"/>
  <c r="AY184" i="25" s="1"/>
  <c r="AU184" i="25"/>
  <c r="AT184" i="25"/>
  <c r="AS184" i="25"/>
  <c r="AR184" i="25"/>
  <c r="CM183" i="25"/>
  <c r="CL183" i="25"/>
  <c r="CK183" i="25"/>
  <c r="CJ183" i="25"/>
  <c r="CI183" i="25"/>
  <c r="CH183" i="25"/>
  <c r="CG183" i="25"/>
  <c r="CF183" i="25"/>
  <c r="CE183" i="25"/>
  <c r="CD183" i="25"/>
  <c r="CC183" i="25"/>
  <c r="CA183" i="25"/>
  <c r="BZ183" i="25"/>
  <c r="BY183" i="25"/>
  <c r="BS183" i="25" s="1"/>
  <c r="BX183" i="25"/>
  <c r="BU183" i="25" s="1"/>
  <c r="BR183" i="25"/>
  <c r="BW183" i="25" s="1"/>
  <c r="BN183" i="25"/>
  <c r="BH183" i="25"/>
  <c r="BF183" i="25"/>
  <c r="AX183" i="25"/>
  <c r="AY183" i="25" s="1"/>
  <c r="AU183" i="25"/>
  <c r="AT183" i="25"/>
  <c r="AS183" i="25"/>
  <c r="AR183" i="25"/>
  <c r="CM182" i="25"/>
  <c r="CL182" i="25"/>
  <c r="CK182" i="25"/>
  <c r="CJ182" i="25"/>
  <c r="CI182" i="25"/>
  <c r="CH182" i="25"/>
  <c r="CG182" i="25"/>
  <c r="BT182" i="25" s="1"/>
  <c r="CF182" i="25"/>
  <c r="CE182" i="25"/>
  <c r="CD182" i="25"/>
  <c r="CC182" i="25"/>
  <c r="CA182" i="25"/>
  <c r="BZ182" i="25"/>
  <c r="BY182" i="25"/>
  <c r="BS182" i="25" s="1"/>
  <c r="BX182" i="25"/>
  <c r="BU182" i="25" s="1"/>
  <c r="BR182" i="25"/>
  <c r="BW182" i="25" s="1"/>
  <c r="BN182" i="25"/>
  <c r="BH182" i="25"/>
  <c r="BF182" i="25"/>
  <c r="AX182" i="25"/>
  <c r="AY182" i="25" s="1"/>
  <c r="AU182" i="25"/>
  <c r="AT182" i="25"/>
  <c r="AS182" i="25"/>
  <c r="AR182" i="25"/>
  <c r="CM181" i="25"/>
  <c r="CL181" i="25"/>
  <c r="CK181" i="25"/>
  <c r="CJ181" i="25"/>
  <c r="CI181" i="25"/>
  <c r="CH181" i="25"/>
  <c r="CG181" i="25"/>
  <c r="BT181" i="25" s="1"/>
  <c r="CF181" i="25"/>
  <c r="CE181" i="25"/>
  <c r="CD181" i="25"/>
  <c r="CC181" i="25"/>
  <c r="CA181" i="25"/>
  <c r="BZ181" i="25"/>
  <c r="BY181" i="25"/>
  <c r="BS181" i="25" s="1"/>
  <c r="BX181" i="25"/>
  <c r="BU181" i="25" s="1"/>
  <c r="BR181" i="25"/>
  <c r="BW181" i="25" s="1"/>
  <c r="BN181" i="25"/>
  <c r="BH181" i="25"/>
  <c r="BF181" i="25"/>
  <c r="AX181" i="25"/>
  <c r="AU181" i="25"/>
  <c r="AT181" i="25"/>
  <c r="AS181" i="25"/>
  <c r="AR181" i="25"/>
  <c r="CM180" i="25"/>
  <c r="CL180" i="25"/>
  <c r="CK180" i="25"/>
  <c r="CJ180" i="25"/>
  <c r="CI180" i="25"/>
  <c r="CH180" i="25"/>
  <c r="CG180" i="25"/>
  <c r="BO180" i="25" s="1"/>
  <c r="CF180" i="25"/>
  <c r="CE180" i="25"/>
  <c r="CD180" i="25"/>
  <c r="CC180" i="25"/>
  <c r="CA180" i="25"/>
  <c r="BZ180" i="25"/>
  <c r="BY180" i="25"/>
  <c r="BS180" i="25" s="1"/>
  <c r="BX180" i="25"/>
  <c r="BU180" i="25" s="1"/>
  <c r="BR180" i="25"/>
  <c r="BW180" i="25" s="1"/>
  <c r="BN180" i="25"/>
  <c r="BH180" i="25"/>
  <c r="BF180" i="25"/>
  <c r="AX180" i="25"/>
  <c r="AU180" i="25"/>
  <c r="AT180" i="25"/>
  <c r="AS180" i="25"/>
  <c r="AR180" i="25"/>
  <c r="CM179" i="25"/>
  <c r="CL179" i="25"/>
  <c r="CK179" i="25"/>
  <c r="CJ179" i="25"/>
  <c r="CI179" i="25"/>
  <c r="CH179" i="25"/>
  <c r="CG179" i="25"/>
  <c r="CF179" i="25"/>
  <c r="CE179" i="25"/>
  <c r="CD179" i="25"/>
  <c r="CC179" i="25"/>
  <c r="CA179" i="25"/>
  <c r="BZ179" i="25"/>
  <c r="BY179" i="25"/>
  <c r="BS179" i="25" s="1"/>
  <c r="BX179" i="25"/>
  <c r="BU179" i="25" s="1"/>
  <c r="BR179" i="25"/>
  <c r="BW179" i="25" s="1"/>
  <c r="BN179" i="25"/>
  <c r="BH179" i="25"/>
  <c r="BF179" i="25"/>
  <c r="AX179" i="25"/>
  <c r="AY179" i="25" s="1"/>
  <c r="AU179" i="25"/>
  <c r="AT179" i="25"/>
  <c r="AS179" i="25"/>
  <c r="AR179" i="25"/>
  <c r="CM178" i="25"/>
  <c r="CL178" i="25"/>
  <c r="CK178" i="25"/>
  <c r="CJ178" i="25"/>
  <c r="CI178" i="25"/>
  <c r="CH178" i="25"/>
  <c r="CG178" i="25"/>
  <c r="BM178" i="25" s="1"/>
  <c r="CF178" i="25"/>
  <c r="CE178" i="25"/>
  <c r="CD178" i="25"/>
  <c r="CC178" i="25"/>
  <c r="CA178" i="25"/>
  <c r="BZ178" i="25"/>
  <c r="BY178" i="25"/>
  <c r="BS178" i="25" s="1"/>
  <c r="BX178" i="25"/>
  <c r="BU178" i="25" s="1"/>
  <c r="BR178" i="25"/>
  <c r="BW178" i="25" s="1"/>
  <c r="BN178" i="25"/>
  <c r="BH178" i="25"/>
  <c r="BF178" i="25"/>
  <c r="AX178" i="25"/>
  <c r="AY178" i="25" s="1"/>
  <c r="AU178" i="25"/>
  <c r="AT178" i="25"/>
  <c r="AS178" i="25"/>
  <c r="AR178" i="25"/>
  <c r="CM177" i="25"/>
  <c r="CL177" i="25"/>
  <c r="CK177" i="25"/>
  <c r="CJ177" i="25"/>
  <c r="CI177" i="25"/>
  <c r="CH177" i="25"/>
  <c r="CG177" i="25"/>
  <c r="BM177" i="25" s="1"/>
  <c r="CF177" i="25"/>
  <c r="CE177" i="25"/>
  <c r="CD177" i="25"/>
  <c r="CA177" i="25"/>
  <c r="BZ177" i="25"/>
  <c r="BT177" i="25"/>
  <c r="BR177" i="25"/>
  <c r="BW177" i="25" s="1"/>
  <c r="BO177" i="25"/>
  <c r="BN177" i="25"/>
  <c r="BH177" i="25"/>
  <c r="BF177" i="25"/>
  <c r="AX177" i="25"/>
  <c r="AU177" i="25"/>
  <c r="AT177" i="25"/>
  <c r="AS177" i="25"/>
  <c r="AR177" i="25"/>
  <c r="F177" i="25"/>
  <c r="CM176" i="25"/>
  <c r="CL176" i="25"/>
  <c r="CK176" i="25"/>
  <c r="CJ176" i="25"/>
  <c r="CI176" i="25"/>
  <c r="CH176" i="25"/>
  <c r="CG176" i="25"/>
  <c r="BM176" i="25" s="1"/>
  <c r="CF176" i="25"/>
  <c r="CE176" i="25"/>
  <c r="CD176" i="25"/>
  <c r="CA176" i="25"/>
  <c r="BZ176" i="25"/>
  <c r="BT176" i="25"/>
  <c r="BR176" i="25"/>
  <c r="BW176" i="25" s="1"/>
  <c r="BN176" i="25"/>
  <c r="BH176" i="25"/>
  <c r="BF176" i="25"/>
  <c r="AX176" i="25"/>
  <c r="AY176" i="25" s="1"/>
  <c r="AU176" i="25"/>
  <c r="AT176" i="25"/>
  <c r="AS176" i="25"/>
  <c r="AR176" i="25"/>
  <c r="F176" i="25"/>
  <c r="BX176" i="25" s="1"/>
  <c r="BU176" i="25" s="1"/>
  <c r="CM175" i="25"/>
  <c r="CL175" i="25"/>
  <c r="CK175" i="25"/>
  <c r="CJ175" i="25"/>
  <c r="CI175" i="25"/>
  <c r="CH175" i="25"/>
  <c r="CG175" i="25"/>
  <c r="BI175" i="25" s="1"/>
  <c r="BJ175" i="25" s="1"/>
  <c r="CF175" i="25"/>
  <c r="CE175" i="25"/>
  <c r="CD175" i="25"/>
  <c r="CA175" i="25"/>
  <c r="BZ175" i="25"/>
  <c r="BT175" i="25"/>
  <c r="BR175" i="25"/>
  <c r="BW175" i="25" s="1"/>
  <c r="BN175" i="25"/>
  <c r="BH175" i="25"/>
  <c r="BF175" i="25"/>
  <c r="AX175" i="25"/>
  <c r="AY175" i="25" s="1"/>
  <c r="AU175" i="25"/>
  <c r="AT175" i="25"/>
  <c r="AS175" i="25"/>
  <c r="AR175" i="25"/>
  <c r="F175" i="25"/>
  <c r="CC175" i="25" s="1"/>
  <c r="CM174" i="25"/>
  <c r="CL174" i="25"/>
  <c r="CK174" i="25"/>
  <c r="CJ174" i="25"/>
  <c r="CI174" i="25"/>
  <c r="CH174" i="25"/>
  <c r="CG174" i="25"/>
  <c r="BI174" i="25" s="1"/>
  <c r="BJ174" i="25" s="1"/>
  <c r="CF174" i="25"/>
  <c r="CE174" i="25"/>
  <c r="CD174" i="25"/>
  <c r="CA174" i="25"/>
  <c r="BZ174" i="25"/>
  <c r="BT174" i="25"/>
  <c r="BR174" i="25"/>
  <c r="BW174" i="25" s="1"/>
  <c r="BN174" i="25"/>
  <c r="BH174" i="25"/>
  <c r="BF174" i="25"/>
  <c r="AX174" i="25"/>
  <c r="AU174" i="25"/>
  <c r="AT174" i="25"/>
  <c r="AS174" i="25"/>
  <c r="AR174" i="25"/>
  <c r="F174" i="25"/>
  <c r="BX174" i="25" s="1"/>
  <c r="BU174" i="25" s="1"/>
  <c r="CM173" i="25"/>
  <c r="CL173" i="25"/>
  <c r="CK173" i="25"/>
  <c r="CJ173" i="25"/>
  <c r="CI173" i="25"/>
  <c r="CH173" i="25"/>
  <c r="CG173" i="25"/>
  <c r="BI173" i="25" s="1"/>
  <c r="BJ173" i="25" s="1"/>
  <c r="CF173" i="25"/>
  <c r="CE173" i="25"/>
  <c r="CD173" i="25"/>
  <c r="CA173" i="25"/>
  <c r="BZ173" i="25"/>
  <c r="BT173" i="25"/>
  <c r="BR173" i="25"/>
  <c r="BW173" i="25" s="1"/>
  <c r="BO173" i="25"/>
  <c r="BN173" i="25"/>
  <c r="BH173" i="25"/>
  <c r="BF173" i="25"/>
  <c r="AX173" i="25"/>
  <c r="AU173" i="25"/>
  <c r="AT173" i="25"/>
  <c r="AS173" i="25"/>
  <c r="BG173" i="25" s="1"/>
  <c r="AR173" i="25"/>
  <c r="F173" i="25"/>
  <c r="CM172" i="25"/>
  <c r="CL172" i="25"/>
  <c r="CK172" i="25"/>
  <c r="CJ172" i="25"/>
  <c r="CI172" i="25"/>
  <c r="CH172" i="25"/>
  <c r="CG172" i="25"/>
  <c r="BM172" i="25" s="1"/>
  <c r="CF172" i="25"/>
  <c r="CE172" i="25"/>
  <c r="CD172" i="25"/>
  <c r="CA172" i="25"/>
  <c r="BZ172" i="25"/>
  <c r="BT172" i="25"/>
  <c r="BR172" i="25"/>
  <c r="BW172" i="25" s="1"/>
  <c r="BO172" i="25"/>
  <c r="BN172" i="25"/>
  <c r="BI172" i="25"/>
  <c r="BJ172" i="25" s="1"/>
  <c r="BH172" i="25"/>
  <c r="BF172" i="25"/>
  <c r="AX172" i="25"/>
  <c r="AY172" i="25" s="1"/>
  <c r="AU172" i="25"/>
  <c r="AV172" i="25" s="1"/>
  <c r="AT172" i="25"/>
  <c r="AS172" i="25"/>
  <c r="AR172" i="25"/>
  <c r="F172" i="25"/>
  <c r="CM171" i="25"/>
  <c r="CL171" i="25"/>
  <c r="CK171" i="25"/>
  <c r="CJ171" i="25"/>
  <c r="CI171" i="25"/>
  <c r="CH171" i="25"/>
  <c r="CG171" i="25"/>
  <c r="BM171" i="25" s="1"/>
  <c r="CF171" i="25"/>
  <c r="CE171" i="25"/>
  <c r="CD171" i="25"/>
  <c r="CA171" i="25"/>
  <c r="BZ171" i="25"/>
  <c r="BT171" i="25"/>
  <c r="BR171" i="25"/>
  <c r="BW171" i="25" s="1"/>
  <c r="BN171" i="25"/>
  <c r="BH171" i="25"/>
  <c r="BF171" i="25"/>
  <c r="AX171" i="25"/>
  <c r="AY171" i="25" s="1"/>
  <c r="AU171" i="25"/>
  <c r="AT171" i="25"/>
  <c r="AS171" i="25"/>
  <c r="AR171" i="25"/>
  <c r="F171" i="25"/>
  <c r="BX171" i="25" s="1"/>
  <c r="BU171" i="25" s="1"/>
  <c r="CM170" i="25"/>
  <c r="CL170" i="25"/>
  <c r="CK170" i="25"/>
  <c r="CJ170" i="25"/>
  <c r="CI170" i="25"/>
  <c r="CH170" i="25"/>
  <c r="CG170" i="25"/>
  <c r="BO170" i="25" s="1"/>
  <c r="CF170" i="25"/>
  <c r="CE170" i="25"/>
  <c r="CD170" i="25"/>
  <c r="CA170" i="25"/>
  <c r="BZ170" i="25"/>
  <c r="BT170" i="25"/>
  <c r="BR170" i="25"/>
  <c r="BW170" i="25" s="1"/>
  <c r="BN170" i="25"/>
  <c r="BH170" i="25"/>
  <c r="BF170" i="25"/>
  <c r="AX170" i="25"/>
  <c r="AY170" i="25" s="1"/>
  <c r="AU170" i="25"/>
  <c r="AT170" i="25"/>
  <c r="AS170" i="25"/>
  <c r="AR170" i="25"/>
  <c r="F170" i="25"/>
  <c r="BX170" i="25" s="1"/>
  <c r="BU170" i="25" s="1"/>
  <c r="CM169" i="25"/>
  <c r="CL169" i="25"/>
  <c r="CK169" i="25"/>
  <c r="CJ169" i="25"/>
  <c r="CI169" i="25"/>
  <c r="CH169" i="25"/>
  <c r="CG169" i="25"/>
  <c r="BI169" i="25" s="1"/>
  <c r="BJ169" i="25" s="1"/>
  <c r="CF169" i="25"/>
  <c r="CE169" i="25"/>
  <c r="CD169" i="25"/>
  <c r="CA169" i="25"/>
  <c r="BZ169" i="25"/>
  <c r="BT169" i="25"/>
  <c r="BR169" i="25"/>
  <c r="BW169" i="25" s="1"/>
  <c r="BO169" i="25"/>
  <c r="BN169" i="25"/>
  <c r="BH169" i="25"/>
  <c r="BF169" i="25"/>
  <c r="AX169" i="25"/>
  <c r="AU169" i="25"/>
  <c r="AT169" i="25"/>
  <c r="AS169" i="25"/>
  <c r="AR169" i="25"/>
  <c r="F169" i="25"/>
  <c r="CM168" i="25"/>
  <c r="CL168" i="25"/>
  <c r="CK168" i="25"/>
  <c r="CJ168" i="25"/>
  <c r="CI168" i="25"/>
  <c r="CH168" i="25"/>
  <c r="CG168" i="25"/>
  <c r="BM168" i="25" s="1"/>
  <c r="CF168" i="25"/>
  <c r="CE168" i="25"/>
  <c r="CD168" i="25"/>
  <c r="CA168" i="25"/>
  <c r="BZ168" i="25"/>
  <c r="BT168" i="25"/>
  <c r="BR168" i="25"/>
  <c r="BW168" i="25" s="1"/>
  <c r="BN168" i="25"/>
  <c r="BH168" i="25"/>
  <c r="BF168" i="25"/>
  <c r="AX168" i="25"/>
  <c r="AY168" i="25" s="1"/>
  <c r="AU168" i="25"/>
  <c r="AT168" i="25"/>
  <c r="AS168" i="25"/>
  <c r="AR168" i="25"/>
  <c r="F168" i="25"/>
  <c r="CC168" i="25" s="1"/>
  <c r="CM167" i="25"/>
  <c r="CL167" i="25"/>
  <c r="CK167" i="25"/>
  <c r="CJ167" i="25"/>
  <c r="CI167" i="25"/>
  <c r="CH167" i="25"/>
  <c r="CG167" i="25"/>
  <c r="CF167" i="25"/>
  <c r="CE167" i="25"/>
  <c r="CD167" i="25"/>
  <c r="CA167" i="25"/>
  <c r="BZ167" i="25"/>
  <c r="BT167" i="25"/>
  <c r="BR167" i="25"/>
  <c r="BW167" i="25" s="1"/>
  <c r="BN167" i="25"/>
  <c r="BH167" i="25"/>
  <c r="BF167" i="25"/>
  <c r="AX167" i="25"/>
  <c r="AU167" i="25"/>
  <c r="AT167" i="25"/>
  <c r="AS167" i="25"/>
  <c r="AR167" i="25"/>
  <c r="F167" i="25"/>
  <c r="BX167" i="25" s="1"/>
  <c r="BU167" i="25" s="1"/>
  <c r="CM166" i="25"/>
  <c r="CL166" i="25"/>
  <c r="CK166" i="25"/>
  <c r="CJ166" i="25"/>
  <c r="CI166" i="25"/>
  <c r="CH166" i="25"/>
  <c r="CG166" i="25"/>
  <c r="BO166" i="25" s="1"/>
  <c r="CF166" i="25"/>
  <c r="CE166" i="25"/>
  <c r="CD166" i="25"/>
  <c r="CA166" i="25"/>
  <c r="BZ166" i="25"/>
  <c r="BT166" i="25"/>
  <c r="BR166" i="25"/>
  <c r="BW166" i="25" s="1"/>
  <c r="BN166" i="25"/>
  <c r="BH166" i="25"/>
  <c r="BF166" i="25"/>
  <c r="AX166" i="25"/>
  <c r="AY166" i="25" s="1"/>
  <c r="AU166" i="25"/>
  <c r="AT166" i="25"/>
  <c r="AS166" i="25"/>
  <c r="AR166" i="25"/>
  <c r="F166" i="25"/>
  <c r="CC166" i="25" s="1"/>
  <c r="CM165" i="25"/>
  <c r="CL165" i="25"/>
  <c r="CK165" i="25"/>
  <c r="CJ165" i="25"/>
  <c r="CI165" i="25"/>
  <c r="CH165" i="25"/>
  <c r="CG165" i="25"/>
  <c r="BO165" i="25" s="1"/>
  <c r="CF165" i="25"/>
  <c r="CE165" i="25"/>
  <c r="CD165" i="25"/>
  <c r="CA165" i="25"/>
  <c r="BZ165" i="25"/>
  <c r="BT165" i="25"/>
  <c r="BR165" i="25"/>
  <c r="BW165" i="25" s="1"/>
  <c r="BN165" i="25"/>
  <c r="BH165" i="25"/>
  <c r="BF165" i="25"/>
  <c r="AX165" i="25"/>
  <c r="AY165" i="25" s="1"/>
  <c r="AU165" i="25"/>
  <c r="AT165" i="25"/>
  <c r="AS165" i="25"/>
  <c r="AR165" i="25"/>
  <c r="F165" i="25"/>
  <c r="CC165" i="25" s="1"/>
  <c r="CM164" i="25"/>
  <c r="CL164" i="25"/>
  <c r="CK164" i="25"/>
  <c r="CJ164" i="25"/>
  <c r="CI164" i="25"/>
  <c r="CH164" i="25"/>
  <c r="CG164" i="25"/>
  <c r="BM164" i="25" s="1"/>
  <c r="CF164" i="25"/>
  <c r="CE164" i="25"/>
  <c r="CD164" i="25"/>
  <c r="CA164" i="25"/>
  <c r="BZ164" i="25"/>
  <c r="BT164" i="25"/>
  <c r="BR164" i="25"/>
  <c r="BW164" i="25" s="1"/>
  <c r="BN164" i="25"/>
  <c r="BH164" i="25"/>
  <c r="BF164" i="25"/>
  <c r="AX164" i="25"/>
  <c r="AY164" i="25" s="1"/>
  <c r="AU164" i="25"/>
  <c r="AT164" i="25"/>
  <c r="AS164" i="25"/>
  <c r="AR164" i="25"/>
  <c r="F164" i="25"/>
  <c r="BY164" i="25" s="1"/>
  <c r="BS164" i="25" s="1"/>
  <c r="CM163" i="25"/>
  <c r="CL163" i="25"/>
  <c r="CK163" i="25"/>
  <c r="CJ163" i="25"/>
  <c r="CI163" i="25"/>
  <c r="CH163" i="25"/>
  <c r="CG163" i="25"/>
  <c r="CF163" i="25"/>
  <c r="CE163" i="25"/>
  <c r="CD163" i="25"/>
  <c r="CA163" i="25"/>
  <c r="BZ163" i="25"/>
  <c r="BT163" i="25"/>
  <c r="BR163" i="25"/>
  <c r="BW163" i="25" s="1"/>
  <c r="BN163" i="25"/>
  <c r="BH163" i="25"/>
  <c r="BF163" i="25"/>
  <c r="AX163" i="25"/>
  <c r="AU163" i="25"/>
  <c r="AT163" i="25"/>
  <c r="AS163" i="25"/>
  <c r="AR163" i="25"/>
  <c r="F163" i="25"/>
  <c r="CM162" i="25"/>
  <c r="CL162" i="25"/>
  <c r="CK162" i="25"/>
  <c r="CJ162" i="25"/>
  <c r="CI162" i="25"/>
  <c r="CH162" i="25"/>
  <c r="CG162" i="25"/>
  <c r="BO162" i="25" s="1"/>
  <c r="CF162" i="25"/>
  <c r="CE162" i="25"/>
  <c r="CD162" i="25"/>
  <c r="CA162" i="25"/>
  <c r="BZ162" i="25"/>
  <c r="BT162" i="25"/>
  <c r="BR162" i="25"/>
  <c r="BW162" i="25" s="1"/>
  <c r="BN162" i="25"/>
  <c r="BH162" i="25"/>
  <c r="BF162" i="25"/>
  <c r="AX162" i="25"/>
  <c r="AY162" i="25" s="1"/>
  <c r="AU162" i="25"/>
  <c r="AT162" i="25"/>
  <c r="AS162" i="25"/>
  <c r="BG162" i="25" s="1"/>
  <c r="AR162" i="25"/>
  <c r="F162" i="25"/>
  <c r="CC162" i="25" s="1"/>
  <c r="CM161" i="25"/>
  <c r="CL161" i="25"/>
  <c r="CK161" i="25"/>
  <c r="CJ161" i="25"/>
  <c r="CI161" i="25"/>
  <c r="CH161" i="25"/>
  <c r="CG161" i="25"/>
  <c r="BO161" i="25" s="1"/>
  <c r="CF161" i="25"/>
  <c r="CE161" i="25"/>
  <c r="CD161" i="25"/>
  <c r="CA161" i="25"/>
  <c r="BZ161" i="25"/>
  <c r="BT161" i="25"/>
  <c r="BR161" i="25"/>
  <c r="BW161" i="25" s="1"/>
  <c r="BN161" i="25"/>
  <c r="BH161" i="25"/>
  <c r="BF161" i="25"/>
  <c r="AX161" i="25"/>
  <c r="AY161" i="25" s="1"/>
  <c r="AU161" i="25"/>
  <c r="AT161" i="25"/>
  <c r="AS161" i="25"/>
  <c r="AR161" i="25"/>
  <c r="F161" i="25"/>
  <c r="CM160" i="25"/>
  <c r="CL160" i="25"/>
  <c r="CK160" i="25"/>
  <c r="CJ160" i="25"/>
  <c r="CI160" i="25"/>
  <c r="CH160" i="25"/>
  <c r="CG160" i="25"/>
  <c r="BI160" i="25" s="1"/>
  <c r="BJ160" i="25" s="1"/>
  <c r="CF160" i="25"/>
  <c r="CE160" i="25"/>
  <c r="CD160" i="25"/>
  <c r="CA160" i="25"/>
  <c r="BZ160" i="25"/>
  <c r="BT160" i="25"/>
  <c r="BR160" i="25"/>
  <c r="BW160" i="25" s="1"/>
  <c r="BN160" i="25"/>
  <c r="BH160" i="25"/>
  <c r="BF160" i="25"/>
  <c r="AX160" i="25"/>
  <c r="AY160" i="25" s="1"/>
  <c r="AU160" i="25"/>
  <c r="AT160" i="25"/>
  <c r="AS160" i="25"/>
  <c r="AR160" i="25"/>
  <c r="F160" i="25"/>
  <c r="BX160" i="25" s="1"/>
  <c r="BU160" i="25" s="1"/>
  <c r="CM159" i="25"/>
  <c r="CL159" i="25"/>
  <c r="CK159" i="25"/>
  <c r="CJ159" i="25"/>
  <c r="CI159" i="25"/>
  <c r="CH159" i="25"/>
  <c r="CG159" i="25"/>
  <c r="BM159" i="25" s="1"/>
  <c r="CF159" i="25"/>
  <c r="CE159" i="25"/>
  <c r="CD159" i="25"/>
  <c r="CA159" i="25"/>
  <c r="BZ159" i="25"/>
  <c r="BT159" i="25"/>
  <c r="BR159" i="25"/>
  <c r="BW159" i="25" s="1"/>
  <c r="BN159" i="25"/>
  <c r="BH159" i="25"/>
  <c r="BF159" i="25"/>
  <c r="AX159" i="25"/>
  <c r="AU159" i="25"/>
  <c r="AT159" i="25"/>
  <c r="AS159" i="25"/>
  <c r="AR159" i="25"/>
  <c r="F159" i="25"/>
  <c r="BY159" i="25" s="1"/>
  <c r="BS159" i="25" s="1"/>
  <c r="CM158" i="25"/>
  <c r="CL158" i="25"/>
  <c r="CK158" i="25"/>
  <c r="CJ158" i="25"/>
  <c r="CI158" i="25"/>
  <c r="CH158" i="25"/>
  <c r="CG158" i="25"/>
  <c r="BO158" i="25" s="1"/>
  <c r="CF158" i="25"/>
  <c r="CE158" i="25"/>
  <c r="CD158" i="25"/>
  <c r="CA158" i="25"/>
  <c r="BZ158" i="25"/>
  <c r="BT158" i="25"/>
  <c r="BR158" i="25"/>
  <c r="BW158" i="25" s="1"/>
  <c r="BN158" i="25"/>
  <c r="BH158" i="25"/>
  <c r="BF158" i="25"/>
  <c r="AX158" i="25"/>
  <c r="AY158" i="25" s="1"/>
  <c r="AU158" i="25"/>
  <c r="AT158" i="25"/>
  <c r="AS158" i="25"/>
  <c r="AR158" i="25"/>
  <c r="F158" i="25"/>
  <c r="CC158" i="25" s="1"/>
  <c r="CM157" i="25"/>
  <c r="CL157" i="25"/>
  <c r="CK157" i="25"/>
  <c r="CJ157" i="25"/>
  <c r="CI157" i="25"/>
  <c r="CH157" i="25"/>
  <c r="CG157" i="25"/>
  <c r="CF157" i="25"/>
  <c r="CE157" i="25"/>
  <c r="CD157" i="25"/>
  <c r="CA157" i="25"/>
  <c r="BZ157" i="25"/>
  <c r="BT157" i="25"/>
  <c r="BR157" i="25"/>
  <c r="BW157" i="25" s="1"/>
  <c r="BO157" i="25"/>
  <c r="BN157" i="25"/>
  <c r="BH157" i="25"/>
  <c r="BF157" i="25"/>
  <c r="AX157" i="25"/>
  <c r="AY157" i="25" s="1"/>
  <c r="AU157" i="25"/>
  <c r="AT157" i="25"/>
  <c r="AS157" i="25"/>
  <c r="AR157" i="25"/>
  <c r="F157" i="25"/>
  <c r="CC157" i="25" s="1"/>
  <c r="CM156" i="25"/>
  <c r="CL156" i="25"/>
  <c r="CK156" i="25"/>
  <c r="CJ156" i="25"/>
  <c r="CI156" i="25"/>
  <c r="CH156" i="25"/>
  <c r="CG156" i="25"/>
  <c r="BM156" i="25" s="1"/>
  <c r="CF156" i="25"/>
  <c r="CE156" i="25"/>
  <c r="CD156" i="25"/>
  <c r="CA156" i="25"/>
  <c r="BZ156" i="25"/>
  <c r="BT156" i="25"/>
  <c r="BR156" i="25"/>
  <c r="BW156" i="25" s="1"/>
  <c r="BN156" i="25"/>
  <c r="BH156" i="25"/>
  <c r="BF156" i="25"/>
  <c r="AX156" i="25"/>
  <c r="AY156" i="25" s="1"/>
  <c r="AU156" i="25"/>
  <c r="AT156" i="25"/>
  <c r="AS156" i="25"/>
  <c r="AR156" i="25"/>
  <c r="F156" i="25"/>
  <c r="CC156" i="25" s="1"/>
  <c r="CM155" i="25"/>
  <c r="CL155" i="25"/>
  <c r="CK155" i="25"/>
  <c r="CJ155" i="25"/>
  <c r="CI155" i="25"/>
  <c r="CH155" i="25"/>
  <c r="CG155" i="25"/>
  <c r="BI155" i="25" s="1"/>
  <c r="BJ155" i="25" s="1"/>
  <c r="CF155" i="25"/>
  <c r="CE155" i="25"/>
  <c r="CD155" i="25"/>
  <c r="CA155" i="25"/>
  <c r="BZ155" i="25"/>
  <c r="BT155" i="25"/>
  <c r="BR155" i="25"/>
  <c r="BW155" i="25" s="1"/>
  <c r="BN155" i="25"/>
  <c r="BH155" i="25"/>
  <c r="BF155" i="25"/>
  <c r="AX155" i="25"/>
  <c r="AU155" i="25"/>
  <c r="AT155" i="25"/>
  <c r="AS155" i="25"/>
  <c r="AR155" i="25"/>
  <c r="F155" i="25"/>
  <c r="CC155" i="25" s="1"/>
  <c r="CM154" i="25"/>
  <c r="CL154" i="25"/>
  <c r="CK154" i="25"/>
  <c r="CJ154" i="25"/>
  <c r="CI154" i="25"/>
  <c r="CH154" i="25"/>
  <c r="CG154" i="25"/>
  <c r="BM154" i="25" s="1"/>
  <c r="BL154" i="25" s="1"/>
  <c r="BK154" i="25" s="1"/>
  <c r="CF154" i="25"/>
  <c r="CE154" i="25"/>
  <c r="CD154" i="25"/>
  <c r="CA154" i="25"/>
  <c r="BZ154" i="25"/>
  <c r="BT154" i="25"/>
  <c r="BR154" i="25"/>
  <c r="BW154" i="25" s="1"/>
  <c r="BO154" i="25"/>
  <c r="BN154" i="25"/>
  <c r="BH154" i="25"/>
  <c r="BF154" i="25"/>
  <c r="AX154" i="25"/>
  <c r="AY154" i="25" s="1"/>
  <c r="AU154" i="25"/>
  <c r="AT154" i="25"/>
  <c r="AS154" i="25"/>
  <c r="AR154" i="25"/>
  <c r="F154" i="25"/>
  <c r="CC154" i="25" s="1"/>
  <c r="CM153" i="25"/>
  <c r="CL153" i="25"/>
  <c r="CK153" i="25"/>
  <c r="CJ153" i="25"/>
  <c r="CI153" i="25"/>
  <c r="CH153" i="25"/>
  <c r="CG153" i="25"/>
  <c r="BM153" i="25" s="1"/>
  <c r="CF153" i="25"/>
  <c r="CE153" i="25"/>
  <c r="CD153" i="25"/>
  <c r="CA153" i="25"/>
  <c r="BZ153" i="25"/>
  <c r="BT153" i="25"/>
  <c r="BR153" i="25"/>
  <c r="BW153" i="25" s="1"/>
  <c r="BN153" i="25"/>
  <c r="BH153" i="25"/>
  <c r="BF153" i="25"/>
  <c r="AX153" i="25"/>
  <c r="AY153" i="25" s="1"/>
  <c r="AU153" i="25"/>
  <c r="AT153" i="25"/>
  <c r="AS153" i="25"/>
  <c r="AR153" i="25"/>
  <c r="F153" i="25"/>
  <c r="CC153" i="25" s="1"/>
  <c r="CM152" i="25"/>
  <c r="CL152" i="25"/>
  <c r="CK152" i="25"/>
  <c r="CJ152" i="25"/>
  <c r="CI152" i="25"/>
  <c r="CH152" i="25"/>
  <c r="CG152" i="25"/>
  <c r="BI152" i="25" s="1"/>
  <c r="BJ152" i="25" s="1"/>
  <c r="CF152" i="25"/>
  <c r="CE152" i="25"/>
  <c r="CD152" i="25"/>
  <c r="CA152" i="25"/>
  <c r="BZ152" i="25"/>
  <c r="BT152" i="25"/>
  <c r="BR152" i="25"/>
  <c r="BW152" i="25" s="1"/>
  <c r="BN152" i="25"/>
  <c r="BH152" i="25"/>
  <c r="BF152" i="25"/>
  <c r="AX152" i="25"/>
  <c r="AY152" i="25" s="1"/>
  <c r="AU152" i="25"/>
  <c r="AT152" i="25"/>
  <c r="AS152" i="25"/>
  <c r="AR152" i="25"/>
  <c r="F152" i="25"/>
  <c r="CC152" i="25" s="1"/>
  <c r="CM151" i="25"/>
  <c r="CL151" i="25"/>
  <c r="CK151" i="25"/>
  <c r="CJ151" i="25"/>
  <c r="CI151" i="25"/>
  <c r="CH151" i="25"/>
  <c r="CG151" i="25"/>
  <c r="BM151" i="25" s="1"/>
  <c r="CF151" i="25"/>
  <c r="CE151" i="25"/>
  <c r="CD151" i="25"/>
  <c r="CA151" i="25"/>
  <c r="BZ151" i="25"/>
  <c r="BT151" i="25"/>
  <c r="BR151" i="25"/>
  <c r="BW151" i="25" s="1"/>
  <c r="BN151" i="25"/>
  <c r="BI151" i="25"/>
  <c r="BJ151" i="25" s="1"/>
  <c r="BH151" i="25"/>
  <c r="BF151" i="25"/>
  <c r="AX151" i="25"/>
  <c r="AU151" i="25"/>
  <c r="AT151" i="25"/>
  <c r="AS151" i="25"/>
  <c r="AR151" i="25"/>
  <c r="F151" i="25"/>
  <c r="CC151" i="25" s="1"/>
  <c r="CM150" i="25"/>
  <c r="CL150" i="25"/>
  <c r="CK150" i="25"/>
  <c r="CJ150" i="25"/>
  <c r="CI150" i="25"/>
  <c r="CH150" i="25"/>
  <c r="CG150" i="25"/>
  <c r="BI150" i="25" s="1"/>
  <c r="BJ150" i="25" s="1"/>
  <c r="CF150" i="25"/>
  <c r="CE150" i="25"/>
  <c r="CD150" i="25"/>
  <c r="CA150" i="25"/>
  <c r="BZ150" i="25"/>
  <c r="BT150" i="25"/>
  <c r="BR150" i="25"/>
  <c r="BW150" i="25" s="1"/>
  <c r="BO150" i="25"/>
  <c r="BN150" i="25"/>
  <c r="BH150" i="25"/>
  <c r="BF150" i="25"/>
  <c r="AX150" i="25"/>
  <c r="AY150" i="25" s="1"/>
  <c r="AU150" i="25"/>
  <c r="AT150" i="25"/>
  <c r="AS150" i="25"/>
  <c r="AR150" i="25"/>
  <c r="F150" i="25"/>
  <c r="CC150" i="25" s="1"/>
  <c r="CM149" i="25"/>
  <c r="CL149" i="25"/>
  <c r="CK149" i="25"/>
  <c r="CJ149" i="25"/>
  <c r="CI149" i="25"/>
  <c r="CH149" i="25"/>
  <c r="CG149" i="25"/>
  <c r="BT149" i="25" s="1"/>
  <c r="CF149" i="25"/>
  <c r="CE149" i="25"/>
  <c r="CD149" i="25"/>
  <c r="CC149" i="25"/>
  <c r="CA149" i="25"/>
  <c r="BZ149" i="25"/>
  <c r="BY149" i="25"/>
  <c r="BS149" i="25" s="1"/>
  <c r="BX149" i="25"/>
  <c r="BU149" i="25" s="1"/>
  <c r="BR149" i="25"/>
  <c r="BW149" i="25" s="1"/>
  <c r="BN149" i="25"/>
  <c r="BH149" i="25"/>
  <c r="BF149" i="25"/>
  <c r="AX149" i="25"/>
  <c r="AY149" i="25" s="1"/>
  <c r="AU149" i="25"/>
  <c r="AT149" i="25"/>
  <c r="AS149" i="25"/>
  <c r="AR149" i="25"/>
  <c r="CM148" i="25"/>
  <c r="CL148" i="25"/>
  <c r="CK148" i="25"/>
  <c r="CJ148" i="25"/>
  <c r="CI148" i="25"/>
  <c r="CH148" i="25"/>
  <c r="CG148" i="25"/>
  <c r="BM148" i="25" s="1"/>
  <c r="CF148" i="25"/>
  <c r="CE148" i="25"/>
  <c r="CD148" i="25"/>
  <c r="CC148" i="25"/>
  <c r="CA148" i="25"/>
  <c r="BZ148" i="25"/>
  <c r="BY148" i="25"/>
  <c r="BS148" i="25" s="1"/>
  <c r="BX148" i="25"/>
  <c r="BU148" i="25" s="1"/>
  <c r="BT148" i="25"/>
  <c r="BR148" i="25"/>
  <c r="BW148" i="25" s="1"/>
  <c r="BN148" i="25"/>
  <c r="BH148" i="25"/>
  <c r="BF148" i="25"/>
  <c r="AX148" i="25"/>
  <c r="AY148" i="25" s="1"/>
  <c r="AU148" i="25"/>
  <c r="AT148" i="25"/>
  <c r="AS148" i="25"/>
  <c r="AR148" i="25"/>
  <c r="CM147" i="25"/>
  <c r="CL147" i="25"/>
  <c r="CK147" i="25"/>
  <c r="CJ147" i="25"/>
  <c r="CI147" i="25"/>
  <c r="CH147" i="25"/>
  <c r="CG147" i="25"/>
  <c r="BT147" i="25" s="1"/>
  <c r="CF147" i="25"/>
  <c r="CE147" i="25"/>
  <c r="CD147" i="25"/>
  <c r="CC147" i="25"/>
  <c r="CA147" i="25"/>
  <c r="BZ147" i="25"/>
  <c r="BY147" i="25"/>
  <c r="BS147" i="25" s="1"/>
  <c r="BX147" i="25"/>
  <c r="BU147" i="25" s="1"/>
  <c r="BR147" i="25"/>
  <c r="BW147" i="25" s="1"/>
  <c r="BN147" i="25"/>
  <c r="BH147" i="25"/>
  <c r="BF147" i="25"/>
  <c r="AX147" i="25"/>
  <c r="AY147" i="25" s="1"/>
  <c r="AU147" i="25"/>
  <c r="AT147" i="25"/>
  <c r="AS147" i="25"/>
  <c r="AR147" i="25"/>
  <c r="CM146" i="25"/>
  <c r="CL146" i="25"/>
  <c r="CK146" i="25"/>
  <c r="CJ146" i="25"/>
  <c r="CI146" i="25"/>
  <c r="CH146" i="25"/>
  <c r="CG146" i="25"/>
  <c r="BO146" i="25" s="1"/>
  <c r="CF146" i="25"/>
  <c r="CE146" i="25"/>
  <c r="CD146" i="25"/>
  <c r="CC146" i="25"/>
  <c r="CA146" i="25"/>
  <c r="BZ146" i="25"/>
  <c r="BY146" i="25"/>
  <c r="BS146" i="25" s="1"/>
  <c r="BX146" i="25"/>
  <c r="BU146" i="25" s="1"/>
  <c r="BT146" i="25"/>
  <c r="BR146" i="25"/>
  <c r="BW146" i="25" s="1"/>
  <c r="BN146" i="25"/>
  <c r="BH146" i="25"/>
  <c r="BF146" i="25"/>
  <c r="AX146" i="25"/>
  <c r="AY146" i="25" s="1"/>
  <c r="AU146" i="25"/>
  <c r="AT146" i="25"/>
  <c r="AS146" i="25"/>
  <c r="AR146" i="25"/>
  <c r="CM145" i="25"/>
  <c r="CL145" i="25"/>
  <c r="CK145" i="25"/>
  <c r="CJ145" i="25"/>
  <c r="CI145" i="25"/>
  <c r="CH145" i="25"/>
  <c r="CG145" i="25"/>
  <c r="CF145" i="25"/>
  <c r="CE145" i="25"/>
  <c r="CD145" i="25"/>
  <c r="CC145" i="25"/>
  <c r="CA145" i="25"/>
  <c r="BZ145" i="25"/>
  <c r="BY145" i="25"/>
  <c r="BS145" i="25" s="1"/>
  <c r="BX145" i="25"/>
  <c r="BU145" i="25" s="1"/>
  <c r="BT145" i="25"/>
  <c r="BR145" i="25"/>
  <c r="BW145" i="25" s="1"/>
  <c r="BN145" i="25"/>
  <c r="BH145" i="25"/>
  <c r="BF145" i="25"/>
  <c r="AX145" i="25"/>
  <c r="AY145" i="25" s="1"/>
  <c r="AU145" i="25"/>
  <c r="AT145" i="25"/>
  <c r="AS145" i="25"/>
  <c r="AR145" i="25"/>
  <c r="CM144" i="25"/>
  <c r="CL144" i="25"/>
  <c r="CK144" i="25"/>
  <c r="CJ144" i="25"/>
  <c r="CI144" i="25"/>
  <c r="CH144" i="25"/>
  <c r="CG144" i="25"/>
  <c r="BT144" i="25" s="1"/>
  <c r="CF144" i="25"/>
  <c r="CE144" i="25"/>
  <c r="CD144" i="25"/>
  <c r="CC144" i="25"/>
  <c r="CA144" i="25"/>
  <c r="BZ144" i="25"/>
  <c r="BY144" i="25"/>
  <c r="BS144" i="25" s="1"/>
  <c r="BX144" i="25"/>
  <c r="BU144" i="25" s="1"/>
  <c r="BR144" i="25"/>
  <c r="BW144" i="25" s="1"/>
  <c r="BN144" i="25"/>
  <c r="BH144" i="25"/>
  <c r="BF144" i="25"/>
  <c r="AX144" i="25"/>
  <c r="AY144" i="25" s="1"/>
  <c r="AU144" i="25"/>
  <c r="AT144" i="25"/>
  <c r="AS144" i="25"/>
  <c r="AR144" i="25"/>
  <c r="CM143" i="25"/>
  <c r="CL143" i="25"/>
  <c r="CK143" i="25"/>
  <c r="CJ143" i="25"/>
  <c r="CI143" i="25"/>
  <c r="CH143" i="25"/>
  <c r="CG143" i="25"/>
  <c r="BT143" i="25" s="1"/>
  <c r="CF143" i="25"/>
  <c r="CE143" i="25"/>
  <c r="CD143" i="25"/>
  <c r="CC143" i="25"/>
  <c r="CA143" i="25"/>
  <c r="BZ143" i="25"/>
  <c r="BY143" i="25"/>
  <c r="BS143" i="25" s="1"/>
  <c r="BX143" i="25"/>
  <c r="BU143" i="25" s="1"/>
  <c r="BR143" i="25"/>
  <c r="BW143" i="25" s="1"/>
  <c r="BN143" i="25"/>
  <c r="BH143" i="25"/>
  <c r="BF143" i="25"/>
  <c r="AX143" i="25"/>
  <c r="AY143" i="25" s="1"/>
  <c r="AU143" i="25"/>
  <c r="AT143" i="25"/>
  <c r="AS143" i="25"/>
  <c r="AR143" i="25"/>
  <c r="CM142" i="25"/>
  <c r="CL142" i="25"/>
  <c r="CK142" i="25"/>
  <c r="CJ142" i="25"/>
  <c r="CI142" i="25"/>
  <c r="CH142" i="25"/>
  <c r="CG142" i="25"/>
  <c r="BM142" i="25" s="1"/>
  <c r="CF142" i="25"/>
  <c r="CE142" i="25"/>
  <c r="CD142" i="25"/>
  <c r="CC142" i="25"/>
  <c r="CA142" i="25"/>
  <c r="BZ142" i="25"/>
  <c r="BY142" i="25"/>
  <c r="BS142" i="25" s="1"/>
  <c r="BX142" i="25"/>
  <c r="BU142" i="25" s="1"/>
  <c r="BR142" i="25"/>
  <c r="BW142" i="25" s="1"/>
  <c r="BN142" i="25"/>
  <c r="BH142" i="25"/>
  <c r="BF142" i="25"/>
  <c r="AX142" i="25"/>
  <c r="AY142" i="25" s="1"/>
  <c r="AU142" i="25"/>
  <c r="AT142" i="25"/>
  <c r="AS142" i="25"/>
  <c r="AR142" i="25"/>
  <c r="CM141" i="25"/>
  <c r="CL141" i="25"/>
  <c r="CK141" i="25"/>
  <c r="CJ141" i="25"/>
  <c r="CI141" i="25"/>
  <c r="CH141" i="25"/>
  <c r="CG141" i="25"/>
  <c r="BO141" i="25" s="1"/>
  <c r="CF141" i="25"/>
  <c r="CE141" i="25"/>
  <c r="CD141" i="25"/>
  <c r="CC141" i="25"/>
  <c r="CA141" i="25"/>
  <c r="BZ141" i="25"/>
  <c r="BY141" i="25"/>
  <c r="BS141" i="25" s="1"/>
  <c r="BX141" i="25"/>
  <c r="BU141" i="25" s="1"/>
  <c r="BR141" i="25"/>
  <c r="BW141" i="25" s="1"/>
  <c r="BN141" i="25"/>
  <c r="BH141" i="25"/>
  <c r="BF141" i="25"/>
  <c r="AX141" i="25"/>
  <c r="AY141" i="25" s="1"/>
  <c r="AU141" i="25"/>
  <c r="AT141" i="25"/>
  <c r="AS141" i="25"/>
  <c r="AR141" i="25"/>
  <c r="CM140" i="25"/>
  <c r="CL140" i="25"/>
  <c r="CK140" i="25"/>
  <c r="CJ140" i="25"/>
  <c r="CI140" i="25"/>
  <c r="CH140" i="25"/>
  <c r="CG140" i="25"/>
  <c r="CF140" i="25"/>
  <c r="CE140" i="25"/>
  <c r="CD140" i="25"/>
  <c r="CC140" i="25"/>
  <c r="CA140" i="25"/>
  <c r="BZ140" i="25"/>
  <c r="BY140" i="25"/>
  <c r="BS140" i="25" s="1"/>
  <c r="BX140" i="25"/>
  <c r="BU140" i="25" s="1"/>
  <c r="BT140" i="25"/>
  <c r="BR140" i="25"/>
  <c r="BW140" i="25" s="1"/>
  <c r="BN140" i="25"/>
  <c r="BH140" i="25"/>
  <c r="BF140" i="25"/>
  <c r="AX140" i="25"/>
  <c r="AY140" i="25" s="1"/>
  <c r="AU140" i="25"/>
  <c r="AT140" i="25"/>
  <c r="AV140" i="25" s="1"/>
  <c r="AW140" i="25" s="1"/>
  <c r="AS140" i="25"/>
  <c r="AR140" i="25"/>
  <c r="CM139" i="25"/>
  <c r="CL139" i="25"/>
  <c r="CK139" i="25"/>
  <c r="CJ139" i="25"/>
  <c r="CI139" i="25"/>
  <c r="CH139" i="25"/>
  <c r="CG139" i="25"/>
  <c r="BM139" i="25" s="1"/>
  <c r="CF139" i="25"/>
  <c r="CE139" i="25"/>
  <c r="CD139" i="25"/>
  <c r="CC139" i="25"/>
  <c r="CA139" i="25"/>
  <c r="BZ139" i="25"/>
  <c r="BY139" i="25"/>
  <c r="BS139" i="25" s="1"/>
  <c r="BX139" i="25"/>
  <c r="BU139" i="25" s="1"/>
  <c r="BT139" i="25"/>
  <c r="BR139" i="25"/>
  <c r="BW139" i="25" s="1"/>
  <c r="BN139" i="25"/>
  <c r="BH139" i="25"/>
  <c r="BF139" i="25"/>
  <c r="AX139" i="25"/>
  <c r="AY139" i="25" s="1"/>
  <c r="AU139" i="25"/>
  <c r="AT139" i="25"/>
  <c r="AS139" i="25"/>
  <c r="AR139" i="25"/>
  <c r="CM138" i="25"/>
  <c r="CL138" i="25"/>
  <c r="CK138" i="25"/>
  <c r="CJ138" i="25"/>
  <c r="CI138" i="25"/>
  <c r="CH138" i="25"/>
  <c r="CG138" i="25"/>
  <c r="BM138" i="25" s="1"/>
  <c r="CF138" i="25"/>
  <c r="CE138" i="25"/>
  <c r="CD138" i="25"/>
  <c r="CC138" i="25"/>
  <c r="CA138" i="25"/>
  <c r="BZ138" i="25"/>
  <c r="BY138" i="25"/>
  <c r="BS138" i="25" s="1"/>
  <c r="BX138" i="25"/>
  <c r="BU138" i="25" s="1"/>
  <c r="BT138" i="25"/>
  <c r="BR138" i="25"/>
  <c r="BW138" i="25" s="1"/>
  <c r="BN138" i="25"/>
  <c r="BI138" i="25"/>
  <c r="BJ138" i="25" s="1"/>
  <c r="BH138" i="25"/>
  <c r="BF138" i="25"/>
  <c r="AX138" i="25"/>
  <c r="AY138" i="25" s="1"/>
  <c r="AU138" i="25"/>
  <c r="AT138" i="25"/>
  <c r="AS138" i="25"/>
  <c r="AR138" i="25"/>
  <c r="CM137" i="25"/>
  <c r="CL137" i="25"/>
  <c r="CK137" i="25"/>
  <c r="CJ137" i="25"/>
  <c r="CI137" i="25"/>
  <c r="CH137" i="25"/>
  <c r="CG137" i="25"/>
  <c r="BM137" i="25" s="1"/>
  <c r="CF137" i="25"/>
  <c r="CE137" i="25"/>
  <c r="CD137" i="25"/>
  <c r="CC137" i="25"/>
  <c r="CA137" i="25"/>
  <c r="BZ137" i="25"/>
  <c r="BY137" i="25"/>
  <c r="BS137" i="25" s="1"/>
  <c r="BX137" i="25"/>
  <c r="BU137" i="25" s="1"/>
  <c r="BT137" i="25"/>
  <c r="BR137" i="25"/>
  <c r="BW137" i="25" s="1"/>
  <c r="BN137" i="25"/>
  <c r="BH137" i="25"/>
  <c r="BF137" i="25"/>
  <c r="AX137" i="25"/>
  <c r="AY137" i="25" s="1"/>
  <c r="AU137" i="25"/>
  <c r="AT137" i="25"/>
  <c r="AV137" i="25" s="1"/>
  <c r="AW137" i="25" s="1"/>
  <c r="AS137" i="25"/>
  <c r="AR137" i="25"/>
  <c r="CM136" i="25"/>
  <c r="CL136" i="25"/>
  <c r="CK136" i="25"/>
  <c r="CJ136" i="25"/>
  <c r="CI136" i="25"/>
  <c r="CH136" i="25"/>
  <c r="CG136" i="25"/>
  <c r="BM136" i="25" s="1"/>
  <c r="CF136" i="25"/>
  <c r="CE136" i="25"/>
  <c r="CD136" i="25"/>
  <c r="CC136" i="25"/>
  <c r="CA136" i="25"/>
  <c r="BZ136" i="25"/>
  <c r="BY136" i="25"/>
  <c r="BS136" i="25" s="1"/>
  <c r="BX136" i="25"/>
  <c r="BU136" i="25" s="1"/>
  <c r="BR136" i="25"/>
  <c r="BW136" i="25" s="1"/>
  <c r="BN136" i="25"/>
  <c r="BH136" i="25"/>
  <c r="BF136" i="25"/>
  <c r="AX136" i="25"/>
  <c r="AY136" i="25" s="1"/>
  <c r="AU136" i="25"/>
  <c r="AT136" i="25"/>
  <c r="AS136" i="25"/>
  <c r="AR136" i="25"/>
  <c r="CM135" i="25"/>
  <c r="CL135" i="25"/>
  <c r="CK135" i="25"/>
  <c r="CJ135" i="25"/>
  <c r="CI135" i="25"/>
  <c r="CH135" i="25"/>
  <c r="CG135" i="25"/>
  <c r="BI135" i="25" s="1"/>
  <c r="BJ135" i="25" s="1"/>
  <c r="CF135" i="25"/>
  <c r="CE135" i="25"/>
  <c r="CD135" i="25"/>
  <c r="CC135" i="25"/>
  <c r="CA135" i="25"/>
  <c r="BZ135" i="25"/>
  <c r="BY135" i="25"/>
  <c r="BS135" i="25" s="1"/>
  <c r="BX135" i="25"/>
  <c r="BU135" i="25" s="1"/>
  <c r="BT135" i="25"/>
  <c r="BR135" i="25"/>
  <c r="BW135" i="25" s="1"/>
  <c r="BH135" i="25"/>
  <c r="BF135" i="25"/>
  <c r="AX135" i="25"/>
  <c r="AY135" i="25" s="1"/>
  <c r="AU135" i="25"/>
  <c r="AT135" i="25"/>
  <c r="AS135" i="25"/>
  <c r="AR135" i="25"/>
  <c r="CM134" i="25"/>
  <c r="CL134" i="25"/>
  <c r="CK134" i="25"/>
  <c r="CJ134" i="25"/>
  <c r="CI134" i="25"/>
  <c r="CH134" i="25"/>
  <c r="CG134" i="25"/>
  <c r="BM134" i="25" s="1"/>
  <c r="CF134" i="25"/>
  <c r="CE134" i="25"/>
  <c r="CD134" i="25"/>
  <c r="CC134" i="25"/>
  <c r="CA134" i="25"/>
  <c r="BZ134" i="25"/>
  <c r="BY134" i="25"/>
  <c r="BS134" i="25" s="1"/>
  <c r="BX134" i="25"/>
  <c r="BU134" i="25" s="1"/>
  <c r="BT134" i="25"/>
  <c r="BR134" i="25"/>
  <c r="BW134" i="25" s="1"/>
  <c r="BH134" i="25"/>
  <c r="BF134" i="25"/>
  <c r="AX134" i="25"/>
  <c r="AY134" i="25" s="1"/>
  <c r="AU134" i="25"/>
  <c r="AT134" i="25"/>
  <c r="AS134" i="25"/>
  <c r="AR134" i="25"/>
  <c r="CM133" i="25"/>
  <c r="CL133" i="25"/>
  <c r="CK133" i="25"/>
  <c r="CJ133" i="25"/>
  <c r="CI133" i="25"/>
  <c r="CH133" i="25"/>
  <c r="CG133" i="25"/>
  <c r="BO133" i="25" s="1"/>
  <c r="CF133" i="25"/>
  <c r="CE133" i="25"/>
  <c r="CD133" i="25"/>
  <c r="CC133" i="25"/>
  <c r="CA133" i="25"/>
  <c r="BZ133" i="25"/>
  <c r="BY133" i="25"/>
  <c r="BS133" i="25" s="1"/>
  <c r="BX133" i="25"/>
  <c r="BU133" i="25" s="1"/>
  <c r="BT133" i="25"/>
  <c r="BR133" i="25"/>
  <c r="BW133" i="25" s="1"/>
  <c r="BI133" i="25"/>
  <c r="BJ133" i="25" s="1"/>
  <c r="BH133" i="25"/>
  <c r="BF133" i="25"/>
  <c r="AX133" i="25"/>
  <c r="AY133" i="25" s="1"/>
  <c r="AU133" i="25"/>
  <c r="AT133" i="25"/>
  <c r="AS133" i="25"/>
  <c r="AR133" i="25"/>
  <c r="CM132" i="25"/>
  <c r="CL132" i="25"/>
  <c r="CK132" i="25"/>
  <c r="CJ132" i="25"/>
  <c r="CI132" i="25"/>
  <c r="CH132" i="25"/>
  <c r="CG132" i="25"/>
  <c r="BM132" i="25" s="1"/>
  <c r="CF132" i="25"/>
  <c r="CE132" i="25"/>
  <c r="CD132" i="25"/>
  <c r="CC132" i="25"/>
  <c r="CA132" i="25"/>
  <c r="BZ132" i="25"/>
  <c r="BY132" i="25"/>
  <c r="BS132" i="25" s="1"/>
  <c r="BX132" i="25"/>
  <c r="BU132" i="25" s="1"/>
  <c r="BR132" i="25"/>
  <c r="BW132" i="25" s="1"/>
  <c r="BN132" i="25"/>
  <c r="BH132" i="25"/>
  <c r="BF132" i="25"/>
  <c r="AX132" i="25"/>
  <c r="AY132" i="25" s="1"/>
  <c r="AU132" i="25"/>
  <c r="AT132" i="25"/>
  <c r="AS132" i="25"/>
  <c r="AR132" i="25"/>
  <c r="CM131" i="25"/>
  <c r="CL131" i="25"/>
  <c r="CK131" i="25"/>
  <c r="CJ131" i="25"/>
  <c r="CI131" i="25"/>
  <c r="CH131" i="25"/>
  <c r="CG131" i="25"/>
  <c r="BT131" i="25" s="1"/>
  <c r="CF131" i="25"/>
  <c r="CE131" i="25"/>
  <c r="CD131" i="25"/>
  <c r="CC131" i="25"/>
  <c r="CA131" i="25"/>
  <c r="BZ131" i="25"/>
  <c r="BY131" i="25"/>
  <c r="BS131" i="25" s="1"/>
  <c r="BX131" i="25"/>
  <c r="BU131" i="25" s="1"/>
  <c r="BR131" i="25"/>
  <c r="BW131" i="25" s="1"/>
  <c r="BN131" i="25"/>
  <c r="BH131" i="25"/>
  <c r="BF131" i="25"/>
  <c r="AX131" i="25"/>
  <c r="AY131" i="25" s="1"/>
  <c r="AU131" i="25"/>
  <c r="AT131" i="25"/>
  <c r="AV131" i="25" s="1"/>
  <c r="AW131" i="25" s="1"/>
  <c r="AS131" i="25"/>
  <c r="AR131" i="25"/>
  <c r="CM130" i="25"/>
  <c r="CL130" i="25"/>
  <c r="CK130" i="25"/>
  <c r="CJ130" i="25"/>
  <c r="CI130" i="25"/>
  <c r="CH130" i="25"/>
  <c r="CG130" i="25"/>
  <c r="BM130" i="25" s="1"/>
  <c r="CF130" i="25"/>
  <c r="CE130" i="25"/>
  <c r="CD130" i="25"/>
  <c r="CC130" i="25"/>
  <c r="CA130" i="25"/>
  <c r="BZ130" i="25"/>
  <c r="BY130" i="25"/>
  <c r="BS130" i="25" s="1"/>
  <c r="BX130" i="25"/>
  <c r="BU130" i="25" s="1"/>
  <c r="BT130" i="25"/>
  <c r="BR130" i="25"/>
  <c r="BW130" i="25" s="1"/>
  <c r="BO130" i="25"/>
  <c r="BN130" i="25"/>
  <c r="BH130" i="25"/>
  <c r="BF130" i="25"/>
  <c r="AX130" i="25"/>
  <c r="AY130" i="25" s="1"/>
  <c r="AU130" i="25"/>
  <c r="AT130" i="25"/>
  <c r="AS130" i="25"/>
  <c r="AR130" i="25"/>
  <c r="CM129" i="25"/>
  <c r="CL129" i="25"/>
  <c r="CK129" i="25"/>
  <c r="CJ129" i="25"/>
  <c r="CI129" i="25"/>
  <c r="CH129" i="25"/>
  <c r="CG129" i="25"/>
  <c r="BI129" i="25" s="1"/>
  <c r="BJ129" i="25" s="1"/>
  <c r="CF129" i="25"/>
  <c r="CE129" i="25"/>
  <c r="CD129" i="25"/>
  <c r="CC129" i="25"/>
  <c r="CA129" i="25"/>
  <c r="BZ129" i="25"/>
  <c r="BY129" i="25"/>
  <c r="BS129" i="25" s="1"/>
  <c r="BX129" i="25"/>
  <c r="BU129" i="25" s="1"/>
  <c r="BT129" i="25"/>
  <c r="BR129" i="25"/>
  <c r="BW129" i="25" s="1"/>
  <c r="BH129" i="25"/>
  <c r="BF129" i="25"/>
  <c r="AX129" i="25"/>
  <c r="AY129" i="25" s="1"/>
  <c r="AU129" i="25"/>
  <c r="AT129" i="25"/>
  <c r="AS129" i="25"/>
  <c r="AR129" i="25"/>
  <c r="CM128" i="25"/>
  <c r="CL128" i="25"/>
  <c r="CK128" i="25"/>
  <c r="CJ128" i="25"/>
  <c r="CI128" i="25"/>
  <c r="CH128" i="25"/>
  <c r="CG128" i="25"/>
  <c r="BM128" i="25" s="1"/>
  <c r="CF128" i="25"/>
  <c r="CE128" i="25"/>
  <c r="CD128" i="25"/>
  <c r="CC128" i="25"/>
  <c r="CA128" i="25"/>
  <c r="BZ128" i="25"/>
  <c r="BY128" i="25"/>
  <c r="BS128" i="25" s="1"/>
  <c r="BX128" i="25"/>
  <c r="BU128" i="25" s="1"/>
  <c r="BR128" i="25"/>
  <c r="BW128" i="25" s="1"/>
  <c r="BO128" i="25"/>
  <c r="BI128" i="25"/>
  <c r="BJ128" i="25" s="1"/>
  <c r="BH128" i="25"/>
  <c r="BF128" i="25"/>
  <c r="AX128" i="25"/>
  <c r="AY128" i="25" s="1"/>
  <c r="AU128" i="25"/>
  <c r="AT128" i="25"/>
  <c r="AS128" i="25"/>
  <c r="AR128" i="25"/>
  <c r="CM127" i="25"/>
  <c r="CL127" i="25"/>
  <c r="CK127" i="25"/>
  <c r="CJ127" i="25"/>
  <c r="CI127" i="25"/>
  <c r="CH127" i="25"/>
  <c r="CG127" i="25"/>
  <c r="BM127" i="25" s="1"/>
  <c r="CF127" i="25"/>
  <c r="CE127" i="25"/>
  <c r="CD127" i="25"/>
  <c r="CC127" i="25"/>
  <c r="CA127" i="25"/>
  <c r="BZ127" i="25"/>
  <c r="BY127" i="25"/>
  <c r="BS127" i="25" s="1"/>
  <c r="BX127" i="25"/>
  <c r="BU127" i="25" s="1"/>
  <c r="BR127" i="25"/>
  <c r="BW127" i="25" s="1"/>
  <c r="BN127" i="25"/>
  <c r="BH127" i="25"/>
  <c r="BF127" i="25"/>
  <c r="AX127" i="25"/>
  <c r="AY127" i="25" s="1"/>
  <c r="AU127" i="25"/>
  <c r="AT127" i="25"/>
  <c r="AS127" i="25"/>
  <c r="AR127" i="25"/>
  <c r="CM126" i="25"/>
  <c r="CL126" i="25"/>
  <c r="CK126" i="25"/>
  <c r="CJ126" i="25"/>
  <c r="CI126" i="25"/>
  <c r="CH126" i="25"/>
  <c r="CG126" i="25"/>
  <c r="BM126" i="25" s="1"/>
  <c r="CF126" i="25"/>
  <c r="CE126" i="25"/>
  <c r="CD126" i="25"/>
  <c r="CC126" i="25"/>
  <c r="CA126" i="25"/>
  <c r="BZ126" i="25"/>
  <c r="BY126" i="25"/>
  <c r="BS126" i="25" s="1"/>
  <c r="BX126" i="25"/>
  <c r="BU126" i="25" s="1"/>
  <c r="BR126" i="25"/>
  <c r="BW126" i="25" s="1"/>
  <c r="BN126" i="25"/>
  <c r="BH126" i="25"/>
  <c r="BF126" i="25"/>
  <c r="AX126" i="25"/>
  <c r="AU126" i="25"/>
  <c r="AT126" i="25"/>
  <c r="AS126" i="25"/>
  <c r="AR126" i="25"/>
  <c r="CM125" i="25"/>
  <c r="CL125" i="25"/>
  <c r="CK125" i="25"/>
  <c r="CJ125" i="25"/>
  <c r="CI125" i="25"/>
  <c r="CH125" i="25"/>
  <c r="CG125" i="25"/>
  <c r="BM125" i="25" s="1"/>
  <c r="CF125" i="25"/>
  <c r="CE125" i="25"/>
  <c r="CD125" i="25"/>
  <c r="CC125" i="25"/>
  <c r="CA125" i="25"/>
  <c r="BZ125" i="25"/>
  <c r="BY125" i="25"/>
  <c r="BS125" i="25" s="1"/>
  <c r="BX125" i="25"/>
  <c r="BU125" i="25" s="1"/>
  <c r="BR125" i="25"/>
  <c r="BW125" i="25" s="1"/>
  <c r="BN125" i="25"/>
  <c r="BH125" i="25"/>
  <c r="BF125" i="25"/>
  <c r="AX125" i="25"/>
  <c r="AU125" i="25"/>
  <c r="AT125" i="25"/>
  <c r="AS125" i="25"/>
  <c r="AR125" i="25"/>
  <c r="CM124" i="25"/>
  <c r="CL124" i="25"/>
  <c r="CK124" i="25"/>
  <c r="CJ124" i="25"/>
  <c r="CI124" i="25"/>
  <c r="CH124" i="25"/>
  <c r="CG124" i="25"/>
  <c r="BO124" i="25" s="1"/>
  <c r="CF124" i="25"/>
  <c r="CE124" i="25"/>
  <c r="CD124" i="25"/>
  <c r="CC124" i="25"/>
  <c r="CA124" i="25"/>
  <c r="BZ124" i="25"/>
  <c r="BY124" i="25"/>
  <c r="BS124" i="25" s="1"/>
  <c r="BX124" i="25"/>
  <c r="BU124" i="25" s="1"/>
  <c r="BR124" i="25"/>
  <c r="BW124" i="25" s="1"/>
  <c r="BN124" i="25"/>
  <c r="BH124" i="25"/>
  <c r="BF124" i="25"/>
  <c r="AX124" i="25"/>
  <c r="AU124" i="25"/>
  <c r="AT124" i="25"/>
  <c r="AS124" i="25"/>
  <c r="AR124" i="25"/>
  <c r="CM123" i="25"/>
  <c r="CL123" i="25"/>
  <c r="CK123" i="25"/>
  <c r="CJ123" i="25"/>
  <c r="CI123" i="25"/>
  <c r="CH123" i="25"/>
  <c r="CG123" i="25"/>
  <c r="BO123" i="25" s="1"/>
  <c r="CF123" i="25"/>
  <c r="CE123" i="25"/>
  <c r="CD123" i="25"/>
  <c r="CC123" i="25"/>
  <c r="CA123" i="25"/>
  <c r="BZ123" i="25"/>
  <c r="BY123" i="25"/>
  <c r="BS123" i="25" s="1"/>
  <c r="BX123" i="25"/>
  <c r="BU123" i="25" s="1"/>
  <c r="BR123" i="25"/>
  <c r="BW123" i="25" s="1"/>
  <c r="BN123" i="25"/>
  <c r="BH123" i="25"/>
  <c r="BF123" i="25"/>
  <c r="AX123" i="25"/>
  <c r="AU123" i="25"/>
  <c r="AT123" i="25"/>
  <c r="AS123" i="25"/>
  <c r="AR123" i="25"/>
  <c r="CM122" i="25"/>
  <c r="CL122" i="25"/>
  <c r="CK122" i="25"/>
  <c r="CJ122" i="25"/>
  <c r="CI122" i="25"/>
  <c r="CH122" i="25"/>
  <c r="CG122" i="25"/>
  <c r="BO122" i="25" s="1"/>
  <c r="CF122" i="25"/>
  <c r="CE122" i="25"/>
  <c r="CD122" i="25"/>
  <c r="CC122" i="25"/>
  <c r="CA122" i="25"/>
  <c r="BZ122" i="25"/>
  <c r="BY122" i="25"/>
  <c r="BS122" i="25" s="1"/>
  <c r="BX122" i="25"/>
  <c r="BU122" i="25" s="1"/>
  <c r="BR122" i="25"/>
  <c r="BW122" i="25" s="1"/>
  <c r="BN122" i="25"/>
  <c r="BH122" i="25"/>
  <c r="BF122" i="25"/>
  <c r="AX122" i="25"/>
  <c r="AU122" i="25"/>
  <c r="AT122" i="25"/>
  <c r="AS122" i="25"/>
  <c r="AR122" i="25"/>
  <c r="CM121" i="25"/>
  <c r="CL121" i="25"/>
  <c r="CK121" i="25"/>
  <c r="CJ121" i="25"/>
  <c r="CI121" i="25"/>
  <c r="CH121" i="25"/>
  <c r="CG121" i="25"/>
  <c r="BM121" i="25" s="1"/>
  <c r="CF121" i="25"/>
  <c r="CE121" i="25"/>
  <c r="CD121" i="25"/>
  <c r="CC121" i="25"/>
  <c r="CA121" i="25"/>
  <c r="BZ121" i="25"/>
  <c r="BY121" i="25"/>
  <c r="BS121" i="25" s="1"/>
  <c r="BX121" i="25"/>
  <c r="BU121" i="25" s="1"/>
  <c r="BR121" i="25"/>
  <c r="BW121" i="25" s="1"/>
  <c r="BN121" i="25"/>
  <c r="BH121" i="25"/>
  <c r="BF121" i="25"/>
  <c r="AX121" i="25"/>
  <c r="AU121" i="25"/>
  <c r="AT121" i="25"/>
  <c r="AS121" i="25"/>
  <c r="AR121" i="25"/>
  <c r="CM120" i="25"/>
  <c r="CL120" i="25"/>
  <c r="CK120" i="25"/>
  <c r="CJ120" i="25"/>
  <c r="CI120" i="25"/>
  <c r="CH120" i="25"/>
  <c r="CG120" i="25"/>
  <c r="BT120" i="25" s="1"/>
  <c r="CF120" i="25"/>
  <c r="CE120" i="25"/>
  <c r="CD120" i="25"/>
  <c r="CC120" i="25"/>
  <c r="CA120" i="25"/>
  <c r="BZ120" i="25"/>
  <c r="BY120" i="25"/>
  <c r="BS120" i="25" s="1"/>
  <c r="BX120" i="25"/>
  <c r="BU120" i="25" s="1"/>
  <c r="BR120" i="25"/>
  <c r="BW120" i="25" s="1"/>
  <c r="BN120" i="25"/>
  <c r="BH120" i="25"/>
  <c r="BF120" i="25"/>
  <c r="AX120" i="25"/>
  <c r="AU120" i="25"/>
  <c r="AT120" i="25"/>
  <c r="AV120" i="25" s="1"/>
  <c r="AW120" i="25" s="1"/>
  <c r="AS120" i="25"/>
  <c r="AR120" i="25"/>
  <c r="CM119" i="25"/>
  <c r="CL119" i="25"/>
  <c r="CK119" i="25"/>
  <c r="CJ119" i="25"/>
  <c r="CI119" i="25"/>
  <c r="CH119" i="25"/>
  <c r="CG119" i="25"/>
  <c r="BO119" i="25" s="1"/>
  <c r="CF119" i="25"/>
  <c r="CE119" i="25"/>
  <c r="CD119" i="25"/>
  <c r="CC119" i="25"/>
  <c r="CA119" i="25"/>
  <c r="BZ119" i="25"/>
  <c r="BY119" i="25"/>
  <c r="BS119" i="25" s="1"/>
  <c r="BX119" i="25"/>
  <c r="BU119" i="25" s="1"/>
  <c r="BR119" i="25"/>
  <c r="BW119" i="25" s="1"/>
  <c r="BN119" i="25"/>
  <c r="BH119" i="25"/>
  <c r="BF119" i="25"/>
  <c r="AX119" i="25"/>
  <c r="AU119" i="25"/>
  <c r="AT119" i="25"/>
  <c r="AS119" i="25"/>
  <c r="AR119" i="25"/>
  <c r="CM118" i="25"/>
  <c r="CL118" i="25"/>
  <c r="CK118" i="25"/>
  <c r="CJ118" i="25"/>
  <c r="CI118" i="25"/>
  <c r="CH118" i="25"/>
  <c r="CG118" i="25"/>
  <c r="BM118" i="25" s="1"/>
  <c r="CF118" i="25"/>
  <c r="CE118" i="25"/>
  <c r="CD118" i="25"/>
  <c r="CC118" i="25"/>
  <c r="CA118" i="25"/>
  <c r="BZ118" i="25"/>
  <c r="BY118" i="25"/>
  <c r="BS118" i="25" s="1"/>
  <c r="BX118" i="25"/>
  <c r="BU118" i="25" s="1"/>
  <c r="BT118" i="25"/>
  <c r="BR118" i="25"/>
  <c r="BW118" i="25" s="1"/>
  <c r="BN118" i="25"/>
  <c r="BH118" i="25"/>
  <c r="BF118" i="25"/>
  <c r="AX118" i="25"/>
  <c r="AY118" i="25" s="1"/>
  <c r="AU118" i="25"/>
  <c r="AT118" i="25"/>
  <c r="AS118" i="25"/>
  <c r="AR118" i="25"/>
  <c r="CM117" i="25"/>
  <c r="CL117" i="25"/>
  <c r="CK117" i="25"/>
  <c r="CJ117" i="25"/>
  <c r="CI117" i="25"/>
  <c r="CH117" i="25"/>
  <c r="CG117" i="25"/>
  <c r="BT117" i="25" s="1"/>
  <c r="CF117" i="25"/>
  <c r="CE117" i="25"/>
  <c r="CD117" i="25"/>
  <c r="CC117" i="25"/>
  <c r="CA117" i="25"/>
  <c r="BZ117" i="25"/>
  <c r="BY117" i="25"/>
  <c r="BS117" i="25" s="1"/>
  <c r="BX117" i="25"/>
  <c r="BU117" i="25" s="1"/>
  <c r="BR117" i="25"/>
  <c r="BW117" i="25" s="1"/>
  <c r="BN117" i="25"/>
  <c r="BH117" i="25"/>
  <c r="BF117" i="25"/>
  <c r="AX117" i="25"/>
  <c r="AY117" i="25" s="1"/>
  <c r="AU117" i="25"/>
  <c r="AT117" i="25"/>
  <c r="AS117" i="25"/>
  <c r="AR117" i="25"/>
  <c r="CM116" i="25"/>
  <c r="CL116" i="25"/>
  <c r="CK116" i="25"/>
  <c r="CJ116" i="25"/>
  <c r="CI116" i="25"/>
  <c r="CH116" i="25"/>
  <c r="CG116" i="25"/>
  <c r="BT116" i="25" s="1"/>
  <c r="CF116" i="25"/>
  <c r="CE116" i="25"/>
  <c r="CD116" i="25"/>
  <c r="CC116" i="25"/>
  <c r="CA116" i="25"/>
  <c r="BZ116" i="25"/>
  <c r="BY116" i="25"/>
  <c r="BS116" i="25" s="1"/>
  <c r="BX116" i="25"/>
  <c r="BU116" i="25" s="1"/>
  <c r="BR116" i="25"/>
  <c r="BW116" i="25" s="1"/>
  <c r="BN116" i="25"/>
  <c r="BH116" i="25"/>
  <c r="BF116" i="25"/>
  <c r="AX116" i="25"/>
  <c r="AY116" i="25" s="1"/>
  <c r="AU116" i="25"/>
  <c r="AT116" i="25"/>
  <c r="AS116" i="25"/>
  <c r="AR116" i="25"/>
  <c r="CM115" i="25"/>
  <c r="CL115" i="25"/>
  <c r="CK115" i="25"/>
  <c r="CJ115" i="25"/>
  <c r="CI115" i="25"/>
  <c r="CH115" i="25"/>
  <c r="CG115" i="25"/>
  <c r="BO115" i="25" s="1"/>
  <c r="CF115" i="25"/>
  <c r="CE115" i="25"/>
  <c r="CD115" i="25"/>
  <c r="CC115" i="25"/>
  <c r="CA115" i="25"/>
  <c r="BZ115" i="25"/>
  <c r="BY115" i="25"/>
  <c r="BS115" i="25" s="1"/>
  <c r="BX115" i="25"/>
  <c r="BU115" i="25" s="1"/>
  <c r="BR115" i="25"/>
  <c r="BW115" i="25" s="1"/>
  <c r="BN115" i="25"/>
  <c r="BH115" i="25"/>
  <c r="BF115" i="25"/>
  <c r="AX115" i="25"/>
  <c r="AY115" i="25" s="1"/>
  <c r="AU115" i="25"/>
  <c r="AT115" i="25"/>
  <c r="AS115" i="25"/>
  <c r="AR115" i="25"/>
  <c r="CM114" i="25"/>
  <c r="CL114" i="25"/>
  <c r="CK114" i="25"/>
  <c r="CJ114" i="25"/>
  <c r="CI114" i="25"/>
  <c r="CH114" i="25"/>
  <c r="CG114" i="25"/>
  <c r="BT114" i="25" s="1"/>
  <c r="CF114" i="25"/>
  <c r="CE114" i="25"/>
  <c r="CD114" i="25"/>
  <c r="CC114" i="25"/>
  <c r="CA114" i="25"/>
  <c r="BZ114" i="25"/>
  <c r="BY114" i="25"/>
  <c r="BS114" i="25" s="1"/>
  <c r="BX114" i="25"/>
  <c r="BU114" i="25" s="1"/>
  <c r="BR114" i="25"/>
  <c r="BW114" i="25" s="1"/>
  <c r="BN114" i="25"/>
  <c r="BH114" i="25"/>
  <c r="BF114" i="25"/>
  <c r="AX114" i="25"/>
  <c r="AY114" i="25" s="1"/>
  <c r="AU114" i="25"/>
  <c r="AT114" i="25"/>
  <c r="AS114" i="25"/>
  <c r="AR114" i="25"/>
  <c r="CM113" i="25"/>
  <c r="CL113" i="25"/>
  <c r="CK113" i="25"/>
  <c r="CJ113" i="25"/>
  <c r="CI113" i="25"/>
  <c r="CH113" i="25"/>
  <c r="CG113" i="25"/>
  <c r="BT113" i="25" s="1"/>
  <c r="CF113" i="25"/>
  <c r="CE113" i="25"/>
  <c r="CD113" i="25"/>
  <c r="CC113" i="25"/>
  <c r="CA113" i="25"/>
  <c r="BZ113" i="25"/>
  <c r="BY113" i="25"/>
  <c r="BS113" i="25" s="1"/>
  <c r="BX113" i="25"/>
  <c r="BU113" i="25" s="1"/>
  <c r="BR113" i="25"/>
  <c r="BW113" i="25" s="1"/>
  <c r="BN113" i="25"/>
  <c r="BH113" i="25"/>
  <c r="BF113" i="25"/>
  <c r="AX113" i="25"/>
  <c r="AY113" i="25" s="1"/>
  <c r="AU113" i="25"/>
  <c r="AT113" i="25"/>
  <c r="AS113" i="25"/>
  <c r="AR113" i="25"/>
  <c r="CM112" i="25"/>
  <c r="CL112" i="25"/>
  <c r="CK112" i="25"/>
  <c r="CJ112" i="25"/>
  <c r="CI112" i="25"/>
  <c r="CH112" i="25"/>
  <c r="CG112" i="25"/>
  <c r="BT112" i="25" s="1"/>
  <c r="CF112" i="25"/>
  <c r="CE112" i="25"/>
  <c r="CD112" i="25"/>
  <c r="CC112" i="25"/>
  <c r="CA112" i="25"/>
  <c r="BZ112" i="25"/>
  <c r="BY112" i="25"/>
  <c r="BS112" i="25" s="1"/>
  <c r="BX112" i="25"/>
  <c r="BU112" i="25" s="1"/>
  <c r="BR112" i="25"/>
  <c r="BW112" i="25" s="1"/>
  <c r="BN112" i="25"/>
  <c r="BI112" i="25"/>
  <c r="BJ112" i="25" s="1"/>
  <c r="BH112" i="25"/>
  <c r="BF112" i="25"/>
  <c r="AX112" i="25"/>
  <c r="AY112" i="25" s="1"/>
  <c r="AU112" i="25"/>
  <c r="AT112" i="25"/>
  <c r="AS112" i="25"/>
  <c r="AR112" i="25"/>
  <c r="CM111" i="25"/>
  <c r="CL111" i="25"/>
  <c r="CK111" i="25"/>
  <c r="CJ111" i="25"/>
  <c r="CI111" i="25"/>
  <c r="CH111" i="25"/>
  <c r="CG111" i="25"/>
  <c r="BT111" i="25" s="1"/>
  <c r="CF111" i="25"/>
  <c r="CE111" i="25"/>
  <c r="CD111" i="25"/>
  <c r="CC111" i="25"/>
  <c r="CA111" i="25"/>
  <c r="BZ111" i="25"/>
  <c r="BY111" i="25"/>
  <c r="BS111" i="25" s="1"/>
  <c r="BX111" i="25"/>
  <c r="BU111" i="25" s="1"/>
  <c r="BR111" i="25"/>
  <c r="BW111" i="25" s="1"/>
  <c r="BN111" i="25"/>
  <c r="BH111" i="25"/>
  <c r="BF111" i="25"/>
  <c r="AX111" i="25"/>
  <c r="AU111" i="25"/>
  <c r="AT111" i="25"/>
  <c r="AS111" i="25"/>
  <c r="AR111" i="25"/>
  <c r="CM110" i="25"/>
  <c r="CL110" i="25"/>
  <c r="CK110" i="25"/>
  <c r="CJ110" i="25"/>
  <c r="CI110" i="25"/>
  <c r="CH110" i="25"/>
  <c r="CG110" i="25"/>
  <c r="BT110" i="25" s="1"/>
  <c r="CF110" i="25"/>
  <c r="CE110" i="25"/>
  <c r="CD110" i="25"/>
  <c r="CC110" i="25"/>
  <c r="CA110" i="25"/>
  <c r="BZ110" i="25"/>
  <c r="BY110" i="25"/>
  <c r="BS110" i="25" s="1"/>
  <c r="BX110" i="25"/>
  <c r="BU110" i="25" s="1"/>
  <c r="BR110" i="25"/>
  <c r="BW110" i="25" s="1"/>
  <c r="BN110" i="25"/>
  <c r="BH110" i="25"/>
  <c r="BF110" i="25"/>
  <c r="AX110" i="25"/>
  <c r="AY110" i="25" s="1"/>
  <c r="AU110" i="25"/>
  <c r="AT110" i="25"/>
  <c r="AS110" i="25"/>
  <c r="AR110" i="25"/>
  <c r="CM109" i="25"/>
  <c r="CL109" i="25"/>
  <c r="CK109" i="25"/>
  <c r="CJ109" i="25"/>
  <c r="CI109" i="25"/>
  <c r="CH109" i="25"/>
  <c r="CG109" i="25"/>
  <c r="CF109" i="25"/>
  <c r="CE109" i="25"/>
  <c r="CD109" i="25"/>
  <c r="CC109" i="25"/>
  <c r="CA109" i="25"/>
  <c r="BZ109" i="25"/>
  <c r="BY109" i="25"/>
  <c r="BS109" i="25" s="1"/>
  <c r="BX109" i="25"/>
  <c r="BU109" i="25" s="1"/>
  <c r="BT109" i="25"/>
  <c r="BR109" i="25"/>
  <c r="BW109" i="25" s="1"/>
  <c r="BN109" i="25"/>
  <c r="BH109" i="25"/>
  <c r="BF109" i="25"/>
  <c r="AX109" i="25"/>
  <c r="AY109" i="25" s="1"/>
  <c r="AU109" i="25"/>
  <c r="AT109" i="25"/>
  <c r="AS109" i="25"/>
  <c r="AR109" i="25"/>
  <c r="CM108" i="25"/>
  <c r="CL108" i="25"/>
  <c r="CK108" i="25"/>
  <c r="CJ108" i="25"/>
  <c r="CI108" i="25"/>
  <c r="CH108" i="25"/>
  <c r="CG108" i="25"/>
  <c r="BT108" i="25" s="1"/>
  <c r="CF108" i="25"/>
  <c r="CE108" i="25"/>
  <c r="CD108" i="25"/>
  <c r="CC108" i="25"/>
  <c r="CA108" i="25"/>
  <c r="BZ108" i="25"/>
  <c r="BY108" i="25"/>
  <c r="BS108" i="25" s="1"/>
  <c r="BX108" i="25"/>
  <c r="BU108" i="25" s="1"/>
  <c r="BR108" i="25"/>
  <c r="BW108" i="25" s="1"/>
  <c r="BN108" i="25"/>
  <c r="BH108" i="25"/>
  <c r="BF108" i="25"/>
  <c r="AX108" i="25"/>
  <c r="AY108" i="25" s="1"/>
  <c r="AU108" i="25"/>
  <c r="AT108" i="25"/>
  <c r="AS108" i="25"/>
  <c r="AR108" i="25"/>
  <c r="CM107" i="25"/>
  <c r="CL107" i="25"/>
  <c r="CK107" i="25"/>
  <c r="CJ107" i="25"/>
  <c r="CI107" i="25"/>
  <c r="CH107" i="25"/>
  <c r="CG107" i="25"/>
  <c r="BM107" i="25" s="1"/>
  <c r="CF107" i="25"/>
  <c r="CE107" i="25"/>
  <c r="CD107" i="25"/>
  <c r="CC107" i="25"/>
  <c r="CA107" i="25"/>
  <c r="BZ107" i="25"/>
  <c r="BY107" i="25"/>
  <c r="BS107" i="25" s="1"/>
  <c r="BX107" i="25"/>
  <c r="BU107" i="25" s="1"/>
  <c r="BT107" i="25"/>
  <c r="BR107" i="25"/>
  <c r="BW107" i="25" s="1"/>
  <c r="BI107" i="25"/>
  <c r="BJ107" i="25" s="1"/>
  <c r="BH107" i="25"/>
  <c r="BN107" i="25" s="1"/>
  <c r="BF107" i="25"/>
  <c r="AX107" i="25"/>
  <c r="AY107" i="25" s="1"/>
  <c r="AU107" i="25"/>
  <c r="AT107" i="25"/>
  <c r="AS107" i="25"/>
  <c r="AR107" i="25"/>
  <c r="CM106" i="25"/>
  <c r="CL106" i="25"/>
  <c r="CK106" i="25"/>
  <c r="CJ106" i="25"/>
  <c r="CI106" i="25"/>
  <c r="CH106" i="25"/>
  <c r="CG106" i="25"/>
  <c r="BM106" i="25" s="1"/>
  <c r="CF106" i="25"/>
  <c r="CE106" i="25"/>
  <c r="CD106" i="25"/>
  <c r="CC106" i="25"/>
  <c r="CA106" i="25"/>
  <c r="BZ106" i="25"/>
  <c r="BY106" i="25"/>
  <c r="BS106" i="25" s="1"/>
  <c r="BX106" i="25"/>
  <c r="BU106" i="25" s="1"/>
  <c r="BT106" i="25"/>
  <c r="BR106" i="25"/>
  <c r="BW106" i="25" s="1"/>
  <c r="BI106" i="25"/>
  <c r="BJ106" i="25" s="1"/>
  <c r="BH106" i="25"/>
  <c r="BN106" i="25" s="1"/>
  <c r="BF106" i="25"/>
  <c r="AX106" i="25"/>
  <c r="AY106" i="25" s="1"/>
  <c r="AU106" i="25"/>
  <c r="AT106" i="25"/>
  <c r="AS106" i="25"/>
  <c r="AR106" i="25"/>
  <c r="CM105" i="25"/>
  <c r="CL105" i="25"/>
  <c r="CK105" i="25"/>
  <c r="CJ105" i="25"/>
  <c r="CI105" i="25"/>
  <c r="CH105" i="25"/>
  <c r="CG105" i="25"/>
  <c r="BM105" i="25" s="1"/>
  <c r="CF105" i="25"/>
  <c r="CE105" i="25"/>
  <c r="CD105" i="25"/>
  <c r="CC105" i="25"/>
  <c r="CA105" i="25"/>
  <c r="BZ105" i="25"/>
  <c r="BY105" i="25"/>
  <c r="BS105" i="25" s="1"/>
  <c r="BX105" i="25"/>
  <c r="BU105" i="25" s="1"/>
  <c r="BT105" i="25"/>
  <c r="BR105" i="25"/>
  <c r="BW105" i="25" s="1"/>
  <c r="BH105" i="25"/>
  <c r="BN105" i="25" s="1"/>
  <c r="BF105" i="25"/>
  <c r="AX105" i="25"/>
  <c r="AY105" i="25" s="1"/>
  <c r="AU105" i="25"/>
  <c r="AT105" i="25"/>
  <c r="AS105" i="25"/>
  <c r="AR105" i="25"/>
  <c r="CM104" i="25"/>
  <c r="CL104" i="25"/>
  <c r="CK104" i="25"/>
  <c r="CJ104" i="25"/>
  <c r="CI104" i="25"/>
  <c r="CH104" i="25"/>
  <c r="CG104" i="25"/>
  <c r="BT104" i="25" s="1"/>
  <c r="CF104" i="25"/>
  <c r="CE104" i="25"/>
  <c r="CD104" i="25"/>
  <c r="CC104" i="25"/>
  <c r="CA104" i="25"/>
  <c r="BZ104" i="25"/>
  <c r="BY104" i="25"/>
  <c r="BS104" i="25" s="1"/>
  <c r="BX104" i="25"/>
  <c r="BU104" i="25" s="1"/>
  <c r="BR104" i="25"/>
  <c r="BW104" i="25" s="1"/>
  <c r="BN104" i="25"/>
  <c r="BH104" i="25"/>
  <c r="BF104" i="25"/>
  <c r="AX104" i="25"/>
  <c r="AY104" i="25" s="1"/>
  <c r="AU104" i="25"/>
  <c r="AT104" i="25"/>
  <c r="AS104" i="25"/>
  <c r="AR104" i="25"/>
  <c r="CM103" i="25"/>
  <c r="CL103" i="25"/>
  <c r="CK103" i="25"/>
  <c r="CJ103" i="25"/>
  <c r="CI103" i="25"/>
  <c r="CH103" i="25"/>
  <c r="CG103" i="25"/>
  <c r="BM103" i="25" s="1"/>
  <c r="CF103" i="25"/>
  <c r="CE103" i="25"/>
  <c r="CD103" i="25"/>
  <c r="CC103" i="25"/>
  <c r="CA103" i="25"/>
  <c r="BZ103" i="25"/>
  <c r="BY103" i="25"/>
  <c r="BS103" i="25" s="1"/>
  <c r="BX103" i="25"/>
  <c r="BU103" i="25" s="1"/>
  <c r="BT103" i="25"/>
  <c r="BR103" i="25"/>
  <c r="BW103" i="25" s="1"/>
  <c r="BN103" i="25"/>
  <c r="BH103" i="25"/>
  <c r="BF103" i="25"/>
  <c r="AX103" i="25"/>
  <c r="AY103" i="25" s="1"/>
  <c r="AU103" i="25"/>
  <c r="AT103" i="25"/>
  <c r="AS103" i="25"/>
  <c r="AR103" i="25"/>
  <c r="CM102" i="25"/>
  <c r="CL102" i="25"/>
  <c r="CK102" i="25"/>
  <c r="CJ102" i="25"/>
  <c r="CI102" i="25"/>
  <c r="CH102" i="25"/>
  <c r="CG102" i="25"/>
  <c r="BT102" i="25" s="1"/>
  <c r="CF102" i="25"/>
  <c r="CE102" i="25"/>
  <c r="CD102" i="25"/>
  <c r="CC102" i="25"/>
  <c r="CA102" i="25"/>
  <c r="BZ102" i="25"/>
  <c r="BY102" i="25"/>
  <c r="BS102" i="25" s="1"/>
  <c r="BX102" i="25"/>
  <c r="BU102" i="25" s="1"/>
  <c r="BR102" i="25"/>
  <c r="BW102" i="25" s="1"/>
  <c r="BN102" i="25"/>
  <c r="BH102" i="25"/>
  <c r="BF102" i="25"/>
  <c r="AX102" i="25"/>
  <c r="AU102" i="25"/>
  <c r="AT102" i="25"/>
  <c r="AS102" i="25"/>
  <c r="AR102" i="25"/>
  <c r="CM101" i="25"/>
  <c r="CL101" i="25"/>
  <c r="CK101" i="25"/>
  <c r="CJ101" i="25"/>
  <c r="CI101" i="25"/>
  <c r="CH101" i="25"/>
  <c r="CG101" i="25"/>
  <c r="BT101" i="25" s="1"/>
  <c r="CF101" i="25"/>
  <c r="CE101" i="25"/>
  <c r="CD101" i="25"/>
  <c r="CC101" i="25"/>
  <c r="CA101" i="25"/>
  <c r="BZ101" i="25"/>
  <c r="BY101" i="25"/>
  <c r="BS101" i="25" s="1"/>
  <c r="BX101" i="25"/>
  <c r="BU101" i="25" s="1"/>
  <c r="BR101" i="25"/>
  <c r="BW101" i="25" s="1"/>
  <c r="BN101" i="25"/>
  <c r="BM101" i="25"/>
  <c r="BH101" i="25"/>
  <c r="BF101" i="25"/>
  <c r="AX101" i="25"/>
  <c r="AU101" i="25"/>
  <c r="AT101" i="25"/>
  <c r="AS101" i="25"/>
  <c r="AR101" i="25"/>
  <c r="CM100" i="25"/>
  <c r="CL100" i="25"/>
  <c r="CK100" i="25"/>
  <c r="CJ100" i="25"/>
  <c r="CI100" i="25"/>
  <c r="CH100" i="25"/>
  <c r="CG100" i="25"/>
  <c r="BT100" i="25" s="1"/>
  <c r="CF100" i="25"/>
  <c r="CE100" i="25"/>
  <c r="CD100" i="25"/>
  <c r="CC100" i="25"/>
  <c r="CA100" i="25"/>
  <c r="BZ100" i="25"/>
  <c r="BY100" i="25"/>
  <c r="BS100" i="25" s="1"/>
  <c r="BX100" i="25"/>
  <c r="BU100" i="25" s="1"/>
  <c r="BR100" i="25"/>
  <c r="BW100" i="25" s="1"/>
  <c r="BN100" i="25"/>
  <c r="BM100" i="25"/>
  <c r="BH100" i="25"/>
  <c r="BF100" i="25"/>
  <c r="AX100" i="25"/>
  <c r="AU100" i="25"/>
  <c r="AT100" i="25"/>
  <c r="AS100" i="25"/>
  <c r="AR100" i="25"/>
  <c r="CM99" i="25"/>
  <c r="CL99" i="25"/>
  <c r="CK99" i="25"/>
  <c r="CJ99" i="25"/>
  <c r="CI99" i="25"/>
  <c r="CH99" i="25"/>
  <c r="CG99" i="25"/>
  <c r="BT99" i="25" s="1"/>
  <c r="CF99" i="25"/>
  <c r="CE99" i="25"/>
  <c r="CD99" i="25"/>
  <c r="CC99" i="25"/>
  <c r="CA99" i="25"/>
  <c r="BZ99" i="25"/>
  <c r="BY99" i="25"/>
  <c r="BS99" i="25" s="1"/>
  <c r="BX99" i="25"/>
  <c r="BU99" i="25" s="1"/>
  <c r="BR99" i="25"/>
  <c r="BW99" i="25" s="1"/>
  <c r="BN99" i="25"/>
  <c r="BH99" i="25"/>
  <c r="BF99" i="25"/>
  <c r="AX99" i="25"/>
  <c r="AU99" i="25"/>
  <c r="AT99" i="25"/>
  <c r="AS99" i="25"/>
  <c r="AR99" i="25"/>
  <c r="CM98" i="25"/>
  <c r="CL98" i="25"/>
  <c r="CK98" i="25"/>
  <c r="CJ98" i="25"/>
  <c r="CI98" i="25"/>
  <c r="CH98" i="25"/>
  <c r="CG98" i="25"/>
  <c r="CF98" i="25"/>
  <c r="CE98" i="25"/>
  <c r="CD98" i="25"/>
  <c r="CC98" i="25"/>
  <c r="CA98" i="25"/>
  <c r="BZ98" i="25"/>
  <c r="BY98" i="25"/>
  <c r="BS98" i="25" s="1"/>
  <c r="BX98" i="25"/>
  <c r="BU98" i="25" s="1"/>
  <c r="BT98" i="25"/>
  <c r="BR98" i="25"/>
  <c r="BW98" i="25" s="1"/>
  <c r="BH98" i="25"/>
  <c r="BN98" i="25" s="1"/>
  <c r="BF98" i="25"/>
  <c r="AX98" i="25"/>
  <c r="AU98" i="25"/>
  <c r="AT98" i="25"/>
  <c r="AS98" i="25"/>
  <c r="AR98" i="25"/>
  <c r="CM97" i="25"/>
  <c r="CL97" i="25"/>
  <c r="CK97" i="25"/>
  <c r="CJ97" i="25"/>
  <c r="CI97" i="25"/>
  <c r="CH97" i="25"/>
  <c r="CG97" i="25"/>
  <c r="BT97" i="25" s="1"/>
  <c r="CF97" i="25"/>
  <c r="CE97" i="25"/>
  <c r="CD97" i="25"/>
  <c r="CC97" i="25"/>
  <c r="CA97" i="25"/>
  <c r="BZ97" i="25"/>
  <c r="BY97" i="25"/>
  <c r="BS97" i="25" s="1"/>
  <c r="BX97" i="25"/>
  <c r="BU97" i="25" s="1"/>
  <c r="BR97" i="25"/>
  <c r="BW97" i="25" s="1"/>
  <c r="BN97" i="25"/>
  <c r="BH97" i="25"/>
  <c r="BF97" i="25"/>
  <c r="AX97" i="25"/>
  <c r="AU97" i="25"/>
  <c r="AT97" i="25"/>
  <c r="AS97" i="25"/>
  <c r="AR97" i="25"/>
  <c r="CM96" i="25"/>
  <c r="CL96" i="25"/>
  <c r="CK96" i="25"/>
  <c r="CJ96" i="25"/>
  <c r="CI96" i="25"/>
  <c r="CH96" i="25"/>
  <c r="CG96" i="25"/>
  <c r="BT96" i="25" s="1"/>
  <c r="CF96" i="25"/>
  <c r="CE96" i="25"/>
  <c r="CD96" i="25"/>
  <c r="CC96" i="25"/>
  <c r="CA96" i="25"/>
  <c r="BZ96" i="25"/>
  <c r="BY96" i="25"/>
  <c r="BS96" i="25" s="1"/>
  <c r="BX96" i="25"/>
  <c r="BU96" i="25" s="1"/>
  <c r="BR96" i="25"/>
  <c r="BW96" i="25" s="1"/>
  <c r="BN96" i="25"/>
  <c r="BH96" i="25"/>
  <c r="BF96" i="25"/>
  <c r="AX96" i="25"/>
  <c r="AU96" i="25"/>
  <c r="AT96" i="25"/>
  <c r="AS96" i="25"/>
  <c r="AR96" i="25"/>
  <c r="CM95" i="25"/>
  <c r="CL95" i="25"/>
  <c r="CK95" i="25"/>
  <c r="CJ95" i="25"/>
  <c r="CI95" i="25"/>
  <c r="CH95" i="25"/>
  <c r="CG95" i="25"/>
  <c r="BT95" i="25" s="1"/>
  <c r="CF95" i="25"/>
  <c r="CE95" i="25"/>
  <c r="CD95" i="25"/>
  <c r="CC95" i="25"/>
  <c r="CA95" i="25"/>
  <c r="BZ95" i="25"/>
  <c r="BY95" i="25"/>
  <c r="BS95" i="25" s="1"/>
  <c r="BX95" i="25"/>
  <c r="BU95" i="25" s="1"/>
  <c r="BR95" i="25"/>
  <c r="BW95" i="25" s="1"/>
  <c r="BN95" i="25"/>
  <c r="BH95" i="25"/>
  <c r="BF95" i="25"/>
  <c r="AX95" i="25"/>
  <c r="AU95" i="25"/>
  <c r="AT95" i="25"/>
  <c r="AS95" i="25"/>
  <c r="AR95" i="25"/>
  <c r="CM94" i="25"/>
  <c r="CL94" i="25"/>
  <c r="CK94" i="25"/>
  <c r="CJ94" i="25"/>
  <c r="CI94" i="25"/>
  <c r="CH94" i="25"/>
  <c r="CG94" i="25"/>
  <c r="BI94" i="25" s="1"/>
  <c r="BJ94" i="25" s="1"/>
  <c r="CF94" i="25"/>
  <c r="CE94" i="25"/>
  <c r="CD94" i="25"/>
  <c r="CC94" i="25"/>
  <c r="CA94" i="25"/>
  <c r="BZ94" i="25"/>
  <c r="BY94" i="25"/>
  <c r="BS94" i="25" s="1"/>
  <c r="BX94" i="25"/>
  <c r="BU94" i="25" s="1"/>
  <c r="BT94" i="25"/>
  <c r="BR94" i="25"/>
  <c r="BW94" i="25" s="1"/>
  <c r="BM94" i="25"/>
  <c r="BH94" i="25"/>
  <c r="BN94" i="25" s="1"/>
  <c r="BF94" i="25"/>
  <c r="AX94" i="25"/>
  <c r="AU94" i="25"/>
  <c r="AT94" i="25"/>
  <c r="AS94" i="25"/>
  <c r="AR94" i="25"/>
  <c r="CM93" i="25"/>
  <c r="CL93" i="25"/>
  <c r="CK93" i="25"/>
  <c r="CJ93" i="25"/>
  <c r="CI93" i="25"/>
  <c r="CH93" i="25"/>
  <c r="CG93" i="25"/>
  <c r="BT93" i="25" s="1"/>
  <c r="CF93" i="25"/>
  <c r="CE93" i="25"/>
  <c r="CD93" i="25"/>
  <c r="CC93" i="25"/>
  <c r="CA93" i="25"/>
  <c r="BZ93" i="25"/>
  <c r="BY93" i="25"/>
  <c r="BS93" i="25" s="1"/>
  <c r="BX93" i="25"/>
  <c r="BU93" i="25" s="1"/>
  <c r="BR93" i="25"/>
  <c r="BW93" i="25" s="1"/>
  <c r="BN93" i="25"/>
  <c r="BH93" i="25"/>
  <c r="BF93" i="25"/>
  <c r="AX93" i="25"/>
  <c r="AU93" i="25"/>
  <c r="AT93" i="25"/>
  <c r="AS93" i="25"/>
  <c r="AR93" i="25"/>
  <c r="CM92" i="25"/>
  <c r="CL92" i="25"/>
  <c r="CK92" i="25"/>
  <c r="CJ92" i="25"/>
  <c r="CI92" i="25"/>
  <c r="CH92" i="25"/>
  <c r="CG92" i="25"/>
  <c r="BT92" i="25" s="1"/>
  <c r="CF92" i="25"/>
  <c r="CE92" i="25"/>
  <c r="CD92" i="25"/>
  <c r="CC92" i="25"/>
  <c r="CA92" i="25"/>
  <c r="BZ92" i="25"/>
  <c r="BY92" i="25"/>
  <c r="BS92" i="25" s="1"/>
  <c r="BX92" i="25"/>
  <c r="BU92" i="25" s="1"/>
  <c r="BR92" i="25"/>
  <c r="BW92" i="25" s="1"/>
  <c r="BN92" i="25"/>
  <c r="BH92" i="25"/>
  <c r="BF92" i="25"/>
  <c r="AX92" i="25"/>
  <c r="AU92" i="25"/>
  <c r="AT92" i="25"/>
  <c r="AS92" i="25"/>
  <c r="AR92" i="25"/>
  <c r="CM91" i="25"/>
  <c r="CL91" i="25"/>
  <c r="CK91" i="25"/>
  <c r="CJ91" i="25"/>
  <c r="CI91" i="25"/>
  <c r="CH91" i="25"/>
  <c r="CG91" i="25"/>
  <c r="BI91" i="25" s="1"/>
  <c r="BJ91" i="25" s="1"/>
  <c r="CF91" i="25"/>
  <c r="CE91" i="25"/>
  <c r="CD91" i="25"/>
  <c r="CC91" i="25"/>
  <c r="CA91" i="25"/>
  <c r="BZ91" i="25"/>
  <c r="BY91" i="25"/>
  <c r="BS91" i="25" s="1"/>
  <c r="BX91" i="25"/>
  <c r="BU91" i="25" s="1"/>
  <c r="BT91" i="25"/>
  <c r="BR91" i="25"/>
  <c r="BW91" i="25" s="1"/>
  <c r="BH91" i="25"/>
  <c r="BN91" i="25" s="1"/>
  <c r="BF91" i="25"/>
  <c r="AX91" i="25"/>
  <c r="AU91" i="25"/>
  <c r="AT91" i="25"/>
  <c r="AS91" i="25"/>
  <c r="AR91" i="25"/>
  <c r="CM90" i="25"/>
  <c r="CL90" i="25"/>
  <c r="CK90" i="25"/>
  <c r="CJ90" i="25"/>
  <c r="CI90" i="25"/>
  <c r="CH90" i="25"/>
  <c r="CG90" i="25"/>
  <c r="BT90" i="25" s="1"/>
  <c r="CF90" i="25"/>
  <c r="CE90" i="25"/>
  <c r="CD90" i="25"/>
  <c r="CC90" i="25"/>
  <c r="CA90" i="25"/>
  <c r="BZ90" i="25"/>
  <c r="BY90" i="25"/>
  <c r="BS90" i="25" s="1"/>
  <c r="BX90" i="25"/>
  <c r="BU90" i="25" s="1"/>
  <c r="BR90" i="25"/>
  <c r="BW90" i="25" s="1"/>
  <c r="BN90" i="25"/>
  <c r="BH90" i="25"/>
  <c r="BF90" i="25"/>
  <c r="AX90" i="25"/>
  <c r="AU90" i="25"/>
  <c r="AT90" i="25"/>
  <c r="AS90" i="25"/>
  <c r="AR90" i="25"/>
  <c r="CM89" i="25"/>
  <c r="CL89" i="25"/>
  <c r="CK89" i="25"/>
  <c r="CJ89" i="25"/>
  <c r="CI89" i="25"/>
  <c r="CH89" i="25"/>
  <c r="CG89" i="25"/>
  <c r="BT89" i="25" s="1"/>
  <c r="CF89" i="25"/>
  <c r="CE89" i="25"/>
  <c r="CD89" i="25"/>
  <c r="CC89" i="25"/>
  <c r="CA89" i="25"/>
  <c r="BZ89" i="25"/>
  <c r="BY89" i="25"/>
  <c r="BS89" i="25" s="1"/>
  <c r="BX89" i="25"/>
  <c r="BU89" i="25" s="1"/>
  <c r="BR89" i="25"/>
  <c r="BW89" i="25" s="1"/>
  <c r="BN89" i="25"/>
  <c r="BH89" i="25"/>
  <c r="BF89" i="25"/>
  <c r="AX89" i="25"/>
  <c r="AU89" i="25"/>
  <c r="AT89" i="25"/>
  <c r="AS89" i="25"/>
  <c r="AR89" i="25"/>
  <c r="CM88" i="25"/>
  <c r="CL88" i="25"/>
  <c r="CK88" i="25"/>
  <c r="CJ88" i="25"/>
  <c r="CI88" i="25"/>
  <c r="CH88" i="25"/>
  <c r="CG88" i="25"/>
  <c r="BT88" i="25" s="1"/>
  <c r="CF88" i="25"/>
  <c r="CE88" i="25"/>
  <c r="CD88" i="25"/>
  <c r="CC88" i="25"/>
  <c r="CA88" i="25"/>
  <c r="BZ88" i="25"/>
  <c r="BY88" i="25"/>
  <c r="BS88" i="25" s="1"/>
  <c r="BX88" i="25"/>
  <c r="BU88" i="25" s="1"/>
  <c r="BR88" i="25"/>
  <c r="BW88" i="25" s="1"/>
  <c r="BN88" i="25"/>
  <c r="BH88" i="25"/>
  <c r="BF88" i="25"/>
  <c r="AX88" i="25"/>
  <c r="AU88" i="25"/>
  <c r="AT88" i="25"/>
  <c r="AS88" i="25"/>
  <c r="AR88" i="25"/>
  <c r="CM87" i="25"/>
  <c r="CL87" i="25"/>
  <c r="CK87" i="25"/>
  <c r="CJ87" i="25"/>
  <c r="CI87" i="25"/>
  <c r="CH87" i="25"/>
  <c r="CG87" i="25"/>
  <c r="BT87" i="25" s="1"/>
  <c r="CF87" i="25"/>
  <c r="CE87" i="25"/>
  <c r="CD87" i="25"/>
  <c r="CC87" i="25"/>
  <c r="CA87" i="25"/>
  <c r="BZ87" i="25"/>
  <c r="BY87" i="25"/>
  <c r="BS87" i="25" s="1"/>
  <c r="BX87" i="25"/>
  <c r="BU87" i="25" s="1"/>
  <c r="BR87" i="25"/>
  <c r="BW87" i="25" s="1"/>
  <c r="BN87" i="25"/>
  <c r="BH87" i="25"/>
  <c r="BF87" i="25"/>
  <c r="AX87" i="25"/>
  <c r="AU87" i="25"/>
  <c r="AT87" i="25"/>
  <c r="AS87" i="25"/>
  <c r="AR87" i="25"/>
  <c r="CM86" i="25"/>
  <c r="CL86" i="25"/>
  <c r="CK86" i="25"/>
  <c r="CJ86" i="25"/>
  <c r="CI86" i="25"/>
  <c r="CH86" i="25"/>
  <c r="CG86" i="25"/>
  <c r="BI86" i="25" s="1"/>
  <c r="BJ86" i="25" s="1"/>
  <c r="CF86" i="25"/>
  <c r="CE86" i="25"/>
  <c r="CD86" i="25"/>
  <c r="CC86" i="25"/>
  <c r="CA86" i="25"/>
  <c r="BZ86" i="25"/>
  <c r="BY86" i="25"/>
  <c r="BS86" i="25" s="1"/>
  <c r="BX86" i="25"/>
  <c r="BU86" i="25" s="1"/>
  <c r="BT86" i="25"/>
  <c r="BR86" i="25"/>
  <c r="BW86" i="25" s="1"/>
  <c r="BN86" i="25"/>
  <c r="BH86" i="25"/>
  <c r="BF86" i="25"/>
  <c r="AX86" i="25"/>
  <c r="AU86" i="25"/>
  <c r="AT86" i="25"/>
  <c r="AS86" i="25"/>
  <c r="AR86" i="25"/>
  <c r="CM85" i="25"/>
  <c r="CL85" i="25"/>
  <c r="CK85" i="25"/>
  <c r="CJ85" i="25"/>
  <c r="CI85" i="25"/>
  <c r="CH85" i="25"/>
  <c r="CG85" i="25"/>
  <c r="BT85" i="25" s="1"/>
  <c r="CF85" i="25"/>
  <c r="CE85" i="25"/>
  <c r="CD85" i="25"/>
  <c r="CC85" i="25"/>
  <c r="CA85" i="25"/>
  <c r="BZ85" i="25"/>
  <c r="BY85" i="25"/>
  <c r="BS85" i="25" s="1"/>
  <c r="BX85" i="25"/>
  <c r="BU85" i="25" s="1"/>
  <c r="BR85" i="25"/>
  <c r="BW85" i="25" s="1"/>
  <c r="BN85" i="25"/>
  <c r="BH85" i="25"/>
  <c r="BF85" i="25"/>
  <c r="AX85" i="25"/>
  <c r="AU85" i="25"/>
  <c r="AT85" i="25"/>
  <c r="AS85" i="25"/>
  <c r="AR85" i="25"/>
  <c r="CM84" i="25"/>
  <c r="CL84" i="25"/>
  <c r="CK84" i="25"/>
  <c r="CJ84" i="25"/>
  <c r="CI84" i="25"/>
  <c r="CH84" i="25"/>
  <c r="CG84" i="25"/>
  <c r="BT84" i="25" s="1"/>
  <c r="CF84" i="25"/>
  <c r="CE84" i="25"/>
  <c r="CD84" i="25"/>
  <c r="CC84" i="25"/>
  <c r="CA84" i="25"/>
  <c r="BZ84" i="25"/>
  <c r="BY84" i="25"/>
  <c r="BS84" i="25" s="1"/>
  <c r="BX84" i="25"/>
  <c r="BU84" i="25" s="1"/>
  <c r="BR84" i="25"/>
  <c r="BW84" i="25" s="1"/>
  <c r="BN84" i="25"/>
  <c r="BH84" i="25"/>
  <c r="BF84" i="25"/>
  <c r="AX84" i="25"/>
  <c r="AU84" i="25"/>
  <c r="AT84" i="25"/>
  <c r="AS84" i="25"/>
  <c r="AR84" i="25"/>
  <c r="CM83" i="25"/>
  <c r="CL83" i="25"/>
  <c r="CK83" i="25"/>
  <c r="CJ83" i="25"/>
  <c r="CI83" i="25"/>
  <c r="CH83" i="25"/>
  <c r="CG83" i="25"/>
  <c r="BT83" i="25" s="1"/>
  <c r="CF83" i="25"/>
  <c r="CE83" i="25"/>
  <c r="CD83" i="25"/>
  <c r="CC83" i="25"/>
  <c r="CA83" i="25"/>
  <c r="BZ83" i="25"/>
  <c r="BY83" i="25"/>
  <c r="BS83" i="25" s="1"/>
  <c r="BX83" i="25"/>
  <c r="BU83" i="25" s="1"/>
  <c r="BR83" i="25"/>
  <c r="BW83" i="25" s="1"/>
  <c r="BN83" i="25"/>
  <c r="BH83" i="25"/>
  <c r="BF83" i="25"/>
  <c r="AX83" i="25"/>
  <c r="AU83" i="25"/>
  <c r="AT83" i="25"/>
  <c r="AS83" i="25"/>
  <c r="AR83" i="25"/>
  <c r="CM82" i="25"/>
  <c r="CL82" i="25"/>
  <c r="CK82" i="25"/>
  <c r="CJ82" i="25"/>
  <c r="CI82" i="25"/>
  <c r="CH82" i="25"/>
  <c r="CG82" i="25"/>
  <c r="CF82" i="25"/>
  <c r="CE82" i="25"/>
  <c r="CD82" i="25"/>
  <c r="CC82" i="25"/>
  <c r="CA82" i="25"/>
  <c r="BZ82" i="25"/>
  <c r="BY82" i="25"/>
  <c r="BS82" i="25" s="1"/>
  <c r="BX82" i="25"/>
  <c r="BU82" i="25" s="1"/>
  <c r="BT82" i="25"/>
  <c r="BR82" i="25"/>
  <c r="BW82" i="25" s="1"/>
  <c r="BN82" i="25"/>
  <c r="BH82" i="25"/>
  <c r="BF82" i="25"/>
  <c r="AX82" i="25"/>
  <c r="AU82" i="25"/>
  <c r="AT82" i="25"/>
  <c r="AS82" i="25"/>
  <c r="AR82" i="25"/>
  <c r="CM81" i="25"/>
  <c r="CL81" i="25"/>
  <c r="CK81" i="25"/>
  <c r="CJ81" i="25"/>
  <c r="CI81" i="25"/>
  <c r="CH81" i="25"/>
  <c r="CG81" i="25"/>
  <c r="CF81" i="25"/>
  <c r="CE81" i="25"/>
  <c r="CD81" i="25"/>
  <c r="CC81" i="25"/>
  <c r="CA81" i="25"/>
  <c r="BZ81" i="25"/>
  <c r="BY81" i="25"/>
  <c r="BS81" i="25" s="1"/>
  <c r="BX81" i="25"/>
  <c r="BU81" i="25" s="1"/>
  <c r="BT81" i="25"/>
  <c r="BR81" i="25"/>
  <c r="BW81" i="25" s="1"/>
  <c r="BN81" i="25"/>
  <c r="BH81" i="25"/>
  <c r="BF81" i="25"/>
  <c r="AX81" i="25"/>
  <c r="AU81" i="25"/>
  <c r="AT81" i="25"/>
  <c r="AS81" i="25"/>
  <c r="AR81" i="25"/>
  <c r="CM80" i="25"/>
  <c r="CL80" i="25"/>
  <c r="CK80" i="25"/>
  <c r="CJ80" i="25"/>
  <c r="CI80" i="25"/>
  <c r="CH80" i="25"/>
  <c r="CG80" i="25"/>
  <c r="CF80" i="25"/>
  <c r="CE80" i="25"/>
  <c r="CD80" i="25"/>
  <c r="CC80" i="25"/>
  <c r="CA80" i="25"/>
  <c r="BZ80" i="25"/>
  <c r="BY80" i="25"/>
  <c r="BS80" i="25" s="1"/>
  <c r="BX80" i="25"/>
  <c r="BU80" i="25" s="1"/>
  <c r="BT80" i="25"/>
  <c r="BR80" i="25"/>
  <c r="BW80" i="25" s="1"/>
  <c r="BN80" i="25"/>
  <c r="BH80" i="25"/>
  <c r="BF80" i="25"/>
  <c r="AX80" i="25"/>
  <c r="AU80" i="25"/>
  <c r="AT80" i="25"/>
  <c r="AS80" i="25"/>
  <c r="AR80" i="25"/>
  <c r="CM79" i="25"/>
  <c r="CL79" i="25"/>
  <c r="CK79" i="25"/>
  <c r="CJ79" i="25"/>
  <c r="CI79" i="25"/>
  <c r="CH79" i="25"/>
  <c r="CG79" i="25"/>
  <c r="BT79" i="25" s="1"/>
  <c r="CF79" i="25"/>
  <c r="CE79" i="25"/>
  <c r="CD79" i="25"/>
  <c r="CC79" i="25"/>
  <c r="CA79" i="25"/>
  <c r="BZ79" i="25"/>
  <c r="BY79" i="25"/>
  <c r="BS79" i="25" s="1"/>
  <c r="BX79" i="25"/>
  <c r="BU79" i="25" s="1"/>
  <c r="BR79" i="25"/>
  <c r="BW79" i="25" s="1"/>
  <c r="BN79" i="25"/>
  <c r="BH79" i="25"/>
  <c r="BF79" i="25"/>
  <c r="AX79" i="25"/>
  <c r="AU79" i="25"/>
  <c r="AT79" i="25"/>
  <c r="AS79" i="25"/>
  <c r="AR79" i="25"/>
  <c r="CM78" i="25"/>
  <c r="CL78" i="25"/>
  <c r="CK78" i="25"/>
  <c r="CJ78" i="25"/>
  <c r="CI78" i="25"/>
  <c r="CH78" i="25"/>
  <c r="CG78" i="25"/>
  <c r="BT78" i="25" s="1"/>
  <c r="CF78" i="25"/>
  <c r="CE78" i="25"/>
  <c r="CD78" i="25"/>
  <c r="CC78" i="25"/>
  <c r="CA78" i="25"/>
  <c r="BZ78" i="25"/>
  <c r="BY78" i="25"/>
  <c r="BS78" i="25" s="1"/>
  <c r="BX78" i="25"/>
  <c r="BU78" i="25" s="1"/>
  <c r="BR78" i="25"/>
  <c r="BW78" i="25" s="1"/>
  <c r="BN78" i="25"/>
  <c r="BH78" i="25"/>
  <c r="BF78" i="25"/>
  <c r="AX78" i="25"/>
  <c r="AU78" i="25"/>
  <c r="AT78" i="25"/>
  <c r="AS78" i="25"/>
  <c r="AR78" i="25"/>
  <c r="CM77" i="25"/>
  <c r="CL77" i="25"/>
  <c r="CK77" i="25"/>
  <c r="CJ77" i="25"/>
  <c r="CI77" i="25"/>
  <c r="CH77" i="25"/>
  <c r="CG77" i="25"/>
  <c r="BI77" i="25" s="1"/>
  <c r="BJ77" i="25" s="1"/>
  <c r="CF77" i="25"/>
  <c r="CE77" i="25"/>
  <c r="CD77" i="25"/>
  <c r="CC77" i="25"/>
  <c r="CA77" i="25"/>
  <c r="BZ77" i="25"/>
  <c r="BY77" i="25"/>
  <c r="BS77" i="25" s="1"/>
  <c r="BX77" i="25"/>
  <c r="BU77" i="25" s="1"/>
  <c r="BT77" i="25"/>
  <c r="BR77" i="25"/>
  <c r="BW77" i="25" s="1"/>
  <c r="BN77" i="25"/>
  <c r="BH77" i="25"/>
  <c r="BF77" i="25"/>
  <c r="AX77" i="25"/>
  <c r="AU77" i="25"/>
  <c r="AT77" i="25"/>
  <c r="AS77" i="25"/>
  <c r="AR77" i="25"/>
  <c r="CM76" i="25"/>
  <c r="CL76" i="25"/>
  <c r="CK76" i="25"/>
  <c r="CJ76" i="25"/>
  <c r="CI76" i="25"/>
  <c r="CH76" i="25"/>
  <c r="CG76" i="25"/>
  <c r="BT76" i="25" s="1"/>
  <c r="CF76" i="25"/>
  <c r="CE76" i="25"/>
  <c r="CD76" i="25"/>
  <c r="CC76" i="25"/>
  <c r="CA76" i="25"/>
  <c r="BZ76" i="25"/>
  <c r="BY76" i="25"/>
  <c r="BS76" i="25" s="1"/>
  <c r="BX76" i="25"/>
  <c r="BU76" i="25" s="1"/>
  <c r="BR76" i="25"/>
  <c r="BW76" i="25" s="1"/>
  <c r="BN76" i="25"/>
  <c r="BM76" i="25"/>
  <c r="BH76" i="25"/>
  <c r="BF76" i="25"/>
  <c r="AX76" i="25"/>
  <c r="AU76" i="25"/>
  <c r="AT76" i="25"/>
  <c r="AS76" i="25"/>
  <c r="AR76" i="25"/>
  <c r="CM75" i="25"/>
  <c r="CL75" i="25"/>
  <c r="CK75" i="25"/>
  <c r="CJ75" i="25"/>
  <c r="CI75" i="25"/>
  <c r="CH75" i="25"/>
  <c r="CG75" i="25"/>
  <c r="BT75" i="25" s="1"/>
  <c r="CF75" i="25"/>
  <c r="CE75" i="25"/>
  <c r="CD75" i="25"/>
  <c r="CC75" i="25"/>
  <c r="CA75" i="25"/>
  <c r="BZ75" i="25"/>
  <c r="BY75" i="25"/>
  <c r="BS75" i="25" s="1"/>
  <c r="BX75" i="25"/>
  <c r="BU75" i="25" s="1"/>
  <c r="BR75" i="25"/>
  <c r="BW75" i="25" s="1"/>
  <c r="BH75" i="25"/>
  <c r="BN75" i="25" s="1"/>
  <c r="BF75" i="25"/>
  <c r="AX75" i="25"/>
  <c r="AU75" i="25"/>
  <c r="AT75" i="25"/>
  <c r="AS75" i="25"/>
  <c r="AR75" i="25"/>
  <c r="CM74" i="25"/>
  <c r="CL74" i="25"/>
  <c r="CK74" i="25"/>
  <c r="CJ74" i="25"/>
  <c r="CI74" i="25"/>
  <c r="CH74" i="25"/>
  <c r="CG74" i="25"/>
  <c r="BT74" i="25" s="1"/>
  <c r="CF74" i="25"/>
  <c r="CE74" i="25"/>
  <c r="CD74" i="25"/>
  <c r="CC74" i="25"/>
  <c r="CA74" i="25"/>
  <c r="BZ74" i="25"/>
  <c r="BY74" i="25"/>
  <c r="BS74" i="25" s="1"/>
  <c r="BX74" i="25"/>
  <c r="BU74" i="25" s="1"/>
  <c r="BR74" i="25"/>
  <c r="BW74" i="25" s="1"/>
  <c r="BH74" i="25"/>
  <c r="BN74" i="25" s="1"/>
  <c r="BF74" i="25"/>
  <c r="AX74" i="25"/>
  <c r="AU74" i="25"/>
  <c r="AT74" i="25"/>
  <c r="AS74" i="25"/>
  <c r="AR74" i="25"/>
  <c r="CM73" i="25"/>
  <c r="CL73" i="25"/>
  <c r="CK73" i="25"/>
  <c r="CJ73" i="25"/>
  <c r="CI73" i="25"/>
  <c r="CH73" i="25"/>
  <c r="CG73" i="25"/>
  <c r="BT73" i="25" s="1"/>
  <c r="CF73" i="25"/>
  <c r="CE73" i="25"/>
  <c r="CD73" i="25"/>
  <c r="CC73" i="25"/>
  <c r="CA73" i="25"/>
  <c r="BZ73" i="25"/>
  <c r="BY73" i="25"/>
  <c r="BS73" i="25" s="1"/>
  <c r="BX73" i="25"/>
  <c r="BU73" i="25" s="1"/>
  <c r="BR73" i="25"/>
  <c r="BW73" i="25" s="1"/>
  <c r="BN73" i="25"/>
  <c r="BM73" i="25"/>
  <c r="BH73" i="25"/>
  <c r="BF73" i="25"/>
  <c r="AX73" i="25"/>
  <c r="AU73" i="25"/>
  <c r="AT73" i="25"/>
  <c r="AS73" i="25"/>
  <c r="AR73" i="25"/>
  <c r="CM72" i="25"/>
  <c r="CL72" i="25"/>
  <c r="CK72" i="25"/>
  <c r="CJ72" i="25"/>
  <c r="CI72" i="25"/>
  <c r="CH72" i="25"/>
  <c r="CG72" i="25"/>
  <c r="BT72" i="25" s="1"/>
  <c r="CF72" i="25"/>
  <c r="CE72" i="25"/>
  <c r="CD72" i="25"/>
  <c r="CC72" i="25"/>
  <c r="CA72" i="25"/>
  <c r="BZ72" i="25"/>
  <c r="BY72" i="25"/>
  <c r="BS72" i="25" s="1"/>
  <c r="BX72" i="25"/>
  <c r="BU72" i="25" s="1"/>
  <c r="BR72" i="25"/>
  <c r="BW72" i="25" s="1"/>
  <c r="BN72" i="25"/>
  <c r="BH72" i="25"/>
  <c r="BF72" i="25"/>
  <c r="AX72" i="25"/>
  <c r="AU72" i="25"/>
  <c r="AT72" i="25"/>
  <c r="AS72" i="25"/>
  <c r="AR72" i="25"/>
  <c r="CM71" i="25"/>
  <c r="CL71" i="25"/>
  <c r="CK71" i="25"/>
  <c r="CJ71" i="25"/>
  <c r="CI71" i="25"/>
  <c r="CH71" i="25"/>
  <c r="CG71" i="25"/>
  <c r="BT71" i="25" s="1"/>
  <c r="CF71" i="25"/>
  <c r="CE71" i="25"/>
  <c r="CD71" i="25"/>
  <c r="CC71" i="25"/>
  <c r="CA71" i="25"/>
  <c r="BZ71" i="25"/>
  <c r="BY71" i="25"/>
  <c r="BS71" i="25" s="1"/>
  <c r="BX71" i="25"/>
  <c r="BU71" i="25" s="1"/>
  <c r="BR71" i="25"/>
  <c r="BW71" i="25" s="1"/>
  <c r="BN71" i="25"/>
  <c r="BH71" i="25"/>
  <c r="BF71" i="25"/>
  <c r="AX71" i="25"/>
  <c r="AU71" i="25"/>
  <c r="AT71" i="25"/>
  <c r="AS71" i="25"/>
  <c r="AR71" i="25"/>
  <c r="CM70" i="25"/>
  <c r="CL70" i="25"/>
  <c r="CK70" i="25"/>
  <c r="CJ70" i="25"/>
  <c r="CI70" i="25"/>
  <c r="CH70" i="25"/>
  <c r="CG70" i="25"/>
  <c r="BT70" i="25" s="1"/>
  <c r="CF70" i="25"/>
  <c r="CE70" i="25"/>
  <c r="CD70" i="25"/>
  <c r="CC70" i="25"/>
  <c r="CA70" i="25"/>
  <c r="BZ70" i="25"/>
  <c r="BY70" i="25"/>
  <c r="BS70" i="25" s="1"/>
  <c r="BX70" i="25"/>
  <c r="BU70" i="25" s="1"/>
  <c r="BR70" i="25"/>
  <c r="BW70" i="25" s="1"/>
  <c r="BN70" i="25"/>
  <c r="BH70" i="25"/>
  <c r="BF70" i="25"/>
  <c r="AX70" i="25"/>
  <c r="AU70" i="25"/>
  <c r="AT70" i="25"/>
  <c r="AS70" i="25"/>
  <c r="AR70" i="25"/>
  <c r="CM69" i="25"/>
  <c r="CL69" i="25"/>
  <c r="CK69" i="25"/>
  <c r="CJ69" i="25"/>
  <c r="CI69" i="25"/>
  <c r="CH69" i="25"/>
  <c r="CG69" i="25"/>
  <c r="BT69" i="25" s="1"/>
  <c r="CF69" i="25"/>
  <c r="CE69" i="25"/>
  <c r="CD69" i="25"/>
  <c r="CC69" i="25"/>
  <c r="CA69" i="25"/>
  <c r="BZ69" i="25"/>
  <c r="BY69" i="25"/>
  <c r="BS69" i="25" s="1"/>
  <c r="BX69" i="25"/>
  <c r="BU69" i="25" s="1"/>
  <c r="BR69" i="25"/>
  <c r="BW69" i="25" s="1"/>
  <c r="BH69" i="25"/>
  <c r="BN69" i="25" s="1"/>
  <c r="BF69" i="25"/>
  <c r="AX69" i="25"/>
  <c r="AU69" i="25"/>
  <c r="AT69" i="25"/>
  <c r="AS69" i="25"/>
  <c r="AR69" i="25"/>
  <c r="CM68" i="25"/>
  <c r="CL68" i="25"/>
  <c r="CK68" i="25"/>
  <c r="CJ68" i="25"/>
  <c r="CI68" i="25"/>
  <c r="CH68" i="25"/>
  <c r="CG68" i="25"/>
  <c r="BT68" i="25" s="1"/>
  <c r="CF68" i="25"/>
  <c r="CE68" i="25"/>
  <c r="CD68" i="25"/>
  <c r="CC68" i="25"/>
  <c r="CA68" i="25"/>
  <c r="BZ68" i="25"/>
  <c r="BY68" i="25"/>
  <c r="BS68" i="25" s="1"/>
  <c r="BX68" i="25"/>
  <c r="BU68" i="25" s="1"/>
  <c r="BR68" i="25"/>
  <c r="BW68" i="25" s="1"/>
  <c r="BN68" i="25"/>
  <c r="BH68" i="25"/>
  <c r="BF68" i="25"/>
  <c r="AX68" i="25"/>
  <c r="AU68" i="25"/>
  <c r="AT68" i="25"/>
  <c r="AS68" i="25"/>
  <c r="AR68" i="25"/>
  <c r="CM67" i="25"/>
  <c r="CL67" i="25"/>
  <c r="CK67" i="25"/>
  <c r="CJ67" i="25"/>
  <c r="CI67" i="25"/>
  <c r="CH67" i="25"/>
  <c r="CG67" i="25"/>
  <c r="BT67" i="25" s="1"/>
  <c r="CF67" i="25"/>
  <c r="CE67" i="25"/>
  <c r="CD67" i="25"/>
  <c r="CC67" i="25"/>
  <c r="CA67" i="25"/>
  <c r="BZ67" i="25"/>
  <c r="BY67" i="25"/>
  <c r="BS67" i="25" s="1"/>
  <c r="BX67" i="25"/>
  <c r="BU67" i="25" s="1"/>
  <c r="BR67" i="25"/>
  <c r="BW67" i="25" s="1"/>
  <c r="BN67" i="25"/>
  <c r="BH67" i="25"/>
  <c r="BF67" i="25"/>
  <c r="AX67" i="25"/>
  <c r="AU67" i="25"/>
  <c r="AT67" i="25"/>
  <c r="AS67" i="25"/>
  <c r="AR67" i="25"/>
  <c r="CM66" i="25"/>
  <c r="CL66" i="25"/>
  <c r="CK66" i="25"/>
  <c r="CJ66" i="25"/>
  <c r="CI66" i="25"/>
  <c r="CH66" i="25"/>
  <c r="CG66" i="25"/>
  <c r="BT66" i="25" s="1"/>
  <c r="CF66" i="25"/>
  <c r="CE66" i="25"/>
  <c r="CD66" i="25"/>
  <c r="CC66" i="25"/>
  <c r="CA66" i="25"/>
  <c r="BZ66" i="25"/>
  <c r="BY66" i="25"/>
  <c r="BS66" i="25" s="1"/>
  <c r="BX66" i="25"/>
  <c r="BU66" i="25" s="1"/>
  <c r="BR66" i="25"/>
  <c r="BW66" i="25" s="1"/>
  <c r="BN66" i="25"/>
  <c r="BH66" i="25"/>
  <c r="BF66" i="25"/>
  <c r="AX66" i="25"/>
  <c r="AU66" i="25"/>
  <c r="AT66" i="25"/>
  <c r="AS66" i="25"/>
  <c r="AR66" i="25"/>
  <c r="CM65" i="25"/>
  <c r="CL65" i="25"/>
  <c r="CK65" i="25"/>
  <c r="CJ65" i="25"/>
  <c r="CI65" i="25"/>
  <c r="CH65" i="25"/>
  <c r="CG65" i="25"/>
  <c r="CF65" i="25"/>
  <c r="CE65" i="25"/>
  <c r="CD65" i="25"/>
  <c r="CC65" i="25"/>
  <c r="CA65" i="25"/>
  <c r="BZ65" i="25"/>
  <c r="BY65" i="25"/>
  <c r="BS65" i="25" s="1"/>
  <c r="BX65" i="25"/>
  <c r="BU65" i="25" s="1"/>
  <c r="BT65" i="25"/>
  <c r="BR65" i="25"/>
  <c r="BW65" i="25" s="1"/>
  <c r="BH65" i="25"/>
  <c r="BN65" i="25" s="1"/>
  <c r="BF65" i="25"/>
  <c r="AX65" i="25"/>
  <c r="AU65" i="25"/>
  <c r="AT65" i="25"/>
  <c r="AS65" i="25"/>
  <c r="AR65" i="25"/>
  <c r="CM64" i="25"/>
  <c r="CL64" i="25"/>
  <c r="CK64" i="25"/>
  <c r="CJ64" i="25"/>
  <c r="CI64" i="25"/>
  <c r="CH64" i="25"/>
  <c r="CG64" i="25"/>
  <c r="BT64" i="25" s="1"/>
  <c r="CF64" i="25"/>
  <c r="CE64" i="25"/>
  <c r="CD64" i="25"/>
  <c r="CC64" i="25"/>
  <c r="CA64" i="25"/>
  <c r="BZ64" i="25"/>
  <c r="BY64" i="25"/>
  <c r="BS64" i="25" s="1"/>
  <c r="BX64" i="25"/>
  <c r="BU64" i="25" s="1"/>
  <c r="BR64" i="25"/>
  <c r="BW64" i="25" s="1"/>
  <c r="BN64" i="25"/>
  <c r="BH64" i="25"/>
  <c r="BF64" i="25"/>
  <c r="AX64" i="25"/>
  <c r="AU64" i="25"/>
  <c r="AT64" i="25"/>
  <c r="AS64" i="25"/>
  <c r="AR64" i="25"/>
  <c r="CM63" i="25"/>
  <c r="CL63" i="25"/>
  <c r="CK63" i="25"/>
  <c r="CJ63" i="25"/>
  <c r="CI63" i="25"/>
  <c r="CH63" i="25"/>
  <c r="CG63" i="25"/>
  <c r="BT63" i="25" s="1"/>
  <c r="CF63" i="25"/>
  <c r="CE63" i="25"/>
  <c r="CD63" i="25"/>
  <c r="CC63" i="25"/>
  <c r="CA63" i="25"/>
  <c r="BZ63" i="25"/>
  <c r="BY63" i="25"/>
  <c r="BS63" i="25" s="1"/>
  <c r="BX63" i="25"/>
  <c r="BU63" i="25" s="1"/>
  <c r="BR63" i="25"/>
  <c r="BW63" i="25" s="1"/>
  <c r="BN63" i="25"/>
  <c r="BM63" i="25"/>
  <c r="BH63" i="25"/>
  <c r="BF63" i="25"/>
  <c r="AX63" i="25"/>
  <c r="AU63" i="25"/>
  <c r="AT63" i="25"/>
  <c r="AS63" i="25"/>
  <c r="AR63" i="25"/>
  <c r="CM62" i="25"/>
  <c r="CL62" i="25"/>
  <c r="CK62" i="25"/>
  <c r="CJ62" i="25"/>
  <c r="CI62" i="25"/>
  <c r="CH62" i="25"/>
  <c r="CG62" i="25"/>
  <c r="BI62" i="25" s="1"/>
  <c r="BJ62" i="25" s="1"/>
  <c r="CF62" i="25"/>
  <c r="CE62" i="25"/>
  <c r="CD62" i="25"/>
  <c r="CC62" i="25"/>
  <c r="CA62" i="25"/>
  <c r="BZ62" i="25"/>
  <c r="BY62" i="25"/>
  <c r="BS62" i="25" s="1"/>
  <c r="BX62" i="25"/>
  <c r="BU62" i="25" s="1"/>
  <c r="BT62" i="25"/>
  <c r="BR62" i="25"/>
  <c r="BW62" i="25" s="1"/>
  <c r="BN62" i="25"/>
  <c r="BH62" i="25"/>
  <c r="BF62" i="25"/>
  <c r="AX62" i="25"/>
  <c r="AU62" i="25"/>
  <c r="AT62" i="25"/>
  <c r="AS62" i="25"/>
  <c r="AR62" i="25"/>
  <c r="CM61" i="25"/>
  <c r="CL61" i="25"/>
  <c r="CK61" i="25"/>
  <c r="CJ61" i="25"/>
  <c r="CI61" i="25"/>
  <c r="CH61" i="25"/>
  <c r="CG61" i="25"/>
  <c r="BT61" i="25" s="1"/>
  <c r="CF61" i="25"/>
  <c r="CE61" i="25"/>
  <c r="CD61" i="25"/>
  <c r="CC61" i="25"/>
  <c r="CA61" i="25"/>
  <c r="BZ61" i="25"/>
  <c r="BY61" i="25"/>
  <c r="BS61" i="25" s="1"/>
  <c r="BX61" i="25"/>
  <c r="BU61" i="25" s="1"/>
  <c r="BR61" i="25"/>
  <c r="BW61" i="25" s="1"/>
  <c r="BN61" i="25"/>
  <c r="BH61" i="25"/>
  <c r="BF61" i="25"/>
  <c r="AX61" i="25"/>
  <c r="AU61" i="25"/>
  <c r="AT61" i="25"/>
  <c r="AS61" i="25"/>
  <c r="AR61" i="25"/>
  <c r="CM60" i="25"/>
  <c r="CL60" i="25"/>
  <c r="CK60" i="25"/>
  <c r="CJ60" i="25"/>
  <c r="CI60" i="25"/>
  <c r="CH60" i="25"/>
  <c r="CG60" i="25"/>
  <c r="BT60" i="25" s="1"/>
  <c r="CF60" i="25"/>
  <c r="CE60" i="25"/>
  <c r="CD60" i="25"/>
  <c r="CC60" i="25"/>
  <c r="CA60" i="25"/>
  <c r="BZ60" i="25"/>
  <c r="BY60" i="25"/>
  <c r="BS60" i="25" s="1"/>
  <c r="BX60" i="25"/>
  <c r="BU60" i="25" s="1"/>
  <c r="BR60" i="25"/>
  <c r="BW60" i="25" s="1"/>
  <c r="BN60" i="25"/>
  <c r="BH60" i="25"/>
  <c r="BF60" i="25"/>
  <c r="AX60" i="25"/>
  <c r="AU60" i="25"/>
  <c r="AT60" i="25"/>
  <c r="AS60" i="25"/>
  <c r="AR60" i="25"/>
  <c r="CM59" i="25"/>
  <c r="CL59" i="25"/>
  <c r="CK59" i="25"/>
  <c r="CJ59" i="25"/>
  <c r="CI59" i="25"/>
  <c r="CH59" i="25"/>
  <c r="CG59" i="25"/>
  <c r="BT59" i="25" s="1"/>
  <c r="CF59" i="25"/>
  <c r="CE59" i="25"/>
  <c r="CD59" i="25"/>
  <c r="CC59" i="25"/>
  <c r="CA59" i="25"/>
  <c r="BZ59" i="25"/>
  <c r="BY59" i="25"/>
  <c r="BS59" i="25" s="1"/>
  <c r="BX59" i="25"/>
  <c r="BU59" i="25" s="1"/>
  <c r="BR59" i="25"/>
  <c r="BW59" i="25" s="1"/>
  <c r="BN59" i="25"/>
  <c r="BH59" i="25"/>
  <c r="BF59" i="25"/>
  <c r="AX59" i="25"/>
  <c r="AU59" i="25"/>
  <c r="AT59" i="25"/>
  <c r="AS59" i="25"/>
  <c r="AR59" i="25"/>
  <c r="CM58" i="25"/>
  <c r="CL58" i="25"/>
  <c r="CK58" i="25"/>
  <c r="CJ58" i="25"/>
  <c r="CI58" i="25"/>
  <c r="CH58" i="25"/>
  <c r="CG58" i="25"/>
  <c r="CF58" i="25"/>
  <c r="CE58" i="25"/>
  <c r="CD58" i="25"/>
  <c r="CC58" i="25"/>
  <c r="CA58" i="25"/>
  <c r="BZ58" i="25"/>
  <c r="BY58" i="25"/>
  <c r="BS58" i="25" s="1"/>
  <c r="BX58" i="25"/>
  <c r="BU58" i="25" s="1"/>
  <c r="BT58" i="25"/>
  <c r="BR58" i="25"/>
  <c r="BW58" i="25" s="1"/>
  <c r="BN58" i="25"/>
  <c r="BH58" i="25"/>
  <c r="BF58" i="25"/>
  <c r="AX58" i="25"/>
  <c r="AU58" i="25"/>
  <c r="AT58" i="25"/>
  <c r="AS58" i="25"/>
  <c r="AR58" i="25"/>
  <c r="CM57" i="25"/>
  <c r="CL57" i="25"/>
  <c r="CK57" i="25"/>
  <c r="CJ57" i="25"/>
  <c r="CI57" i="25"/>
  <c r="CH57" i="25"/>
  <c r="CG57" i="25"/>
  <c r="BM57" i="25" s="1"/>
  <c r="CF57" i="25"/>
  <c r="CE57" i="25"/>
  <c r="CD57" i="25"/>
  <c r="CC57" i="25"/>
  <c r="CA57" i="25"/>
  <c r="BZ57" i="25"/>
  <c r="BY57" i="25"/>
  <c r="BS57" i="25" s="1"/>
  <c r="BX57" i="25"/>
  <c r="BU57" i="25" s="1"/>
  <c r="BT57" i="25"/>
  <c r="BR57" i="25"/>
  <c r="BW57" i="25" s="1"/>
  <c r="BN57" i="25"/>
  <c r="BH57" i="25"/>
  <c r="BF57" i="25"/>
  <c r="AX57" i="25"/>
  <c r="AU57" i="25"/>
  <c r="AT57" i="25"/>
  <c r="AS57" i="25"/>
  <c r="AR57" i="25"/>
  <c r="CM56" i="25"/>
  <c r="CL56" i="25"/>
  <c r="CK56" i="25"/>
  <c r="CJ56" i="25"/>
  <c r="CI56" i="25"/>
  <c r="CH56" i="25"/>
  <c r="CG56" i="25"/>
  <c r="CF56" i="25"/>
  <c r="CE56" i="25"/>
  <c r="CD56" i="25"/>
  <c r="CC56" i="25"/>
  <c r="CA56" i="25"/>
  <c r="BZ56" i="25"/>
  <c r="BY56" i="25"/>
  <c r="BS56" i="25" s="1"/>
  <c r="BX56" i="25"/>
  <c r="BU56" i="25" s="1"/>
  <c r="BT56" i="25"/>
  <c r="BR56" i="25"/>
  <c r="BW56" i="25" s="1"/>
  <c r="BH56" i="25"/>
  <c r="BN56" i="25" s="1"/>
  <c r="BF56" i="25"/>
  <c r="AX56" i="25"/>
  <c r="AU56" i="25"/>
  <c r="AT56" i="25"/>
  <c r="AS56" i="25"/>
  <c r="AR56" i="25"/>
  <c r="CM55" i="25"/>
  <c r="CL55" i="25"/>
  <c r="CK55" i="25"/>
  <c r="CJ55" i="25"/>
  <c r="CI55" i="25"/>
  <c r="CH55" i="25"/>
  <c r="CG55" i="25"/>
  <c r="BT55" i="25" s="1"/>
  <c r="CF55" i="25"/>
  <c r="CE55" i="25"/>
  <c r="CD55" i="25"/>
  <c r="CC55" i="25"/>
  <c r="CA55" i="25"/>
  <c r="BZ55" i="25"/>
  <c r="BY55" i="25"/>
  <c r="BS55" i="25" s="1"/>
  <c r="BX55" i="25"/>
  <c r="BU55" i="25" s="1"/>
  <c r="BR55" i="25"/>
  <c r="BW55" i="25" s="1"/>
  <c r="BN55" i="25"/>
  <c r="BI55" i="25"/>
  <c r="BJ55" i="25" s="1"/>
  <c r="BH55" i="25"/>
  <c r="BF55" i="25"/>
  <c r="AX55" i="25"/>
  <c r="AU55" i="25"/>
  <c r="AT55" i="25"/>
  <c r="AS55" i="25"/>
  <c r="AR55" i="25"/>
  <c r="CM54" i="25"/>
  <c r="CL54" i="25"/>
  <c r="CK54" i="25"/>
  <c r="CJ54" i="25"/>
  <c r="CI54" i="25"/>
  <c r="CH54" i="25"/>
  <c r="CG54" i="25"/>
  <c r="BT54" i="25" s="1"/>
  <c r="CF54" i="25"/>
  <c r="CE54" i="25"/>
  <c r="CD54" i="25"/>
  <c r="CC54" i="25"/>
  <c r="CA54" i="25"/>
  <c r="BZ54" i="25"/>
  <c r="BY54" i="25"/>
  <c r="BS54" i="25" s="1"/>
  <c r="BX54" i="25"/>
  <c r="BU54" i="25" s="1"/>
  <c r="BR54" i="25"/>
  <c r="BW54" i="25" s="1"/>
  <c r="BN54" i="25"/>
  <c r="BH54" i="25"/>
  <c r="BF54" i="25"/>
  <c r="AX54" i="25"/>
  <c r="AU54" i="25"/>
  <c r="AT54" i="25"/>
  <c r="AS54" i="25"/>
  <c r="AR54" i="25"/>
  <c r="CM53" i="25"/>
  <c r="CL53" i="25"/>
  <c r="CK53" i="25"/>
  <c r="CJ53" i="25"/>
  <c r="CI53" i="25"/>
  <c r="CH53" i="25"/>
  <c r="CG53" i="25"/>
  <c r="BM53" i="25" s="1"/>
  <c r="CF53" i="25"/>
  <c r="CE53" i="25"/>
  <c r="CD53" i="25"/>
  <c r="CC53" i="25"/>
  <c r="CA53" i="25"/>
  <c r="BZ53" i="25"/>
  <c r="BY53" i="25"/>
  <c r="BS53" i="25" s="1"/>
  <c r="BX53" i="25"/>
  <c r="BU53" i="25" s="1"/>
  <c r="BT53" i="25"/>
  <c r="BR53" i="25"/>
  <c r="BW53" i="25" s="1"/>
  <c r="BH53" i="25"/>
  <c r="BN53" i="25" s="1"/>
  <c r="BF53" i="25"/>
  <c r="AX53" i="25"/>
  <c r="AU53" i="25"/>
  <c r="AT53" i="25"/>
  <c r="AS53" i="25"/>
  <c r="AR53" i="25"/>
  <c r="CM52" i="25"/>
  <c r="CL52" i="25"/>
  <c r="CK52" i="25"/>
  <c r="CJ52" i="25"/>
  <c r="CI52" i="25"/>
  <c r="CH52" i="25"/>
  <c r="CG52" i="25"/>
  <c r="BM52" i="25" s="1"/>
  <c r="CF52" i="25"/>
  <c r="CE52" i="25"/>
  <c r="CD52" i="25"/>
  <c r="CC52" i="25"/>
  <c r="CA52" i="25"/>
  <c r="BZ52" i="25"/>
  <c r="BY52" i="25"/>
  <c r="BS52" i="25" s="1"/>
  <c r="BX52" i="25"/>
  <c r="BU52" i="25" s="1"/>
  <c r="BT52" i="25"/>
  <c r="BR52" i="25"/>
  <c r="BW52" i="25" s="1"/>
  <c r="BH52" i="25"/>
  <c r="BN52" i="25" s="1"/>
  <c r="BF52" i="25"/>
  <c r="AX52" i="25"/>
  <c r="AU52" i="25"/>
  <c r="AT52" i="25"/>
  <c r="AS52" i="25"/>
  <c r="AR52" i="25"/>
  <c r="CM51" i="25"/>
  <c r="CL51" i="25"/>
  <c r="CK51" i="25"/>
  <c r="CJ51" i="25"/>
  <c r="CI51" i="25"/>
  <c r="CH51" i="25"/>
  <c r="CG51" i="25"/>
  <c r="BT51" i="25" s="1"/>
  <c r="CF51" i="25"/>
  <c r="CE51" i="25"/>
  <c r="CD51" i="25"/>
  <c r="CC51" i="25"/>
  <c r="CA51" i="25"/>
  <c r="BZ51" i="25"/>
  <c r="BY51" i="25"/>
  <c r="BS51" i="25" s="1"/>
  <c r="BX51" i="25"/>
  <c r="BU51" i="25" s="1"/>
  <c r="BR51" i="25"/>
  <c r="BW51" i="25" s="1"/>
  <c r="BN51" i="25"/>
  <c r="BH51" i="25"/>
  <c r="BF51" i="25"/>
  <c r="AX51" i="25"/>
  <c r="AU51" i="25"/>
  <c r="AT51" i="25"/>
  <c r="AS51" i="25"/>
  <c r="AR51" i="25"/>
  <c r="CM50" i="25"/>
  <c r="CL50" i="25"/>
  <c r="CK50" i="25"/>
  <c r="CJ50" i="25"/>
  <c r="CI50" i="25"/>
  <c r="CH50" i="25"/>
  <c r="CG50" i="25"/>
  <c r="BT50" i="25" s="1"/>
  <c r="CF50" i="25"/>
  <c r="CE50" i="25"/>
  <c r="CD50" i="25"/>
  <c r="CC50" i="25"/>
  <c r="CA50" i="25"/>
  <c r="BZ50" i="25"/>
  <c r="BY50" i="25"/>
  <c r="BS50" i="25" s="1"/>
  <c r="BX50" i="25"/>
  <c r="BU50" i="25" s="1"/>
  <c r="BR50" i="25"/>
  <c r="BW50" i="25" s="1"/>
  <c r="BN50" i="25"/>
  <c r="BH50" i="25"/>
  <c r="BF50" i="25"/>
  <c r="AX50" i="25"/>
  <c r="AU50" i="25"/>
  <c r="AT50" i="25"/>
  <c r="AS50" i="25"/>
  <c r="AR50" i="25"/>
  <c r="CM49" i="25"/>
  <c r="CL49" i="25"/>
  <c r="CK49" i="25"/>
  <c r="CJ49" i="25"/>
  <c r="CI49" i="25"/>
  <c r="CH49" i="25"/>
  <c r="CG49" i="25"/>
  <c r="BT49" i="25" s="1"/>
  <c r="CF49" i="25"/>
  <c r="CE49" i="25"/>
  <c r="CD49" i="25"/>
  <c r="CC49" i="25"/>
  <c r="CA49" i="25"/>
  <c r="BZ49" i="25"/>
  <c r="BY49" i="25"/>
  <c r="BS49" i="25" s="1"/>
  <c r="BX49" i="25"/>
  <c r="BU49" i="25" s="1"/>
  <c r="BR49" i="25"/>
  <c r="BW49" i="25" s="1"/>
  <c r="BH49" i="25"/>
  <c r="BN49" i="25" s="1"/>
  <c r="BF49" i="25"/>
  <c r="AX49" i="25"/>
  <c r="AU49" i="25"/>
  <c r="AT49" i="25"/>
  <c r="AS49" i="25"/>
  <c r="AR49" i="25"/>
  <c r="CM48" i="25"/>
  <c r="CL48" i="25"/>
  <c r="CK48" i="25"/>
  <c r="CJ48" i="25"/>
  <c r="CI48" i="25"/>
  <c r="CH48" i="25"/>
  <c r="CG48" i="25"/>
  <c r="BT48" i="25" s="1"/>
  <c r="CF48" i="25"/>
  <c r="CE48" i="25"/>
  <c r="CD48" i="25"/>
  <c r="CC48" i="25"/>
  <c r="CA48" i="25"/>
  <c r="BZ48" i="25"/>
  <c r="BY48" i="25"/>
  <c r="BS48" i="25" s="1"/>
  <c r="BX48" i="25"/>
  <c r="BU48" i="25" s="1"/>
  <c r="BR48" i="25"/>
  <c r="BW48" i="25" s="1"/>
  <c r="BN48" i="25"/>
  <c r="BH48" i="25"/>
  <c r="BF48" i="25"/>
  <c r="AX48" i="25"/>
  <c r="AU48" i="25"/>
  <c r="AT48" i="25"/>
  <c r="AS48" i="25"/>
  <c r="AR48" i="25"/>
  <c r="CM47" i="25"/>
  <c r="CL47" i="25"/>
  <c r="CK47" i="25"/>
  <c r="CJ47" i="25"/>
  <c r="CI47" i="25"/>
  <c r="CH47" i="25"/>
  <c r="CG47" i="25"/>
  <c r="BT47" i="25" s="1"/>
  <c r="CF47" i="25"/>
  <c r="CE47" i="25"/>
  <c r="CD47" i="25"/>
  <c r="CC47" i="25"/>
  <c r="CA47" i="25"/>
  <c r="BZ47" i="25"/>
  <c r="BY47" i="25"/>
  <c r="BS47" i="25" s="1"/>
  <c r="BX47" i="25"/>
  <c r="BU47" i="25" s="1"/>
  <c r="BR47" i="25"/>
  <c r="BW47" i="25" s="1"/>
  <c r="BN47" i="25"/>
  <c r="BH47" i="25"/>
  <c r="BF47" i="25"/>
  <c r="AX47" i="25"/>
  <c r="AU47" i="25"/>
  <c r="AT47" i="25"/>
  <c r="AS47" i="25"/>
  <c r="AR47" i="25"/>
  <c r="CM46" i="25"/>
  <c r="CL46" i="25"/>
  <c r="CK46" i="25"/>
  <c r="CJ46" i="25"/>
  <c r="CI46" i="25"/>
  <c r="CH46" i="25"/>
  <c r="CG46" i="25"/>
  <c r="BT46" i="25" s="1"/>
  <c r="CF46" i="25"/>
  <c r="CE46" i="25"/>
  <c r="CD46" i="25"/>
  <c r="CC46" i="25"/>
  <c r="CA46" i="25"/>
  <c r="BZ46" i="25"/>
  <c r="BY46" i="25"/>
  <c r="BS46" i="25" s="1"/>
  <c r="BX46" i="25"/>
  <c r="BU46" i="25" s="1"/>
  <c r="BR46" i="25"/>
  <c r="BW46" i="25" s="1"/>
  <c r="BN46" i="25"/>
  <c r="BH46" i="25"/>
  <c r="BF46" i="25"/>
  <c r="AX46" i="25"/>
  <c r="AU46" i="25"/>
  <c r="AT46" i="25"/>
  <c r="AS46" i="25"/>
  <c r="AR46" i="25"/>
  <c r="CM45" i="25"/>
  <c r="CL45" i="25"/>
  <c r="CK45" i="25"/>
  <c r="CJ45" i="25"/>
  <c r="CI45" i="25"/>
  <c r="CH45" i="25"/>
  <c r="CG45" i="25"/>
  <c r="BT45" i="25" s="1"/>
  <c r="CF45" i="25"/>
  <c r="CE45" i="25"/>
  <c r="CD45" i="25"/>
  <c r="CC45" i="25"/>
  <c r="CA45" i="25"/>
  <c r="BZ45" i="25"/>
  <c r="BY45" i="25"/>
  <c r="BS45" i="25" s="1"/>
  <c r="BX45" i="25"/>
  <c r="BU45" i="25" s="1"/>
  <c r="BR45" i="25"/>
  <c r="BW45" i="25" s="1"/>
  <c r="BN45" i="25"/>
  <c r="BH45" i="25"/>
  <c r="BF45" i="25"/>
  <c r="AX45" i="25"/>
  <c r="AU45" i="25"/>
  <c r="AT45" i="25"/>
  <c r="AS45" i="25"/>
  <c r="AR45" i="25"/>
  <c r="CM44" i="25"/>
  <c r="CL44" i="25"/>
  <c r="CK44" i="25"/>
  <c r="CJ44" i="25"/>
  <c r="CI44" i="25"/>
  <c r="CH44" i="25"/>
  <c r="CG44" i="25"/>
  <c r="BI44" i="25" s="1"/>
  <c r="BJ44" i="25" s="1"/>
  <c r="CF44" i="25"/>
  <c r="CE44" i="25"/>
  <c r="CD44" i="25"/>
  <c r="CC44" i="25"/>
  <c r="CA44" i="25"/>
  <c r="BZ44" i="25"/>
  <c r="BY44" i="25"/>
  <c r="BS44" i="25" s="1"/>
  <c r="BX44" i="25"/>
  <c r="BU44" i="25" s="1"/>
  <c r="BT44" i="25"/>
  <c r="BR44" i="25"/>
  <c r="BW44" i="25" s="1"/>
  <c r="BH44" i="25"/>
  <c r="BN44" i="25" s="1"/>
  <c r="BF44" i="25"/>
  <c r="AX44" i="25"/>
  <c r="AU44" i="25"/>
  <c r="AT44" i="25"/>
  <c r="AS44" i="25"/>
  <c r="AR44" i="25"/>
  <c r="CM43" i="25"/>
  <c r="CL43" i="25"/>
  <c r="CK43" i="25"/>
  <c r="CJ43" i="25"/>
  <c r="CI43" i="25"/>
  <c r="CH43" i="25"/>
  <c r="CG43" i="25"/>
  <c r="BM43" i="25" s="1"/>
  <c r="CF43" i="25"/>
  <c r="CE43" i="25"/>
  <c r="CD43" i="25"/>
  <c r="CC43" i="25"/>
  <c r="CA43" i="25"/>
  <c r="BZ43" i="25"/>
  <c r="BY43" i="25"/>
  <c r="BS43" i="25" s="1"/>
  <c r="BX43" i="25"/>
  <c r="BU43" i="25" s="1"/>
  <c r="BT43" i="25"/>
  <c r="BR43" i="25"/>
  <c r="BW43" i="25" s="1"/>
  <c r="BN43" i="25"/>
  <c r="BH43" i="25"/>
  <c r="BF43" i="25"/>
  <c r="AX43" i="25"/>
  <c r="AU43" i="25"/>
  <c r="AT43" i="25"/>
  <c r="AS43" i="25"/>
  <c r="AR43" i="25"/>
  <c r="CM42" i="25"/>
  <c r="CL42" i="25"/>
  <c r="CK42" i="25"/>
  <c r="CJ42" i="25"/>
  <c r="CI42" i="25"/>
  <c r="CH42" i="25"/>
  <c r="CG42" i="25"/>
  <c r="BT42" i="25" s="1"/>
  <c r="CF42" i="25"/>
  <c r="CE42" i="25"/>
  <c r="CD42" i="25"/>
  <c r="CC42" i="25"/>
  <c r="CA42" i="25"/>
  <c r="BZ42" i="25"/>
  <c r="BY42" i="25"/>
  <c r="BS42" i="25" s="1"/>
  <c r="BX42" i="25"/>
  <c r="BU42" i="25" s="1"/>
  <c r="BR42" i="25"/>
  <c r="BW42" i="25" s="1"/>
  <c r="BN42" i="25"/>
  <c r="BH42" i="25"/>
  <c r="BF42" i="25"/>
  <c r="AX42" i="25"/>
  <c r="AU42" i="25"/>
  <c r="AT42" i="25"/>
  <c r="AS42" i="25"/>
  <c r="AR42" i="25"/>
  <c r="CM41" i="25"/>
  <c r="CL41" i="25"/>
  <c r="CK41" i="25"/>
  <c r="CJ41" i="25"/>
  <c r="CI41" i="25"/>
  <c r="CH41" i="25"/>
  <c r="CG41" i="25"/>
  <c r="BT41" i="25" s="1"/>
  <c r="CF41" i="25"/>
  <c r="CE41" i="25"/>
  <c r="CD41" i="25"/>
  <c r="CC41" i="25"/>
  <c r="CA41" i="25"/>
  <c r="BZ41" i="25"/>
  <c r="BY41" i="25"/>
  <c r="BS41" i="25" s="1"/>
  <c r="BX41" i="25"/>
  <c r="BU41" i="25" s="1"/>
  <c r="BR41" i="25"/>
  <c r="BW41" i="25" s="1"/>
  <c r="BN41" i="25"/>
  <c r="BH41" i="25"/>
  <c r="BF41" i="25"/>
  <c r="AX41" i="25"/>
  <c r="AU41" i="25"/>
  <c r="AT41" i="25"/>
  <c r="AS41" i="25"/>
  <c r="BG41" i="25" s="1"/>
  <c r="AR41" i="25"/>
  <c r="CM40" i="25"/>
  <c r="CL40" i="25"/>
  <c r="CK40" i="25"/>
  <c r="CJ40" i="25"/>
  <c r="CI40" i="25"/>
  <c r="CH40" i="25"/>
  <c r="CG40" i="25"/>
  <c r="BM40" i="25" s="1"/>
  <c r="CF40" i="25"/>
  <c r="CE40" i="25"/>
  <c r="CD40" i="25"/>
  <c r="CC40" i="25"/>
  <c r="CA40" i="25"/>
  <c r="BZ40" i="25"/>
  <c r="BY40" i="25"/>
  <c r="BS40" i="25" s="1"/>
  <c r="BX40" i="25"/>
  <c r="BU40" i="25" s="1"/>
  <c r="BT40" i="25"/>
  <c r="BR40" i="25"/>
  <c r="BW40" i="25" s="1"/>
  <c r="BH40" i="25"/>
  <c r="BN40" i="25" s="1"/>
  <c r="BF40" i="25"/>
  <c r="AX40" i="25"/>
  <c r="AU40" i="25"/>
  <c r="AT40" i="25"/>
  <c r="AS40" i="25"/>
  <c r="AR40" i="25"/>
  <c r="CM39" i="25"/>
  <c r="CL39" i="25"/>
  <c r="CK39" i="25"/>
  <c r="CJ39" i="25"/>
  <c r="CI39" i="25"/>
  <c r="CH39" i="25"/>
  <c r="CG39" i="25"/>
  <c r="BT39" i="25" s="1"/>
  <c r="CF39" i="25"/>
  <c r="CE39" i="25"/>
  <c r="CD39" i="25"/>
  <c r="CC39" i="25"/>
  <c r="CA39" i="25"/>
  <c r="BZ39" i="25"/>
  <c r="BY39" i="25"/>
  <c r="BS39" i="25" s="1"/>
  <c r="BX39" i="25"/>
  <c r="BU39" i="25" s="1"/>
  <c r="BR39" i="25"/>
  <c r="BW39" i="25" s="1"/>
  <c r="BN39" i="25"/>
  <c r="BH39" i="25"/>
  <c r="BF39" i="25"/>
  <c r="AX39" i="25"/>
  <c r="AU39" i="25"/>
  <c r="AT39" i="25"/>
  <c r="AS39" i="25"/>
  <c r="AR39" i="25"/>
  <c r="CM38" i="25"/>
  <c r="CL38" i="25"/>
  <c r="CK38" i="25"/>
  <c r="CJ38" i="25"/>
  <c r="CI38" i="25"/>
  <c r="CH38" i="25"/>
  <c r="CG38" i="25"/>
  <c r="BT38" i="25" s="1"/>
  <c r="CF38" i="25"/>
  <c r="CE38" i="25"/>
  <c r="CD38" i="25"/>
  <c r="CC38" i="25"/>
  <c r="CA38" i="25"/>
  <c r="BZ38" i="25"/>
  <c r="BY38" i="25"/>
  <c r="BS38" i="25" s="1"/>
  <c r="BX38" i="25"/>
  <c r="BU38" i="25" s="1"/>
  <c r="BR38" i="25"/>
  <c r="BW38" i="25" s="1"/>
  <c r="BN38" i="25"/>
  <c r="BH38" i="25"/>
  <c r="BF38" i="25"/>
  <c r="AX38" i="25"/>
  <c r="AU38" i="25"/>
  <c r="AT38" i="25"/>
  <c r="AS38" i="25"/>
  <c r="AR38" i="25"/>
  <c r="CM37" i="25"/>
  <c r="CL37" i="25"/>
  <c r="CK37" i="25"/>
  <c r="CJ37" i="25"/>
  <c r="CI37" i="25"/>
  <c r="CH37" i="25"/>
  <c r="CG37" i="25"/>
  <c r="BI37" i="25" s="1"/>
  <c r="BJ37" i="25" s="1"/>
  <c r="CF37" i="25"/>
  <c r="CE37" i="25"/>
  <c r="CD37" i="25"/>
  <c r="CC37" i="25"/>
  <c r="CA37" i="25"/>
  <c r="BZ37" i="25"/>
  <c r="BY37" i="25"/>
  <c r="BS37" i="25" s="1"/>
  <c r="BX37" i="25"/>
  <c r="BU37" i="25" s="1"/>
  <c r="BT37" i="25"/>
  <c r="BR37" i="25"/>
  <c r="BW37" i="25" s="1"/>
  <c r="BH37" i="25"/>
  <c r="BN37" i="25" s="1"/>
  <c r="BF37" i="25"/>
  <c r="AX37" i="25"/>
  <c r="AU37" i="25"/>
  <c r="AT37" i="25"/>
  <c r="AS37" i="25"/>
  <c r="AR37" i="25"/>
  <c r="CM36" i="25"/>
  <c r="CL36" i="25"/>
  <c r="CK36" i="25"/>
  <c r="CJ36" i="25"/>
  <c r="CI36" i="25"/>
  <c r="CH36" i="25"/>
  <c r="CG36" i="25"/>
  <c r="BM36" i="25" s="1"/>
  <c r="CF36" i="25"/>
  <c r="CE36" i="25"/>
  <c r="CD36" i="25"/>
  <c r="CC36" i="25"/>
  <c r="CA36" i="25"/>
  <c r="BZ36" i="25"/>
  <c r="BY36" i="25"/>
  <c r="BS36" i="25" s="1"/>
  <c r="BX36" i="25"/>
  <c r="BU36" i="25" s="1"/>
  <c r="BT36" i="25"/>
  <c r="BR36" i="25"/>
  <c r="BW36" i="25" s="1"/>
  <c r="BH36" i="25"/>
  <c r="BN36" i="25" s="1"/>
  <c r="BF36" i="25"/>
  <c r="AX36" i="25"/>
  <c r="AU36" i="25"/>
  <c r="AT36" i="25"/>
  <c r="AS36" i="25"/>
  <c r="AR36" i="25"/>
  <c r="CM35" i="25"/>
  <c r="CL35" i="25"/>
  <c r="CK35" i="25"/>
  <c r="CJ35" i="25"/>
  <c r="CI35" i="25"/>
  <c r="CH35" i="25"/>
  <c r="CG35" i="25"/>
  <c r="BI35" i="25" s="1"/>
  <c r="BJ35" i="25" s="1"/>
  <c r="CF35" i="25"/>
  <c r="CE35" i="25"/>
  <c r="CD35" i="25"/>
  <c r="CC35" i="25"/>
  <c r="CA35" i="25"/>
  <c r="BZ35" i="25"/>
  <c r="BY35" i="25"/>
  <c r="BS35" i="25" s="1"/>
  <c r="BX35" i="25"/>
  <c r="BU35" i="25" s="1"/>
  <c r="BT35" i="25"/>
  <c r="BR35" i="25"/>
  <c r="BW35" i="25" s="1"/>
  <c r="BN35" i="25"/>
  <c r="BH35" i="25"/>
  <c r="BF35" i="25"/>
  <c r="AX35" i="25"/>
  <c r="AU35" i="25"/>
  <c r="AT35" i="25"/>
  <c r="AS35" i="25"/>
  <c r="AR35" i="25"/>
  <c r="CM34" i="25"/>
  <c r="CL34" i="25"/>
  <c r="CK34" i="25"/>
  <c r="CJ34" i="25"/>
  <c r="CI34" i="25"/>
  <c r="CH34" i="25"/>
  <c r="CG34" i="25"/>
  <c r="CF34" i="25"/>
  <c r="CE34" i="25"/>
  <c r="CD34" i="25"/>
  <c r="CC34" i="25"/>
  <c r="CA34" i="25"/>
  <c r="BZ34" i="25"/>
  <c r="BY34" i="25"/>
  <c r="BS34" i="25" s="1"/>
  <c r="BX34" i="25"/>
  <c r="BU34" i="25" s="1"/>
  <c r="BR34" i="25"/>
  <c r="BW34" i="25" s="1"/>
  <c r="BI34" i="25"/>
  <c r="BJ34" i="25" s="1"/>
  <c r="BH34" i="25"/>
  <c r="BN34" i="25" s="1"/>
  <c r="BF34" i="25"/>
  <c r="AX34" i="25"/>
  <c r="AU34" i="25"/>
  <c r="AT34" i="25"/>
  <c r="AS34" i="25"/>
  <c r="AR34" i="25"/>
  <c r="CM33" i="25"/>
  <c r="CL33" i="25"/>
  <c r="CK33" i="25"/>
  <c r="CJ33" i="25"/>
  <c r="CI33" i="25"/>
  <c r="CH33" i="25"/>
  <c r="CG33" i="25"/>
  <c r="BI33" i="25" s="1"/>
  <c r="BJ33" i="25" s="1"/>
  <c r="CF33" i="25"/>
  <c r="CE33" i="25"/>
  <c r="CD33" i="25"/>
  <c r="CC33" i="25"/>
  <c r="CA33" i="25"/>
  <c r="BZ33" i="25"/>
  <c r="BY33" i="25"/>
  <c r="BS33" i="25" s="1"/>
  <c r="BX33" i="25"/>
  <c r="BU33" i="25" s="1"/>
  <c r="BR33" i="25"/>
  <c r="BW33" i="25" s="1"/>
  <c r="BN33" i="25"/>
  <c r="BM33" i="25"/>
  <c r="BH33" i="25"/>
  <c r="BF33" i="25"/>
  <c r="AX33" i="25"/>
  <c r="AU33" i="25"/>
  <c r="AT33" i="25"/>
  <c r="AS33" i="25"/>
  <c r="AR33" i="25"/>
  <c r="CM32" i="25"/>
  <c r="CL32" i="25"/>
  <c r="CK32" i="25"/>
  <c r="CJ32" i="25"/>
  <c r="CI32" i="25"/>
  <c r="CH32" i="25"/>
  <c r="CG32" i="25"/>
  <c r="BM32" i="25" s="1"/>
  <c r="BL32" i="25" s="1"/>
  <c r="CF32" i="25"/>
  <c r="CE32" i="25"/>
  <c r="CD32" i="25"/>
  <c r="CC32" i="25"/>
  <c r="CA32" i="25"/>
  <c r="BZ32" i="25"/>
  <c r="BY32" i="25"/>
  <c r="BS32" i="25" s="1"/>
  <c r="BX32" i="25"/>
  <c r="BU32" i="25" s="1"/>
  <c r="BT32" i="25"/>
  <c r="BR32" i="25"/>
  <c r="BW32" i="25" s="1"/>
  <c r="BN32" i="25"/>
  <c r="BH32" i="25"/>
  <c r="BF32" i="25"/>
  <c r="AX32" i="25"/>
  <c r="AU32" i="25"/>
  <c r="AT32" i="25"/>
  <c r="AS32" i="25"/>
  <c r="AR32" i="25"/>
  <c r="CM31" i="25"/>
  <c r="CL31" i="25"/>
  <c r="CK31" i="25"/>
  <c r="CJ31" i="25"/>
  <c r="CI31" i="25"/>
  <c r="CH31" i="25"/>
  <c r="CG31" i="25"/>
  <c r="BI31" i="25" s="1"/>
  <c r="BJ31" i="25" s="1"/>
  <c r="CF31" i="25"/>
  <c r="CE31" i="25"/>
  <c r="CD31" i="25"/>
  <c r="CC31" i="25"/>
  <c r="CA31" i="25"/>
  <c r="BZ31" i="25"/>
  <c r="BY31" i="25"/>
  <c r="BS31" i="25" s="1"/>
  <c r="BX31" i="25"/>
  <c r="BU31" i="25" s="1"/>
  <c r="BT31" i="25"/>
  <c r="BR31" i="25"/>
  <c r="BW31" i="25" s="1"/>
  <c r="BN31" i="25"/>
  <c r="BH31" i="25"/>
  <c r="BF31" i="25"/>
  <c r="AX31" i="25"/>
  <c r="AU31" i="25"/>
  <c r="AT31" i="25"/>
  <c r="AS31" i="25"/>
  <c r="AR31" i="25"/>
  <c r="CM30" i="25"/>
  <c r="CL30" i="25"/>
  <c r="CK30" i="25"/>
  <c r="CJ30" i="25"/>
  <c r="CI30" i="25"/>
  <c r="CH30" i="25"/>
  <c r="CG30" i="25"/>
  <c r="BI30" i="25" s="1"/>
  <c r="BJ30" i="25" s="1"/>
  <c r="CF30" i="25"/>
  <c r="CE30" i="25"/>
  <c r="CD30" i="25"/>
  <c r="CC30" i="25"/>
  <c r="CA30" i="25"/>
  <c r="BZ30" i="25"/>
  <c r="BY30" i="25"/>
  <c r="BS30" i="25" s="1"/>
  <c r="BX30" i="25"/>
  <c r="BU30" i="25" s="1"/>
  <c r="BT30" i="25"/>
  <c r="BR30" i="25"/>
  <c r="BW30" i="25" s="1"/>
  <c r="BN30" i="25"/>
  <c r="BH30" i="25"/>
  <c r="BF30" i="25"/>
  <c r="AX30" i="25"/>
  <c r="AU30" i="25"/>
  <c r="AT30" i="25"/>
  <c r="AS30" i="25"/>
  <c r="AR30" i="25"/>
  <c r="CM29" i="25"/>
  <c r="CL29" i="25"/>
  <c r="CK29" i="25"/>
  <c r="CJ29" i="25"/>
  <c r="CI29" i="25"/>
  <c r="CH29" i="25"/>
  <c r="CG29" i="25"/>
  <c r="BI29" i="25" s="1"/>
  <c r="BJ29" i="25" s="1"/>
  <c r="CF29" i="25"/>
  <c r="CE29" i="25"/>
  <c r="CD29" i="25"/>
  <c r="CC29" i="25"/>
  <c r="CA29" i="25"/>
  <c r="BZ29" i="25"/>
  <c r="BY29" i="25"/>
  <c r="BS29" i="25" s="1"/>
  <c r="BX29" i="25"/>
  <c r="BU29" i="25" s="1"/>
  <c r="BT29" i="25"/>
  <c r="BR29" i="25"/>
  <c r="BW29" i="25" s="1"/>
  <c r="BH29" i="25"/>
  <c r="BN29" i="25" s="1"/>
  <c r="BF29" i="25"/>
  <c r="AX29" i="25"/>
  <c r="AU29" i="25"/>
  <c r="AT29" i="25"/>
  <c r="AS29" i="25"/>
  <c r="AR29" i="25"/>
  <c r="CM28" i="25"/>
  <c r="CL28" i="25"/>
  <c r="CK28" i="25"/>
  <c r="CJ28" i="25"/>
  <c r="CI28" i="25"/>
  <c r="CH28" i="25"/>
  <c r="CG28" i="25"/>
  <c r="BI28" i="25" s="1"/>
  <c r="BJ28" i="25" s="1"/>
  <c r="CF28" i="25"/>
  <c r="CE28" i="25"/>
  <c r="CD28" i="25"/>
  <c r="CC28" i="25"/>
  <c r="CA28" i="25"/>
  <c r="BZ28" i="25"/>
  <c r="BY28" i="25"/>
  <c r="BS28" i="25" s="1"/>
  <c r="BX28" i="25"/>
  <c r="BU28" i="25" s="1"/>
  <c r="BR28" i="25"/>
  <c r="BW28" i="25" s="1"/>
  <c r="BN28" i="25"/>
  <c r="BH28" i="25"/>
  <c r="BF28" i="25"/>
  <c r="AX28" i="25"/>
  <c r="AU28" i="25"/>
  <c r="AT28" i="25"/>
  <c r="AS28" i="25"/>
  <c r="AR28" i="25"/>
  <c r="CM27" i="25"/>
  <c r="CL27" i="25"/>
  <c r="CK27" i="25"/>
  <c r="CJ27" i="25"/>
  <c r="CI27" i="25"/>
  <c r="CH27" i="25"/>
  <c r="CG27" i="25"/>
  <c r="BI27" i="25" s="1"/>
  <c r="BJ27" i="25" s="1"/>
  <c r="CF27" i="25"/>
  <c r="CE27" i="25"/>
  <c r="CD27" i="25"/>
  <c r="CC27" i="25"/>
  <c r="CA27" i="25"/>
  <c r="BZ27" i="25"/>
  <c r="BY27" i="25"/>
  <c r="BS27" i="25" s="1"/>
  <c r="BX27" i="25"/>
  <c r="BU27" i="25" s="1"/>
  <c r="BR27" i="25"/>
  <c r="BW27" i="25" s="1"/>
  <c r="BN27" i="25"/>
  <c r="BH27" i="25"/>
  <c r="BF27" i="25"/>
  <c r="AX27" i="25"/>
  <c r="AU27" i="25"/>
  <c r="AT27" i="25"/>
  <c r="AS27" i="25"/>
  <c r="AR27" i="25"/>
  <c r="CM26" i="25"/>
  <c r="CL26" i="25"/>
  <c r="CK26" i="25"/>
  <c r="CJ26" i="25"/>
  <c r="CI26" i="25"/>
  <c r="CH26" i="25"/>
  <c r="CG26" i="25"/>
  <c r="BM26" i="25" s="1"/>
  <c r="CF26" i="25"/>
  <c r="CE26" i="25"/>
  <c r="CD26" i="25"/>
  <c r="CC26" i="25"/>
  <c r="CA26" i="25"/>
  <c r="BZ26" i="25"/>
  <c r="BY26" i="25"/>
  <c r="BS26" i="25" s="1"/>
  <c r="BX26" i="25"/>
  <c r="BU26" i="25" s="1"/>
  <c r="BT26" i="25"/>
  <c r="BR26" i="25"/>
  <c r="BW26" i="25" s="1"/>
  <c r="BN26" i="25"/>
  <c r="BH26" i="25"/>
  <c r="BF26" i="25"/>
  <c r="AX26" i="25"/>
  <c r="AU26" i="25"/>
  <c r="AT26" i="25"/>
  <c r="AS26" i="25"/>
  <c r="AR26" i="25"/>
  <c r="CM25" i="25"/>
  <c r="CL25" i="25"/>
  <c r="CK25" i="25"/>
  <c r="CJ25" i="25"/>
  <c r="CI25" i="25"/>
  <c r="CH25" i="25"/>
  <c r="CG25" i="25"/>
  <c r="BI25" i="25" s="1"/>
  <c r="BJ25" i="25" s="1"/>
  <c r="CF25" i="25"/>
  <c r="CE25" i="25"/>
  <c r="CD25" i="25"/>
  <c r="CC25" i="25"/>
  <c r="CA25" i="25"/>
  <c r="BZ25" i="25"/>
  <c r="BY25" i="25"/>
  <c r="BS25" i="25" s="1"/>
  <c r="BX25" i="25"/>
  <c r="BU25" i="25" s="1"/>
  <c r="BT25" i="25"/>
  <c r="BR25" i="25"/>
  <c r="BW25" i="25" s="1"/>
  <c r="BN25" i="25"/>
  <c r="BH25" i="25"/>
  <c r="BF25" i="25"/>
  <c r="AX25" i="25"/>
  <c r="AU25" i="25"/>
  <c r="AT25" i="25"/>
  <c r="AS25" i="25"/>
  <c r="AR25" i="25"/>
  <c r="CM24" i="25"/>
  <c r="CL24" i="25"/>
  <c r="CK24" i="25"/>
  <c r="CJ24" i="25"/>
  <c r="CI24" i="25"/>
  <c r="CH24" i="25"/>
  <c r="CG24" i="25"/>
  <c r="BI24" i="25" s="1"/>
  <c r="BJ24" i="25" s="1"/>
  <c r="CF24" i="25"/>
  <c r="CE24" i="25"/>
  <c r="CD24" i="25"/>
  <c r="CC24" i="25"/>
  <c r="CA24" i="25"/>
  <c r="BZ24" i="25"/>
  <c r="BY24" i="25"/>
  <c r="BS24" i="25" s="1"/>
  <c r="BX24" i="25"/>
  <c r="BU24" i="25" s="1"/>
  <c r="BT24" i="25"/>
  <c r="BR24" i="25"/>
  <c r="BW24" i="25" s="1"/>
  <c r="BN24" i="25"/>
  <c r="BH24" i="25"/>
  <c r="BF24" i="25"/>
  <c r="AX24" i="25"/>
  <c r="AU24" i="25"/>
  <c r="AT24" i="25"/>
  <c r="AS24" i="25"/>
  <c r="AR24" i="25"/>
  <c r="CM23" i="25"/>
  <c r="CL23" i="25"/>
  <c r="CK23" i="25"/>
  <c r="CJ23" i="25"/>
  <c r="CI23" i="25"/>
  <c r="CH23" i="25"/>
  <c r="CG23" i="25"/>
  <c r="BI23" i="25" s="1"/>
  <c r="BJ23" i="25" s="1"/>
  <c r="CF23" i="25"/>
  <c r="CE23" i="25"/>
  <c r="CD23" i="25"/>
  <c r="CC23" i="25"/>
  <c r="CA23" i="25"/>
  <c r="BZ23" i="25"/>
  <c r="BY23" i="25"/>
  <c r="BS23" i="25" s="1"/>
  <c r="BX23" i="25"/>
  <c r="BU23" i="25" s="1"/>
  <c r="BT23" i="25"/>
  <c r="BR23" i="25"/>
  <c r="BW23" i="25" s="1"/>
  <c r="BN23" i="25"/>
  <c r="BH23" i="25"/>
  <c r="BF23" i="25"/>
  <c r="AX23" i="25"/>
  <c r="AU23" i="25"/>
  <c r="AT23" i="25"/>
  <c r="AS23" i="25"/>
  <c r="AR23" i="25"/>
  <c r="CM22" i="25"/>
  <c r="CL22" i="25"/>
  <c r="CK22" i="25"/>
  <c r="CJ22" i="25"/>
  <c r="CI22" i="25"/>
  <c r="CH22" i="25"/>
  <c r="CG22" i="25"/>
  <c r="BI22" i="25" s="1"/>
  <c r="BJ22" i="25" s="1"/>
  <c r="CF22" i="25"/>
  <c r="CE22" i="25"/>
  <c r="CD22" i="25"/>
  <c r="CC22" i="25"/>
  <c r="CA22" i="25"/>
  <c r="BZ22" i="25"/>
  <c r="BY22" i="25"/>
  <c r="BS22" i="25" s="1"/>
  <c r="BX22" i="25"/>
  <c r="BU22" i="25" s="1"/>
  <c r="BT22" i="25"/>
  <c r="BR22" i="25"/>
  <c r="BW22" i="25" s="1"/>
  <c r="BN22" i="25"/>
  <c r="BH22" i="25"/>
  <c r="BF22" i="25"/>
  <c r="AX22" i="25"/>
  <c r="AY22" i="25" s="1"/>
  <c r="AU22" i="25"/>
  <c r="AT22" i="25"/>
  <c r="AS22" i="25"/>
  <c r="AR22" i="25"/>
  <c r="CM21" i="25"/>
  <c r="CL21" i="25"/>
  <c r="CK21" i="25"/>
  <c r="CJ21" i="25"/>
  <c r="CI21" i="25"/>
  <c r="CH21" i="25"/>
  <c r="CG21" i="25"/>
  <c r="BM21" i="25" s="1"/>
  <c r="CF21" i="25"/>
  <c r="CE21" i="25"/>
  <c r="CD21" i="25"/>
  <c r="CC21" i="25"/>
  <c r="CA21" i="25"/>
  <c r="BZ21" i="25"/>
  <c r="BY21" i="25"/>
  <c r="BS21" i="25" s="1"/>
  <c r="BX21" i="25"/>
  <c r="BU21" i="25" s="1"/>
  <c r="BT21" i="25"/>
  <c r="BR21" i="25"/>
  <c r="BW21" i="25" s="1"/>
  <c r="BN21" i="25"/>
  <c r="BH21" i="25"/>
  <c r="BF21" i="25"/>
  <c r="AX21" i="25"/>
  <c r="AY21" i="25" s="1"/>
  <c r="AU21" i="25"/>
  <c r="AT21" i="25"/>
  <c r="AS21" i="25"/>
  <c r="AR21" i="25"/>
  <c r="CM20" i="25"/>
  <c r="CL20" i="25"/>
  <c r="CK20" i="25"/>
  <c r="CJ20" i="25"/>
  <c r="CI20" i="25"/>
  <c r="CH20" i="25"/>
  <c r="CG20" i="25"/>
  <c r="BI20" i="25" s="1"/>
  <c r="BJ20" i="25" s="1"/>
  <c r="CF20" i="25"/>
  <c r="CE20" i="25"/>
  <c r="CD20" i="25"/>
  <c r="CC20" i="25"/>
  <c r="CA20" i="25"/>
  <c r="BZ20" i="25"/>
  <c r="BY20" i="25"/>
  <c r="BS20" i="25" s="1"/>
  <c r="BX20" i="25"/>
  <c r="BU20" i="25" s="1"/>
  <c r="BT20" i="25"/>
  <c r="BR20" i="25"/>
  <c r="BW20" i="25" s="1"/>
  <c r="BN20" i="25"/>
  <c r="BH20" i="25"/>
  <c r="BF20" i="25"/>
  <c r="AX20" i="25"/>
  <c r="AY20" i="25" s="1"/>
  <c r="AU20" i="25"/>
  <c r="AT20" i="25"/>
  <c r="AS20" i="25"/>
  <c r="AR20" i="25"/>
  <c r="CM19" i="25"/>
  <c r="CL19" i="25"/>
  <c r="CK19" i="25"/>
  <c r="CJ19" i="25"/>
  <c r="CI19" i="25"/>
  <c r="CH19" i="25"/>
  <c r="CG19" i="25"/>
  <c r="BI19" i="25" s="1"/>
  <c r="BJ19" i="25" s="1"/>
  <c r="CF19" i="25"/>
  <c r="CE19" i="25"/>
  <c r="CD19" i="25"/>
  <c r="CC19" i="25"/>
  <c r="CA19" i="25"/>
  <c r="BZ19" i="25"/>
  <c r="BY19" i="25"/>
  <c r="BS19" i="25" s="1"/>
  <c r="BX19" i="25"/>
  <c r="BU19" i="25" s="1"/>
  <c r="BT19" i="25"/>
  <c r="BR19" i="25"/>
  <c r="BW19" i="25" s="1"/>
  <c r="BN19" i="25"/>
  <c r="BH19" i="25"/>
  <c r="BF19" i="25"/>
  <c r="AX19" i="25"/>
  <c r="AY19" i="25" s="1"/>
  <c r="AU19" i="25"/>
  <c r="AT19" i="25"/>
  <c r="AS19" i="25"/>
  <c r="AR19" i="25"/>
  <c r="CM18" i="25"/>
  <c r="CL18" i="25"/>
  <c r="CK18" i="25"/>
  <c r="CJ18" i="25"/>
  <c r="CI18" i="25"/>
  <c r="CH18" i="25"/>
  <c r="CG18" i="25"/>
  <c r="BI18" i="25" s="1"/>
  <c r="BJ18" i="25" s="1"/>
  <c r="CF18" i="25"/>
  <c r="CE18" i="25"/>
  <c r="CD18" i="25"/>
  <c r="CC18" i="25"/>
  <c r="CA18" i="25"/>
  <c r="BZ18" i="25"/>
  <c r="BY18" i="25"/>
  <c r="BS18" i="25" s="1"/>
  <c r="BX18" i="25"/>
  <c r="BU18" i="25" s="1"/>
  <c r="BT18" i="25"/>
  <c r="BR18" i="25"/>
  <c r="BW18" i="25" s="1"/>
  <c r="BN18" i="25"/>
  <c r="BH18" i="25"/>
  <c r="BF18" i="25"/>
  <c r="AX18" i="25"/>
  <c r="AY18" i="25" s="1"/>
  <c r="AU18" i="25"/>
  <c r="AT18" i="25"/>
  <c r="AS18" i="25"/>
  <c r="AR18" i="25"/>
  <c r="CM17" i="25"/>
  <c r="CL17" i="25"/>
  <c r="CK17" i="25"/>
  <c r="CJ17" i="25"/>
  <c r="CI17" i="25"/>
  <c r="CH17" i="25"/>
  <c r="CG17" i="25"/>
  <c r="BO17" i="25" s="1"/>
  <c r="CF17" i="25"/>
  <c r="CE17" i="25"/>
  <c r="CD17" i="25"/>
  <c r="CC17" i="25"/>
  <c r="CA17" i="25"/>
  <c r="BZ17" i="25"/>
  <c r="BY17" i="25"/>
  <c r="BS17" i="25" s="1"/>
  <c r="BX17" i="25"/>
  <c r="BU17" i="25" s="1"/>
  <c r="BT17" i="25"/>
  <c r="BR17" i="25"/>
  <c r="BW17" i="25" s="1"/>
  <c r="BN17" i="25"/>
  <c r="BH17" i="25"/>
  <c r="BF17" i="25"/>
  <c r="AX17" i="25"/>
  <c r="AY17" i="25" s="1"/>
  <c r="AU17" i="25"/>
  <c r="AT17" i="25"/>
  <c r="AS17" i="25"/>
  <c r="AR17" i="25"/>
  <c r="CM16" i="25"/>
  <c r="CL16" i="25"/>
  <c r="CK16" i="25"/>
  <c r="CJ16" i="25"/>
  <c r="CI16" i="25"/>
  <c r="CH16" i="25"/>
  <c r="CG16" i="25"/>
  <c r="BO16" i="25" s="1"/>
  <c r="CF16" i="25"/>
  <c r="CE16" i="25"/>
  <c r="CD16" i="25"/>
  <c r="CC16" i="25"/>
  <c r="CA16" i="25"/>
  <c r="BZ16" i="25"/>
  <c r="BY16" i="25"/>
  <c r="BS16" i="25" s="1"/>
  <c r="BX16" i="25"/>
  <c r="BU16" i="25" s="1"/>
  <c r="BT16" i="25"/>
  <c r="BR16" i="25"/>
  <c r="BW16" i="25" s="1"/>
  <c r="BN16" i="25"/>
  <c r="BI16" i="25"/>
  <c r="BJ16" i="25" s="1"/>
  <c r="BH16" i="25"/>
  <c r="BF16" i="25"/>
  <c r="AX16" i="25"/>
  <c r="AY16" i="25" s="1"/>
  <c r="AU16" i="25"/>
  <c r="AT16" i="25"/>
  <c r="AS16" i="25"/>
  <c r="AR16" i="25"/>
  <c r="CM15" i="25"/>
  <c r="CL15" i="25"/>
  <c r="CK15" i="25"/>
  <c r="CJ15" i="25"/>
  <c r="CI15" i="25"/>
  <c r="CH15" i="25"/>
  <c r="CG15" i="25"/>
  <c r="BO15" i="25" s="1"/>
  <c r="CF15" i="25"/>
  <c r="CE15" i="25"/>
  <c r="CD15" i="25"/>
  <c r="CC15" i="25"/>
  <c r="CA15" i="25"/>
  <c r="BZ15" i="25"/>
  <c r="BY15" i="25"/>
  <c r="BS15" i="25" s="1"/>
  <c r="BX15" i="25"/>
  <c r="BU15" i="25" s="1"/>
  <c r="BT15" i="25"/>
  <c r="BR15" i="25"/>
  <c r="BW15" i="25" s="1"/>
  <c r="BN15" i="25"/>
  <c r="BH15" i="25"/>
  <c r="BF15" i="25"/>
  <c r="AX15" i="25"/>
  <c r="AY15" i="25" s="1"/>
  <c r="AU15" i="25"/>
  <c r="AT15" i="25"/>
  <c r="AS15" i="25"/>
  <c r="AR15" i="25"/>
  <c r="CM14" i="25"/>
  <c r="CL14" i="25"/>
  <c r="CK14" i="25"/>
  <c r="CJ14" i="25"/>
  <c r="CI14" i="25"/>
  <c r="CH14" i="25"/>
  <c r="CG14" i="25"/>
  <c r="BO14" i="25" s="1"/>
  <c r="CF14" i="25"/>
  <c r="CE14" i="25"/>
  <c r="CD14" i="25"/>
  <c r="CC14" i="25"/>
  <c r="CA14" i="25"/>
  <c r="BZ14" i="25"/>
  <c r="BY14" i="25"/>
  <c r="BS14" i="25" s="1"/>
  <c r="BX14" i="25"/>
  <c r="BU14" i="25" s="1"/>
  <c r="BT14" i="25"/>
  <c r="BR14" i="25"/>
  <c r="BW14" i="25" s="1"/>
  <c r="BN14" i="25"/>
  <c r="BH14" i="25"/>
  <c r="BF14" i="25"/>
  <c r="AX14" i="25"/>
  <c r="AY14" i="25" s="1"/>
  <c r="AU14" i="25"/>
  <c r="AT14" i="25"/>
  <c r="AS14" i="25"/>
  <c r="AR14" i="25"/>
  <c r="CM13" i="25"/>
  <c r="CL13" i="25"/>
  <c r="CK13" i="25"/>
  <c r="CJ13" i="25"/>
  <c r="CI13" i="25"/>
  <c r="CH13" i="25"/>
  <c r="CG13" i="25"/>
  <c r="BO13" i="25" s="1"/>
  <c r="CF13" i="25"/>
  <c r="CE13" i="25"/>
  <c r="CD13" i="25"/>
  <c r="CC13" i="25"/>
  <c r="CA13" i="25"/>
  <c r="BZ13" i="25"/>
  <c r="BY13" i="25"/>
  <c r="BS13" i="25" s="1"/>
  <c r="BX13" i="25"/>
  <c r="BU13" i="25" s="1"/>
  <c r="BR13" i="25"/>
  <c r="BW13" i="25" s="1"/>
  <c r="BN13" i="25"/>
  <c r="BH13" i="25"/>
  <c r="BF13" i="25"/>
  <c r="AX13" i="25"/>
  <c r="AY13" i="25" s="1"/>
  <c r="AU13" i="25"/>
  <c r="AT13" i="25"/>
  <c r="AS13" i="25"/>
  <c r="AR13" i="25"/>
  <c r="CM12" i="25"/>
  <c r="CL12" i="25"/>
  <c r="CK12" i="25"/>
  <c r="CJ12" i="25"/>
  <c r="CI12" i="25"/>
  <c r="CH12" i="25"/>
  <c r="CG12" i="25"/>
  <c r="BM12" i="25" s="1"/>
  <c r="CF12" i="25"/>
  <c r="CE12" i="25"/>
  <c r="CD12" i="25"/>
  <c r="CC12" i="25"/>
  <c r="CA12" i="25"/>
  <c r="BZ12" i="25"/>
  <c r="BY12" i="25"/>
  <c r="BS12" i="25" s="1"/>
  <c r="BX12" i="25"/>
  <c r="BU12" i="25" s="1"/>
  <c r="BT12" i="25"/>
  <c r="BR12" i="25"/>
  <c r="BW12" i="25" s="1"/>
  <c r="BN12" i="25"/>
  <c r="BH12" i="25"/>
  <c r="BF12" i="25"/>
  <c r="AX12" i="25"/>
  <c r="AU12" i="25"/>
  <c r="AT12" i="25"/>
  <c r="AS12" i="25"/>
  <c r="AR12" i="25"/>
  <c r="CM11" i="25"/>
  <c r="CL11" i="25"/>
  <c r="CK11" i="25"/>
  <c r="CJ11" i="25"/>
  <c r="CI11" i="25"/>
  <c r="CH11" i="25"/>
  <c r="CG11" i="25"/>
  <c r="BT11" i="25" s="1"/>
  <c r="CF11" i="25"/>
  <c r="CE11" i="25"/>
  <c r="CD11" i="25"/>
  <c r="CC11" i="25"/>
  <c r="CA11" i="25"/>
  <c r="BZ11" i="25"/>
  <c r="BY11" i="25"/>
  <c r="BS11" i="25" s="1"/>
  <c r="BX11" i="25"/>
  <c r="BU11" i="25" s="1"/>
  <c r="BR11" i="25"/>
  <c r="BW11" i="25" s="1"/>
  <c r="BH11" i="25"/>
  <c r="BF11" i="25"/>
  <c r="AX11" i="25"/>
  <c r="AU11" i="25"/>
  <c r="AT11" i="25"/>
  <c r="AS11" i="25"/>
  <c r="AR11" i="25"/>
  <c r="CM10" i="25"/>
  <c r="CL10" i="25"/>
  <c r="CK10" i="25"/>
  <c r="CJ10" i="25"/>
  <c r="CI10" i="25"/>
  <c r="CH10" i="25"/>
  <c r="CG10" i="25"/>
  <c r="BM10" i="25" s="1"/>
  <c r="CF10" i="25"/>
  <c r="CE10" i="25"/>
  <c r="CD10" i="25"/>
  <c r="CC10" i="25"/>
  <c r="CA10" i="25"/>
  <c r="BZ10" i="25"/>
  <c r="BY10" i="25"/>
  <c r="BS10" i="25" s="1"/>
  <c r="BX10" i="25"/>
  <c r="BU10" i="25" s="1"/>
  <c r="BT10" i="25"/>
  <c r="BR10" i="25"/>
  <c r="BW10" i="25" s="1"/>
  <c r="BN10" i="25"/>
  <c r="BH10" i="25"/>
  <c r="BF10" i="25"/>
  <c r="AX10" i="25"/>
  <c r="AU10" i="25"/>
  <c r="AV10" i="25" s="1"/>
  <c r="AW10" i="25" s="1"/>
  <c r="AT10" i="25"/>
  <c r="AS10" i="25"/>
  <c r="AR10" i="25"/>
  <c r="CM9" i="25"/>
  <c r="CL9" i="25"/>
  <c r="CK9" i="25"/>
  <c r="CJ9" i="25"/>
  <c r="CI9" i="25"/>
  <c r="CH9" i="25"/>
  <c r="CG9" i="25"/>
  <c r="BM9" i="25" s="1"/>
  <c r="CF9" i="25"/>
  <c r="CE9" i="25"/>
  <c r="CD9" i="25"/>
  <c r="CC9" i="25"/>
  <c r="CA9" i="25"/>
  <c r="BZ9" i="25"/>
  <c r="BY9" i="25"/>
  <c r="BS9" i="25" s="1"/>
  <c r="BX9" i="25"/>
  <c r="BU9" i="25" s="1"/>
  <c r="BT9" i="25"/>
  <c r="BR9" i="25"/>
  <c r="BW9" i="25" s="1"/>
  <c r="BN9" i="25"/>
  <c r="BH9" i="25"/>
  <c r="BF9" i="25"/>
  <c r="AX9" i="25"/>
  <c r="AU9" i="25"/>
  <c r="AV9" i="25" s="1"/>
  <c r="AW9" i="25" s="1"/>
  <c r="AT9" i="25"/>
  <c r="AS9" i="25"/>
  <c r="AR9" i="25"/>
  <c r="CM8" i="25"/>
  <c r="CL8" i="25"/>
  <c r="CK8" i="25"/>
  <c r="CJ8" i="25"/>
  <c r="CI8" i="25"/>
  <c r="CH8" i="25"/>
  <c r="CG8" i="25"/>
  <c r="BI8" i="25" s="1"/>
  <c r="BJ8" i="25" s="1"/>
  <c r="CF8" i="25"/>
  <c r="CE8" i="25"/>
  <c r="CD8" i="25"/>
  <c r="CC8" i="25"/>
  <c r="CA8" i="25"/>
  <c r="BZ8" i="25"/>
  <c r="BY8" i="25"/>
  <c r="BS8" i="25" s="1"/>
  <c r="BX8" i="25"/>
  <c r="BU8" i="25" s="1"/>
  <c r="BR8" i="25"/>
  <c r="BW8" i="25" s="1"/>
  <c r="BH8" i="25"/>
  <c r="BF8" i="25"/>
  <c r="AX8" i="25"/>
  <c r="AU8" i="25"/>
  <c r="AT8" i="25"/>
  <c r="AS8" i="25"/>
  <c r="AR8" i="25"/>
  <c r="CM7" i="25"/>
  <c r="CL7" i="25"/>
  <c r="CK7" i="25"/>
  <c r="CJ7" i="25"/>
  <c r="CI7" i="25"/>
  <c r="CH7" i="25"/>
  <c r="CG7" i="25"/>
  <c r="BM7" i="25" s="1"/>
  <c r="CF7" i="25"/>
  <c r="CE7" i="25"/>
  <c r="CD7" i="25"/>
  <c r="CC7" i="25"/>
  <c r="CA7" i="25"/>
  <c r="BZ7" i="25"/>
  <c r="BY7" i="25"/>
  <c r="BS7" i="25" s="1"/>
  <c r="BX7" i="25"/>
  <c r="BU7" i="25" s="1"/>
  <c r="BN7" i="25"/>
  <c r="BH7" i="25"/>
  <c r="BF7" i="25"/>
  <c r="AX7" i="25"/>
  <c r="AU7" i="25"/>
  <c r="AT7" i="25"/>
  <c r="AS7" i="25"/>
  <c r="AR7" i="25"/>
  <c r="Z156" i="89"/>
  <c r="Z158" i="89"/>
  <c r="Z160" i="89"/>
  <c r="Z124" i="89"/>
  <c r="Z127" i="89"/>
  <c r="Z126" i="89"/>
  <c r="C74" i="89"/>
  <c r="C62" i="89"/>
  <c r="C57" i="89"/>
  <c r="C51" i="89"/>
  <c r="D295" i="92"/>
  <c r="D294" i="92"/>
  <c r="D293" i="92"/>
  <c r="E98" i="92"/>
  <c r="D98" i="92"/>
  <c r="AB95" i="92"/>
  <c r="D95" i="92"/>
  <c r="O95" i="92"/>
  <c r="AA95" i="92"/>
  <c r="P95" i="92"/>
  <c r="E295" i="92"/>
  <c r="G294" i="92"/>
  <c r="Y154" i="92"/>
  <c r="E139" i="92"/>
  <c r="E138" i="92"/>
  <c r="E137" i="92"/>
  <c r="E125" i="92"/>
  <c r="E124" i="92"/>
  <c r="E123" i="92"/>
  <c r="AA97" i="92"/>
  <c r="D97" i="92"/>
  <c r="O96" i="92"/>
  <c r="AA94" i="92"/>
  <c r="D94" i="92"/>
  <c r="O93" i="92"/>
  <c r="AA92" i="92"/>
  <c r="D92" i="92"/>
  <c r="C72" i="92"/>
  <c r="I57" i="92"/>
  <c r="I55" i="92"/>
  <c r="G295" i="92"/>
  <c r="F293" i="92"/>
  <c r="X160" i="92"/>
  <c r="J160" i="92"/>
  <c r="Q159" i="92"/>
  <c r="X158" i="92"/>
  <c r="J158" i="92"/>
  <c r="Q157" i="92"/>
  <c r="R154" i="92"/>
  <c r="D139" i="92"/>
  <c r="D138" i="92"/>
  <c r="D137" i="92"/>
  <c r="D125" i="92"/>
  <c r="D124" i="92"/>
  <c r="D123" i="92"/>
  <c r="P97" i="92"/>
  <c r="AB96" i="92"/>
  <c r="E96" i="92"/>
  <c r="P94" i="92"/>
  <c r="AB93" i="92"/>
  <c r="E93" i="92"/>
  <c r="P92" i="92"/>
  <c r="D73" i="92"/>
  <c r="D71" i="92"/>
  <c r="J56" i="92"/>
  <c r="F294" i="92"/>
  <c r="E293" i="92"/>
  <c r="K154" i="92"/>
  <c r="C139" i="92"/>
  <c r="C138" i="92"/>
  <c r="C137" i="92"/>
  <c r="C125" i="92"/>
  <c r="C124" i="92"/>
  <c r="C123" i="92"/>
  <c r="O97" i="92"/>
  <c r="AA96" i="92"/>
  <c r="D96" i="92"/>
  <c r="O94" i="92"/>
  <c r="AA93" i="92"/>
  <c r="D93" i="92"/>
  <c r="O92" i="92"/>
  <c r="C73" i="92"/>
  <c r="C71" i="92"/>
  <c r="I56" i="92"/>
  <c r="F295" i="92"/>
  <c r="E294" i="92"/>
  <c r="G293" i="92"/>
  <c r="Q160" i="92"/>
  <c r="X159" i="92"/>
  <c r="J159" i="92"/>
  <c r="Q158" i="92"/>
  <c r="X157" i="92"/>
  <c r="J157" i="92"/>
  <c r="F139" i="92"/>
  <c r="F138" i="92"/>
  <c r="F137" i="92"/>
  <c r="F125" i="92"/>
  <c r="F124" i="92"/>
  <c r="F123" i="92"/>
  <c r="AB97" i="92"/>
  <c r="E97" i="92"/>
  <c r="P96" i="92"/>
  <c r="AB94" i="92"/>
  <c r="E94" i="92"/>
  <c r="P93" i="92"/>
  <c r="AB92" i="92"/>
  <c r="E92" i="92"/>
  <c r="D72" i="92"/>
  <c r="J57" i="92"/>
  <c r="J55" i="92"/>
  <c r="AA156" i="89"/>
  <c r="H159" i="89"/>
  <c r="AA160" i="89"/>
  <c r="H143" i="89"/>
  <c r="H139" i="89"/>
  <c r="H127" i="89"/>
  <c r="G41" i="89"/>
  <c r="G37" i="89"/>
  <c r="G33" i="89"/>
  <c r="G29" i="89"/>
  <c r="H173" i="89"/>
  <c r="H158" i="89"/>
  <c r="H142" i="89"/>
  <c r="H138" i="89"/>
  <c r="G38" i="89"/>
  <c r="G34" i="89"/>
  <c r="G30" i="89"/>
  <c r="G26" i="89"/>
  <c r="H178" i="89"/>
  <c r="H176" i="89"/>
  <c r="H174" i="89"/>
  <c r="H160" i="89"/>
  <c r="H156" i="89"/>
  <c r="H140" i="89"/>
  <c r="H126" i="89"/>
  <c r="AA127" i="89"/>
  <c r="G40" i="89"/>
  <c r="G36" i="89"/>
  <c r="G32" i="89"/>
  <c r="G28" i="89"/>
  <c r="H177" i="89"/>
  <c r="H175" i="89"/>
  <c r="H124" i="89"/>
  <c r="H128" i="89"/>
  <c r="G42" i="89"/>
  <c r="H161" i="89"/>
  <c r="AA158" i="89"/>
  <c r="H157" i="89"/>
  <c r="H141" i="89"/>
  <c r="H125" i="89"/>
  <c r="AA124" i="89"/>
  <c r="H129" i="89"/>
  <c r="AA126" i="89"/>
  <c r="G43" i="89"/>
  <c r="G39" i="89"/>
  <c r="G35" i="89"/>
  <c r="G31" i="89"/>
  <c r="G27" i="89"/>
  <c r="L7" i="89"/>
  <c r="AU124" i="89"/>
  <c r="AU123" i="89"/>
  <c r="AU126" i="89"/>
  <c r="AU125" i="89"/>
  <c r="AU128" i="89"/>
  <c r="AU127" i="89"/>
  <c r="BI32" i="25" l="1"/>
  <c r="BJ32" i="25" s="1"/>
  <c r="BI57" i="25"/>
  <c r="BJ57" i="25" s="1"/>
  <c r="BM88" i="25"/>
  <c r="BO139" i="25"/>
  <c r="BG195" i="25"/>
  <c r="AV276" i="25"/>
  <c r="AW276" i="25" s="1"/>
  <c r="BI276" i="25"/>
  <c r="BJ276" i="25" s="1"/>
  <c r="BI360" i="25"/>
  <c r="BJ360" i="25" s="1"/>
  <c r="CB365" i="25"/>
  <c r="BO366" i="25"/>
  <c r="BM387" i="25"/>
  <c r="BL387" i="25" s="1"/>
  <c r="BO18" i="25"/>
  <c r="CB32" i="25"/>
  <c r="BI53" i="25"/>
  <c r="BJ53" i="25" s="1"/>
  <c r="BG73" i="25"/>
  <c r="BG85" i="25"/>
  <c r="BM92" i="25"/>
  <c r="BL92" i="25" s="1"/>
  <c r="BM96" i="25"/>
  <c r="BM104" i="25"/>
  <c r="BO120" i="25"/>
  <c r="BI122" i="25"/>
  <c r="BJ122" i="25" s="1"/>
  <c r="BT128" i="25"/>
  <c r="BG129" i="25"/>
  <c r="AV181" i="25"/>
  <c r="AW181" i="25" s="1"/>
  <c r="BM181" i="25"/>
  <c r="BG190" i="25"/>
  <c r="BG200" i="25"/>
  <c r="BG201" i="25"/>
  <c r="BM202" i="25"/>
  <c r="BI258" i="25"/>
  <c r="BJ258" i="25" s="1"/>
  <c r="AV269" i="25"/>
  <c r="AW269" i="25" s="1"/>
  <c r="AV270" i="25"/>
  <c r="AW270" i="25" s="1"/>
  <c r="BI270" i="25"/>
  <c r="BJ270" i="25" s="1"/>
  <c r="CB271" i="25"/>
  <c r="BT275" i="25"/>
  <c r="BG276" i="25"/>
  <c r="BI301" i="25"/>
  <c r="BJ301" i="25" s="1"/>
  <c r="AV335" i="25"/>
  <c r="AW335" i="25" s="1"/>
  <c r="BL359" i="25"/>
  <c r="BT359" i="25"/>
  <c r="BM19" i="25"/>
  <c r="BG20" i="25"/>
  <c r="CB123" i="25"/>
  <c r="AV139" i="25"/>
  <c r="AW139" i="25" s="1"/>
  <c r="BG177" i="25"/>
  <c r="BT178" i="25"/>
  <c r="BG179" i="25"/>
  <c r="BO193" i="25"/>
  <c r="BG194" i="25"/>
  <c r="AV224" i="25"/>
  <c r="BI224" i="25"/>
  <c r="BJ224" i="25" s="1"/>
  <c r="BG271" i="25"/>
  <c r="BG332" i="25"/>
  <c r="BG340" i="25"/>
  <c r="AV340" i="25"/>
  <c r="AW340" i="25" s="1"/>
  <c r="CB340" i="25"/>
  <c r="BL343" i="25"/>
  <c r="BG344" i="25"/>
  <c r="AV344" i="25"/>
  <c r="AW344" i="25" s="1"/>
  <c r="BA344" i="25" s="1"/>
  <c r="BB344" i="25" s="1"/>
  <c r="BI344" i="25"/>
  <c r="BJ344" i="25" s="1"/>
  <c r="CB344" i="25"/>
  <c r="BI345" i="25"/>
  <c r="BJ345" i="25" s="1"/>
  <c r="CB379" i="25"/>
  <c r="BG382" i="25"/>
  <c r="BI60" i="25"/>
  <c r="BJ60" i="25" s="1"/>
  <c r="BL57" i="25"/>
  <c r="BM60" i="25"/>
  <c r="BL60" i="25" s="1"/>
  <c r="BI66" i="25"/>
  <c r="BJ66" i="25" s="1"/>
  <c r="BM85" i="25"/>
  <c r="BL85" i="25" s="1"/>
  <c r="BM102" i="25"/>
  <c r="BL102" i="25" s="1"/>
  <c r="BM129" i="25"/>
  <c r="BM133" i="25"/>
  <c r="BO148" i="25"/>
  <c r="BL159" i="25"/>
  <c r="BM182" i="25"/>
  <c r="BG219" i="25"/>
  <c r="AV237" i="25"/>
  <c r="AW237" i="25" s="1"/>
  <c r="BI237" i="25"/>
  <c r="BJ237" i="25" s="1"/>
  <c r="BM274" i="25"/>
  <c r="AV289" i="25"/>
  <c r="AW289" i="25" s="1"/>
  <c r="BM289" i="25"/>
  <c r="BO304" i="25"/>
  <c r="BM314" i="25"/>
  <c r="BI335" i="25"/>
  <c r="BJ335" i="25" s="1"/>
  <c r="AV378" i="25"/>
  <c r="AW378" i="25" s="1"/>
  <c r="AV379" i="25"/>
  <c r="AW379" i="25" s="1"/>
  <c r="CB9" i="25"/>
  <c r="BG16" i="25"/>
  <c r="BG18" i="25"/>
  <c r="BI46" i="25"/>
  <c r="BJ46" i="25" s="1"/>
  <c r="BI52" i="25"/>
  <c r="BJ52" i="25" s="1"/>
  <c r="BI67" i="25"/>
  <c r="BJ67" i="25" s="1"/>
  <c r="CB71" i="25"/>
  <c r="CB72" i="25"/>
  <c r="BI73" i="25"/>
  <c r="BJ73" i="25" s="1"/>
  <c r="BM99" i="25"/>
  <c r="CB115" i="25"/>
  <c r="BM135" i="25"/>
  <c r="BG150" i="25"/>
  <c r="BG172" i="25"/>
  <c r="AV178" i="25"/>
  <c r="AW178" i="25" s="1"/>
  <c r="BG182" i="25"/>
  <c r="BI188" i="25"/>
  <c r="BJ188" i="25" s="1"/>
  <c r="BG203" i="25"/>
  <c r="BG211" i="25"/>
  <c r="BG218" i="25"/>
  <c r="BM226" i="25"/>
  <c r="BI228" i="25"/>
  <c r="BJ228" i="25" s="1"/>
  <c r="AV239" i="25"/>
  <c r="AW239" i="25" s="1"/>
  <c r="BI239" i="25"/>
  <c r="BJ239" i="25" s="1"/>
  <c r="BO248" i="25"/>
  <c r="BG266" i="25"/>
  <c r="CB295" i="25"/>
  <c r="CB318" i="25"/>
  <c r="BT333" i="25"/>
  <c r="BG334" i="25"/>
  <c r="BG335" i="25"/>
  <c r="BO335" i="25"/>
  <c r="BO338" i="25"/>
  <c r="BM349" i="25"/>
  <c r="BO351" i="25"/>
  <c r="CB356" i="25"/>
  <c r="CB358" i="25"/>
  <c r="BO383" i="25"/>
  <c r="BM384" i="25"/>
  <c r="BM388" i="25"/>
  <c r="BM30" i="25"/>
  <c r="CB13" i="25"/>
  <c r="CB52" i="25"/>
  <c r="AV129" i="25"/>
  <c r="AW129" i="25" s="1"/>
  <c r="BL129" i="25"/>
  <c r="BK129" i="25" s="1"/>
  <c r="BG130" i="25"/>
  <c r="BG158" i="25"/>
  <c r="BG166" i="25"/>
  <c r="BG178" i="25"/>
  <c r="CB180" i="25"/>
  <c r="CB293" i="25"/>
  <c r="BI299" i="25"/>
  <c r="BJ299" i="25" s="1"/>
  <c r="BG300" i="25"/>
  <c r="BI308" i="25"/>
  <c r="BJ308" i="25" s="1"/>
  <c r="AV314" i="25"/>
  <c r="AW314" i="25" s="1"/>
  <c r="BT314" i="25"/>
  <c r="BV314" i="25" s="1"/>
  <c r="BP314" i="25" s="1"/>
  <c r="BQ314" i="25" s="1"/>
  <c r="BG337" i="25"/>
  <c r="CB361" i="25"/>
  <c r="CB370" i="25"/>
  <c r="BG379" i="25"/>
  <c r="BI385" i="25"/>
  <c r="BJ385" i="25" s="1"/>
  <c r="BM8" i="25"/>
  <c r="BO19" i="25"/>
  <c r="BT7" i="25"/>
  <c r="BG8" i="25"/>
  <c r="BO8" i="25"/>
  <c r="BM39" i="25"/>
  <c r="CB47" i="25"/>
  <c r="BM48" i="25"/>
  <c r="BI54" i="25"/>
  <c r="BJ54" i="25" s="1"/>
  <c r="BG59" i="25"/>
  <c r="BI61" i="25"/>
  <c r="BJ61" i="25" s="1"/>
  <c r="BM64" i="25"/>
  <c r="BI68" i="25"/>
  <c r="BJ68" i="25" s="1"/>
  <c r="CB70" i="25"/>
  <c r="BI71" i="25"/>
  <c r="BJ71" i="25" s="1"/>
  <c r="CB80" i="25"/>
  <c r="BM93" i="25"/>
  <c r="CB95" i="25"/>
  <c r="BI96" i="25"/>
  <c r="BJ96" i="25" s="1"/>
  <c r="CB98" i="25"/>
  <c r="BI99" i="25"/>
  <c r="BJ99" i="25" s="1"/>
  <c r="CB100" i="25"/>
  <c r="BI101" i="25"/>
  <c r="BJ101" i="25" s="1"/>
  <c r="CB102" i="25"/>
  <c r="BI105" i="25"/>
  <c r="BJ105" i="25" s="1"/>
  <c r="BL106" i="25"/>
  <c r="BI108" i="25"/>
  <c r="BJ108" i="25" s="1"/>
  <c r="BI134" i="25"/>
  <c r="BJ134" i="25" s="1"/>
  <c r="AV135" i="25"/>
  <c r="AW135" i="25" s="1"/>
  <c r="BL135" i="25"/>
  <c r="BK135" i="25" s="1"/>
  <c r="BG136" i="25"/>
  <c r="BM145" i="25"/>
  <c r="BI145" i="25"/>
  <c r="BJ145" i="25" s="1"/>
  <c r="BO145" i="25"/>
  <c r="BM183" i="25"/>
  <c r="BT183" i="25"/>
  <c r="BI7" i="25"/>
  <c r="BJ7" i="25" s="1"/>
  <c r="CB31" i="25"/>
  <c r="BM49" i="25"/>
  <c r="BX163" i="25"/>
  <c r="BU163" i="25" s="1"/>
  <c r="BY163" i="25"/>
  <c r="BS163" i="25" s="1"/>
  <c r="CC163" i="25"/>
  <c r="BG37" i="25"/>
  <c r="BM44" i="25"/>
  <c r="BM55" i="25"/>
  <c r="BM66" i="25"/>
  <c r="BM79" i="25"/>
  <c r="BL79" i="25" s="1"/>
  <c r="BG81" i="25"/>
  <c r="BM83" i="25"/>
  <c r="BM89" i="25"/>
  <c r="BM111" i="25"/>
  <c r="BM115" i="25"/>
  <c r="BO135" i="25"/>
  <c r="BI146" i="25"/>
  <c r="BJ146" i="25" s="1"/>
  <c r="BM146" i="25"/>
  <c r="BM75" i="25"/>
  <c r="BM140" i="25"/>
  <c r="BO140" i="25"/>
  <c r="BM157" i="25"/>
  <c r="BI157" i="25"/>
  <c r="BJ157" i="25" s="1"/>
  <c r="AV146" i="25"/>
  <c r="AW146" i="25" s="1"/>
  <c r="AV148" i="25"/>
  <c r="AW148" i="25" s="1"/>
  <c r="BO149" i="25"/>
  <c r="AV157" i="25"/>
  <c r="AW157" i="25" s="1"/>
  <c r="CB164" i="25"/>
  <c r="BL164" i="25"/>
  <c r="BM169" i="25"/>
  <c r="BG205" i="25"/>
  <c r="BO206" i="25"/>
  <c r="BO208" i="25"/>
  <c r="CB215" i="25"/>
  <c r="AV215" i="25"/>
  <c r="AW215" i="25" s="1"/>
  <c r="BV217" i="25"/>
  <c r="BP217" i="25" s="1"/>
  <c r="BQ217" i="25" s="1"/>
  <c r="CC221" i="25"/>
  <c r="AV221" i="25"/>
  <c r="AW221" i="25" s="1"/>
  <c r="CB223" i="25"/>
  <c r="BO229" i="25"/>
  <c r="BI255" i="25"/>
  <c r="BJ255" i="25" s="1"/>
  <c r="BM258" i="25"/>
  <c r="BL265" i="25"/>
  <c r="AV277" i="25"/>
  <c r="AW277" i="25" s="1"/>
  <c r="BI277" i="25"/>
  <c r="BJ277" i="25" s="1"/>
  <c r="CB300" i="25"/>
  <c r="BL301" i="25"/>
  <c r="BK301" i="25" s="1"/>
  <c r="AV302" i="25"/>
  <c r="AW302" i="25" s="1"/>
  <c r="BI302" i="25"/>
  <c r="BJ302" i="25" s="1"/>
  <c r="BG308" i="25"/>
  <c r="BM308" i="25"/>
  <c r="BL308" i="25" s="1"/>
  <c r="BK308" i="25" s="1"/>
  <c r="AV310" i="25"/>
  <c r="AW310" i="25" s="1"/>
  <c r="BI310" i="25"/>
  <c r="BJ310" i="25" s="1"/>
  <c r="BO313" i="25"/>
  <c r="AV327" i="25"/>
  <c r="AW327" i="25" s="1"/>
  <c r="BA327" i="25" s="1"/>
  <c r="BB327" i="25" s="1"/>
  <c r="AV332" i="25"/>
  <c r="AW332" i="25" s="1"/>
  <c r="BI332" i="25"/>
  <c r="BJ332" i="25" s="1"/>
  <c r="BM336" i="25"/>
  <c r="BG354" i="25"/>
  <c r="BM360" i="25"/>
  <c r="BM363" i="25"/>
  <c r="BO368" i="25"/>
  <c r="BI373" i="25"/>
  <c r="BJ373" i="25" s="1"/>
  <c r="AV141" i="25"/>
  <c r="AW141" i="25" s="1"/>
  <c r="AV145" i="25"/>
  <c r="AW145" i="25" s="1"/>
  <c r="CB146" i="25"/>
  <c r="BI149" i="25"/>
  <c r="BJ149" i="25" s="1"/>
  <c r="BL156" i="25"/>
  <c r="AV163" i="25"/>
  <c r="AW163" i="25" s="1"/>
  <c r="BL168" i="25"/>
  <c r="BM174" i="25"/>
  <c r="BG181" i="25"/>
  <c r="BO181" i="25"/>
  <c r="BG183" i="25"/>
  <c r="CB183" i="25"/>
  <c r="CB185" i="25"/>
  <c r="AV186" i="25"/>
  <c r="AW186" i="25" s="1"/>
  <c r="BM186" i="25"/>
  <c r="BM190" i="25"/>
  <c r="BI193" i="25"/>
  <c r="BJ193" i="25" s="1"/>
  <c r="BI196" i="25"/>
  <c r="BJ196" i="25" s="1"/>
  <c r="BO204" i="25"/>
  <c r="BL207" i="25"/>
  <c r="BK207" i="25" s="1"/>
  <c r="BL209" i="25"/>
  <c r="BK209" i="25" s="1"/>
  <c r="BO210" i="25"/>
  <c r="CB213" i="25"/>
  <c r="CB217" i="25"/>
  <c r="BL219" i="25"/>
  <c r="BK219" i="25" s="1"/>
  <c r="BO220" i="25"/>
  <c r="BO224" i="25"/>
  <c r="AV225" i="25"/>
  <c r="BM225" i="25"/>
  <c r="BL225" i="25" s="1"/>
  <c r="BK225" i="25" s="1"/>
  <c r="CB225" i="25"/>
  <c r="BO240" i="25"/>
  <c r="CB250" i="25"/>
  <c r="CB251" i="25"/>
  <c r="CB259" i="25"/>
  <c r="CB260" i="25"/>
  <c r="BG261" i="25"/>
  <c r="AV274" i="25"/>
  <c r="AW274" i="25" s="1"/>
  <c r="BI274" i="25"/>
  <c r="BJ274" i="25" s="1"/>
  <c r="CB282" i="25"/>
  <c r="BL289" i="25"/>
  <c r="BT289" i="25"/>
  <c r="AV290" i="25"/>
  <c r="AW290" i="25" s="1"/>
  <c r="BI290" i="25"/>
  <c r="BJ290" i="25" s="1"/>
  <c r="AV307" i="25"/>
  <c r="AW307" i="25" s="1"/>
  <c r="BI307" i="25"/>
  <c r="BJ307" i="25" s="1"/>
  <c r="BM309" i="25"/>
  <c r="CB310" i="25"/>
  <c r="BG312" i="25"/>
  <c r="BM316" i="25"/>
  <c r="BT322" i="25"/>
  <c r="BG323" i="25"/>
  <c r="BG331" i="25"/>
  <c r="BG336" i="25"/>
  <c r="AV338" i="25"/>
  <c r="AW338" i="25" s="1"/>
  <c r="BG339" i="25"/>
  <c r="BO339" i="25"/>
  <c r="BM348" i="25"/>
  <c r="CB355" i="25"/>
  <c r="AV358" i="25"/>
  <c r="AW358" i="25" s="1"/>
  <c r="CB363" i="25"/>
  <c r="BG375" i="25"/>
  <c r="BM378" i="25"/>
  <c r="BM385" i="25"/>
  <c r="CB143" i="25"/>
  <c r="CB144" i="25"/>
  <c r="BG146" i="25"/>
  <c r="CB157" i="25"/>
  <c r="BG184" i="25"/>
  <c r="BO184" i="25"/>
  <c r="CB197" i="25"/>
  <c r="AV198" i="25"/>
  <c r="AW198" i="25" s="1"/>
  <c r="BI198" i="25"/>
  <c r="BJ198" i="25" s="1"/>
  <c r="CB204" i="25"/>
  <c r="AV235" i="25"/>
  <c r="AW235" i="25" s="1"/>
  <c r="BI235" i="25"/>
  <c r="BJ235" i="25" s="1"/>
  <c r="BV235" i="25"/>
  <c r="BP235" i="25" s="1"/>
  <c r="BQ235" i="25" s="1"/>
  <c r="BO239" i="25"/>
  <c r="CB239" i="25"/>
  <c r="AV240" i="25"/>
  <c r="AW240" i="25" s="1"/>
  <c r="BI240" i="25"/>
  <c r="BJ240" i="25" s="1"/>
  <c r="BG241" i="25"/>
  <c r="BM249" i="25"/>
  <c r="CB249" i="25"/>
  <c r="CB262" i="25"/>
  <c r="CB266" i="25"/>
  <c r="BI267" i="25"/>
  <c r="BJ267" i="25" s="1"/>
  <c r="CB283" i="25"/>
  <c r="CB285" i="25"/>
  <c r="CB290" i="25"/>
  <c r="BM307" i="25"/>
  <c r="CB307" i="25"/>
  <c r="BG316" i="25"/>
  <c r="BO332" i="25"/>
  <c r="BG333" i="25"/>
  <c r="BT336" i="25"/>
  <c r="CB353" i="25"/>
  <c r="AV360" i="25"/>
  <c r="AW360" i="25" s="1"/>
  <c r="BT360" i="25"/>
  <c r="BG361" i="25"/>
  <c r="BT375" i="25"/>
  <c r="BG376" i="25"/>
  <c r="BO376" i="25"/>
  <c r="BM386" i="25"/>
  <c r="BV25" i="25"/>
  <c r="BP25" i="25" s="1"/>
  <c r="BQ25" i="25" s="1"/>
  <c r="BG26" i="25"/>
  <c r="BL30" i="25"/>
  <c r="BG31" i="25"/>
  <c r="BG43" i="25"/>
  <c r="BM51" i="25"/>
  <c r="BL51" i="25" s="1"/>
  <c r="BM67" i="25"/>
  <c r="BG70" i="25"/>
  <c r="BI72" i="25"/>
  <c r="BJ72" i="25" s="1"/>
  <c r="BV120" i="25"/>
  <c r="BP120" i="25" s="1"/>
  <c r="BQ120" i="25" s="1"/>
  <c r="BO7" i="25"/>
  <c r="AV8" i="25"/>
  <c r="AW8" i="25" s="1"/>
  <c r="BL8" i="25"/>
  <c r="BK8" i="25" s="1"/>
  <c r="BT8" i="25"/>
  <c r="BG9" i="25"/>
  <c r="BV9" i="25"/>
  <c r="BP9" i="25" s="1"/>
  <c r="BQ9" i="25" s="1"/>
  <c r="BG22" i="25"/>
  <c r="BG28" i="25"/>
  <c r="BG29" i="25"/>
  <c r="BM38" i="25"/>
  <c r="CB40" i="25"/>
  <c r="BM41" i="25"/>
  <c r="BM45" i="25"/>
  <c r="BG48" i="25"/>
  <c r="BM54" i="25"/>
  <c r="CB58" i="25"/>
  <c r="BI59" i="25"/>
  <c r="BJ59" i="25" s="1"/>
  <c r="BM61" i="25"/>
  <c r="BL61" i="25" s="1"/>
  <c r="BG71" i="25"/>
  <c r="CB15" i="25"/>
  <c r="BG17" i="25"/>
  <c r="BV19" i="25"/>
  <c r="BP19" i="25" s="1"/>
  <c r="BQ19" i="25" s="1"/>
  <c r="BM24" i="25"/>
  <c r="BL24" i="25" s="1"/>
  <c r="CB30" i="25"/>
  <c r="BL33" i="25"/>
  <c r="BV36" i="25"/>
  <c r="BP36" i="25" s="1"/>
  <c r="BQ36" i="25" s="1"/>
  <c r="CB38" i="25"/>
  <c r="BI39" i="25"/>
  <c r="BJ39" i="25" s="1"/>
  <c r="CB42" i="25"/>
  <c r="CB45" i="25"/>
  <c r="BV50" i="25"/>
  <c r="BP50" i="25" s="1"/>
  <c r="BQ50" i="25" s="1"/>
  <c r="BL52" i="25"/>
  <c r="BM62" i="25"/>
  <c r="BL62" i="25" s="1"/>
  <c r="BL66" i="25"/>
  <c r="BM68" i="25"/>
  <c r="BL68" i="25" s="1"/>
  <c r="CB69" i="25"/>
  <c r="BI70" i="25"/>
  <c r="BJ70" i="25" s="1"/>
  <c r="BG72" i="25"/>
  <c r="BG83" i="25"/>
  <c r="BM90" i="25"/>
  <c r="BL90" i="25" s="1"/>
  <c r="BL96" i="25"/>
  <c r="BO113" i="25"/>
  <c r="AV114" i="25"/>
  <c r="AW114" i="25" s="1"/>
  <c r="BO114" i="25"/>
  <c r="BL118" i="25"/>
  <c r="BK118" i="25" s="1"/>
  <c r="BI120" i="25"/>
  <c r="BJ120" i="25" s="1"/>
  <c r="BI132" i="25"/>
  <c r="BJ132" i="25" s="1"/>
  <c r="BO134" i="25"/>
  <c r="BO136" i="25"/>
  <c r="BI139" i="25"/>
  <c r="BJ139" i="25" s="1"/>
  <c r="BI140" i="25"/>
  <c r="BJ140" i="25" s="1"/>
  <c r="BO147" i="25"/>
  <c r="CB147" i="25"/>
  <c r="BI148" i="25"/>
  <c r="BJ148" i="25" s="1"/>
  <c r="AV149" i="25"/>
  <c r="AW149" i="25" s="1"/>
  <c r="BA149" i="25" s="1"/>
  <c r="BB149" i="25" s="1"/>
  <c r="BM149" i="25"/>
  <c r="BM152" i="25"/>
  <c r="BL152" i="25" s="1"/>
  <c r="CB152" i="25"/>
  <c r="AV153" i="25"/>
  <c r="AW153" i="25" s="1"/>
  <c r="BA153" i="25" s="1"/>
  <c r="BB153" i="25" s="1"/>
  <c r="BI153" i="25"/>
  <c r="BJ153" i="25" s="1"/>
  <c r="BI154" i="25"/>
  <c r="BJ154" i="25" s="1"/>
  <c r="BY167" i="25"/>
  <c r="BS167" i="25" s="1"/>
  <c r="BG170" i="25"/>
  <c r="BL177" i="25"/>
  <c r="BG180" i="25"/>
  <c r="BO182" i="25"/>
  <c r="BO188" i="25"/>
  <c r="BG189" i="25"/>
  <c r="BG192" i="25"/>
  <c r="BO196" i="25"/>
  <c r="BG197" i="25"/>
  <c r="BO197" i="25"/>
  <c r="BG198" i="25"/>
  <c r="BL199" i="25"/>
  <c r="BK199" i="25" s="1"/>
  <c r="BG207" i="25"/>
  <c r="BG210" i="25"/>
  <c r="CB210" i="25"/>
  <c r="BL211" i="25"/>
  <c r="BK211" i="25" s="1"/>
  <c r="BG220" i="25"/>
  <c r="CB220" i="25"/>
  <c r="BX221" i="25"/>
  <c r="BU221" i="25" s="1"/>
  <c r="CB228" i="25"/>
  <c r="BM229" i="25"/>
  <c r="BL229" i="25" s="1"/>
  <c r="BK229" i="25" s="1"/>
  <c r="CB229" i="25"/>
  <c r="BM239" i="25"/>
  <c r="BI254" i="25"/>
  <c r="BJ254" i="25" s="1"/>
  <c r="BL73" i="25"/>
  <c r="BM78" i="25"/>
  <c r="CB84" i="25"/>
  <c r="BI85" i="25"/>
  <c r="BJ85" i="25" s="1"/>
  <c r="BM87" i="25"/>
  <c r="BL87" i="25" s="1"/>
  <c r="BM91" i="25"/>
  <c r="BL91" i="25" s="1"/>
  <c r="BG96" i="25"/>
  <c r="CB109" i="25"/>
  <c r="BO112" i="25"/>
  <c r="BI113" i="25"/>
  <c r="BJ113" i="25" s="1"/>
  <c r="BI114" i="25"/>
  <c r="BJ114" i="25" s="1"/>
  <c r="BI115" i="25"/>
  <c r="BJ115" i="25" s="1"/>
  <c r="BO118" i="25"/>
  <c r="AV119" i="25"/>
  <c r="AW119" i="25" s="1"/>
  <c r="BT119" i="25"/>
  <c r="BM120" i="25"/>
  <c r="CB121" i="25"/>
  <c r="BO129" i="25"/>
  <c r="AV130" i="25"/>
  <c r="AW130" i="25" s="1"/>
  <c r="BG131" i="25"/>
  <c r="BG140" i="25"/>
  <c r="BG141" i="25"/>
  <c r="CB148" i="25"/>
  <c r="BL149" i="25"/>
  <c r="BK149" i="25" s="1"/>
  <c r="BM150" i="25"/>
  <c r="BL150" i="25" s="1"/>
  <c r="BK150" i="25" s="1"/>
  <c r="BI156" i="25"/>
  <c r="BJ156" i="25" s="1"/>
  <c r="BM158" i="25"/>
  <c r="BL158" i="25" s="1"/>
  <c r="BK158" i="25" s="1"/>
  <c r="BI159" i="25"/>
  <c r="BJ159" i="25" s="1"/>
  <c r="AV161" i="25"/>
  <c r="AW161" i="25" s="1"/>
  <c r="BM161" i="25"/>
  <c r="CB161" i="25"/>
  <c r="BG163" i="25"/>
  <c r="AZ163" i="25"/>
  <c r="BC163" i="25" s="1"/>
  <c r="BD163" i="25" s="1"/>
  <c r="AV165" i="25"/>
  <c r="AW165" i="25" s="1"/>
  <c r="BA165" i="25" s="1"/>
  <c r="BB165" i="25" s="1"/>
  <c r="BY168" i="25"/>
  <c r="BS168" i="25" s="1"/>
  <c r="CB176" i="25"/>
  <c r="CB186" i="25"/>
  <c r="CB189" i="25"/>
  <c r="CB194" i="25"/>
  <c r="BO198" i="25"/>
  <c r="BG199" i="25"/>
  <c r="BV202" i="25"/>
  <c r="BP202" i="25" s="1"/>
  <c r="BQ202" i="25" s="1"/>
  <c r="BG209" i="25"/>
  <c r="AV216" i="25"/>
  <c r="AW216" i="25" s="1"/>
  <c r="BI216" i="25"/>
  <c r="BJ216" i="25" s="1"/>
  <c r="BM217" i="25"/>
  <c r="BM222" i="25"/>
  <c r="BL222" i="25" s="1"/>
  <c r="AV223" i="25"/>
  <c r="AZ223" i="25" s="1"/>
  <c r="BC223" i="25" s="1"/>
  <c r="BD223" i="25" s="1"/>
  <c r="BI223" i="25"/>
  <c r="BJ223" i="25" s="1"/>
  <c r="BG224" i="25"/>
  <c r="AZ224" i="25"/>
  <c r="BC224" i="25" s="1"/>
  <c r="BD224" i="25" s="1"/>
  <c r="BV230" i="25"/>
  <c r="BP230" i="25" s="1"/>
  <c r="BQ230" i="25" s="1"/>
  <c r="BG237" i="25"/>
  <c r="BG240" i="25"/>
  <c r="BO241" i="25"/>
  <c r="CB243" i="25"/>
  <c r="AV244" i="25"/>
  <c r="AW244" i="25" s="1"/>
  <c r="BI244" i="25"/>
  <c r="BJ244" i="25" s="1"/>
  <c r="BO245" i="25"/>
  <c r="BM248" i="25"/>
  <c r="BX250" i="25"/>
  <c r="BU250" i="25" s="1"/>
  <c r="BM254" i="25"/>
  <c r="BO287" i="25"/>
  <c r="BT287" i="25"/>
  <c r="CB82" i="25"/>
  <c r="BI83" i="25"/>
  <c r="BJ83" i="25" s="1"/>
  <c r="CB97" i="25"/>
  <c r="CB103" i="25"/>
  <c r="BI104" i="25"/>
  <c r="BJ104" i="25" s="1"/>
  <c r="BM113" i="25"/>
  <c r="BG114" i="25"/>
  <c r="BM114" i="25"/>
  <c r="BG121" i="25"/>
  <c r="BG135" i="25"/>
  <c r="AV136" i="25"/>
  <c r="AW136" i="25" s="1"/>
  <c r="BT136" i="25"/>
  <c r="BG137" i="25"/>
  <c r="BG149" i="25"/>
  <c r="CB154" i="25"/>
  <c r="BG161" i="25"/>
  <c r="BG167" i="25"/>
  <c r="BT186" i="25"/>
  <c r="BG187" i="25"/>
  <c r="CB191" i="25"/>
  <c r="BI194" i="25"/>
  <c r="BJ194" i="25" s="1"/>
  <c r="CB200" i="25"/>
  <c r="BG202" i="25"/>
  <c r="CB202" i="25"/>
  <c r="BG204" i="25"/>
  <c r="BL205" i="25"/>
  <c r="BK205" i="25" s="1"/>
  <c r="BA215" i="25"/>
  <c r="BB215" i="25" s="1"/>
  <c r="BX265" i="25"/>
  <c r="BU265" i="25" s="1"/>
  <c r="BY265" i="25"/>
  <c r="BS265" i="25" s="1"/>
  <c r="AV271" i="25"/>
  <c r="BT278" i="25"/>
  <c r="BM278" i="25"/>
  <c r="BO278" i="25"/>
  <c r="BI278" i="25"/>
  <c r="BJ278" i="25" s="1"/>
  <c r="BT279" i="25"/>
  <c r="BI279" i="25"/>
  <c r="BJ279" i="25" s="1"/>
  <c r="AV279" i="25"/>
  <c r="AW279" i="25" s="1"/>
  <c r="BA279" i="25" s="1"/>
  <c r="BB279" i="25" s="1"/>
  <c r="BO279" i="25"/>
  <c r="AV287" i="25"/>
  <c r="AW287" i="25" s="1"/>
  <c r="BM287" i="25"/>
  <c r="CB168" i="25"/>
  <c r="CB175" i="25"/>
  <c r="BV220" i="25"/>
  <c r="BP220" i="25" s="1"/>
  <c r="BQ220" i="25" s="1"/>
  <c r="CB224" i="25"/>
  <c r="BO236" i="25"/>
  <c r="BO244" i="25"/>
  <c r="BO260" i="25"/>
  <c r="BM260" i="25"/>
  <c r="BX269" i="25"/>
  <c r="BU269" i="25" s="1"/>
  <c r="BY269" i="25"/>
  <c r="BS269" i="25" s="1"/>
  <c r="BM269" i="25"/>
  <c r="BL269" i="25" s="1"/>
  <c r="BL278" i="25"/>
  <c r="BK278" i="25" s="1"/>
  <c r="BV317" i="25"/>
  <c r="BP317" i="25" s="1"/>
  <c r="BQ317" i="25" s="1"/>
  <c r="BL264" i="25"/>
  <c r="BK264" i="25" s="1"/>
  <c r="AV278" i="25"/>
  <c r="AW278" i="25" s="1"/>
  <c r="BM290" i="25"/>
  <c r="AV300" i="25"/>
  <c r="CB301" i="25"/>
  <c r="BO316" i="25"/>
  <c r="BO317" i="25"/>
  <c r="BO324" i="25"/>
  <c r="AV331" i="25"/>
  <c r="AW331" i="25" s="1"/>
  <c r="BA331" i="25" s="1"/>
  <c r="BB331" i="25" s="1"/>
  <c r="BM337" i="25"/>
  <c r="BL337" i="25" s="1"/>
  <c r="BK337" i="25" s="1"/>
  <c r="BG351" i="25"/>
  <c r="AV372" i="25"/>
  <c r="AW372" i="25" s="1"/>
  <c r="BO379" i="25"/>
  <c r="CB385" i="25"/>
  <c r="BI386" i="25"/>
  <c r="BJ386" i="25" s="1"/>
  <c r="BG387" i="25"/>
  <c r="AV273" i="25"/>
  <c r="AW273" i="25" s="1"/>
  <c r="BI273" i="25"/>
  <c r="BJ273" i="25" s="1"/>
  <c r="BM291" i="25"/>
  <c r="CB299" i="25"/>
  <c r="BO303" i="25"/>
  <c r="AV305" i="25"/>
  <c r="AW305" i="25" s="1"/>
  <c r="BI305" i="25"/>
  <c r="BJ305" i="25" s="1"/>
  <c r="AV316" i="25"/>
  <c r="AW316" i="25" s="1"/>
  <c r="AV317" i="25"/>
  <c r="AW317" i="25" s="1"/>
  <c r="BI317" i="25"/>
  <c r="BJ317" i="25" s="1"/>
  <c r="BO322" i="25"/>
  <c r="AV323" i="25"/>
  <c r="AW323" i="25" s="1"/>
  <c r="BI325" i="25"/>
  <c r="BJ325" i="25" s="1"/>
  <c r="BT326" i="25"/>
  <c r="BG327" i="25"/>
  <c r="AV334" i="25"/>
  <c r="AW334" i="25" s="1"/>
  <c r="BA334" i="25" s="1"/>
  <c r="BB334" i="25" s="1"/>
  <c r="BI338" i="25"/>
  <c r="BJ338" i="25" s="1"/>
  <c r="AV339" i="25"/>
  <c r="BV343" i="25"/>
  <c r="BP343" i="25" s="1"/>
  <c r="BQ343" i="25" s="1"/>
  <c r="BT345" i="25"/>
  <c r="BG346" i="25"/>
  <c r="AV346" i="25"/>
  <c r="AW346" i="25" s="1"/>
  <c r="BI346" i="25"/>
  <c r="BJ346" i="25" s="1"/>
  <c r="CB346" i="25"/>
  <c r="AV347" i="25"/>
  <c r="AW347" i="25" s="1"/>
  <c r="BT348" i="25"/>
  <c r="BG349" i="25"/>
  <c r="AV349" i="25"/>
  <c r="AW349" i="25" s="1"/>
  <c r="BA349" i="25" s="1"/>
  <c r="BB349" i="25" s="1"/>
  <c r="BI349" i="25"/>
  <c r="BJ349" i="25" s="1"/>
  <c r="BT349" i="25"/>
  <c r="BG350" i="25"/>
  <c r="BG353" i="25"/>
  <c r="CB360" i="25"/>
  <c r="AV361" i="25"/>
  <c r="AW361" i="25" s="1"/>
  <c r="BI361" i="25"/>
  <c r="BJ361" i="25" s="1"/>
  <c r="BM362" i="25"/>
  <c r="BL362" i="25" s="1"/>
  <c r="BG364" i="25"/>
  <c r="BT366" i="25"/>
  <c r="CB366" i="25"/>
  <c r="CB367" i="25"/>
  <c r="BI370" i="25"/>
  <c r="BJ370" i="25" s="1"/>
  <c r="BG371" i="25"/>
  <c r="BO372" i="25"/>
  <c r="BO375" i="25"/>
  <c r="BL376" i="25"/>
  <c r="BK376" i="25" s="1"/>
  <c r="BT376" i="25"/>
  <c r="BG377" i="25"/>
  <c r="BI379" i="25"/>
  <c r="BJ379" i="25" s="1"/>
  <c r="BO382" i="25"/>
  <c r="CB389" i="25"/>
  <c r="CB247" i="25"/>
  <c r="AV248" i="25"/>
  <c r="AW248" i="25" s="1"/>
  <c r="BG251" i="25"/>
  <c r="BL261" i="25"/>
  <c r="BG263" i="25"/>
  <c r="BO274" i="25"/>
  <c r="BO275" i="25"/>
  <c r="BO276" i="25"/>
  <c r="BG279" i="25"/>
  <c r="CB281" i="25"/>
  <c r="BO286" i="25"/>
  <c r="BL287" i="25"/>
  <c r="BG288" i="25"/>
  <c r="AV288" i="25"/>
  <c r="BM288" i="25"/>
  <c r="CB294" i="25"/>
  <c r="BM295" i="25"/>
  <c r="CB297" i="25"/>
  <c r="BM298" i="25"/>
  <c r="CB298" i="25"/>
  <c r="AZ305" i="25"/>
  <c r="BC305" i="25" s="1"/>
  <c r="BD305" i="25" s="1"/>
  <c r="BM310" i="25"/>
  <c r="BI316" i="25"/>
  <c r="BJ316" i="25" s="1"/>
  <c r="BG317" i="25"/>
  <c r="BM317" i="25"/>
  <c r="BL317" i="25" s="1"/>
  <c r="BK317" i="25" s="1"/>
  <c r="BG318" i="25"/>
  <c r="CB321" i="25"/>
  <c r="AV322" i="25"/>
  <c r="AW322" i="25" s="1"/>
  <c r="CB322" i="25"/>
  <c r="CB323" i="25"/>
  <c r="BI324" i="25"/>
  <c r="BJ324" i="25" s="1"/>
  <c r="BT324" i="25"/>
  <c r="BG325" i="25"/>
  <c r="AV333" i="25"/>
  <c r="AW333" i="25" s="1"/>
  <c r="CB336" i="25"/>
  <c r="AV337" i="25"/>
  <c r="AW337" i="25" s="1"/>
  <c r="BM338" i="25"/>
  <c r="BL338" i="25" s="1"/>
  <c r="BK338" i="25" s="1"/>
  <c r="BI339" i="25"/>
  <c r="BJ339" i="25" s="1"/>
  <c r="BG352" i="25"/>
  <c r="AV357" i="25"/>
  <c r="AW357" i="25" s="1"/>
  <c r="BA357" i="25" s="1"/>
  <c r="BB357" i="25" s="1"/>
  <c r="CB362" i="25"/>
  <c r="BG372" i="25"/>
  <c r="CB372" i="25"/>
  <c r="CB374" i="25"/>
  <c r="BI375" i="25"/>
  <c r="BJ375" i="25" s="1"/>
  <c r="BM379" i="25"/>
  <c r="BG380" i="25"/>
  <c r="BG381" i="25"/>
  <c r="BI383" i="25"/>
  <c r="BJ383" i="25" s="1"/>
  <c r="CB384" i="25"/>
  <c r="BV111" i="25"/>
  <c r="BP111" i="25" s="1"/>
  <c r="BQ111" i="25" s="1"/>
  <c r="BM11" i="25"/>
  <c r="BG7" i="25"/>
  <c r="BO10" i="25"/>
  <c r="AV11" i="25"/>
  <c r="AW11" i="25" s="1"/>
  <c r="BL11" i="25"/>
  <c r="BK11" i="25" s="1"/>
  <c r="BO11" i="25"/>
  <c r="BO12" i="25"/>
  <c r="CB14" i="25"/>
  <c r="BM17" i="25"/>
  <c r="BL17" i="25" s="1"/>
  <c r="BK17" i="25" s="1"/>
  <c r="BO20" i="25"/>
  <c r="BG21" i="25"/>
  <c r="BO22" i="25"/>
  <c r="CB24" i="25"/>
  <c r="BL26" i="25"/>
  <c r="BG27" i="25"/>
  <c r="CB33" i="25"/>
  <c r="CB35" i="25"/>
  <c r="BI36" i="25"/>
  <c r="BJ36" i="25" s="1"/>
  <c r="BV38" i="25"/>
  <c r="BP38" i="25" s="1"/>
  <c r="BQ38" i="25" s="1"/>
  <c r="CB39" i="25"/>
  <c r="BI40" i="25"/>
  <c r="BJ40" i="25" s="1"/>
  <c r="BG42" i="25"/>
  <c r="CB44" i="25"/>
  <c r="BI45" i="25"/>
  <c r="BJ45" i="25" s="1"/>
  <c r="CB46" i="25"/>
  <c r="BM47" i="25"/>
  <c r="BG49" i="25"/>
  <c r="BG50" i="25"/>
  <c r="BL53" i="25"/>
  <c r="BG54" i="25"/>
  <c r="CB54" i="25"/>
  <c r="BG57" i="25"/>
  <c r="CB59" i="25"/>
  <c r="BG61" i="25"/>
  <c r="CB61" i="25"/>
  <c r="BI63" i="25"/>
  <c r="BJ63" i="25" s="1"/>
  <c r="BI64" i="25"/>
  <c r="BJ64" i="25" s="1"/>
  <c r="CB65" i="25"/>
  <c r="BG67" i="25"/>
  <c r="CB67" i="25"/>
  <c r="BG69" i="25"/>
  <c r="BM70" i="25"/>
  <c r="BL70" i="25" s="1"/>
  <c r="BM72" i="25"/>
  <c r="BL72" i="25" s="1"/>
  <c r="BM74" i="25"/>
  <c r="BL74" i="25" s="1"/>
  <c r="CB74" i="25"/>
  <c r="BI75" i="25"/>
  <c r="BJ75" i="25" s="1"/>
  <c r="CB76" i="25"/>
  <c r="AV77" i="25"/>
  <c r="AW77" i="25" s="1"/>
  <c r="BG78" i="25"/>
  <c r="BG80" i="25"/>
  <c r="CB81" i="25"/>
  <c r="BM84" i="25"/>
  <c r="BM86" i="25"/>
  <c r="BL86" i="25" s="1"/>
  <c r="CB87" i="25"/>
  <c r="BI88" i="25"/>
  <c r="BJ88" i="25" s="1"/>
  <c r="CB89" i="25"/>
  <c r="BI90" i="25"/>
  <c r="BJ90" i="25" s="1"/>
  <c r="BG93" i="25"/>
  <c r="BM95" i="25"/>
  <c r="BM97" i="25"/>
  <c r="BL97" i="25" s="1"/>
  <c r="AV98" i="25"/>
  <c r="AW98" i="25" s="1"/>
  <c r="BG99" i="25"/>
  <c r="BG101" i="25"/>
  <c r="BG103" i="25"/>
  <c r="AV103" i="25"/>
  <c r="AW103" i="25" s="1"/>
  <c r="BG104" i="25"/>
  <c r="CB108" i="25"/>
  <c r="AV109" i="25"/>
  <c r="AW109" i="25" s="1"/>
  <c r="BA109" i="25" s="1"/>
  <c r="BB109" i="25" s="1"/>
  <c r="BE109" i="25" s="1"/>
  <c r="BG110" i="25"/>
  <c r="BM110" i="25"/>
  <c r="BL110" i="25" s="1"/>
  <c r="BG111" i="25"/>
  <c r="BG112" i="25"/>
  <c r="BV112" i="25"/>
  <c r="BP112" i="25" s="1"/>
  <c r="BQ112" i="25" s="1"/>
  <c r="BV114" i="25"/>
  <c r="BP114" i="25" s="1"/>
  <c r="BQ114" i="25" s="1"/>
  <c r="BT115" i="25"/>
  <c r="CB116" i="25"/>
  <c r="BI117" i="25"/>
  <c r="BJ117" i="25" s="1"/>
  <c r="CB117" i="25"/>
  <c r="BI118" i="25"/>
  <c r="BJ118" i="25" s="1"/>
  <c r="BG119" i="25"/>
  <c r="AV123" i="25"/>
  <c r="AW123" i="25" s="1"/>
  <c r="BT123" i="25"/>
  <c r="BM124" i="25"/>
  <c r="BT124" i="25"/>
  <c r="BV124" i="25" s="1"/>
  <c r="BP124" i="25" s="1"/>
  <c r="BQ124" i="25" s="1"/>
  <c r="BG127" i="25"/>
  <c r="BI10" i="25"/>
  <c r="BJ10" i="25" s="1"/>
  <c r="BI11" i="25"/>
  <c r="BJ11" i="25" s="1"/>
  <c r="BI12" i="25"/>
  <c r="BJ12" i="25" s="1"/>
  <c r="BM13" i="25"/>
  <c r="AV80" i="25"/>
  <c r="AW80" i="25" s="1"/>
  <c r="BA114" i="25"/>
  <c r="BB114" i="25" s="1"/>
  <c r="AV115" i="25"/>
  <c r="BG116" i="25"/>
  <c r="AV116" i="25"/>
  <c r="AW116" i="25" s="1"/>
  <c r="BA116" i="25" s="1"/>
  <c r="BB116" i="25" s="1"/>
  <c r="BI116" i="25"/>
  <c r="BJ116" i="25" s="1"/>
  <c r="BM117" i="25"/>
  <c r="BG118" i="25"/>
  <c r="BV119" i="25"/>
  <c r="BP119" i="25" s="1"/>
  <c r="BQ119" i="25" s="1"/>
  <c r="CB119" i="25"/>
  <c r="BT126" i="25"/>
  <c r="BV126" i="25" s="1"/>
  <c r="BP126" i="25" s="1"/>
  <c r="BQ126" i="25" s="1"/>
  <c r="BI126" i="25"/>
  <c r="BJ126" i="25" s="1"/>
  <c r="AV7" i="25"/>
  <c r="AW7" i="25" s="1"/>
  <c r="BG11" i="25"/>
  <c r="BG12" i="25"/>
  <c r="BI17" i="25"/>
  <c r="BJ17" i="25" s="1"/>
  <c r="BG19" i="25"/>
  <c r="BG24" i="25"/>
  <c r="BM27" i="25"/>
  <c r="BL27" i="25" s="1"/>
  <c r="CB37" i="25"/>
  <c r="BI38" i="25"/>
  <c r="BJ38" i="25" s="1"/>
  <c r="CB41" i="25"/>
  <c r="BM42" i="25"/>
  <c r="BL43" i="25"/>
  <c r="BG44" i="25"/>
  <c r="BL44" i="25"/>
  <c r="BV45" i="25"/>
  <c r="BP45" i="25" s="1"/>
  <c r="BQ45" i="25" s="1"/>
  <c r="BG47" i="25"/>
  <c r="CB48" i="25"/>
  <c r="BL49" i="25"/>
  <c r="CB49" i="25"/>
  <c r="BM50" i="25"/>
  <c r="BL50" i="25" s="1"/>
  <c r="CB53" i="25"/>
  <c r="BG55" i="25"/>
  <c r="CB55" i="25"/>
  <c r="CB56" i="25"/>
  <c r="BG60" i="25"/>
  <c r="CB60" i="25"/>
  <c r="BG62" i="25"/>
  <c r="BG66" i="25"/>
  <c r="CB66" i="25"/>
  <c r="BG68" i="25"/>
  <c r="CB68" i="25"/>
  <c r="BI69" i="25"/>
  <c r="BJ69" i="25" s="1"/>
  <c r="BM71" i="25"/>
  <c r="BL71" i="25" s="1"/>
  <c r="BG75" i="25"/>
  <c r="BG77" i="25"/>
  <c r="CB77" i="25"/>
  <c r="BI78" i="25"/>
  <c r="BJ78" i="25" s="1"/>
  <c r="CB79" i="25"/>
  <c r="AV81" i="25"/>
  <c r="AW81" i="25" s="1"/>
  <c r="BG82" i="25"/>
  <c r="BG88" i="25"/>
  <c r="BG90" i="25"/>
  <c r="CB92" i="25"/>
  <c r="BI93" i="25"/>
  <c r="BJ93" i="25" s="1"/>
  <c r="BG109" i="25"/>
  <c r="AV111" i="25"/>
  <c r="AW111" i="25" s="1"/>
  <c r="BL111" i="25"/>
  <c r="BK111" i="25" s="1"/>
  <c r="CB112" i="25"/>
  <c r="CB113" i="25"/>
  <c r="CB114" i="25"/>
  <c r="BV116" i="25"/>
  <c r="BP116" i="25" s="1"/>
  <c r="BQ116" i="25" s="1"/>
  <c r="BV117" i="25"/>
  <c r="BP117" i="25" s="1"/>
  <c r="BQ117" i="25" s="1"/>
  <c r="BO126" i="25"/>
  <c r="AV127" i="25"/>
  <c r="AW127" i="25" s="1"/>
  <c r="BL127" i="25"/>
  <c r="BK127" i="25" s="1"/>
  <c r="BV24" i="25"/>
  <c r="BP24" i="25" s="1"/>
  <c r="BQ24" i="25" s="1"/>
  <c r="BV35" i="25"/>
  <c r="BP35" i="25" s="1"/>
  <c r="BQ35" i="25" s="1"/>
  <c r="BL36" i="25"/>
  <c r="BL40" i="25"/>
  <c r="BV44" i="25"/>
  <c r="BP44" i="25" s="1"/>
  <c r="BQ44" i="25" s="1"/>
  <c r="BL67" i="25"/>
  <c r="BM69" i="25"/>
  <c r="BL69" i="25" s="1"/>
  <c r="BL78" i="25"/>
  <c r="AV82" i="25"/>
  <c r="AW82" i="25" s="1"/>
  <c r="BV94" i="25"/>
  <c r="BP94" i="25" s="1"/>
  <c r="BQ94" i="25" s="1"/>
  <c r="BG98" i="25"/>
  <c r="BL101" i="25"/>
  <c r="BL103" i="25"/>
  <c r="BL105" i="25"/>
  <c r="BL107" i="25"/>
  <c r="BI110" i="25"/>
  <c r="BJ110" i="25" s="1"/>
  <c r="BI111" i="25"/>
  <c r="BJ111" i="25" s="1"/>
  <c r="BO111" i="25"/>
  <c r="BO116" i="25"/>
  <c r="BO117" i="25"/>
  <c r="AV118" i="25"/>
  <c r="AW118" i="25" s="1"/>
  <c r="BA118" i="25" s="1"/>
  <c r="BB118" i="25" s="1"/>
  <c r="BT122" i="25"/>
  <c r="BM122" i="25"/>
  <c r="BV123" i="25"/>
  <c r="BP123" i="25" s="1"/>
  <c r="BQ123" i="25" s="1"/>
  <c r="BI124" i="25"/>
  <c r="BJ124" i="25" s="1"/>
  <c r="BT127" i="25"/>
  <c r="BO127" i="25"/>
  <c r="BI127" i="25"/>
  <c r="BJ127" i="25" s="1"/>
  <c r="BG123" i="25"/>
  <c r="AV124" i="25"/>
  <c r="AW124" i="25" s="1"/>
  <c r="BG125" i="25"/>
  <c r="CB125" i="25"/>
  <c r="AV128" i="25"/>
  <c r="AW128" i="25" s="1"/>
  <c r="BI130" i="25"/>
  <c r="BJ130" i="25" s="1"/>
  <c r="BI131" i="25"/>
  <c r="BJ131" i="25" s="1"/>
  <c r="BO131" i="25"/>
  <c r="AV132" i="25"/>
  <c r="AW132" i="25" s="1"/>
  <c r="BO132" i="25"/>
  <c r="AV133" i="25"/>
  <c r="AW133" i="25" s="1"/>
  <c r="BL133" i="25"/>
  <c r="BK133" i="25" s="1"/>
  <c r="AV134" i="25"/>
  <c r="AW134" i="25" s="1"/>
  <c r="BI136" i="25"/>
  <c r="BJ136" i="25" s="1"/>
  <c r="BI137" i="25"/>
  <c r="BJ137" i="25" s="1"/>
  <c r="BO137" i="25"/>
  <c r="AV138" i="25"/>
  <c r="AW138" i="25" s="1"/>
  <c r="BO138" i="25"/>
  <c r="BL139" i="25"/>
  <c r="BK139" i="25" s="1"/>
  <c r="BM141" i="25"/>
  <c r="BL141" i="25" s="1"/>
  <c r="BK141" i="25" s="1"/>
  <c r="BT141" i="25"/>
  <c r="BG142" i="25"/>
  <c r="BT142" i="25"/>
  <c r="BG143" i="25"/>
  <c r="BM143" i="25"/>
  <c r="BG144" i="25"/>
  <c r="BM144" i="25"/>
  <c r="BG145" i="25"/>
  <c r="CB145" i="25"/>
  <c r="BG148" i="25"/>
  <c r="BO153" i="25"/>
  <c r="CB153" i="25"/>
  <c r="BM155" i="25"/>
  <c r="BL155" i="25" s="1"/>
  <c r="BX157" i="25"/>
  <c r="BU157" i="25" s="1"/>
  <c r="BG159" i="25"/>
  <c r="BY160" i="25"/>
  <c r="BS160" i="25" s="1"/>
  <c r="BM162" i="25"/>
  <c r="BL162" i="25" s="1"/>
  <c r="BK162" i="25" s="1"/>
  <c r="CB163" i="25"/>
  <c r="CC167" i="25"/>
  <c r="AV167" i="25"/>
  <c r="AW167" i="25" s="1"/>
  <c r="BG168" i="25"/>
  <c r="BX168" i="25"/>
  <c r="BU168" i="25" s="1"/>
  <c r="AV168" i="25"/>
  <c r="BG169" i="25"/>
  <c r="AV169" i="25"/>
  <c r="AW169" i="25" s="1"/>
  <c r="BM175" i="25"/>
  <c r="BL175" i="25" s="1"/>
  <c r="BK177" i="25"/>
  <c r="CB178" i="25"/>
  <c r="AV179" i="25"/>
  <c r="AW179" i="25" s="1"/>
  <c r="BM179" i="25"/>
  <c r="BT179" i="25"/>
  <c r="BL181" i="25"/>
  <c r="BK181" i="25" s="1"/>
  <c r="BI182" i="25"/>
  <c r="BJ182" i="25" s="1"/>
  <c r="BG185" i="25"/>
  <c r="BO185" i="25"/>
  <c r="BI186" i="25"/>
  <c r="BJ186" i="25" s="1"/>
  <c r="CB187" i="25"/>
  <c r="BO189" i="25"/>
  <c r="BO192" i="25"/>
  <c r="BG193" i="25"/>
  <c r="CB193" i="25"/>
  <c r="AV194" i="25"/>
  <c r="AW194" i="25" s="1"/>
  <c r="BO194" i="25"/>
  <c r="BG196" i="25"/>
  <c r="BI197" i="25"/>
  <c r="BJ197" i="25" s="1"/>
  <c r="CB198" i="25"/>
  <c r="BV200" i="25"/>
  <c r="BP200" i="25" s="1"/>
  <c r="BQ200" i="25" s="1"/>
  <c r="BG206" i="25"/>
  <c r="BM206" i="25"/>
  <c r="CB206" i="25"/>
  <c r="BI208" i="25"/>
  <c r="BJ208" i="25" s="1"/>
  <c r="BV208" i="25"/>
  <c r="BP208" i="25" s="1"/>
  <c r="BQ208" i="25" s="1"/>
  <c r="BI212" i="25"/>
  <c r="BJ212" i="25" s="1"/>
  <c r="CB212" i="25"/>
  <c r="BI213" i="25"/>
  <c r="BJ213" i="25" s="1"/>
  <c r="BV214" i="25"/>
  <c r="BP214" i="25" s="1"/>
  <c r="BQ214" i="25" s="1"/>
  <c r="BG215" i="25"/>
  <c r="BV234" i="25"/>
  <c r="BP234" i="25" s="1"/>
  <c r="BQ234" i="25" s="1"/>
  <c r="BV143" i="25"/>
  <c r="BP143" i="25" s="1"/>
  <c r="BQ143" i="25" s="1"/>
  <c r="BV144" i="25"/>
  <c r="BP144" i="25" s="1"/>
  <c r="BQ144" i="25" s="1"/>
  <c r="BV147" i="25"/>
  <c r="BP147" i="25" s="1"/>
  <c r="BQ147" i="25" s="1"/>
  <c r="CC174" i="25"/>
  <c r="BV178" i="25"/>
  <c r="BP178" i="25" s="1"/>
  <c r="BQ178" i="25" s="1"/>
  <c r="BL179" i="25"/>
  <c r="BK179" i="25" s="1"/>
  <c r="BG208" i="25"/>
  <c r="CB208" i="25"/>
  <c r="BV210" i="25"/>
  <c r="BP210" i="25" s="1"/>
  <c r="BQ210" i="25" s="1"/>
  <c r="BG212" i="25"/>
  <c r="BL212" i="25"/>
  <c r="BG214" i="25"/>
  <c r="BL216" i="25"/>
  <c r="BK216" i="25" s="1"/>
  <c r="BO216" i="25"/>
  <c r="BI227" i="25"/>
  <c r="BJ227" i="25" s="1"/>
  <c r="BG128" i="25"/>
  <c r="BM131" i="25"/>
  <c r="BG132" i="25"/>
  <c r="BT132" i="25"/>
  <c r="BG133" i="25"/>
  <c r="BG134" i="25"/>
  <c r="BG138" i="25"/>
  <c r="BG139" i="25"/>
  <c r="BI141" i="25"/>
  <c r="BJ141" i="25" s="1"/>
  <c r="AV142" i="25"/>
  <c r="AW142" i="25" s="1"/>
  <c r="BO142" i="25"/>
  <c r="AV143" i="25"/>
  <c r="AW143" i="25" s="1"/>
  <c r="BA143" i="25" s="1"/>
  <c r="BB143" i="25" s="1"/>
  <c r="BO143" i="25"/>
  <c r="AV144" i="25"/>
  <c r="AW144" i="25" s="1"/>
  <c r="BO144" i="25"/>
  <c r="BG147" i="25"/>
  <c r="AV147" i="25"/>
  <c r="AW147" i="25" s="1"/>
  <c r="BI147" i="25"/>
  <c r="BJ147" i="25" s="1"/>
  <c r="CB149" i="25"/>
  <c r="CB150" i="25"/>
  <c r="BG154" i="25"/>
  <c r="CB156" i="25"/>
  <c r="BA157" i="25"/>
  <c r="BB157" i="25" s="1"/>
  <c r="BG160" i="25"/>
  <c r="CB160" i="25"/>
  <c r="BG164" i="25"/>
  <c r="BX164" i="25"/>
  <c r="BU164" i="25" s="1"/>
  <c r="CC164" i="25"/>
  <c r="AV164" i="25"/>
  <c r="BG165" i="25"/>
  <c r="BM165" i="25"/>
  <c r="CB165" i="25"/>
  <c r="CB167" i="25"/>
  <c r="BM170" i="25"/>
  <c r="CB170" i="25"/>
  <c r="BI171" i="25"/>
  <c r="BJ171" i="25" s="1"/>
  <c r="CB171" i="25"/>
  <c r="BY174" i="25"/>
  <c r="BS174" i="25" s="1"/>
  <c r="BI179" i="25"/>
  <c r="BJ179" i="25" s="1"/>
  <c r="BO179" i="25"/>
  <c r="BV179" i="25"/>
  <c r="BP179" i="25" s="1"/>
  <c r="BQ179" i="25" s="1"/>
  <c r="BV181" i="25"/>
  <c r="BP181" i="25" s="1"/>
  <c r="BQ181" i="25" s="1"/>
  <c r="BV182" i="25"/>
  <c r="BP182" i="25" s="1"/>
  <c r="BQ182" i="25" s="1"/>
  <c r="AV184" i="25"/>
  <c r="AW184" i="25" s="1"/>
  <c r="AV185" i="25"/>
  <c r="AW185" i="25" s="1"/>
  <c r="BG188" i="25"/>
  <c r="BI189" i="25"/>
  <c r="BJ189" i="25" s="1"/>
  <c r="CB190" i="25"/>
  <c r="BI192" i="25"/>
  <c r="BJ192" i="25" s="1"/>
  <c r="CB195" i="25"/>
  <c r="BL201" i="25"/>
  <c r="BK201" i="25" s="1"/>
  <c r="BI204" i="25"/>
  <c r="BJ204" i="25" s="1"/>
  <c r="BV204" i="25"/>
  <c r="BP204" i="25" s="1"/>
  <c r="BQ204" i="25" s="1"/>
  <c r="BO218" i="25"/>
  <c r="BM218" i="25"/>
  <c r="BL218" i="25" s="1"/>
  <c r="BK218" i="25" s="1"/>
  <c r="BO231" i="25"/>
  <c r="BT231" i="25"/>
  <c r="BM231" i="25"/>
  <c r="BL131" i="25"/>
  <c r="BK131" i="25" s="1"/>
  <c r="BL137" i="25"/>
  <c r="BK137" i="25" s="1"/>
  <c r="BI142" i="25"/>
  <c r="BJ142" i="25" s="1"/>
  <c r="BI143" i="25"/>
  <c r="BJ143" i="25" s="1"/>
  <c r="BI144" i="25"/>
  <c r="BJ144" i="25" s="1"/>
  <c r="BM147" i="25"/>
  <c r="BL151" i="25"/>
  <c r="BX153" i="25"/>
  <c r="BU153" i="25" s="1"/>
  <c r="CC160" i="25"/>
  <c r="AV162" i="25"/>
  <c r="AW162" i="25" s="1"/>
  <c r="AZ167" i="25"/>
  <c r="BC167" i="25" s="1"/>
  <c r="BD167" i="25" s="1"/>
  <c r="BL171" i="25"/>
  <c r="BL172" i="25"/>
  <c r="BK172" i="25" s="1"/>
  <c r="BM184" i="25"/>
  <c r="BL184" i="25" s="1"/>
  <c r="BK184" i="25" s="1"/>
  <c r="BI185" i="25"/>
  <c r="BJ185" i="25" s="1"/>
  <c r="BT185" i="25"/>
  <c r="BL203" i="25"/>
  <c r="BK203" i="25" s="1"/>
  <c r="BV206" i="25"/>
  <c r="BP206" i="25" s="1"/>
  <c r="BQ206" i="25" s="1"/>
  <c r="BO227" i="25"/>
  <c r="BV227" i="25"/>
  <c r="BP227" i="25" s="1"/>
  <c r="BQ227" i="25" s="1"/>
  <c r="BV231" i="25"/>
  <c r="BP231" i="25" s="1"/>
  <c r="BQ231" i="25" s="1"/>
  <c r="BL226" i="25"/>
  <c r="BK226" i="25" s="1"/>
  <c r="BV226" i="25"/>
  <c r="BP226" i="25" s="1"/>
  <c r="BQ226" i="25" s="1"/>
  <c r="BL230" i="25"/>
  <c r="BK230" i="25" s="1"/>
  <c r="CB230" i="25"/>
  <c r="BO234" i="25"/>
  <c r="BG235" i="25"/>
  <c r="BT236" i="25"/>
  <c r="BV236" i="25" s="1"/>
  <c r="BP236" i="25" s="1"/>
  <c r="BQ236" i="25" s="1"/>
  <c r="AV238" i="25"/>
  <c r="AW238" i="25" s="1"/>
  <c r="BI238" i="25"/>
  <c r="BJ238" i="25" s="1"/>
  <c r="BL240" i="25"/>
  <c r="BK240" i="25" s="1"/>
  <c r="AV243" i="25"/>
  <c r="AW243" i="25" s="1"/>
  <c r="BI243" i="25"/>
  <c r="BJ243" i="25" s="1"/>
  <c r="BO243" i="25"/>
  <c r="BL244" i="25"/>
  <c r="BK244" i="25" s="1"/>
  <c r="BG245" i="25"/>
  <c r="AV245" i="25"/>
  <c r="AW245" i="25" s="1"/>
  <c r="BI245" i="25"/>
  <c r="BJ245" i="25" s="1"/>
  <c r="BO246" i="25"/>
  <c r="BM247" i="25"/>
  <c r="BG249" i="25"/>
  <c r="AV250" i="25"/>
  <c r="AW250" i="25" s="1"/>
  <c r="BI250" i="25"/>
  <c r="BJ250" i="25" s="1"/>
  <c r="BM252" i="25"/>
  <c r="CC253" i="25"/>
  <c r="AV253" i="25"/>
  <c r="AW253" i="25" s="1"/>
  <c r="BG254" i="25"/>
  <c r="BL254" i="25"/>
  <c r="CB255" i="25"/>
  <c r="BG258" i="25"/>
  <c r="BL258" i="25"/>
  <c r="AV260" i="25"/>
  <c r="AW260" i="25" s="1"/>
  <c r="BL260" i="25"/>
  <c r="BK260" i="25" s="1"/>
  <c r="CB261" i="25"/>
  <c r="CB263" i="25"/>
  <c r="BL263" i="25"/>
  <c r="AV264" i="25"/>
  <c r="AW264" i="25" s="1"/>
  <c r="BI264" i="25"/>
  <c r="BJ264" i="25" s="1"/>
  <c r="BO264" i="25"/>
  <c r="CB264" i="25"/>
  <c r="BO267" i="25"/>
  <c r="BM268" i="25"/>
  <c r="BM271" i="25"/>
  <c r="BL271" i="25" s="1"/>
  <c r="BK271" i="25" s="1"/>
  <c r="CB274" i="25"/>
  <c r="BA275" i="25"/>
  <c r="BB275" i="25" s="1"/>
  <c r="BL291" i="25"/>
  <c r="AV293" i="25"/>
  <c r="AW293" i="25" s="1"/>
  <c r="BI293" i="25"/>
  <c r="BJ293" i="25" s="1"/>
  <c r="CB296" i="25"/>
  <c r="BM300" i="25"/>
  <c r="BL300" i="25" s="1"/>
  <c r="BK300" i="25" s="1"/>
  <c r="BG301" i="25"/>
  <c r="BL302" i="25"/>
  <c r="BK302" i="25" s="1"/>
  <c r="CB305" i="25"/>
  <c r="AV306" i="25"/>
  <c r="AW306" i="25" s="1"/>
  <c r="BG307" i="25"/>
  <c r="BA307" i="25"/>
  <c r="BB307" i="25" s="1"/>
  <c r="BL311" i="25"/>
  <c r="BK311" i="25" s="1"/>
  <c r="CB311" i="25"/>
  <c r="BT323" i="25"/>
  <c r="BM323" i="25"/>
  <c r="BI323" i="25"/>
  <c r="BJ323" i="25" s="1"/>
  <c r="BT327" i="25"/>
  <c r="BM327" i="25"/>
  <c r="BI327" i="25"/>
  <c r="BJ327" i="25" s="1"/>
  <c r="BO350" i="25"/>
  <c r="BM350" i="25"/>
  <c r="BL350" i="25" s="1"/>
  <c r="BK350" i="25" s="1"/>
  <c r="AZ243" i="25"/>
  <c r="BC243" i="25" s="1"/>
  <c r="BD243" i="25" s="1"/>
  <c r="BT318" i="25"/>
  <c r="BI318" i="25"/>
  <c r="BJ318" i="25" s="1"/>
  <c r="BO318" i="25"/>
  <c r="BO352" i="25"/>
  <c r="BM352" i="25"/>
  <c r="BL352" i="25" s="1"/>
  <c r="BK352" i="25" s="1"/>
  <c r="BO355" i="25"/>
  <c r="BM355" i="25"/>
  <c r="BI355" i="25"/>
  <c r="BJ355" i="25" s="1"/>
  <c r="AV355" i="25"/>
  <c r="AW355" i="25" s="1"/>
  <c r="BA355" i="25" s="1"/>
  <c r="BB355" i="25" s="1"/>
  <c r="BM234" i="25"/>
  <c r="BL234" i="25" s="1"/>
  <c r="BK234" i="25" s="1"/>
  <c r="BO242" i="25"/>
  <c r="BV245" i="25"/>
  <c r="BP245" i="25" s="1"/>
  <c r="BQ245" i="25" s="1"/>
  <c r="AZ246" i="25"/>
  <c r="BC246" i="25" s="1"/>
  <c r="BD246" i="25" s="1"/>
  <c r="AV247" i="25"/>
  <c r="AW247" i="25" s="1"/>
  <c r="BI247" i="25"/>
  <c r="BJ247" i="25" s="1"/>
  <c r="BO247" i="25"/>
  <c r="BL248" i="25"/>
  <c r="BK248" i="25" s="1"/>
  <c r="BM250" i="25"/>
  <c r="BI251" i="25"/>
  <c r="BJ251" i="25" s="1"/>
  <c r="BG253" i="25"/>
  <c r="BG256" i="25"/>
  <c r="BG257" i="25"/>
  <c r="BG260" i="25"/>
  <c r="AZ260" i="25"/>
  <c r="BC260" i="25" s="1"/>
  <c r="BD260" i="25" s="1"/>
  <c r="BG265" i="25"/>
  <c r="BY266" i="25"/>
  <c r="BS266" i="25" s="1"/>
  <c r="CC266" i="25"/>
  <c r="BG267" i="25"/>
  <c r="BG269" i="25"/>
  <c r="CB270" i="25"/>
  <c r="BO273" i="25"/>
  <c r="BO277" i="25"/>
  <c r="CB284" i="25"/>
  <c r="BM285" i="25"/>
  <c r="BL286" i="25"/>
  <c r="BK286" i="25" s="1"/>
  <c r="BI287" i="25"/>
  <c r="BJ287" i="25" s="1"/>
  <c r="BL288" i="25"/>
  <c r="BI289" i="25"/>
  <c r="BJ289" i="25" s="1"/>
  <c r="BL290" i="25"/>
  <c r="BM292" i="25"/>
  <c r="AV298" i="25"/>
  <c r="AW298" i="25" s="1"/>
  <c r="BI298" i="25"/>
  <c r="BJ298" i="25" s="1"/>
  <c r="BT298" i="25"/>
  <c r="BM299" i="25"/>
  <c r="BL299" i="25" s="1"/>
  <c r="BK299" i="25" s="1"/>
  <c r="AV301" i="25"/>
  <c r="BG302" i="25"/>
  <c r="AV303" i="25"/>
  <c r="AW303" i="25" s="1"/>
  <c r="BI303" i="25"/>
  <c r="BJ303" i="25" s="1"/>
  <c r="BG306" i="25"/>
  <c r="BI306" i="25"/>
  <c r="BJ306" i="25" s="1"/>
  <c r="CB308" i="25"/>
  <c r="BT310" i="25"/>
  <c r="BI312" i="25"/>
  <c r="BJ312" i="25" s="1"/>
  <c r="BI313" i="25"/>
  <c r="BJ313" i="25" s="1"/>
  <c r="BO323" i="25"/>
  <c r="BO327" i="25"/>
  <c r="BO356" i="25"/>
  <c r="BI356" i="25"/>
  <c r="BJ356" i="25" s="1"/>
  <c r="AV356" i="25"/>
  <c r="AW356" i="25" s="1"/>
  <c r="BA356" i="25" s="1"/>
  <c r="BB356" i="25" s="1"/>
  <c r="BV221" i="25"/>
  <c r="BP221" i="25" s="1"/>
  <c r="BQ221" i="25" s="1"/>
  <c r="BM223" i="25"/>
  <c r="AV228" i="25"/>
  <c r="AW228" i="25" s="1"/>
  <c r="BA228" i="25" s="1"/>
  <c r="BB228" i="25" s="1"/>
  <c r="BL231" i="25"/>
  <c r="BK231" i="25" s="1"/>
  <c r="CB231" i="25"/>
  <c r="BM232" i="25"/>
  <c r="BL232" i="25" s="1"/>
  <c r="BK232" i="25" s="1"/>
  <c r="BT232" i="25"/>
  <c r="BV232" i="25" s="1"/>
  <c r="BP232" i="25" s="1"/>
  <c r="BQ232" i="25" s="1"/>
  <c r="BL235" i="25"/>
  <c r="BK235" i="25" s="1"/>
  <c r="BG236" i="25"/>
  <c r="AV236" i="25"/>
  <c r="AW236" i="25" s="1"/>
  <c r="BI236" i="25"/>
  <c r="BJ236" i="25" s="1"/>
  <c r="BO237" i="25"/>
  <c r="BO238" i="25"/>
  <c r="CB238" i="25"/>
  <c r="AV242" i="25"/>
  <c r="AW242" i="25" s="1"/>
  <c r="BI242" i="25"/>
  <c r="BJ242" i="25" s="1"/>
  <c r="AZ247" i="25"/>
  <c r="BC247" i="25" s="1"/>
  <c r="BD247" i="25" s="1"/>
  <c r="BM251" i="25"/>
  <c r="BL251" i="25" s="1"/>
  <c r="BK251" i="25" s="1"/>
  <c r="BM259" i="25"/>
  <c r="BL259" i="25" s="1"/>
  <c r="BK259" i="25" s="1"/>
  <c r="BX264" i="25"/>
  <c r="BU264" i="25" s="1"/>
  <c r="BL268" i="25"/>
  <c r="BK268" i="25" s="1"/>
  <c r="BI271" i="25"/>
  <c r="BJ271" i="25" s="1"/>
  <c r="BL275" i="25"/>
  <c r="BK275" i="25" s="1"/>
  <c r="AZ287" i="25"/>
  <c r="BC287" i="25" s="1"/>
  <c r="BD287" i="25" s="1"/>
  <c r="AZ289" i="25"/>
  <c r="BC289" i="25" s="1"/>
  <c r="BD289" i="25" s="1"/>
  <c r="BG290" i="25"/>
  <c r="BM294" i="25"/>
  <c r="CB302" i="25"/>
  <c r="BG303" i="25"/>
  <c r="BG304" i="25"/>
  <c r="AV304" i="25"/>
  <c r="AW304" i="25" s="1"/>
  <c r="BI304" i="25"/>
  <c r="BJ304" i="25" s="1"/>
  <c r="BM306" i="25"/>
  <c r="BL306" i="25" s="1"/>
  <c r="BK306" i="25" s="1"/>
  <c r="BL307" i="25"/>
  <c r="CB312" i="25"/>
  <c r="BG313" i="25"/>
  <c r="BV313" i="25"/>
  <c r="BP313" i="25" s="1"/>
  <c r="BQ313" i="25" s="1"/>
  <c r="BV315" i="25"/>
  <c r="BP315" i="25" s="1"/>
  <c r="BQ315" i="25" s="1"/>
  <c r="BM318" i="25"/>
  <c r="BT331" i="25"/>
  <c r="BM331" i="25"/>
  <c r="BI331" i="25"/>
  <c r="BJ331" i="25" s="1"/>
  <c r="BM356" i="25"/>
  <c r="BL356" i="25" s="1"/>
  <c r="BG326" i="25"/>
  <c r="BG330" i="25"/>
  <c r="BM330" i="25"/>
  <c r="BT330" i="25"/>
  <c r="CB332" i="25"/>
  <c r="CB333" i="25"/>
  <c r="BO336" i="25"/>
  <c r="BG338" i="25"/>
  <c r="BL339" i="25"/>
  <c r="BK339" i="25" s="1"/>
  <c r="BT344" i="25"/>
  <c r="BG345" i="25"/>
  <c r="BT346" i="25"/>
  <c r="BG347" i="25"/>
  <c r="CB347" i="25"/>
  <c r="BG355" i="25"/>
  <c r="CB357" i="25"/>
  <c r="BI358" i="25"/>
  <c r="BJ358" i="25" s="1"/>
  <c r="AZ360" i="25"/>
  <c r="BC360" i="25" s="1"/>
  <c r="BD360" i="25" s="1"/>
  <c r="BM361" i="25"/>
  <c r="AV362" i="25"/>
  <c r="AW362" i="25" s="1"/>
  <c r="BA362" i="25" s="1"/>
  <c r="BB362" i="25" s="1"/>
  <c r="BI366" i="25"/>
  <c r="BJ366" i="25" s="1"/>
  <c r="BI367" i="25"/>
  <c r="BJ367" i="25" s="1"/>
  <c r="BG369" i="25"/>
  <c r="CB369" i="25"/>
  <c r="BO370" i="25"/>
  <c r="BG374" i="25"/>
  <c r="BM374" i="25"/>
  <c r="AV375" i="25"/>
  <c r="AW375" i="25" s="1"/>
  <c r="CB375" i="25"/>
  <c r="BI376" i="25"/>
  <c r="BJ376" i="25" s="1"/>
  <c r="BI377" i="25"/>
  <c r="BJ377" i="25" s="1"/>
  <c r="BI378" i="25"/>
  <c r="BJ378" i="25" s="1"/>
  <c r="BO378" i="25"/>
  <c r="CB378" i="25"/>
  <c r="BI389" i="25"/>
  <c r="BJ389" i="25" s="1"/>
  <c r="BG322" i="25"/>
  <c r="BL336" i="25"/>
  <c r="BK336" i="25" s="1"/>
  <c r="BI362" i="25"/>
  <c r="BJ362" i="25" s="1"/>
  <c r="BI372" i="25"/>
  <c r="BJ372" i="25" s="1"/>
  <c r="AV374" i="25"/>
  <c r="AW374" i="25" s="1"/>
  <c r="BO374" i="25"/>
  <c r="BI382" i="25"/>
  <c r="BJ382" i="25" s="1"/>
  <c r="CB387" i="25"/>
  <c r="BM389" i="25"/>
  <c r="BL389" i="25" s="1"/>
  <c r="BG314" i="25"/>
  <c r="AZ314" i="25"/>
  <c r="BC314" i="25" s="1"/>
  <c r="BD314" i="25" s="1"/>
  <c r="CB315" i="25"/>
  <c r="BL316" i="25"/>
  <c r="BK316" i="25" s="1"/>
  <c r="BG324" i="25"/>
  <c r="BO325" i="25"/>
  <c r="CB325" i="25"/>
  <c r="AV326" i="25"/>
  <c r="AW326" i="25" s="1"/>
  <c r="BI326" i="25"/>
  <c r="BJ326" i="25" s="1"/>
  <c r="BG328" i="25"/>
  <c r="BO329" i="25"/>
  <c r="CB329" i="25"/>
  <c r="AV330" i="25"/>
  <c r="AW330" i="25" s="1"/>
  <c r="BI330" i="25"/>
  <c r="BJ330" i="25" s="1"/>
  <c r="CB337" i="25"/>
  <c r="BT339" i="25"/>
  <c r="BG341" i="25"/>
  <c r="BO342" i="25"/>
  <c r="CB342" i="25"/>
  <c r="BM344" i="25"/>
  <c r="BM346" i="25"/>
  <c r="BL346" i="25" s="1"/>
  <c r="BK346" i="25" s="1"/>
  <c r="BV346" i="25"/>
  <c r="BP346" i="25" s="1"/>
  <c r="BQ346" i="25" s="1"/>
  <c r="CB349" i="25"/>
  <c r="BG356" i="25"/>
  <c r="BG357" i="25"/>
  <c r="AV359" i="25"/>
  <c r="AW359" i="25" s="1"/>
  <c r="BA359" i="25" s="1"/>
  <c r="BB359" i="25" s="1"/>
  <c r="CB359" i="25"/>
  <c r="BT361" i="25"/>
  <c r="BG362" i="25"/>
  <c r="BT362" i="25"/>
  <c r="CB364" i="25"/>
  <c r="BG366" i="25"/>
  <c r="BG367" i="25"/>
  <c r="BG370" i="25"/>
  <c r="CB371" i="25"/>
  <c r="BG373" i="25"/>
  <c r="BI374" i="25"/>
  <c r="BJ374" i="25" s="1"/>
  <c r="BG378" i="25"/>
  <c r="BG383" i="25"/>
  <c r="BM383" i="25"/>
  <c r="CB383" i="25"/>
  <c r="BI384" i="25"/>
  <c r="BJ384" i="25" s="1"/>
  <c r="BG385" i="25"/>
  <c r="CB386" i="25"/>
  <c r="BI387" i="25"/>
  <c r="BJ387" i="25" s="1"/>
  <c r="BG388" i="25"/>
  <c r="BL388" i="25"/>
  <c r="BV46" i="25"/>
  <c r="BP46" i="25" s="1"/>
  <c r="BQ46" i="25" s="1"/>
  <c r="BV21" i="25"/>
  <c r="BP21" i="25" s="1"/>
  <c r="BQ21" i="25" s="1"/>
  <c r="BV30" i="25"/>
  <c r="BP30" i="25" s="1"/>
  <c r="BQ30" i="25" s="1"/>
  <c r="BL7" i="25"/>
  <c r="BK7" i="25" s="1"/>
  <c r="BN11" i="25"/>
  <c r="BM14" i="25"/>
  <c r="BM15" i="25"/>
  <c r="BV17" i="25"/>
  <c r="BP17" i="25" s="1"/>
  <c r="BQ17" i="25" s="1"/>
  <c r="BV18" i="25"/>
  <c r="BP18" i="25" s="1"/>
  <c r="BQ18" i="25" s="1"/>
  <c r="BI21" i="25"/>
  <c r="BJ21" i="25" s="1"/>
  <c r="BO21" i="25"/>
  <c r="BV23" i="25"/>
  <c r="BP23" i="25" s="1"/>
  <c r="BQ23" i="25" s="1"/>
  <c r="BV26" i="25"/>
  <c r="BP26" i="25" s="1"/>
  <c r="BQ26" i="25" s="1"/>
  <c r="CB28" i="25"/>
  <c r="BG30" i="25"/>
  <c r="BG32" i="25"/>
  <c r="BG33" i="25"/>
  <c r="BG34" i="25"/>
  <c r="BI41" i="25"/>
  <c r="BJ41" i="25" s="1"/>
  <c r="BI42" i="25"/>
  <c r="BJ42" i="25" s="1"/>
  <c r="BI43" i="25"/>
  <c r="BJ43" i="25" s="1"/>
  <c r="BV43" i="25"/>
  <c r="BP43" i="25" s="1"/>
  <c r="BQ43" i="25" s="1"/>
  <c r="BI47" i="25"/>
  <c r="BJ47" i="25" s="1"/>
  <c r="BI48" i="25"/>
  <c r="BJ48" i="25" s="1"/>
  <c r="BI49" i="25"/>
  <c r="BJ49" i="25" s="1"/>
  <c r="BI50" i="25"/>
  <c r="BJ50" i="25" s="1"/>
  <c r="BV51" i="25"/>
  <c r="BP51" i="25" s="1"/>
  <c r="BQ51" i="25" s="1"/>
  <c r="AV52" i="25"/>
  <c r="AW52" i="25" s="1"/>
  <c r="BG53" i="25"/>
  <c r="BV57" i="25"/>
  <c r="BP57" i="25" s="1"/>
  <c r="BQ57" i="25" s="1"/>
  <c r="BM59" i="25"/>
  <c r="BL59" i="25" s="1"/>
  <c r="BV62" i="25"/>
  <c r="BP62" i="25" s="1"/>
  <c r="BQ62" i="25" s="1"/>
  <c r="BV63" i="25"/>
  <c r="BP63" i="25" s="1"/>
  <c r="BQ63" i="25" s="1"/>
  <c r="BN8" i="25"/>
  <c r="BI9" i="25"/>
  <c r="BJ9" i="25" s="1"/>
  <c r="BO9" i="25"/>
  <c r="AZ10" i="25"/>
  <c r="BC10" i="25" s="1"/>
  <c r="BD10" i="25" s="1"/>
  <c r="CB7" i="25"/>
  <c r="BV8" i="25"/>
  <c r="BP8" i="25" s="1"/>
  <c r="BQ8" i="25" s="1"/>
  <c r="AZ9" i="25"/>
  <c r="BC9" i="25" s="1"/>
  <c r="BD9" i="25" s="1"/>
  <c r="CB10" i="25"/>
  <c r="BV11" i="25"/>
  <c r="BP11" i="25" s="1"/>
  <c r="BQ11" i="25" s="1"/>
  <c r="CB12" i="25"/>
  <c r="BL13" i="25"/>
  <c r="BK13" i="25" s="1"/>
  <c r="BT13" i="25"/>
  <c r="BV13" i="25" s="1"/>
  <c r="BP13" i="25" s="1"/>
  <c r="BQ13" i="25" s="1"/>
  <c r="BL14" i="25"/>
  <c r="BK14" i="25" s="1"/>
  <c r="BV14" i="25"/>
  <c r="BP14" i="25" s="1"/>
  <c r="BQ14" i="25" s="1"/>
  <c r="BL15" i="25"/>
  <c r="BK15" i="25" s="1"/>
  <c r="BV15" i="25"/>
  <c r="BP15" i="25" s="1"/>
  <c r="BQ15" i="25" s="1"/>
  <c r="BL19" i="25"/>
  <c r="BK19" i="25" s="1"/>
  <c r="BV20" i="25"/>
  <c r="BP20" i="25" s="1"/>
  <c r="BQ20" i="25" s="1"/>
  <c r="BG23" i="25"/>
  <c r="CB23" i="25"/>
  <c r="BG25" i="25"/>
  <c r="CB25" i="25"/>
  <c r="BI26" i="25"/>
  <c r="BJ26" i="25" s="1"/>
  <c r="CB26" i="25"/>
  <c r="CB27" i="25"/>
  <c r="BV29" i="25"/>
  <c r="BP29" i="25" s="1"/>
  <c r="BQ29" i="25" s="1"/>
  <c r="BV32" i="25"/>
  <c r="BP32" i="25" s="1"/>
  <c r="BQ32" i="25" s="1"/>
  <c r="CB34" i="25"/>
  <c r="BG36" i="25"/>
  <c r="CB36" i="25"/>
  <c r="BG38" i="25"/>
  <c r="BL38" i="25"/>
  <c r="BG39" i="25"/>
  <c r="BL39" i="25"/>
  <c r="BV39" i="25"/>
  <c r="BP39" i="25" s="1"/>
  <c r="BQ39" i="25" s="1"/>
  <c r="BG40" i="25"/>
  <c r="CB43" i="25"/>
  <c r="BG45" i="25"/>
  <c r="BL45" i="25"/>
  <c r="BG46" i="25"/>
  <c r="BM46" i="25"/>
  <c r="BL46" i="25" s="1"/>
  <c r="CB50" i="25"/>
  <c r="BI51" i="25"/>
  <c r="BJ51" i="25" s="1"/>
  <c r="CB51" i="25"/>
  <c r="BV52" i="25"/>
  <c r="BP52" i="25" s="1"/>
  <c r="BQ52" i="25" s="1"/>
  <c r="AV53" i="25"/>
  <c r="AW53" i="25" s="1"/>
  <c r="BL54" i="25"/>
  <c r="BL55" i="25"/>
  <c r="AV58" i="25"/>
  <c r="AW58" i="25" s="1"/>
  <c r="BI58" i="25"/>
  <c r="BJ58" i="25" s="1"/>
  <c r="BM58" i="25"/>
  <c r="BL58" i="25" s="1"/>
  <c r="BL10" i="25"/>
  <c r="BK10" i="25" s="1"/>
  <c r="AZ11" i="25"/>
  <c r="BC11" i="25" s="1"/>
  <c r="BD11" i="25" s="1"/>
  <c r="AV12" i="25"/>
  <c r="AW12" i="25" s="1"/>
  <c r="BL12" i="25"/>
  <c r="BK12" i="25" s="1"/>
  <c r="BG13" i="25"/>
  <c r="AV13" i="25"/>
  <c r="AW13" i="25" s="1"/>
  <c r="BI13" i="25"/>
  <c r="BJ13" i="25" s="1"/>
  <c r="BG14" i="25"/>
  <c r="AV14" i="25"/>
  <c r="AW14" i="25" s="1"/>
  <c r="BI14" i="25"/>
  <c r="BJ14" i="25" s="1"/>
  <c r="BG15" i="25"/>
  <c r="AV15" i="25"/>
  <c r="AW15" i="25" s="1"/>
  <c r="BI15" i="25"/>
  <c r="BJ15" i="25" s="1"/>
  <c r="BL21" i="25"/>
  <c r="BK21" i="25" s="1"/>
  <c r="BV22" i="25"/>
  <c r="BP22" i="25" s="1"/>
  <c r="BQ22" i="25" s="1"/>
  <c r="CB29" i="25"/>
  <c r="BV37" i="25"/>
  <c r="BP37" i="25" s="1"/>
  <c r="BQ37" i="25" s="1"/>
  <c r="AV40" i="25"/>
  <c r="AW40" i="25" s="1"/>
  <c r="BL41" i="25"/>
  <c r="BL42" i="25"/>
  <c r="BL47" i="25"/>
  <c r="BL48" i="25"/>
  <c r="AZ52" i="25"/>
  <c r="BC52" i="25" s="1"/>
  <c r="BD52" i="25" s="1"/>
  <c r="BV53" i="25"/>
  <c r="BP53" i="25" s="1"/>
  <c r="BQ53" i="25" s="1"/>
  <c r="BV54" i="25"/>
  <c r="BP54" i="25" s="1"/>
  <c r="BQ54" i="25" s="1"/>
  <c r="BV55" i="25"/>
  <c r="BP55" i="25" s="1"/>
  <c r="BQ55" i="25" s="1"/>
  <c r="AZ58" i="25"/>
  <c r="BC58" i="25" s="1"/>
  <c r="BD58" i="25" s="1"/>
  <c r="BV122" i="25"/>
  <c r="BP122" i="25" s="1"/>
  <c r="BQ122" i="25" s="1"/>
  <c r="BP7" i="25"/>
  <c r="BQ7" i="25" s="1"/>
  <c r="CB8" i="25"/>
  <c r="BL9" i="25"/>
  <c r="BK9" i="25" s="1"/>
  <c r="BG10" i="25"/>
  <c r="BV10" i="25"/>
  <c r="BP10" i="25" s="1"/>
  <c r="BQ10" i="25" s="1"/>
  <c r="CB11" i="25"/>
  <c r="BV12" i="25"/>
  <c r="BP12" i="25" s="1"/>
  <c r="BQ12" i="25" s="1"/>
  <c r="BV16" i="25"/>
  <c r="BP16" i="25" s="1"/>
  <c r="BQ16" i="25" s="1"/>
  <c r="BV31" i="25"/>
  <c r="BP31" i="25" s="1"/>
  <c r="BQ31" i="25" s="1"/>
  <c r="BG35" i="25"/>
  <c r="BV40" i="25"/>
  <c r="BP40" i="25" s="1"/>
  <c r="BQ40" i="25" s="1"/>
  <c r="BV41" i="25"/>
  <c r="BP41" i="25" s="1"/>
  <c r="BQ41" i="25" s="1"/>
  <c r="BV42" i="25"/>
  <c r="BP42" i="25" s="1"/>
  <c r="BQ42" i="25" s="1"/>
  <c r="BV47" i="25"/>
  <c r="BP47" i="25" s="1"/>
  <c r="BQ47" i="25" s="1"/>
  <c r="BV48" i="25"/>
  <c r="BP48" i="25" s="1"/>
  <c r="BQ48" i="25" s="1"/>
  <c r="BV49" i="25"/>
  <c r="BP49" i="25" s="1"/>
  <c r="BQ49" i="25" s="1"/>
  <c r="BG51" i="25"/>
  <c r="BG52" i="25"/>
  <c r="AV56" i="25"/>
  <c r="AW56" i="25" s="1"/>
  <c r="BM56" i="25"/>
  <c r="BL56" i="25" s="1"/>
  <c r="BI56" i="25"/>
  <c r="BJ56" i="25" s="1"/>
  <c r="BV64" i="25"/>
  <c r="BP64" i="25" s="1"/>
  <c r="BQ64" i="25" s="1"/>
  <c r="AV65" i="25"/>
  <c r="AW65" i="25" s="1"/>
  <c r="BL76" i="25"/>
  <c r="BI80" i="25"/>
  <c r="BJ80" i="25" s="1"/>
  <c r="BI81" i="25"/>
  <c r="BJ81" i="25" s="1"/>
  <c r="BI82" i="25"/>
  <c r="BJ82" i="25" s="1"/>
  <c r="BL84" i="25"/>
  <c r="BV86" i="25"/>
  <c r="BP86" i="25" s="1"/>
  <c r="BQ86" i="25" s="1"/>
  <c r="BL89" i="25"/>
  <c r="BV91" i="25"/>
  <c r="BP91" i="25" s="1"/>
  <c r="BQ91" i="25" s="1"/>
  <c r="BL94" i="25"/>
  <c r="BL95" i="25"/>
  <c r="BI98" i="25"/>
  <c r="BJ98" i="25" s="1"/>
  <c r="BL100" i="25"/>
  <c r="BA103" i="25"/>
  <c r="BB103" i="25" s="1"/>
  <c r="BE103" i="25" s="1"/>
  <c r="BL104" i="25"/>
  <c r="BV105" i="25"/>
  <c r="BP105" i="25" s="1"/>
  <c r="BQ105" i="25" s="1"/>
  <c r="BV107" i="25"/>
  <c r="BP107" i="25" s="1"/>
  <c r="BQ107" i="25" s="1"/>
  <c r="BM109" i="25"/>
  <c r="BL109" i="25" s="1"/>
  <c r="AV112" i="25"/>
  <c r="AW112" i="25" s="1"/>
  <c r="BA112" i="25" s="1"/>
  <c r="BB112" i="25" s="1"/>
  <c r="BM112" i="25"/>
  <c r="BM116" i="25"/>
  <c r="BL116" i="25" s="1"/>
  <c r="BK116" i="25" s="1"/>
  <c r="BV118" i="25"/>
  <c r="BP118" i="25" s="1"/>
  <c r="BQ118" i="25" s="1"/>
  <c r="AV121" i="25"/>
  <c r="AW121" i="25" s="1"/>
  <c r="BL121" i="25"/>
  <c r="BK121" i="25" s="1"/>
  <c r="BT121" i="25"/>
  <c r="BV121" i="25" s="1"/>
  <c r="BP121" i="25" s="1"/>
  <c r="BQ121" i="25" s="1"/>
  <c r="AV125" i="25"/>
  <c r="AW125" i="25" s="1"/>
  <c r="BL125" i="25"/>
  <c r="BK125" i="25" s="1"/>
  <c r="BT125" i="25"/>
  <c r="BV125" i="25" s="1"/>
  <c r="BP125" i="25" s="1"/>
  <c r="BQ125" i="25" s="1"/>
  <c r="BA128" i="25"/>
  <c r="BB128" i="25" s="1"/>
  <c r="BL128" i="25"/>
  <c r="BK128" i="25" s="1"/>
  <c r="BN128" i="25"/>
  <c r="BA130" i="25"/>
  <c r="BB130" i="25" s="1"/>
  <c r="BL130" i="25"/>
  <c r="BK130" i="25" s="1"/>
  <c r="BA132" i="25"/>
  <c r="BB132" i="25" s="1"/>
  <c r="BL132" i="25"/>
  <c r="BK132" i="25" s="1"/>
  <c r="BA134" i="25"/>
  <c r="BB134" i="25" s="1"/>
  <c r="BL134" i="25"/>
  <c r="BK134" i="25" s="1"/>
  <c r="BN134" i="25"/>
  <c r="BA136" i="25"/>
  <c r="BB136" i="25" s="1"/>
  <c r="BL136" i="25"/>
  <c r="BK136" i="25" s="1"/>
  <c r="BA138" i="25"/>
  <c r="BB138" i="25" s="1"/>
  <c r="BL138" i="25"/>
  <c r="BK138" i="25" s="1"/>
  <c r="BA140" i="25"/>
  <c r="BB140" i="25" s="1"/>
  <c r="BL140" i="25"/>
  <c r="BK140" i="25" s="1"/>
  <c r="BA142" i="25"/>
  <c r="BB142" i="25" s="1"/>
  <c r="BL142" i="25"/>
  <c r="BK142" i="25" s="1"/>
  <c r="BY151" i="25"/>
  <c r="BS151" i="25" s="1"/>
  <c r="BY155" i="25"/>
  <c r="BS155" i="25" s="1"/>
  <c r="BI158" i="25"/>
  <c r="BJ158" i="25" s="1"/>
  <c r="CB158" i="25"/>
  <c r="CB159" i="25"/>
  <c r="BA162" i="25"/>
  <c r="BB162" i="25" s="1"/>
  <c r="BV56" i="25"/>
  <c r="BP56" i="25" s="1"/>
  <c r="BQ56" i="25" s="1"/>
  <c r="AV57" i="25"/>
  <c r="AW57" i="25" s="1"/>
  <c r="BG58" i="25"/>
  <c r="CB62" i="25"/>
  <c r="CB63" i="25"/>
  <c r="CB64" i="25"/>
  <c r="BI65" i="25"/>
  <c r="BJ65" i="25" s="1"/>
  <c r="BV65" i="25"/>
  <c r="BP65" i="25" s="1"/>
  <c r="BQ65" i="25" s="1"/>
  <c r="BV72" i="25"/>
  <c r="BP72" i="25" s="1"/>
  <c r="BQ72" i="25" s="1"/>
  <c r="CB73" i="25"/>
  <c r="BI74" i="25"/>
  <c r="BJ74" i="25" s="1"/>
  <c r="BL75" i="25"/>
  <c r="BG76" i="25"/>
  <c r="BV76" i="25"/>
  <c r="BP76" i="25" s="1"/>
  <c r="BQ76" i="25" s="1"/>
  <c r="BV77" i="25"/>
  <c r="BP77" i="25" s="1"/>
  <c r="BQ77" i="25" s="1"/>
  <c r="CB78" i="25"/>
  <c r="BI79" i="25"/>
  <c r="BJ79" i="25" s="1"/>
  <c r="AZ80" i="25"/>
  <c r="BC80" i="25" s="1"/>
  <c r="BD80" i="25" s="1"/>
  <c r="BM80" i="25"/>
  <c r="BL80" i="25" s="1"/>
  <c r="AZ81" i="25"/>
  <c r="BC81" i="25" s="1"/>
  <c r="BD81" i="25" s="1"/>
  <c r="BM81" i="25"/>
  <c r="BL81" i="25" s="1"/>
  <c r="AZ82" i="25"/>
  <c r="BC82" i="25" s="1"/>
  <c r="BD82" i="25" s="1"/>
  <c r="BM82" i="25"/>
  <c r="BL82" i="25" s="1"/>
  <c r="BL83" i="25"/>
  <c r="BG84" i="25"/>
  <c r="CB85" i="25"/>
  <c r="CB86" i="25"/>
  <c r="BI87" i="25"/>
  <c r="BJ87" i="25" s="1"/>
  <c r="BL88" i="25"/>
  <c r="BG89" i="25"/>
  <c r="CB90" i="25"/>
  <c r="CB91" i="25"/>
  <c r="BI92" i="25"/>
  <c r="BJ92" i="25" s="1"/>
  <c r="BL93" i="25"/>
  <c r="BG94" i="25"/>
  <c r="AV94" i="25"/>
  <c r="AW94" i="25" s="1"/>
  <c r="BG95" i="25"/>
  <c r="CB96" i="25"/>
  <c r="BI97" i="25"/>
  <c r="BJ97" i="25" s="1"/>
  <c r="AZ98" i="25"/>
  <c r="BC98" i="25" s="1"/>
  <c r="BD98" i="25" s="1"/>
  <c r="BM98" i="25"/>
  <c r="BL98" i="25" s="1"/>
  <c r="BL99" i="25"/>
  <c r="BG100" i="25"/>
  <c r="CB101" i="25"/>
  <c r="BI102" i="25"/>
  <c r="BJ102" i="25" s="1"/>
  <c r="AZ103" i="25"/>
  <c r="BC103" i="25" s="1"/>
  <c r="BD103" i="25" s="1"/>
  <c r="BI103" i="25"/>
  <c r="BJ103" i="25" s="1"/>
  <c r="BV103" i="25"/>
  <c r="BP103" i="25" s="1"/>
  <c r="BQ103" i="25" s="1"/>
  <c r="BG105" i="25"/>
  <c r="CB105" i="25"/>
  <c r="AV106" i="25"/>
  <c r="AW106" i="25" s="1"/>
  <c r="BA106" i="25" s="1"/>
  <c r="BB106" i="25" s="1"/>
  <c r="BE106" i="25" s="1"/>
  <c r="BG107" i="25"/>
  <c r="CB107" i="25"/>
  <c r="CB110" i="25"/>
  <c r="CB111" i="25"/>
  <c r="BL112" i="25"/>
  <c r="BK112" i="25" s="1"/>
  <c r="BG113" i="25"/>
  <c r="BL115" i="25"/>
  <c r="BK115" i="25" s="1"/>
  <c r="BV115" i="25"/>
  <c r="BP115" i="25" s="1"/>
  <c r="BQ115" i="25" s="1"/>
  <c r="BG117" i="25"/>
  <c r="BM119" i="25"/>
  <c r="BL119" i="25" s="1"/>
  <c r="BK119" i="25" s="1"/>
  <c r="BL120" i="25"/>
  <c r="BK120" i="25" s="1"/>
  <c r="CB120" i="25"/>
  <c r="BI121" i="25"/>
  <c r="BJ121" i="25" s="1"/>
  <c r="BO121" i="25"/>
  <c r="BG122" i="25"/>
  <c r="BM123" i="25"/>
  <c r="BL123" i="25" s="1"/>
  <c r="BK123" i="25" s="1"/>
  <c r="BL124" i="25"/>
  <c r="BK124" i="25" s="1"/>
  <c r="CB124" i="25"/>
  <c r="BI125" i="25"/>
  <c r="BJ125" i="25" s="1"/>
  <c r="BO125" i="25"/>
  <c r="BG126" i="25"/>
  <c r="CB127" i="25"/>
  <c r="BV128" i="25"/>
  <c r="BP128" i="25" s="1"/>
  <c r="BQ128" i="25" s="1"/>
  <c r="CB129" i="25"/>
  <c r="BV130" i="25"/>
  <c r="BP130" i="25" s="1"/>
  <c r="BQ130" i="25" s="1"/>
  <c r="CB131" i="25"/>
  <c r="BV132" i="25"/>
  <c r="BP132" i="25" s="1"/>
  <c r="BQ132" i="25" s="1"/>
  <c r="CB133" i="25"/>
  <c r="BV134" i="25"/>
  <c r="BP134" i="25" s="1"/>
  <c r="BQ134" i="25" s="1"/>
  <c r="CB135" i="25"/>
  <c r="BV136" i="25"/>
  <c r="BP136" i="25" s="1"/>
  <c r="BQ136" i="25" s="1"/>
  <c r="CB137" i="25"/>
  <c r="BV138" i="25"/>
  <c r="BP138" i="25" s="1"/>
  <c r="BQ138" i="25" s="1"/>
  <c r="CB139" i="25"/>
  <c r="BV140" i="25"/>
  <c r="BP140" i="25" s="1"/>
  <c r="BQ140" i="25" s="1"/>
  <c r="CB141" i="25"/>
  <c r="BV142" i="25"/>
  <c r="BP142" i="25" s="1"/>
  <c r="BQ142" i="25" s="1"/>
  <c r="AV150" i="25"/>
  <c r="AW150" i="25" s="1"/>
  <c r="BA150" i="25" s="1"/>
  <c r="BB150" i="25" s="1"/>
  <c r="BE150" i="25" s="1"/>
  <c r="BG151" i="25"/>
  <c r="CB151" i="25"/>
  <c r="AV154" i="25"/>
  <c r="AW154" i="25" s="1"/>
  <c r="BA154" i="25" s="1"/>
  <c r="BB154" i="25" s="1"/>
  <c r="BE154" i="25" s="1"/>
  <c r="BG155" i="25"/>
  <c r="CB155" i="25"/>
  <c r="AV158" i="25"/>
  <c r="AW158" i="25" s="1"/>
  <c r="BA158" i="25" s="1"/>
  <c r="BB158" i="25" s="1"/>
  <c r="BE158" i="25" s="1"/>
  <c r="BV106" i="25"/>
  <c r="BP106" i="25" s="1"/>
  <c r="BQ106" i="25" s="1"/>
  <c r="BV113" i="25"/>
  <c r="BP113" i="25" s="1"/>
  <c r="BQ113" i="25" s="1"/>
  <c r="BN129" i="25"/>
  <c r="BN133" i="25"/>
  <c r="BN135" i="25"/>
  <c r="BX152" i="25"/>
  <c r="BU152" i="25" s="1"/>
  <c r="BX156" i="25"/>
  <c r="BU156" i="25" s="1"/>
  <c r="CC159" i="25"/>
  <c r="AV159" i="25"/>
  <c r="AW159" i="25" s="1"/>
  <c r="CC161" i="25"/>
  <c r="BX161" i="25"/>
  <c r="BU161" i="25" s="1"/>
  <c r="BA161" i="25"/>
  <c r="BB161" i="25" s="1"/>
  <c r="BE161" i="25" s="1"/>
  <c r="BG56" i="25"/>
  <c r="AZ57" i="25"/>
  <c r="BC57" i="25" s="1"/>
  <c r="BD57" i="25" s="1"/>
  <c r="CB57" i="25"/>
  <c r="BV58" i="25"/>
  <c r="BP58" i="25" s="1"/>
  <c r="BQ58" i="25" s="1"/>
  <c r="BV59" i="25"/>
  <c r="BP59" i="25" s="1"/>
  <c r="BQ59" i="25" s="1"/>
  <c r="BV60" i="25"/>
  <c r="BP60" i="25" s="1"/>
  <c r="BQ60" i="25" s="1"/>
  <c r="BV61" i="25"/>
  <c r="BP61" i="25" s="1"/>
  <c r="BQ61" i="25" s="1"/>
  <c r="AV62" i="25"/>
  <c r="AW62" i="25" s="1"/>
  <c r="BG63" i="25"/>
  <c r="BL63" i="25"/>
  <c r="BG64" i="25"/>
  <c r="BL64" i="25"/>
  <c r="BG65" i="25"/>
  <c r="BM65" i="25"/>
  <c r="BL65" i="25" s="1"/>
  <c r="BG74" i="25"/>
  <c r="BV74" i="25"/>
  <c r="BP74" i="25" s="1"/>
  <c r="BQ74" i="25" s="1"/>
  <c r="CB75" i="25"/>
  <c r="BI76" i="25"/>
  <c r="BJ76" i="25" s="1"/>
  <c r="AZ77" i="25"/>
  <c r="BC77" i="25" s="1"/>
  <c r="BD77" i="25" s="1"/>
  <c r="BM77" i="25"/>
  <c r="BL77" i="25" s="1"/>
  <c r="BG79" i="25"/>
  <c r="BV79" i="25"/>
  <c r="BP79" i="25" s="1"/>
  <c r="BQ79" i="25" s="1"/>
  <c r="BV80" i="25"/>
  <c r="BP80" i="25" s="1"/>
  <c r="BQ80" i="25" s="1"/>
  <c r="BV81" i="25"/>
  <c r="BP81" i="25" s="1"/>
  <c r="BQ81" i="25" s="1"/>
  <c r="BV82" i="25"/>
  <c r="BP82" i="25" s="1"/>
  <c r="BQ82" i="25" s="1"/>
  <c r="CB83" i="25"/>
  <c r="BI84" i="25"/>
  <c r="BJ84" i="25" s="1"/>
  <c r="BG86" i="25"/>
  <c r="AV86" i="25"/>
  <c r="AW86" i="25" s="1"/>
  <c r="BG87" i="25"/>
  <c r="BV87" i="25"/>
  <c r="BP87" i="25" s="1"/>
  <c r="BQ87" i="25" s="1"/>
  <c r="CB88" i="25"/>
  <c r="BI89" i="25"/>
  <c r="BJ89" i="25" s="1"/>
  <c r="BG91" i="25"/>
  <c r="AV91" i="25"/>
  <c r="AW91" i="25" s="1"/>
  <c r="BG92" i="25"/>
  <c r="BV92" i="25"/>
  <c r="BP92" i="25" s="1"/>
  <c r="BQ92" i="25" s="1"/>
  <c r="CB93" i="25"/>
  <c r="CB94" i="25"/>
  <c r="BI95" i="25"/>
  <c r="BJ95" i="25" s="1"/>
  <c r="BG97" i="25"/>
  <c r="BV97" i="25"/>
  <c r="BP97" i="25" s="1"/>
  <c r="BQ97" i="25" s="1"/>
  <c r="BV98" i="25"/>
  <c r="BP98" i="25" s="1"/>
  <c r="BQ98" i="25" s="1"/>
  <c r="CB99" i="25"/>
  <c r="BI100" i="25"/>
  <c r="BJ100" i="25" s="1"/>
  <c r="BG102" i="25"/>
  <c r="BV102" i="25"/>
  <c r="BP102" i="25" s="1"/>
  <c r="BQ102" i="25" s="1"/>
  <c r="CB104" i="25"/>
  <c r="AV105" i="25"/>
  <c r="AW105" i="25" s="1"/>
  <c r="BA105" i="25" s="1"/>
  <c r="BB105" i="25" s="1"/>
  <c r="BE105" i="25" s="1"/>
  <c r="BG106" i="25"/>
  <c r="CB106" i="25"/>
  <c r="AV107" i="25"/>
  <c r="AW107" i="25" s="1"/>
  <c r="BA107" i="25" s="1"/>
  <c r="BB107" i="25" s="1"/>
  <c r="BE107" i="25" s="1"/>
  <c r="BG108" i="25"/>
  <c r="BM108" i="25"/>
  <c r="BL108" i="25" s="1"/>
  <c r="AZ109" i="25"/>
  <c r="BC109" i="25" s="1"/>
  <c r="BD109" i="25" s="1"/>
  <c r="BI109" i="25"/>
  <c r="BJ109" i="25" s="1"/>
  <c r="BV109" i="25"/>
  <c r="BP109" i="25" s="1"/>
  <c r="BQ109" i="25" s="1"/>
  <c r="AV113" i="25"/>
  <c r="BL113" i="25"/>
  <c r="BK113" i="25" s="1"/>
  <c r="BL114" i="25"/>
  <c r="BK114" i="25" s="1"/>
  <c r="BG115" i="25"/>
  <c r="AV117" i="25"/>
  <c r="BL117" i="25"/>
  <c r="BK117" i="25" s="1"/>
  <c r="CB118" i="25"/>
  <c r="BI119" i="25"/>
  <c r="BJ119" i="25" s="1"/>
  <c r="BG120" i="25"/>
  <c r="AV122" i="25"/>
  <c r="AW122" i="25" s="1"/>
  <c r="BL122" i="25"/>
  <c r="BK122" i="25" s="1"/>
  <c r="CB122" i="25"/>
  <c r="BI123" i="25"/>
  <c r="BJ123" i="25" s="1"/>
  <c r="BG124" i="25"/>
  <c r="AV126" i="25"/>
  <c r="AW126" i="25" s="1"/>
  <c r="BL126" i="25"/>
  <c r="BK126" i="25" s="1"/>
  <c r="CB126" i="25"/>
  <c r="BV127" i="25"/>
  <c r="BP127" i="25" s="1"/>
  <c r="BQ127" i="25" s="1"/>
  <c r="BE128" i="25"/>
  <c r="CB128" i="25"/>
  <c r="BV129" i="25"/>
  <c r="BP129" i="25" s="1"/>
  <c r="BQ129" i="25" s="1"/>
  <c r="BE130" i="25"/>
  <c r="CB130" i="25"/>
  <c r="BV131" i="25"/>
  <c r="BP131" i="25" s="1"/>
  <c r="BQ131" i="25" s="1"/>
  <c r="BE132" i="25"/>
  <c r="CB132" i="25"/>
  <c r="BV133" i="25"/>
  <c r="BP133" i="25" s="1"/>
  <c r="BQ133" i="25" s="1"/>
  <c r="BE134" i="25"/>
  <c r="CB134" i="25"/>
  <c r="BV135" i="25"/>
  <c r="BP135" i="25" s="1"/>
  <c r="BQ135" i="25" s="1"/>
  <c r="BE136" i="25"/>
  <c r="CB136" i="25"/>
  <c r="BV137" i="25"/>
  <c r="BP137" i="25" s="1"/>
  <c r="BQ137" i="25" s="1"/>
  <c r="BE138" i="25"/>
  <c r="CB138" i="25"/>
  <c r="BV139" i="25"/>
  <c r="BP139" i="25" s="1"/>
  <c r="BQ139" i="25" s="1"/>
  <c r="BE140" i="25"/>
  <c r="CB140" i="25"/>
  <c r="BV141" i="25"/>
  <c r="BP141" i="25" s="1"/>
  <c r="BQ141" i="25" s="1"/>
  <c r="BE142" i="25"/>
  <c r="CB142" i="25"/>
  <c r="BL143" i="25"/>
  <c r="BK143" i="25" s="1"/>
  <c r="BL144" i="25"/>
  <c r="BK144" i="25" s="1"/>
  <c r="BL145" i="25"/>
  <c r="BK145" i="25" s="1"/>
  <c r="BV145" i="25"/>
  <c r="BP145" i="25" s="1"/>
  <c r="BQ145" i="25" s="1"/>
  <c r="BL146" i="25"/>
  <c r="BK146" i="25" s="1"/>
  <c r="BV146" i="25"/>
  <c r="BP146" i="25" s="1"/>
  <c r="BQ146" i="25" s="1"/>
  <c r="BL147" i="25"/>
  <c r="BK147" i="25" s="1"/>
  <c r="BL148" i="25"/>
  <c r="BK148" i="25" s="1"/>
  <c r="BV148" i="25"/>
  <c r="BP148" i="25" s="1"/>
  <c r="BQ148" i="25" s="1"/>
  <c r="BE149" i="25"/>
  <c r="BV149" i="25"/>
  <c r="BP149" i="25" s="1"/>
  <c r="BQ149" i="25" s="1"/>
  <c r="AZ150" i="25"/>
  <c r="BC150" i="25" s="1"/>
  <c r="BD150" i="25" s="1"/>
  <c r="BX151" i="25"/>
  <c r="BU151" i="25" s="1"/>
  <c r="AV151" i="25"/>
  <c r="AW151" i="25" s="1"/>
  <c r="BG152" i="25"/>
  <c r="BY152" i="25"/>
  <c r="BS152" i="25" s="1"/>
  <c r="BV152" i="25" s="1"/>
  <c r="BP152" i="25" s="1"/>
  <c r="BQ152" i="25" s="1"/>
  <c r="AV152" i="25"/>
  <c r="BG153" i="25"/>
  <c r="BL153" i="25"/>
  <c r="BK153" i="25" s="1"/>
  <c r="AZ154" i="25"/>
  <c r="BC154" i="25" s="1"/>
  <c r="BD154" i="25" s="1"/>
  <c r="BX155" i="25"/>
  <c r="BU155" i="25" s="1"/>
  <c r="AV155" i="25"/>
  <c r="AW155" i="25" s="1"/>
  <c r="BG156" i="25"/>
  <c r="BY156" i="25"/>
  <c r="BS156" i="25" s="1"/>
  <c r="BV156" i="25" s="1"/>
  <c r="BP156" i="25" s="1"/>
  <c r="BQ156" i="25" s="1"/>
  <c r="AV156" i="25"/>
  <c r="BG157" i="25"/>
  <c r="BL157" i="25"/>
  <c r="BK157" i="25" s="1"/>
  <c r="AZ158" i="25"/>
  <c r="BC158" i="25" s="1"/>
  <c r="BD158" i="25" s="1"/>
  <c r="BX159" i="25"/>
  <c r="BU159" i="25" s="1"/>
  <c r="BV159" i="25" s="1"/>
  <c r="BP159" i="25" s="1"/>
  <c r="BQ159" i="25" s="1"/>
  <c r="BV160" i="25"/>
  <c r="BP160" i="25" s="1"/>
  <c r="BQ160" i="25" s="1"/>
  <c r="AV160" i="25"/>
  <c r="BM160" i="25"/>
  <c r="BL160" i="25" s="1"/>
  <c r="BY171" i="25"/>
  <c r="BS171" i="25" s="1"/>
  <c r="CC171" i="25"/>
  <c r="BX175" i="25"/>
  <c r="BU175" i="25" s="1"/>
  <c r="BL178" i="25"/>
  <c r="BK178" i="25" s="1"/>
  <c r="BL183" i="25"/>
  <c r="BK183" i="25" s="1"/>
  <c r="BL185" i="25"/>
  <c r="BK185" i="25" s="1"/>
  <c r="BN185" i="25"/>
  <c r="BL189" i="25"/>
  <c r="BK189" i="25" s="1"/>
  <c r="BL193" i="25"/>
  <c r="BK193" i="25" s="1"/>
  <c r="BL197" i="25"/>
  <c r="BK197" i="25" s="1"/>
  <c r="BY212" i="25"/>
  <c r="BS212" i="25" s="1"/>
  <c r="CC215" i="25"/>
  <c r="BX215" i="25"/>
  <c r="BU215" i="25" s="1"/>
  <c r="BG216" i="25"/>
  <c r="BA216" i="25"/>
  <c r="BB216" i="25" s="1"/>
  <c r="BM163" i="25"/>
  <c r="BL163" i="25" s="1"/>
  <c r="BV163" i="25"/>
  <c r="BP163" i="25" s="1"/>
  <c r="BQ163" i="25" s="1"/>
  <c r="BE165" i="25"/>
  <c r="AV166" i="25"/>
  <c r="AW166" i="25" s="1"/>
  <c r="BA166" i="25" s="1"/>
  <c r="BB166" i="25" s="1"/>
  <c r="BM166" i="25"/>
  <c r="BL166" i="25" s="1"/>
  <c r="BK166" i="25" s="1"/>
  <c r="BM167" i="25"/>
  <c r="BL167" i="25" s="1"/>
  <c r="BV167" i="25"/>
  <c r="BP167" i="25" s="1"/>
  <c r="BQ167" i="25" s="1"/>
  <c r="BL169" i="25"/>
  <c r="BK169" i="25" s="1"/>
  <c r="CB169" i="25"/>
  <c r="BL170" i="25"/>
  <c r="BK170" i="25" s="1"/>
  <c r="BG174" i="25"/>
  <c r="BL174" i="25"/>
  <c r="BG175" i="25"/>
  <c r="BY175" i="25"/>
  <c r="BS175" i="25" s="1"/>
  <c r="BG176" i="25"/>
  <c r="AV176" i="25"/>
  <c r="AW176" i="25" s="1"/>
  <c r="BA176" i="25" s="1"/>
  <c r="BB176" i="25" s="1"/>
  <c r="BE176" i="25" s="1"/>
  <c r="BL176" i="25"/>
  <c r="BK176" i="25" s="1"/>
  <c r="BO176" i="25"/>
  <c r="AY177" i="25"/>
  <c r="BI177" i="25"/>
  <c r="BJ177" i="25" s="1"/>
  <c r="CB177" i="25"/>
  <c r="BI178" i="25"/>
  <c r="BJ178" i="25" s="1"/>
  <c r="BO178" i="25"/>
  <c r="AV180" i="25"/>
  <c r="AW180" i="25" s="1"/>
  <c r="BM180" i="25"/>
  <c r="BL180" i="25" s="1"/>
  <c r="BK180" i="25" s="1"/>
  <c r="BI183" i="25"/>
  <c r="BJ183" i="25" s="1"/>
  <c r="BO183" i="25"/>
  <c r="AZ184" i="25"/>
  <c r="BC184" i="25" s="1"/>
  <c r="BD184" i="25" s="1"/>
  <c r="AZ186" i="25"/>
  <c r="BC186" i="25" s="1"/>
  <c r="BD186" i="25" s="1"/>
  <c r="BL186" i="25"/>
  <c r="BK186" i="25" s="1"/>
  <c r="BN186" i="25"/>
  <c r="AV187" i="25"/>
  <c r="AW187" i="25" s="1"/>
  <c r="BA187" i="25" s="1"/>
  <c r="BB187" i="25" s="1"/>
  <c r="BM187" i="25"/>
  <c r="BL187" i="25" s="1"/>
  <c r="BK187" i="25" s="1"/>
  <c r="BV187" i="25"/>
  <c r="BP187" i="25" s="1"/>
  <c r="BQ187" i="25" s="1"/>
  <c r="AZ190" i="25"/>
  <c r="BC190" i="25" s="1"/>
  <c r="BD190" i="25" s="1"/>
  <c r="BL190" i="25"/>
  <c r="BK190" i="25" s="1"/>
  <c r="AV191" i="25"/>
  <c r="AW191" i="25" s="1"/>
  <c r="BA191" i="25" s="1"/>
  <c r="BB191" i="25" s="1"/>
  <c r="BM191" i="25"/>
  <c r="BL191" i="25" s="1"/>
  <c r="BK191" i="25" s="1"/>
  <c r="BV191" i="25"/>
  <c r="BP191" i="25" s="1"/>
  <c r="BQ191" i="25" s="1"/>
  <c r="AZ194" i="25"/>
  <c r="BC194" i="25" s="1"/>
  <c r="BD194" i="25" s="1"/>
  <c r="BL194" i="25"/>
  <c r="BK194" i="25" s="1"/>
  <c r="AV195" i="25"/>
  <c r="AW195" i="25" s="1"/>
  <c r="BA195" i="25" s="1"/>
  <c r="BB195" i="25" s="1"/>
  <c r="BM195" i="25"/>
  <c r="BV195" i="25"/>
  <c r="BP195" i="25" s="1"/>
  <c r="BQ195" i="25" s="1"/>
  <c r="AZ198" i="25"/>
  <c r="BC198" i="25" s="1"/>
  <c r="BD198" i="25" s="1"/>
  <c r="BL198" i="25"/>
  <c r="BK198" i="25" s="1"/>
  <c r="BV199" i="25"/>
  <c r="BP199" i="25" s="1"/>
  <c r="BQ199" i="25" s="1"/>
  <c r="AV199" i="25"/>
  <c r="AW199" i="25" s="1"/>
  <c r="BA199" i="25" s="1"/>
  <c r="BB199" i="25" s="1"/>
  <c r="BV201" i="25"/>
  <c r="BP201" i="25" s="1"/>
  <c r="BQ201" i="25" s="1"/>
  <c r="AV201" i="25"/>
  <c r="AW201" i="25" s="1"/>
  <c r="BA201" i="25" s="1"/>
  <c r="BB201" i="25" s="1"/>
  <c r="BV203" i="25"/>
  <c r="BP203" i="25" s="1"/>
  <c r="BQ203" i="25" s="1"/>
  <c r="AV203" i="25"/>
  <c r="AW203" i="25" s="1"/>
  <c r="BA203" i="25" s="1"/>
  <c r="BB203" i="25" s="1"/>
  <c r="BV205" i="25"/>
  <c r="BP205" i="25" s="1"/>
  <c r="BQ205" i="25" s="1"/>
  <c r="AV205" i="25"/>
  <c r="AW205" i="25" s="1"/>
  <c r="BA205" i="25" s="1"/>
  <c r="BB205" i="25" s="1"/>
  <c r="BV207" i="25"/>
  <c r="BP207" i="25" s="1"/>
  <c r="BQ207" i="25" s="1"/>
  <c r="AV207" i="25"/>
  <c r="AW207" i="25" s="1"/>
  <c r="BA207" i="25" s="1"/>
  <c r="BB207" i="25" s="1"/>
  <c r="BV209" i="25"/>
  <c r="BP209" i="25" s="1"/>
  <c r="BQ209" i="25" s="1"/>
  <c r="AV209" i="25"/>
  <c r="AW209" i="25" s="1"/>
  <c r="BA209" i="25" s="1"/>
  <c r="BB209" i="25" s="1"/>
  <c r="BV211" i="25"/>
  <c r="BP211" i="25" s="1"/>
  <c r="BQ211" i="25" s="1"/>
  <c r="AV211" i="25"/>
  <c r="AW211" i="25" s="1"/>
  <c r="BA211" i="25" s="1"/>
  <c r="BB211" i="25" s="1"/>
  <c r="AV214" i="25"/>
  <c r="BM214" i="25"/>
  <c r="BL214" i="25" s="1"/>
  <c r="BO215" i="25"/>
  <c r="BI215" i="25"/>
  <c r="BJ215" i="25" s="1"/>
  <c r="BL161" i="25"/>
  <c r="BK161" i="25" s="1"/>
  <c r="BV164" i="25"/>
  <c r="BP164" i="25" s="1"/>
  <c r="BQ164" i="25" s="1"/>
  <c r="BL165" i="25"/>
  <c r="BK165" i="25" s="1"/>
  <c r="BV168" i="25"/>
  <c r="BP168" i="25" s="1"/>
  <c r="BQ168" i="25" s="1"/>
  <c r="AV173" i="25"/>
  <c r="AW173" i="25" s="1"/>
  <c r="BL173" i="25"/>
  <c r="BK173" i="25" s="1"/>
  <c r="BM173" i="25"/>
  <c r="BV174" i="25"/>
  <c r="BP174" i="25" s="1"/>
  <c r="BQ174" i="25" s="1"/>
  <c r="BI176" i="25"/>
  <c r="BJ176" i="25" s="1"/>
  <c r="AZ180" i="25"/>
  <c r="BC180" i="25" s="1"/>
  <c r="BD180" i="25" s="1"/>
  <c r="BI180" i="25"/>
  <c r="BJ180" i="25" s="1"/>
  <c r="BT180" i="25"/>
  <c r="BV180" i="25" s="1"/>
  <c r="BP180" i="25" s="1"/>
  <c r="BQ180" i="25" s="1"/>
  <c r="BA185" i="25"/>
  <c r="BB185" i="25" s="1"/>
  <c r="AY186" i="25"/>
  <c r="BA186" i="25" s="1"/>
  <c r="BB186" i="25" s="1"/>
  <c r="BE186" i="25" s="1"/>
  <c r="AV188" i="25"/>
  <c r="AW188" i="25" s="1"/>
  <c r="BA188" i="25" s="1"/>
  <c r="BB188" i="25" s="1"/>
  <c r="BE188" i="25" s="1"/>
  <c r="AY190" i="25"/>
  <c r="BA190" i="25" s="1"/>
  <c r="BB190" i="25" s="1"/>
  <c r="BE190" i="25" s="1"/>
  <c r="AV192" i="25"/>
  <c r="AW192" i="25" s="1"/>
  <c r="BA192" i="25" s="1"/>
  <c r="BB192" i="25" s="1"/>
  <c r="BE192" i="25" s="1"/>
  <c r="AY194" i="25"/>
  <c r="BA194" i="25" s="1"/>
  <c r="BB194" i="25" s="1"/>
  <c r="BE194" i="25" s="1"/>
  <c r="BL195" i="25"/>
  <c r="BK195" i="25" s="1"/>
  <c r="AV196" i="25"/>
  <c r="AW196" i="25" s="1"/>
  <c r="BA196" i="25" s="1"/>
  <c r="BB196" i="25" s="1"/>
  <c r="BE196" i="25" s="1"/>
  <c r="AY198" i="25"/>
  <c r="BA198" i="25" s="1"/>
  <c r="BB198" i="25" s="1"/>
  <c r="BE198" i="25" s="1"/>
  <c r="BM215" i="25"/>
  <c r="BL215" i="25" s="1"/>
  <c r="BK215" i="25" s="1"/>
  <c r="CB216" i="25"/>
  <c r="BI161" i="25"/>
  <c r="BJ161" i="25" s="1"/>
  <c r="BI162" i="25"/>
  <c r="BJ162" i="25" s="1"/>
  <c r="CB162" i="25"/>
  <c r="BI163" i="25"/>
  <c r="BJ163" i="25" s="1"/>
  <c r="BI164" i="25"/>
  <c r="BJ164" i="25" s="1"/>
  <c r="BI165" i="25"/>
  <c r="BJ165" i="25" s="1"/>
  <c r="BX165" i="25"/>
  <c r="BU165" i="25" s="1"/>
  <c r="BI166" i="25"/>
  <c r="BJ166" i="25" s="1"/>
  <c r="CB166" i="25"/>
  <c r="BI167" i="25"/>
  <c r="BJ167" i="25" s="1"/>
  <c r="BI168" i="25"/>
  <c r="BJ168" i="25" s="1"/>
  <c r="AZ169" i="25"/>
  <c r="BC169" i="25" s="1"/>
  <c r="BD169" i="25" s="1"/>
  <c r="BI170" i="25"/>
  <c r="BJ170" i="25" s="1"/>
  <c r="BY170" i="25"/>
  <c r="BS170" i="25" s="1"/>
  <c r="CB172" i="25"/>
  <c r="CB174" i="25"/>
  <c r="AV177" i="25"/>
  <c r="AW177" i="25" s="1"/>
  <c r="AZ181" i="25"/>
  <c r="BC181" i="25" s="1"/>
  <c r="BD181" i="25" s="1"/>
  <c r="BI181" i="25"/>
  <c r="BJ181" i="25" s="1"/>
  <c r="CB181" i="25"/>
  <c r="AV182" i="25"/>
  <c r="AW182" i="25" s="1"/>
  <c r="BL182" i="25"/>
  <c r="BK182" i="25" s="1"/>
  <c r="CB182" i="25"/>
  <c r="AV183" i="25"/>
  <c r="AW183" i="25" s="1"/>
  <c r="BV183" i="25"/>
  <c r="BP183" i="25" s="1"/>
  <c r="BQ183" i="25" s="1"/>
  <c r="BI184" i="25"/>
  <c r="BJ184" i="25" s="1"/>
  <c r="CB184" i="25"/>
  <c r="BV185" i="25"/>
  <c r="BP185" i="25" s="1"/>
  <c r="BQ185" i="25" s="1"/>
  <c r="BI187" i="25"/>
  <c r="BJ187" i="25" s="1"/>
  <c r="BL188" i="25"/>
  <c r="BK188" i="25" s="1"/>
  <c r="CB188" i="25"/>
  <c r="AV189" i="25"/>
  <c r="AW189" i="25" s="1"/>
  <c r="BA189" i="25" s="1"/>
  <c r="BB189" i="25" s="1"/>
  <c r="BV189" i="25"/>
  <c r="BP189" i="25" s="1"/>
  <c r="BQ189" i="25" s="1"/>
  <c r="BI191" i="25"/>
  <c r="BJ191" i="25" s="1"/>
  <c r="BL192" i="25"/>
  <c r="BK192" i="25" s="1"/>
  <c r="CB192" i="25"/>
  <c r="AV193" i="25"/>
  <c r="AW193" i="25" s="1"/>
  <c r="BA193" i="25" s="1"/>
  <c r="BB193" i="25" s="1"/>
  <c r="BV193" i="25"/>
  <c r="BP193" i="25" s="1"/>
  <c r="BQ193" i="25" s="1"/>
  <c r="BI195" i="25"/>
  <c r="BJ195" i="25" s="1"/>
  <c r="BL196" i="25"/>
  <c r="BK196" i="25" s="1"/>
  <c r="CB196" i="25"/>
  <c r="AV197" i="25"/>
  <c r="AW197" i="25" s="1"/>
  <c r="BA197" i="25" s="1"/>
  <c r="BB197" i="25" s="1"/>
  <c r="BV197" i="25"/>
  <c r="BP197" i="25" s="1"/>
  <c r="BQ197" i="25" s="1"/>
  <c r="BI199" i="25"/>
  <c r="BJ199" i="25" s="1"/>
  <c r="BO199" i="25"/>
  <c r="CB199" i="25"/>
  <c r="BL200" i="25"/>
  <c r="BK200" i="25" s="1"/>
  <c r="AV200" i="25"/>
  <c r="AW200" i="25" s="1"/>
  <c r="BA200" i="25" s="1"/>
  <c r="BB200" i="25" s="1"/>
  <c r="BI201" i="25"/>
  <c r="BJ201" i="25" s="1"/>
  <c r="BO201" i="25"/>
  <c r="CB201" i="25"/>
  <c r="BL202" i="25"/>
  <c r="BK202" i="25" s="1"/>
  <c r="AV202" i="25"/>
  <c r="AW202" i="25" s="1"/>
  <c r="BA202" i="25" s="1"/>
  <c r="BB202" i="25" s="1"/>
  <c r="BI203" i="25"/>
  <c r="BJ203" i="25" s="1"/>
  <c r="BO203" i="25"/>
  <c r="CB203" i="25"/>
  <c r="BL204" i="25"/>
  <c r="BK204" i="25" s="1"/>
  <c r="AV204" i="25"/>
  <c r="AW204" i="25" s="1"/>
  <c r="BA204" i="25" s="1"/>
  <c r="BB204" i="25" s="1"/>
  <c r="BI205" i="25"/>
  <c r="BJ205" i="25" s="1"/>
  <c r="BO205" i="25"/>
  <c r="CB205" i="25"/>
  <c r="BL206" i="25"/>
  <c r="BK206" i="25" s="1"/>
  <c r="AV206" i="25"/>
  <c r="AW206" i="25" s="1"/>
  <c r="BA206" i="25" s="1"/>
  <c r="BB206" i="25" s="1"/>
  <c r="BI207" i="25"/>
  <c r="BJ207" i="25" s="1"/>
  <c r="BO207" i="25"/>
  <c r="CB207" i="25"/>
  <c r="BL208" i="25"/>
  <c r="BK208" i="25" s="1"/>
  <c r="AV208" i="25"/>
  <c r="AW208" i="25" s="1"/>
  <c r="BA208" i="25" s="1"/>
  <c r="BB208" i="25" s="1"/>
  <c r="BE208" i="25" s="1"/>
  <c r="BI209" i="25"/>
  <c r="BJ209" i="25" s="1"/>
  <c r="BO209" i="25"/>
  <c r="CB209" i="25"/>
  <c r="BL210" i="25"/>
  <c r="BK210" i="25" s="1"/>
  <c r="AV210" i="25"/>
  <c r="AW210" i="25" s="1"/>
  <c r="BA210" i="25" s="1"/>
  <c r="BB210" i="25" s="1"/>
  <c r="BE210" i="25" s="1"/>
  <c r="BI211" i="25"/>
  <c r="BJ211" i="25" s="1"/>
  <c r="BO211" i="25"/>
  <c r="CB211" i="25"/>
  <c r="BX212" i="25"/>
  <c r="BU212" i="25" s="1"/>
  <c r="AV212" i="25"/>
  <c r="AW212" i="25" s="1"/>
  <c r="BL213" i="25"/>
  <c r="BM221" i="25"/>
  <c r="BL221" i="25" s="1"/>
  <c r="BG222" i="25"/>
  <c r="CB222" i="25"/>
  <c r="CB233" i="25"/>
  <c r="CB234" i="25"/>
  <c r="CB235" i="25"/>
  <c r="BL236" i="25"/>
  <c r="BK236" i="25" s="1"/>
  <c r="CB236" i="25"/>
  <c r="BL237" i="25"/>
  <c r="BK237" i="25" s="1"/>
  <c r="BT237" i="25"/>
  <c r="BG238" i="25"/>
  <c r="BV238" i="25"/>
  <c r="BP238" i="25" s="1"/>
  <c r="BQ238" i="25" s="1"/>
  <c r="AZ239" i="25"/>
  <c r="BC239" i="25" s="1"/>
  <c r="BD239" i="25" s="1"/>
  <c r="CB240" i="25"/>
  <c r="BL241" i="25"/>
  <c r="BK241" i="25" s="1"/>
  <c r="BG242" i="25"/>
  <c r="BV242" i="25"/>
  <c r="BP242" i="25" s="1"/>
  <c r="BQ242" i="25" s="1"/>
  <c r="CB244" i="25"/>
  <c r="BL245" i="25"/>
  <c r="BK245" i="25" s="1"/>
  <c r="BG246" i="25"/>
  <c r="BV246" i="25"/>
  <c r="BP246" i="25" s="1"/>
  <c r="BQ246" i="25" s="1"/>
  <c r="CB248" i="25"/>
  <c r="BY249" i="25"/>
  <c r="BS249" i="25" s="1"/>
  <c r="BI253" i="25"/>
  <c r="BJ253" i="25" s="1"/>
  <c r="CB254" i="25"/>
  <c r="BM257" i="25"/>
  <c r="BL257" i="25" s="1"/>
  <c r="CB258" i="25"/>
  <c r="BM262" i="25"/>
  <c r="BX262" i="25"/>
  <c r="BU262" i="25" s="1"/>
  <c r="BG264" i="25"/>
  <c r="BA264" i="25"/>
  <c r="BB264" i="25" s="1"/>
  <c r="CB265" i="25"/>
  <c r="BM266" i="25"/>
  <c r="BA269" i="25"/>
  <c r="BB269" i="25" s="1"/>
  <c r="BE269" i="25" s="1"/>
  <c r="BG270" i="25"/>
  <c r="BA270" i="25"/>
  <c r="BB270" i="25" s="1"/>
  <c r="BG272" i="25"/>
  <c r="AV272" i="25"/>
  <c r="AW272" i="25" s="1"/>
  <c r="BA272" i="25" s="1"/>
  <c r="BB272" i="25" s="1"/>
  <c r="BI272" i="25"/>
  <c r="BJ272" i="25" s="1"/>
  <c r="BO272" i="25"/>
  <c r="CB272" i="25"/>
  <c r="BG273" i="25"/>
  <c r="BA273" i="25"/>
  <c r="BB273" i="25" s="1"/>
  <c r="BV273" i="25"/>
  <c r="BP273" i="25" s="1"/>
  <c r="BQ273" i="25" s="1"/>
  <c r="CB275" i="25"/>
  <c r="BL276" i="25"/>
  <c r="BK276" i="25" s="1"/>
  <c r="BT276" i="25"/>
  <c r="BG277" i="25"/>
  <c r="BA277" i="25"/>
  <c r="BB277" i="25" s="1"/>
  <c r="BV277" i="25"/>
  <c r="BP277" i="25" s="1"/>
  <c r="BQ277" i="25" s="1"/>
  <c r="CB278" i="25"/>
  <c r="BV279" i="25"/>
  <c r="BP279" i="25" s="1"/>
  <c r="BQ279" i="25" s="1"/>
  <c r="BT280" i="25"/>
  <c r="BV280" i="25" s="1"/>
  <c r="BP280" i="25" s="1"/>
  <c r="BQ280" i="25" s="1"/>
  <c r="BM280" i="25"/>
  <c r="BO284" i="25"/>
  <c r="BI284" i="25"/>
  <c r="BJ284" i="25" s="1"/>
  <c r="AV284" i="25"/>
  <c r="AW284" i="25" s="1"/>
  <c r="BA284" i="25" s="1"/>
  <c r="BB284" i="25" s="1"/>
  <c r="BE284" i="25" s="1"/>
  <c r="BT284" i="25"/>
  <c r="BV219" i="25"/>
  <c r="BP219" i="25" s="1"/>
  <c r="BQ219" i="25" s="1"/>
  <c r="AV219" i="25"/>
  <c r="AW219" i="25" s="1"/>
  <c r="BA219" i="25" s="1"/>
  <c r="BB219" i="25" s="1"/>
  <c r="BX223" i="25"/>
  <c r="BU223" i="25" s="1"/>
  <c r="BV237" i="25"/>
  <c r="BP237" i="25" s="1"/>
  <c r="BQ237" i="25" s="1"/>
  <c r="BV241" i="25"/>
  <c r="BP241" i="25" s="1"/>
  <c r="BQ241" i="25" s="1"/>
  <c r="BA253" i="25"/>
  <c r="BB253" i="25" s="1"/>
  <c r="BE253" i="25" s="1"/>
  <c r="BV256" i="25"/>
  <c r="BP256" i="25" s="1"/>
  <c r="BQ256" i="25" s="1"/>
  <c r="BL262" i="25"/>
  <c r="BY262" i="25"/>
  <c r="BS262" i="25" s="1"/>
  <c r="BK265" i="25"/>
  <c r="BL266" i="25"/>
  <c r="BX268" i="25"/>
  <c r="BU268" i="25" s="1"/>
  <c r="BV276" i="25"/>
  <c r="BP276" i="25" s="1"/>
  <c r="BQ276" i="25" s="1"/>
  <c r="BO283" i="25"/>
  <c r="BI283" i="25"/>
  <c r="BJ283" i="25" s="1"/>
  <c r="AV283" i="25"/>
  <c r="AW283" i="25" s="1"/>
  <c r="BA283" i="25" s="1"/>
  <c r="BB283" i="25" s="1"/>
  <c r="BT283" i="25"/>
  <c r="AW288" i="25"/>
  <c r="BA288" i="25" s="1"/>
  <c r="BB288" i="25" s="1"/>
  <c r="AZ288" i="25"/>
  <c r="BC288" i="25" s="1"/>
  <c r="BD288" i="25" s="1"/>
  <c r="BG213" i="25"/>
  <c r="BV213" i="25"/>
  <c r="BP213" i="25" s="1"/>
  <c r="BQ213" i="25" s="1"/>
  <c r="AV213" i="25"/>
  <c r="BG217" i="25"/>
  <c r="AV217" i="25"/>
  <c r="AW217" i="25" s="1"/>
  <c r="BA217" i="25" s="1"/>
  <c r="BB217" i="25" s="1"/>
  <c r="BL217" i="25"/>
  <c r="BK217" i="25" s="1"/>
  <c r="AY218" i="25"/>
  <c r="BI218" i="25"/>
  <c r="BJ218" i="25" s="1"/>
  <c r="CB218" i="25"/>
  <c r="BI221" i="25"/>
  <c r="BJ221" i="25" s="1"/>
  <c r="AV222" i="25"/>
  <c r="AW222" i="25" s="1"/>
  <c r="BG223" i="25"/>
  <c r="BL223" i="25"/>
  <c r="BY223" i="25"/>
  <c r="BS223" i="25" s="1"/>
  <c r="BG225" i="25"/>
  <c r="BI225" i="25"/>
  <c r="BJ225" i="25" s="1"/>
  <c r="BG226" i="25"/>
  <c r="AV226" i="25"/>
  <c r="AW226" i="25" s="1"/>
  <c r="BI226" i="25"/>
  <c r="BJ226" i="25" s="1"/>
  <c r="CB226" i="25"/>
  <c r="AV227" i="25"/>
  <c r="BL227" i="25"/>
  <c r="BK227" i="25" s="1"/>
  <c r="CB227" i="25"/>
  <c r="BG228" i="25"/>
  <c r="BL228" i="25"/>
  <c r="BK228" i="25" s="1"/>
  <c r="BV228" i="25"/>
  <c r="BP228" i="25" s="1"/>
  <c r="BQ228" i="25" s="1"/>
  <c r="BG229" i="25"/>
  <c r="AV229" i="25"/>
  <c r="AW229" i="25" s="1"/>
  <c r="BG230" i="25"/>
  <c r="AV230" i="25"/>
  <c r="AW230" i="25" s="1"/>
  <c r="BI230" i="25"/>
  <c r="BJ230" i="25" s="1"/>
  <c r="BG231" i="25"/>
  <c r="AV231" i="25"/>
  <c r="AW231" i="25" s="1"/>
  <c r="BI231" i="25"/>
  <c r="BJ231" i="25" s="1"/>
  <c r="BG232" i="25"/>
  <c r="AV232" i="25"/>
  <c r="AW232" i="25" s="1"/>
  <c r="BI232" i="25"/>
  <c r="BJ232" i="25" s="1"/>
  <c r="BG233" i="25"/>
  <c r="BV233" i="25"/>
  <c r="BP233" i="25" s="1"/>
  <c r="BQ233" i="25" s="1"/>
  <c r="BM238" i="25"/>
  <c r="BL239" i="25"/>
  <c r="BK239" i="25" s="1"/>
  <c r="BV240" i="25"/>
  <c r="BP240" i="25" s="1"/>
  <c r="BQ240" i="25" s="1"/>
  <c r="AZ241" i="25"/>
  <c r="BC241" i="25" s="1"/>
  <c r="BD241" i="25" s="1"/>
  <c r="CB242" i="25"/>
  <c r="BL243" i="25"/>
  <c r="BK243" i="25" s="1"/>
  <c r="BG244" i="25"/>
  <c r="BV244" i="25"/>
  <c r="BP244" i="25" s="1"/>
  <c r="BQ244" i="25" s="1"/>
  <c r="AZ245" i="25"/>
  <c r="BC245" i="25" s="1"/>
  <c r="BD245" i="25" s="1"/>
  <c r="CB246" i="25"/>
  <c r="BL247" i="25"/>
  <c r="BK247" i="25" s="1"/>
  <c r="BG248" i="25"/>
  <c r="BV248" i="25"/>
  <c r="BP248" i="25" s="1"/>
  <c r="BQ248" i="25" s="1"/>
  <c r="BL250" i="25"/>
  <c r="BY250" i="25"/>
  <c r="BS250" i="25" s="1"/>
  <c r="BL252" i="25"/>
  <c r="BK252" i="25" s="1"/>
  <c r="BX252" i="25"/>
  <c r="BU252" i="25" s="1"/>
  <c r="BY253" i="25"/>
  <c r="BS253" i="25" s="1"/>
  <c r="BG255" i="25"/>
  <c r="BM255" i="25"/>
  <c r="BL255" i="25" s="1"/>
  <c r="BI256" i="25"/>
  <c r="BJ256" i="25" s="1"/>
  <c r="CB256" i="25"/>
  <c r="BG259" i="25"/>
  <c r="AV259" i="25"/>
  <c r="AW259" i="25" s="1"/>
  <c r="BI259" i="25"/>
  <c r="BJ259" i="25" s="1"/>
  <c r="AY260" i="25"/>
  <c r="BA260" i="25" s="1"/>
  <c r="BI260" i="25"/>
  <c r="BJ260" i="25" s="1"/>
  <c r="BG262" i="25"/>
  <c r="AV262" i="25"/>
  <c r="AW262" i="25" s="1"/>
  <c r="BA262" i="25" s="1"/>
  <c r="BB262" i="25" s="1"/>
  <c r="BI262" i="25"/>
  <c r="BJ262" i="25" s="1"/>
  <c r="BO265" i="25"/>
  <c r="BI266" i="25"/>
  <c r="BJ266" i="25" s="1"/>
  <c r="CB267" i="25"/>
  <c r="AV267" i="25"/>
  <c r="BG268" i="25"/>
  <c r="AV268" i="25"/>
  <c r="AW268" i="25" s="1"/>
  <c r="BI268" i="25"/>
  <c r="BJ268" i="25" s="1"/>
  <c r="CB268" i="25"/>
  <c r="CB269" i="25"/>
  <c r="BE270" i="25"/>
  <c r="BM270" i="25"/>
  <c r="BL270" i="25" s="1"/>
  <c r="BK270" i="25" s="1"/>
  <c r="BX270" i="25"/>
  <c r="BU270" i="25" s="1"/>
  <c r="BE272" i="25"/>
  <c r="BE273" i="25"/>
  <c r="BM273" i="25"/>
  <c r="CB273" i="25"/>
  <c r="BL274" i="25"/>
  <c r="BK274" i="25" s="1"/>
  <c r="BG275" i="25"/>
  <c r="BV275" i="25"/>
  <c r="BP275" i="25" s="1"/>
  <c r="BQ275" i="25" s="1"/>
  <c r="BE277" i="25"/>
  <c r="BM277" i="25"/>
  <c r="CB277" i="25"/>
  <c r="BM279" i="25"/>
  <c r="BL279" i="25" s="1"/>
  <c r="BK279" i="25" s="1"/>
  <c r="CB279" i="25"/>
  <c r="BO280" i="25"/>
  <c r="BO282" i="25"/>
  <c r="BI282" i="25"/>
  <c r="BJ282" i="25" s="1"/>
  <c r="AV282" i="25"/>
  <c r="AW282" i="25" s="1"/>
  <c r="BA282" i="25" s="1"/>
  <c r="BB282" i="25" s="1"/>
  <c r="BE282" i="25" s="1"/>
  <c r="BT282" i="25"/>
  <c r="BE283" i="25"/>
  <c r="BE216" i="25"/>
  <c r="BI217" i="25"/>
  <c r="BJ217" i="25" s="1"/>
  <c r="AV218" i="25"/>
  <c r="AW218" i="25" s="1"/>
  <c r="BI219" i="25"/>
  <c r="BJ219" i="25" s="1"/>
  <c r="BO219" i="25"/>
  <c r="CB219" i="25"/>
  <c r="BL220" i="25"/>
  <c r="BK220" i="25" s="1"/>
  <c r="AV220" i="25"/>
  <c r="AW220" i="25" s="1"/>
  <c r="BA220" i="25" s="1"/>
  <c r="BB220" i="25" s="1"/>
  <c r="BE220" i="25" s="1"/>
  <c r="BG221" i="25"/>
  <c r="CB221" i="25"/>
  <c r="BV222" i="25"/>
  <c r="BP222" i="25" s="1"/>
  <c r="BQ222" i="25" s="1"/>
  <c r="BL224" i="25"/>
  <c r="BK224" i="25" s="1"/>
  <c r="AZ226" i="25"/>
  <c r="BC226" i="25" s="1"/>
  <c r="BD226" i="25" s="1"/>
  <c r="BG227" i="25"/>
  <c r="BV229" i="25"/>
  <c r="BP229" i="25" s="1"/>
  <c r="BQ229" i="25" s="1"/>
  <c r="CB237" i="25"/>
  <c r="BL238" i="25"/>
  <c r="BK238" i="25" s="1"/>
  <c r="BG239" i="25"/>
  <c r="BV239" i="25"/>
  <c r="BP239" i="25" s="1"/>
  <c r="BQ239" i="25" s="1"/>
  <c r="AZ240" i="25"/>
  <c r="BC240" i="25" s="1"/>
  <c r="BD240" i="25" s="1"/>
  <c r="CB241" i="25"/>
  <c r="BL242" i="25"/>
  <c r="BK242" i="25" s="1"/>
  <c r="BG243" i="25"/>
  <c r="BV243" i="25"/>
  <c r="BP243" i="25" s="1"/>
  <c r="BQ243" i="25" s="1"/>
  <c r="AZ244" i="25"/>
  <c r="BC244" i="25" s="1"/>
  <c r="BD244" i="25" s="1"/>
  <c r="CB245" i="25"/>
  <c r="BL246" i="25"/>
  <c r="BK246" i="25" s="1"/>
  <c r="BG247" i="25"/>
  <c r="BV247" i="25"/>
  <c r="BP247" i="25" s="1"/>
  <c r="BQ247" i="25" s="1"/>
  <c r="AZ248" i="25"/>
  <c r="BC248" i="25" s="1"/>
  <c r="BD248" i="25" s="1"/>
  <c r="BL249" i="25"/>
  <c r="CC249" i="25"/>
  <c r="AV249" i="25"/>
  <c r="AW249" i="25" s="1"/>
  <c r="BA249" i="25" s="1"/>
  <c r="BB249" i="25" s="1"/>
  <c r="BE249" i="25" s="1"/>
  <c r="BG250" i="25"/>
  <c r="BA250" i="25"/>
  <c r="BB250" i="25" s="1"/>
  <c r="BE250" i="25" s="1"/>
  <c r="AV251" i="25"/>
  <c r="BG252" i="25"/>
  <c r="AV252" i="25"/>
  <c r="AW252" i="25" s="1"/>
  <c r="BI252" i="25"/>
  <c r="BJ252" i="25" s="1"/>
  <c r="CB252" i="25"/>
  <c r="CB253" i="25"/>
  <c r="BV254" i="25"/>
  <c r="BP254" i="25" s="1"/>
  <c r="BQ254" i="25" s="1"/>
  <c r="BM256" i="25"/>
  <c r="BL256" i="25" s="1"/>
  <c r="BI257" i="25"/>
  <c r="BJ257" i="25" s="1"/>
  <c r="CB257" i="25"/>
  <c r="BI265" i="25"/>
  <c r="BJ265" i="25" s="1"/>
  <c r="AZ266" i="25"/>
  <c r="BC266" i="25" s="1"/>
  <c r="BD266" i="25" s="1"/>
  <c r="BL267" i="25"/>
  <c r="BK267" i="25" s="1"/>
  <c r="BI269" i="25"/>
  <c r="BJ269" i="25" s="1"/>
  <c r="BY270" i="25"/>
  <c r="BS270" i="25" s="1"/>
  <c r="BO271" i="25"/>
  <c r="BL272" i="25"/>
  <c r="BK272" i="25" s="1"/>
  <c r="BX272" i="25"/>
  <c r="BU272" i="25" s="1"/>
  <c r="BL273" i="25"/>
  <c r="BK273" i="25" s="1"/>
  <c r="BG274" i="25"/>
  <c r="BV274" i="25"/>
  <c r="BP274" i="25" s="1"/>
  <c r="BQ274" i="25" s="1"/>
  <c r="CB276" i="25"/>
  <c r="BL277" i="25"/>
  <c r="BK277" i="25" s="1"/>
  <c r="BG280" i="25"/>
  <c r="AV280" i="25"/>
  <c r="AW280" i="25" s="1"/>
  <c r="BI280" i="25"/>
  <c r="BJ280" i="25" s="1"/>
  <c r="BO281" i="25"/>
  <c r="BI281" i="25"/>
  <c r="BJ281" i="25" s="1"/>
  <c r="AV281" i="25"/>
  <c r="AW281" i="25" s="1"/>
  <c r="BA281" i="25" s="1"/>
  <c r="BB281" i="25" s="1"/>
  <c r="BE281" i="25" s="1"/>
  <c r="BT281" i="25"/>
  <c r="CB287" i="25"/>
  <c r="CB289" i="25"/>
  <c r="BG293" i="25"/>
  <c r="BA293" i="25"/>
  <c r="BB293" i="25" s="1"/>
  <c r="BG296" i="25"/>
  <c r="BA296" i="25"/>
  <c r="BB296" i="25" s="1"/>
  <c r="BM297" i="25"/>
  <c r="BL297" i="25" s="1"/>
  <c r="BK297" i="25" s="1"/>
  <c r="BG298" i="25"/>
  <c r="BA298" i="25"/>
  <c r="BB298" i="25" s="1"/>
  <c r="BV300" i="25"/>
  <c r="BP300" i="25" s="1"/>
  <c r="BQ300" i="25" s="1"/>
  <c r="BX302" i="25"/>
  <c r="BU302" i="25" s="1"/>
  <c r="BL303" i="25"/>
  <c r="BK303" i="25" s="1"/>
  <c r="BV304" i="25"/>
  <c r="BP304" i="25" s="1"/>
  <c r="BQ304" i="25" s="1"/>
  <c r="BA306" i="25"/>
  <c r="BB306" i="25" s="1"/>
  <c r="BE306" i="25" s="1"/>
  <c r="BL315" i="25"/>
  <c r="BK315" i="25" s="1"/>
  <c r="CB316" i="25"/>
  <c r="BL319" i="25"/>
  <c r="BK319" i="25" s="1"/>
  <c r="BO319" i="25"/>
  <c r="BG320" i="25"/>
  <c r="BT320" i="25"/>
  <c r="BV320" i="25" s="1"/>
  <c r="BP320" i="25" s="1"/>
  <c r="BQ320" i="25" s="1"/>
  <c r="BG321" i="25"/>
  <c r="BT321" i="25"/>
  <c r="BV321" i="25" s="1"/>
  <c r="BP321" i="25" s="1"/>
  <c r="BQ321" i="25" s="1"/>
  <c r="BM321" i="25"/>
  <c r="AZ338" i="25"/>
  <c r="BC338" i="25" s="1"/>
  <c r="BD338" i="25" s="1"/>
  <c r="AW339" i="25"/>
  <c r="AZ339" i="25"/>
  <c r="BC339" i="25" s="1"/>
  <c r="BD339" i="25" s="1"/>
  <c r="BN291" i="25"/>
  <c r="BV301" i="25"/>
  <c r="BP301" i="25" s="1"/>
  <c r="BQ301" i="25" s="1"/>
  <c r="BV303" i="25"/>
  <c r="BP303" i="25" s="1"/>
  <c r="BQ303" i="25" s="1"/>
  <c r="AZ304" i="25"/>
  <c r="BC304" i="25" s="1"/>
  <c r="BD304" i="25" s="1"/>
  <c r="BN316" i="25"/>
  <c r="BG278" i="25"/>
  <c r="BV278" i="25"/>
  <c r="BP278" i="25" s="1"/>
  <c r="BQ278" i="25" s="1"/>
  <c r="CB280" i="25"/>
  <c r="BL281" i="25"/>
  <c r="BK281" i="25" s="1"/>
  <c r="BL282" i="25"/>
  <c r="BK282" i="25" s="1"/>
  <c r="BL283" i="25"/>
  <c r="BK283" i="25" s="1"/>
  <c r="BL284" i="25"/>
  <c r="BK284" i="25" s="1"/>
  <c r="BL285" i="25"/>
  <c r="BK285" i="25" s="1"/>
  <c r="BT285" i="25"/>
  <c r="BT286" i="25"/>
  <c r="BV286" i="25" s="1"/>
  <c r="BP286" i="25" s="1"/>
  <c r="BQ286" i="25" s="1"/>
  <c r="CB286" i="25"/>
  <c r="BI288" i="25"/>
  <c r="BJ288" i="25" s="1"/>
  <c r="CB288" i="25"/>
  <c r="BT290" i="25"/>
  <c r="BV290" i="25" s="1"/>
  <c r="BP290" i="25" s="1"/>
  <c r="BQ290" i="25" s="1"/>
  <c r="BG291" i="25"/>
  <c r="AV291" i="25"/>
  <c r="AW291" i="25" s="1"/>
  <c r="BI291" i="25"/>
  <c r="BJ291" i="25" s="1"/>
  <c r="CB291" i="25"/>
  <c r="BL292" i="25"/>
  <c r="BN292" i="25"/>
  <c r="BV292" i="25"/>
  <c r="BP292" i="25" s="1"/>
  <c r="BQ292" i="25" s="1"/>
  <c r="BM293" i="25"/>
  <c r="BG294" i="25"/>
  <c r="AV294" i="25"/>
  <c r="AW294" i="25" s="1"/>
  <c r="BA294" i="25" s="1"/>
  <c r="BB294" i="25" s="1"/>
  <c r="BE294" i="25" s="1"/>
  <c r="BI294" i="25"/>
  <c r="BJ294" i="25" s="1"/>
  <c r="BT294" i="25"/>
  <c r="BV294" i="25" s="1"/>
  <c r="BP294" i="25" s="1"/>
  <c r="BQ294" i="25" s="1"/>
  <c r="BM296" i="25"/>
  <c r="BG297" i="25"/>
  <c r="AV297" i="25"/>
  <c r="AW297" i="25" s="1"/>
  <c r="BA297" i="25" s="1"/>
  <c r="BB297" i="25" s="1"/>
  <c r="BE297" i="25" s="1"/>
  <c r="BI297" i="25"/>
  <c r="BJ297" i="25" s="1"/>
  <c r="BV298" i="25"/>
  <c r="BP298" i="25" s="1"/>
  <c r="BQ298" i="25" s="1"/>
  <c r="BO300" i="25"/>
  <c r="AZ302" i="25"/>
  <c r="BC302" i="25" s="1"/>
  <c r="BD302" i="25" s="1"/>
  <c r="AZ303" i="25"/>
  <c r="BC303" i="25" s="1"/>
  <c r="BD303" i="25" s="1"/>
  <c r="CB304" i="25"/>
  <c r="BL305" i="25"/>
  <c r="BK305" i="25" s="1"/>
  <c r="BE307" i="25"/>
  <c r="BX307" i="25"/>
  <c r="BU307" i="25" s="1"/>
  <c r="CC307" i="25"/>
  <c r="BL309" i="25"/>
  <c r="BK309" i="25" s="1"/>
  <c r="BX309" i="25"/>
  <c r="BU309" i="25" s="1"/>
  <c r="BL310" i="25"/>
  <c r="BK310" i="25" s="1"/>
  <c r="BG311" i="25"/>
  <c r="AV311" i="25"/>
  <c r="AW311" i="25" s="1"/>
  <c r="BA311" i="25" s="1"/>
  <c r="BB311" i="25" s="1"/>
  <c r="BI311" i="25"/>
  <c r="BJ311" i="25" s="1"/>
  <c r="AY314" i="25"/>
  <c r="BL314" i="25"/>
  <c r="BK314" i="25" s="1"/>
  <c r="BN314" i="25"/>
  <c r="AV318" i="25"/>
  <c r="AW318" i="25" s="1"/>
  <c r="BG319" i="25"/>
  <c r="BL320" i="25"/>
  <c r="BK320" i="25" s="1"/>
  <c r="BO320" i="25"/>
  <c r="BO321" i="25"/>
  <c r="BV337" i="25"/>
  <c r="BP337" i="25" s="1"/>
  <c r="BQ337" i="25" s="1"/>
  <c r="BL280" i="25"/>
  <c r="BK280" i="25" s="1"/>
  <c r="BG281" i="25"/>
  <c r="BG282" i="25"/>
  <c r="BG283" i="25"/>
  <c r="BG284" i="25"/>
  <c r="BG285" i="25"/>
  <c r="AV285" i="25"/>
  <c r="AW285" i="25" s="1"/>
  <c r="BA285" i="25" s="1"/>
  <c r="BB285" i="25" s="1"/>
  <c r="BE285" i="25" s="1"/>
  <c r="BI285" i="25"/>
  <c r="BJ285" i="25" s="1"/>
  <c r="BG286" i="25"/>
  <c r="AV286" i="25"/>
  <c r="AW286" i="25" s="1"/>
  <c r="BA286" i="25" s="1"/>
  <c r="BB286" i="25" s="1"/>
  <c r="BE286" i="25" s="1"/>
  <c r="BG287" i="25"/>
  <c r="BA287" i="25"/>
  <c r="BB287" i="25" s="1"/>
  <c r="BV287" i="25"/>
  <c r="BP287" i="25" s="1"/>
  <c r="BQ287" i="25" s="1"/>
  <c r="BT288" i="25"/>
  <c r="BV288" i="25" s="1"/>
  <c r="BP288" i="25" s="1"/>
  <c r="BQ288" i="25" s="1"/>
  <c r="BG289" i="25"/>
  <c r="BA289" i="25"/>
  <c r="BB289" i="25" s="1"/>
  <c r="BV289" i="25"/>
  <c r="BP289" i="25" s="1"/>
  <c r="BQ289" i="25" s="1"/>
  <c r="BG292" i="25"/>
  <c r="AV292" i="25"/>
  <c r="AW292" i="25" s="1"/>
  <c r="BI292" i="25"/>
  <c r="BJ292" i="25" s="1"/>
  <c r="CB292" i="25"/>
  <c r="BL293" i="25"/>
  <c r="BG295" i="25"/>
  <c r="AV295" i="25"/>
  <c r="AW295" i="25" s="1"/>
  <c r="BI295" i="25"/>
  <c r="BJ295" i="25" s="1"/>
  <c r="BT295" i="25"/>
  <c r="BL296" i="25"/>
  <c r="BT297" i="25"/>
  <c r="AV299" i="25"/>
  <c r="BI300" i="25"/>
  <c r="BJ300" i="25" s="1"/>
  <c r="BO301" i="25"/>
  <c r="CB303" i="25"/>
  <c r="BL304" i="25"/>
  <c r="BK304" i="25" s="1"/>
  <c r="BG305" i="25"/>
  <c r="BV305" i="25"/>
  <c r="BP305" i="25" s="1"/>
  <c r="BQ305" i="25" s="1"/>
  <c r="AZ306" i="25"/>
  <c r="BC306" i="25" s="1"/>
  <c r="BD306" i="25" s="1"/>
  <c r="BO306" i="25"/>
  <c r="CB306" i="25"/>
  <c r="AV308" i="25"/>
  <c r="BG309" i="25"/>
  <c r="AV309" i="25"/>
  <c r="AW309" i="25" s="1"/>
  <c r="BI309" i="25"/>
  <c r="BJ309" i="25" s="1"/>
  <c r="CB309" i="25"/>
  <c r="BG310" i="25"/>
  <c r="BO315" i="25"/>
  <c r="BI315" i="25"/>
  <c r="BJ315" i="25" s="1"/>
  <c r="CB317" i="25"/>
  <c r="BL318" i="25"/>
  <c r="BK318" i="25" s="1"/>
  <c r="BV318" i="25"/>
  <c r="BP318" i="25" s="1"/>
  <c r="BQ318" i="25" s="1"/>
  <c r="BT319" i="25"/>
  <c r="BV319" i="25" s="1"/>
  <c r="BP319" i="25" s="1"/>
  <c r="BQ319" i="25" s="1"/>
  <c r="CB319" i="25"/>
  <c r="AV320" i="25"/>
  <c r="AW320" i="25" s="1"/>
  <c r="BI320" i="25"/>
  <c r="BJ320" i="25" s="1"/>
  <c r="BI321" i="25"/>
  <c r="BJ321" i="25" s="1"/>
  <c r="BL322" i="25"/>
  <c r="BK322" i="25" s="1"/>
  <c r="BV323" i="25"/>
  <c r="BP323" i="25" s="1"/>
  <c r="BQ323" i="25" s="1"/>
  <c r="BM325" i="25"/>
  <c r="BL326" i="25"/>
  <c r="BK326" i="25" s="1"/>
  <c r="BV327" i="25"/>
  <c r="BP327" i="25" s="1"/>
  <c r="BQ327" i="25" s="1"/>
  <c r="BM329" i="25"/>
  <c r="BL330" i="25"/>
  <c r="BK330" i="25" s="1"/>
  <c r="BV331" i="25"/>
  <c r="BP331" i="25" s="1"/>
  <c r="BQ331" i="25" s="1"/>
  <c r="AZ333" i="25"/>
  <c r="BC333" i="25" s="1"/>
  <c r="BD333" i="25" s="1"/>
  <c r="BL333" i="25"/>
  <c r="BK333" i="25" s="1"/>
  <c r="BM334" i="25"/>
  <c r="BL334" i="25" s="1"/>
  <c r="BK334" i="25" s="1"/>
  <c r="BA335" i="25"/>
  <c r="BB335" i="25" s="1"/>
  <c r="BO337" i="25"/>
  <c r="CB338" i="25"/>
  <c r="BM340" i="25"/>
  <c r="BL340" i="25" s="1"/>
  <c r="BK340" i="25" s="1"/>
  <c r="BT340" i="25"/>
  <c r="BO347" i="25"/>
  <c r="BT347" i="25"/>
  <c r="BL355" i="25"/>
  <c r="BL366" i="25"/>
  <c r="BK366" i="25" s="1"/>
  <c r="AY372" i="25"/>
  <c r="AZ372" i="25"/>
  <c r="BC372" i="25" s="1"/>
  <c r="BD372" i="25" s="1"/>
  <c r="AV313" i="25"/>
  <c r="AW313" i="25" s="1"/>
  <c r="BL313" i="25"/>
  <c r="BK313" i="25" s="1"/>
  <c r="CB313" i="25"/>
  <c r="AZ315" i="25"/>
  <c r="BC315" i="25" s="1"/>
  <c r="BD315" i="25" s="1"/>
  <c r="BV316" i="25"/>
  <c r="BP316" i="25" s="1"/>
  <c r="BQ316" i="25" s="1"/>
  <c r="CB320" i="25"/>
  <c r="AV321" i="25"/>
  <c r="AW321" i="25" s="1"/>
  <c r="BA321" i="25" s="1"/>
  <c r="BB321" i="25" s="1"/>
  <c r="BL321" i="25"/>
  <c r="BK321" i="25" s="1"/>
  <c r="BV322" i="25"/>
  <c r="BP322" i="25" s="1"/>
  <c r="BQ322" i="25" s="1"/>
  <c r="AV324" i="25"/>
  <c r="AW324" i="25" s="1"/>
  <c r="BA324" i="25" s="1"/>
  <c r="BB324" i="25" s="1"/>
  <c r="CB324" i="25"/>
  <c r="AV325" i="25"/>
  <c r="AW325" i="25" s="1"/>
  <c r="BA325" i="25" s="1"/>
  <c r="BB325" i="25" s="1"/>
  <c r="BL325" i="25"/>
  <c r="BK325" i="25" s="1"/>
  <c r="BV326" i="25"/>
  <c r="BP326" i="25" s="1"/>
  <c r="BQ326" i="25" s="1"/>
  <c r="BE327" i="25"/>
  <c r="CB328" i="25"/>
  <c r="AV329" i="25"/>
  <c r="AW329" i="25" s="1"/>
  <c r="BA329" i="25" s="1"/>
  <c r="BB329" i="25" s="1"/>
  <c r="BL329" i="25"/>
  <c r="BK329" i="25" s="1"/>
  <c r="BV330" i="25"/>
  <c r="BP330" i="25" s="1"/>
  <c r="BQ330" i="25" s="1"/>
  <c r="BE331" i="25"/>
  <c r="AY333" i="25"/>
  <c r="BA333" i="25" s="1"/>
  <c r="BB333" i="25" s="1"/>
  <c r="BE333" i="25" s="1"/>
  <c r="BI333" i="25"/>
  <c r="BJ333" i="25" s="1"/>
  <c r="AZ334" i="25"/>
  <c r="BC334" i="25" s="1"/>
  <c r="BD334" i="25" s="1"/>
  <c r="BN334" i="25"/>
  <c r="BT334" i="25"/>
  <c r="BV334" i="25" s="1"/>
  <c r="BP334" i="25" s="1"/>
  <c r="BQ334" i="25" s="1"/>
  <c r="CB334" i="25"/>
  <c r="BM335" i="25"/>
  <c r="BV335" i="25"/>
  <c r="BP335" i="25" s="1"/>
  <c r="BQ335" i="25" s="1"/>
  <c r="BA336" i="25"/>
  <c r="BB336" i="25" s="1"/>
  <c r="AZ337" i="25"/>
  <c r="BC337" i="25" s="1"/>
  <c r="BD337" i="25" s="1"/>
  <c r="BO340" i="25"/>
  <c r="AV341" i="25"/>
  <c r="AW341" i="25" s="1"/>
  <c r="BM341" i="25"/>
  <c r="BL341" i="25" s="1"/>
  <c r="BK341" i="25" s="1"/>
  <c r="BM342" i="25"/>
  <c r="BO343" i="25"/>
  <c r="BI343" i="25"/>
  <c r="BJ343" i="25" s="1"/>
  <c r="AV343" i="25"/>
  <c r="AW343" i="25" s="1"/>
  <c r="BM345" i="25"/>
  <c r="BL345" i="25" s="1"/>
  <c r="BK345" i="25" s="1"/>
  <c r="BM347" i="25"/>
  <c r="AY358" i="25"/>
  <c r="AZ358" i="25"/>
  <c r="BC358" i="25" s="1"/>
  <c r="BD358" i="25" s="1"/>
  <c r="BM371" i="25"/>
  <c r="BL371" i="25" s="1"/>
  <c r="BK371" i="25" s="1"/>
  <c r="BL324" i="25"/>
  <c r="BK324" i="25" s="1"/>
  <c r="BV325" i="25"/>
  <c r="BP325" i="25" s="1"/>
  <c r="BQ325" i="25" s="1"/>
  <c r="BL328" i="25"/>
  <c r="BK328" i="25" s="1"/>
  <c r="BV329" i="25"/>
  <c r="BP329" i="25" s="1"/>
  <c r="BQ329" i="25" s="1"/>
  <c r="BA332" i="25"/>
  <c r="BB332" i="25" s="1"/>
  <c r="BE332" i="25" s="1"/>
  <c r="BI334" i="25"/>
  <c r="BJ334" i="25" s="1"/>
  <c r="AZ335" i="25"/>
  <c r="BC335" i="25" s="1"/>
  <c r="BD335" i="25" s="1"/>
  <c r="BL335" i="25"/>
  <c r="BK335" i="25" s="1"/>
  <c r="BN335" i="25"/>
  <c r="CB335" i="25"/>
  <c r="AZ340" i="25"/>
  <c r="BC340" i="25" s="1"/>
  <c r="BD340" i="25" s="1"/>
  <c r="BV341" i="25"/>
  <c r="BP341" i="25" s="1"/>
  <c r="BQ341" i="25" s="1"/>
  <c r="BN341" i="25"/>
  <c r="BV342" i="25"/>
  <c r="BP342" i="25" s="1"/>
  <c r="BQ342" i="25" s="1"/>
  <c r="CB345" i="25"/>
  <c r="BN346" i="25"/>
  <c r="CC355" i="25"/>
  <c r="BY355" i="25"/>
  <c r="BS355" i="25" s="1"/>
  <c r="BO357" i="25"/>
  <c r="BM357" i="25"/>
  <c r="BL357" i="25" s="1"/>
  <c r="BG365" i="25"/>
  <c r="BT365" i="25"/>
  <c r="BO365" i="25"/>
  <c r="BM365" i="25"/>
  <c r="BL365" i="25" s="1"/>
  <c r="BK365" i="25" s="1"/>
  <c r="BT377" i="25"/>
  <c r="BV377" i="25" s="1"/>
  <c r="BP377" i="25" s="1"/>
  <c r="BQ377" i="25" s="1"/>
  <c r="BM377" i="25"/>
  <c r="BL377" i="25" s="1"/>
  <c r="BK377" i="25" s="1"/>
  <c r="BT380" i="25"/>
  <c r="BI380" i="25"/>
  <c r="BJ380" i="25" s="1"/>
  <c r="BO380" i="25"/>
  <c r="BV381" i="25"/>
  <c r="BP381" i="25" s="1"/>
  <c r="BQ381" i="25" s="1"/>
  <c r="BL323" i="25"/>
  <c r="BK323" i="25" s="1"/>
  <c r="BN323" i="25"/>
  <c r="BV324" i="25"/>
  <c r="BP324" i="25" s="1"/>
  <c r="BQ324" i="25" s="1"/>
  <c r="BL327" i="25"/>
  <c r="BK327" i="25" s="1"/>
  <c r="BV328" i="25"/>
  <c r="BP328" i="25" s="1"/>
  <c r="BQ328" i="25" s="1"/>
  <c r="BL331" i="25"/>
  <c r="BK331" i="25" s="1"/>
  <c r="AZ332" i="25"/>
  <c r="BC332" i="25" s="1"/>
  <c r="BD332" i="25" s="1"/>
  <c r="BL332" i="25"/>
  <c r="BK332" i="25" s="1"/>
  <c r="BV333" i="25"/>
  <c r="BP333" i="25" s="1"/>
  <c r="BQ333" i="25" s="1"/>
  <c r="BN336" i="25"/>
  <c r="BL347" i="25"/>
  <c r="BV350" i="25"/>
  <c r="BP350" i="25" s="1"/>
  <c r="BQ350" i="25" s="1"/>
  <c r="BV352" i="25"/>
  <c r="BP352" i="25" s="1"/>
  <c r="BQ352" i="25" s="1"/>
  <c r="BT364" i="25"/>
  <c r="BO364" i="25"/>
  <c r="BM364" i="25"/>
  <c r="BL364" i="25" s="1"/>
  <c r="BK364" i="25" s="1"/>
  <c r="BT373" i="25"/>
  <c r="BV373" i="25" s="1"/>
  <c r="BP373" i="25" s="1"/>
  <c r="BQ373" i="25" s="1"/>
  <c r="BM373" i="25"/>
  <c r="BL373" i="25" s="1"/>
  <c r="BK373" i="25" s="1"/>
  <c r="BV389" i="25"/>
  <c r="BP389" i="25" s="1"/>
  <c r="BQ389" i="25" s="1"/>
  <c r="BL363" i="25"/>
  <c r="BL369" i="25"/>
  <c r="BK369" i="25" s="1"/>
  <c r="BL375" i="25"/>
  <c r="BK375" i="25" s="1"/>
  <c r="BV376" i="25"/>
  <c r="BP376" i="25" s="1"/>
  <c r="BQ376" i="25" s="1"/>
  <c r="BL379" i="25"/>
  <c r="BK379" i="25" s="1"/>
  <c r="BV380" i="25"/>
  <c r="BP380" i="25" s="1"/>
  <c r="BQ380" i="25" s="1"/>
  <c r="BM381" i="25"/>
  <c r="BL381" i="25" s="1"/>
  <c r="BK381" i="25" s="1"/>
  <c r="BL348" i="25"/>
  <c r="BV348" i="25"/>
  <c r="BP348" i="25" s="1"/>
  <c r="BQ348" i="25" s="1"/>
  <c r="AZ356" i="25"/>
  <c r="BC356" i="25" s="1"/>
  <c r="BD356" i="25" s="1"/>
  <c r="BG359" i="25"/>
  <c r="BI359" i="25"/>
  <c r="BJ359" i="25" s="1"/>
  <c r="BG360" i="25"/>
  <c r="BV360" i="25"/>
  <c r="BP360" i="25" s="1"/>
  <c r="BQ360" i="25" s="1"/>
  <c r="BG363" i="25"/>
  <c r="AV363" i="25"/>
  <c r="AZ363" i="25" s="1"/>
  <c r="BC363" i="25" s="1"/>
  <c r="BD363" i="25" s="1"/>
  <c r="BI363" i="25"/>
  <c r="BJ363" i="25" s="1"/>
  <c r="BL367" i="25"/>
  <c r="BG368" i="25"/>
  <c r="BM368" i="25"/>
  <c r="BL368" i="25" s="1"/>
  <c r="BK368" i="25" s="1"/>
  <c r="BM372" i="25"/>
  <c r="AV373" i="25"/>
  <c r="AW373" i="25" s="1"/>
  <c r="CB373" i="25"/>
  <c r="BL374" i="25"/>
  <c r="BK374" i="25" s="1"/>
  <c r="BN374" i="25"/>
  <c r="AZ375" i="25"/>
  <c r="BC375" i="25" s="1"/>
  <c r="BD375" i="25" s="1"/>
  <c r="BV375" i="25"/>
  <c r="BP375" i="25" s="1"/>
  <c r="BQ375" i="25" s="1"/>
  <c r="AV377" i="25"/>
  <c r="AW377" i="25" s="1"/>
  <c r="CB377" i="25"/>
  <c r="BL378" i="25"/>
  <c r="BK378" i="25" s="1"/>
  <c r="AZ379" i="25"/>
  <c r="BC379" i="25" s="1"/>
  <c r="BD379" i="25" s="1"/>
  <c r="BV379" i="25"/>
  <c r="BP379" i="25" s="1"/>
  <c r="BQ379" i="25" s="1"/>
  <c r="AY380" i="25"/>
  <c r="CB380" i="25"/>
  <c r="CB381" i="25"/>
  <c r="BM382" i="25"/>
  <c r="BL382" i="25" s="1"/>
  <c r="BK382" i="25" s="1"/>
  <c r="BV382" i="25"/>
  <c r="BP382" i="25" s="1"/>
  <c r="BQ382" i="25" s="1"/>
  <c r="BG384" i="25"/>
  <c r="BL384" i="25"/>
  <c r="BL385" i="25"/>
  <c r="BL386" i="25"/>
  <c r="BV388" i="25"/>
  <c r="BP388" i="25" s="1"/>
  <c r="BQ388" i="25" s="1"/>
  <c r="AV342" i="25"/>
  <c r="AW342" i="25" s="1"/>
  <c r="BL342" i="25"/>
  <c r="BK342" i="25" s="1"/>
  <c r="BG343" i="25"/>
  <c r="CB343" i="25"/>
  <c r="BL344" i="25"/>
  <c r="BN344" i="25"/>
  <c r="BV344" i="25"/>
  <c r="BP344" i="25" s="1"/>
  <c r="BQ344" i="25" s="1"/>
  <c r="AV345" i="25"/>
  <c r="AW345" i="25" s="1"/>
  <c r="BA345" i="25" s="1"/>
  <c r="BB345" i="25" s="1"/>
  <c r="BN345" i="25"/>
  <c r="BG348" i="25"/>
  <c r="AV348" i="25"/>
  <c r="AW348" i="25" s="1"/>
  <c r="BI348" i="25"/>
  <c r="BJ348" i="25" s="1"/>
  <c r="CB348" i="25"/>
  <c r="BL349" i="25"/>
  <c r="BV351" i="25"/>
  <c r="BP351" i="25" s="1"/>
  <c r="BQ351" i="25" s="1"/>
  <c r="CB354" i="25"/>
  <c r="BT356" i="25"/>
  <c r="BG358" i="25"/>
  <c r="BL358" i="25"/>
  <c r="BV359" i="25"/>
  <c r="BP359" i="25" s="1"/>
  <c r="BQ359" i="25" s="1"/>
  <c r="BV362" i="25"/>
  <c r="BP362" i="25" s="1"/>
  <c r="BQ362" i="25" s="1"/>
  <c r="BT363" i="25"/>
  <c r="AV366" i="25"/>
  <c r="BV366" i="25"/>
  <c r="BP366" i="25" s="1"/>
  <c r="BQ366" i="25" s="1"/>
  <c r="CB368" i="25"/>
  <c r="BL370" i="25"/>
  <c r="BK370" i="25" s="1"/>
  <c r="BL372" i="25"/>
  <c r="BK372" i="25" s="1"/>
  <c r="BV374" i="25"/>
  <c r="BP374" i="25" s="1"/>
  <c r="BQ374" i="25" s="1"/>
  <c r="AV376" i="25"/>
  <c r="AW376" i="25" s="1"/>
  <c r="CB376" i="25"/>
  <c r="BN377" i="25"/>
  <c r="BV378" i="25"/>
  <c r="BP378" i="25" s="1"/>
  <c r="BQ378" i="25" s="1"/>
  <c r="AV380" i="25"/>
  <c r="AW380" i="25" s="1"/>
  <c r="BA380" i="25" s="1"/>
  <c r="BB380" i="25" s="1"/>
  <c r="BI381" i="25"/>
  <c r="BJ381" i="25" s="1"/>
  <c r="BO381" i="25"/>
  <c r="BL383" i="25"/>
  <c r="BK383" i="25" s="1"/>
  <c r="CB388" i="25"/>
  <c r="M27" i="89"/>
  <c r="I27" i="89"/>
  <c r="H27" i="89"/>
  <c r="D51" i="89"/>
  <c r="J27" i="89"/>
  <c r="L27" i="89"/>
  <c r="K27" i="89"/>
  <c r="M31" i="89"/>
  <c r="I31" i="89"/>
  <c r="H31" i="89"/>
  <c r="J31" i="89"/>
  <c r="L31" i="89"/>
  <c r="D58" i="89"/>
  <c r="K31" i="89"/>
  <c r="M35" i="89"/>
  <c r="I35" i="89"/>
  <c r="D67" i="89"/>
  <c r="L35" i="89"/>
  <c r="J35" i="89"/>
  <c r="H35" i="89"/>
  <c r="K35" i="89"/>
  <c r="M39" i="89"/>
  <c r="I39" i="89"/>
  <c r="L39" i="89"/>
  <c r="D74" i="89"/>
  <c r="J39" i="89"/>
  <c r="H39" i="89"/>
  <c r="K39" i="89"/>
  <c r="M43" i="89"/>
  <c r="I43" i="89"/>
  <c r="L43" i="89"/>
  <c r="J43" i="89"/>
  <c r="H43" i="89"/>
  <c r="D81" i="89"/>
  <c r="K43" i="89"/>
  <c r="I129" i="89"/>
  <c r="AV126" i="89"/>
  <c r="I125" i="89"/>
  <c r="I141" i="89"/>
  <c r="I157" i="89"/>
  <c r="I161" i="89"/>
  <c r="L42" i="89"/>
  <c r="H42" i="89"/>
  <c r="K42" i="89"/>
  <c r="M42" i="89"/>
  <c r="I42" i="89"/>
  <c r="D80" i="89"/>
  <c r="Q88" i="89" s="1"/>
  <c r="J42" i="89"/>
  <c r="I128" i="89"/>
  <c r="I124" i="89"/>
  <c r="I175" i="89"/>
  <c r="I177" i="89"/>
  <c r="D52" i="89"/>
  <c r="J28" i="89"/>
  <c r="I28" i="89"/>
  <c r="K28" i="89"/>
  <c r="M28" i="89"/>
  <c r="L28" i="89"/>
  <c r="H28" i="89"/>
  <c r="J32" i="89"/>
  <c r="I32" i="89"/>
  <c r="D61" i="89"/>
  <c r="K32" i="89"/>
  <c r="M32" i="89"/>
  <c r="L32" i="89"/>
  <c r="H32" i="89"/>
  <c r="J36" i="89"/>
  <c r="D68" i="89"/>
  <c r="O88" i="89" s="1"/>
  <c r="M36" i="89"/>
  <c r="K36" i="89"/>
  <c r="I36" i="89"/>
  <c r="L36" i="89"/>
  <c r="H36" i="89"/>
  <c r="D75" i="89"/>
  <c r="J40" i="89"/>
  <c r="M40" i="89"/>
  <c r="I40" i="89"/>
  <c r="K40" i="89"/>
  <c r="L40" i="89"/>
  <c r="H40" i="89"/>
  <c r="AV127" i="89"/>
  <c r="AB127" i="89"/>
  <c r="I126" i="89"/>
  <c r="AV123" i="89"/>
  <c r="I140" i="89"/>
  <c r="I156" i="89"/>
  <c r="I160" i="89"/>
  <c r="I174" i="89"/>
  <c r="I176" i="89"/>
  <c r="I178" i="89"/>
  <c r="L26" i="89"/>
  <c r="H26" i="89"/>
  <c r="D50" i="89"/>
  <c r="M26" i="89"/>
  <c r="I26" i="89"/>
  <c r="K26" i="89"/>
  <c r="J26" i="89"/>
  <c r="L30" i="89"/>
  <c r="H30" i="89"/>
  <c r="D57" i="89"/>
  <c r="M88" i="89" s="1"/>
  <c r="M30" i="89"/>
  <c r="I30" i="89"/>
  <c r="K30" i="89"/>
  <c r="J30" i="89"/>
  <c r="D63" i="89"/>
  <c r="L34" i="89"/>
  <c r="H34" i="89"/>
  <c r="K34" i="89"/>
  <c r="M34" i="89"/>
  <c r="I34" i="89"/>
  <c r="J34" i="89"/>
  <c r="L38" i="89"/>
  <c r="H38" i="89"/>
  <c r="K38" i="89"/>
  <c r="D73" i="89"/>
  <c r="M38" i="89"/>
  <c r="I38" i="89"/>
  <c r="J38" i="89"/>
  <c r="AV125" i="89"/>
  <c r="I138" i="89"/>
  <c r="I142" i="89"/>
  <c r="I158" i="89"/>
  <c r="I173" i="89"/>
  <c r="K29" i="89"/>
  <c r="L29" i="89"/>
  <c r="H29" i="89"/>
  <c r="D56" i="89"/>
  <c r="J29" i="89"/>
  <c r="M29" i="89"/>
  <c r="I29" i="89"/>
  <c r="K33" i="89"/>
  <c r="D62" i="89"/>
  <c r="L33" i="89"/>
  <c r="H33" i="89"/>
  <c r="J33" i="89"/>
  <c r="M33" i="89"/>
  <c r="I33" i="89"/>
  <c r="K37" i="89"/>
  <c r="L37" i="89"/>
  <c r="H37" i="89"/>
  <c r="J37" i="89"/>
  <c r="D69" i="89"/>
  <c r="M37" i="89"/>
  <c r="I37" i="89"/>
  <c r="K41" i="89"/>
  <c r="D79" i="89"/>
  <c r="J41" i="89"/>
  <c r="L41" i="89"/>
  <c r="H41" i="89"/>
  <c r="M41" i="89"/>
  <c r="I41" i="89"/>
  <c r="AV128" i="89"/>
  <c r="I127" i="89"/>
  <c r="AV124" i="89"/>
  <c r="I139" i="89"/>
  <c r="I143" i="89"/>
  <c r="AB160" i="89"/>
  <c r="I159" i="89"/>
  <c r="AB156" i="89"/>
  <c r="E95" i="92"/>
  <c r="S92" i="92"/>
  <c r="H93" i="92"/>
  <c r="AE93" i="92"/>
  <c r="S94" i="92"/>
  <c r="K160" i="92"/>
  <c r="K158" i="92"/>
  <c r="K159" i="92"/>
  <c r="K157" i="92"/>
  <c r="R159" i="92"/>
  <c r="R157" i="92"/>
  <c r="R160" i="92"/>
  <c r="R158" i="92"/>
  <c r="H92" i="92"/>
  <c r="AE92" i="92"/>
  <c r="S93" i="92"/>
  <c r="H94" i="92"/>
  <c r="AE94" i="92"/>
  <c r="Y160" i="92"/>
  <c r="Y158" i="92"/>
  <c r="Y159" i="92"/>
  <c r="Y157" i="92"/>
  <c r="AB158" i="89"/>
  <c r="E57" i="89"/>
  <c r="E80" i="89"/>
  <c r="BA13" i="25"/>
  <c r="BB13" i="25" s="1"/>
  <c r="BA14" i="25"/>
  <c r="BB14" i="25" s="1"/>
  <c r="BA15" i="25"/>
  <c r="BB15" i="25" s="1"/>
  <c r="AB126" i="89"/>
  <c r="AB124" i="89"/>
  <c r="E68" i="89"/>
  <c r="AZ7" i="25"/>
  <c r="BC7" i="25" s="1"/>
  <c r="BD7" i="25" s="1"/>
  <c r="AZ12" i="25"/>
  <c r="BC12" i="25" s="1"/>
  <c r="BD12" i="25" s="1"/>
  <c r="BE13" i="25"/>
  <c r="BE14" i="25"/>
  <c r="BE15" i="25"/>
  <c r="AY7" i="25"/>
  <c r="BA7" i="25" s="1"/>
  <c r="BB7" i="25" s="1"/>
  <c r="BE7" i="25" s="1"/>
  <c r="AY8" i="25"/>
  <c r="BA8" i="25" s="1"/>
  <c r="BB8" i="25" s="1"/>
  <c r="BE8" i="25" s="1"/>
  <c r="AY9" i="25"/>
  <c r="BA9" i="25" s="1"/>
  <c r="BB9" i="25" s="1"/>
  <c r="BE9" i="25" s="1"/>
  <c r="AY10" i="25"/>
  <c r="BA10" i="25" s="1"/>
  <c r="BB10" i="25" s="1"/>
  <c r="BE10" i="25" s="1"/>
  <c r="AY11" i="25"/>
  <c r="BA11" i="25" s="1"/>
  <c r="BB11" i="25" s="1"/>
  <c r="BE11" i="25" s="1"/>
  <c r="AY12" i="25"/>
  <c r="BA12" i="25" s="1"/>
  <c r="BB12" i="25" s="1"/>
  <c r="BE12" i="25" s="1"/>
  <c r="AV16" i="25"/>
  <c r="AW16" i="25" s="1"/>
  <c r="BA16" i="25" s="1"/>
  <c r="BB16" i="25" s="1"/>
  <c r="BE16" i="25" s="1"/>
  <c r="CB17" i="25"/>
  <c r="AV18" i="25"/>
  <c r="AW18" i="25" s="1"/>
  <c r="BA18" i="25" s="1"/>
  <c r="BB18" i="25" s="1"/>
  <c r="BE18" i="25" s="1"/>
  <c r="CB19" i="25"/>
  <c r="AV20" i="25"/>
  <c r="AW20" i="25" s="1"/>
  <c r="BA20" i="25" s="1"/>
  <c r="BB20" i="25" s="1"/>
  <c r="BE20" i="25" s="1"/>
  <c r="CB21" i="25"/>
  <c r="AV22" i="25"/>
  <c r="AW22" i="25" s="1"/>
  <c r="BA22" i="25" s="1"/>
  <c r="BB22" i="25" s="1"/>
  <c r="BE22" i="25" s="1"/>
  <c r="AY23" i="25"/>
  <c r="BM23" i="25"/>
  <c r="BL23" i="25" s="1"/>
  <c r="AV26" i="25"/>
  <c r="AW26" i="25" s="1"/>
  <c r="BO26" i="25"/>
  <c r="BK26" i="25"/>
  <c r="AY27" i="25"/>
  <c r="BT28" i="25"/>
  <c r="BV28" i="25" s="1"/>
  <c r="BP28" i="25" s="1"/>
  <c r="BQ28" i="25" s="1"/>
  <c r="AV28" i="25"/>
  <c r="AW28" i="25" s="1"/>
  <c r="BO28" i="25"/>
  <c r="AY29" i="25"/>
  <c r="BM29" i="25"/>
  <c r="BL29" i="25" s="1"/>
  <c r="BK29" i="25" s="1"/>
  <c r="AV32" i="25"/>
  <c r="AW32" i="25" s="1"/>
  <c r="BO32" i="25"/>
  <c r="BK32" i="25"/>
  <c r="AY33" i="25"/>
  <c r="BT34" i="25"/>
  <c r="BV34" i="25" s="1"/>
  <c r="BP34" i="25" s="1"/>
  <c r="BQ34" i="25" s="1"/>
  <c r="AV34" i="25"/>
  <c r="AW34" i="25" s="1"/>
  <c r="BO34" i="25"/>
  <c r="AY35" i="25"/>
  <c r="BM35" i="25"/>
  <c r="BL35" i="25" s="1"/>
  <c r="AY38" i="25"/>
  <c r="AZ40" i="25"/>
  <c r="BC40" i="25" s="1"/>
  <c r="BD40" i="25" s="1"/>
  <c r="AY40" i="25"/>
  <c r="BA40" i="25" s="1"/>
  <c r="BB40" i="25" s="1"/>
  <c r="BE40" i="25" s="1"/>
  <c r="AW113" i="25"/>
  <c r="BA113" i="25" s="1"/>
  <c r="BB113" i="25" s="1"/>
  <c r="AZ113" i="25"/>
  <c r="BC113" i="25" s="1"/>
  <c r="BD113" i="25" s="1"/>
  <c r="AW117" i="25"/>
  <c r="BA117" i="25" s="1"/>
  <c r="BB117" i="25" s="1"/>
  <c r="AZ117" i="25"/>
  <c r="BC117" i="25" s="1"/>
  <c r="BD117" i="25" s="1"/>
  <c r="AZ13" i="25"/>
  <c r="BC13" i="25" s="1"/>
  <c r="BD13" i="25" s="1"/>
  <c r="AZ14" i="25"/>
  <c r="BC14" i="25" s="1"/>
  <c r="BD14" i="25" s="1"/>
  <c r="AZ15" i="25"/>
  <c r="BC15" i="25" s="1"/>
  <c r="BD15" i="25" s="1"/>
  <c r="AV25" i="25"/>
  <c r="AW25" i="25" s="1"/>
  <c r="BO25" i="25"/>
  <c r="AY26" i="25"/>
  <c r="AV31" i="25"/>
  <c r="AW31" i="25" s="1"/>
  <c r="BO31" i="25"/>
  <c r="AY32" i="25"/>
  <c r="AV37" i="25"/>
  <c r="AW37" i="25" s="1"/>
  <c r="BO37" i="25"/>
  <c r="AY42" i="25"/>
  <c r="AY45" i="25"/>
  <c r="AY47" i="25"/>
  <c r="AY49" i="25"/>
  <c r="BV73" i="25"/>
  <c r="BP73" i="25" s="1"/>
  <c r="BQ73" i="25" s="1"/>
  <c r="BV78" i="25"/>
  <c r="BP78" i="25" s="1"/>
  <c r="BQ78" i="25" s="1"/>
  <c r="BV85" i="25"/>
  <c r="BP85" i="25" s="1"/>
  <c r="BQ85" i="25" s="1"/>
  <c r="BV90" i="25"/>
  <c r="BP90" i="25" s="1"/>
  <c r="BQ90" i="25" s="1"/>
  <c r="BV96" i="25"/>
  <c r="BP96" i="25" s="1"/>
  <c r="BQ96" i="25" s="1"/>
  <c r="BV101" i="25"/>
  <c r="BP101" i="25" s="1"/>
  <c r="BQ101" i="25" s="1"/>
  <c r="AZ105" i="25"/>
  <c r="BC105" i="25" s="1"/>
  <c r="BD105" i="25" s="1"/>
  <c r="AZ107" i="25"/>
  <c r="BC107" i="25" s="1"/>
  <c r="BD107" i="25" s="1"/>
  <c r="BV110" i="25"/>
  <c r="BP110" i="25" s="1"/>
  <c r="BQ110" i="25" s="1"/>
  <c r="AZ16" i="25"/>
  <c r="BC16" i="25" s="1"/>
  <c r="BD16" i="25" s="1"/>
  <c r="BM16" i="25"/>
  <c r="BL16" i="25" s="1"/>
  <c r="BK16" i="25" s="1"/>
  <c r="CB16" i="25"/>
  <c r="AV17" i="25"/>
  <c r="AW17" i="25" s="1"/>
  <c r="BA17" i="25" s="1"/>
  <c r="BB17" i="25" s="1"/>
  <c r="BE17" i="25" s="1"/>
  <c r="AZ18" i="25"/>
  <c r="BC18" i="25" s="1"/>
  <c r="BD18" i="25" s="1"/>
  <c r="BM18" i="25"/>
  <c r="BL18" i="25" s="1"/>
  <c r="BK18" i="25" s="1"/>
  <c r="CB18" i="25"/>
  <c r="AV19" i="25"/>
  <c r="AW19" i="25" s="1"/>
  <c r="BA19" i="25" s="1"/>
  <c r="BB19" i="25" s="1"/>
  <c r="BE19" i="25" s="1"/>
  <c r="AZ20" i="25"/>
  <c r="BC20" i="25" s="1"/>
  <c r="BD20" i="25" s="1"/>
  <c r="BM20" i="25"/>
  <c r="BL20" i="25" s="1"/>
  <c r="BK20" i="25" s="1"/>
  <c r="CB20" i="25"/>
  <c r="AV21" i="25"/>
  <c r="AW21" i="25" s="1"/>
  <c r="BA21" i="25" s="1"/>
  <c r="BB21" i="25" s="1"/>
  <c r="BE21" i="25" s="1"/>
  <c r="AZ22" i="25"/>
  <c r="BC22" i="25" s="1"/>
  <c r="BD22" i="25" s="1"/>
  <c r="BM22" i="25"/>
  <c r="BL22" i="25" s="1"/>
  <c r="BK22" i="25" s="1"/>
  <c r="CB22" i="25"/>
  <c r="AV24" i="25"/>
  <c r="AW24" i="25" s="1"/>
  <c r="BO24" i="25"/>
  <c r="BK24" i="25"/>
  <c r="AY25" i="25"/>
  <c r="BM25" i="25"/>
  <c r="BL25" i="25" s="1"/>
  <c r="BK25" i="25" s="1"/>
  <c r="BT27" i="25"/>
  <c r="BV27" i="25" s="1"/>
  <c r="BP27" i="25" s="1"/>
  <c r="BQ27" i="25" s="1"/>
  <c r="AV27" i="25"/>
  <c r="AW27" i="25" s="1"/>
  <c r="BA27" i="25" s="1"/>
  <c r="BB27" i="25" s="1"/>
  <c r="BE27" i="25" s="1"/>
  <c r="BO27" i="25"/>
  <c r="BK27" i="25"/>
  <c r="AZ28" i="25"/>
  <c r="BC28" i="25" s="1"/>
  <c r="BD28" i="25" s="1"/>
  <c r="AY28" i="25"/>
  <c r="BM28" i="25"/>
  <c r="BL28" i="25" s="1"/>
  <c r="BK28" i="25" s="1"/>
  <c r="AV30" i="25"/>
  <c r="AW30" i="25" s="1"/>
  <c r="BO30" i="25"/>
  <c r="BK30" i="25"/>
  <c r="AZ31" i="25"/>
  <c r="BC31" i="25" s="1"/>
  <c r="BD31" i="25" s="1"/>
  <c r="AY31" i="25"/>
  <c r="BM31" i="25"/>
  <c r="BL31" i="25" s="1"/>
  <c r="BK31" i="25" s="1"/>
  <c r="BT33" i="25"/>
  <c r="BV33" i="25" s="1"/>
  <c r="BP33" i="25" s="1"/>
  <c r="BQ33" i="25" s="1"/>
  <c r="AV33" i="25"/>
  <c r="AW33" i="25" s="1"/>
  <c r="BO33" i="25"/>
  <c r="BK33" i="25"/>
  <c r="AY34" i="25"/>
  <c r="BM34" i="25"/>
  <c r="BL34" i="25" s="1"/>
  <c r="BK34" i="25" s="1"/>
  <c r="AV36" i="25"/>
  <c r="AW36" i="25" s="1"/>
  <c r="BO36" i="25"/>
  <c r="BK36" i="25"/>
  <c r="AY37" i="25"/>
  <c r="BM37" i="25"/>
  <c r="BL37" i="25" s="1"/>
  <c r="BK37" i="25" s="1"/>
  <c r="AY39" i="25"/>
  <c r="AY44" i="25"/>
  <c r="AV44" i="25"/>
  <c r="AW44" i="25" s="1"/>
  <c r="AZ53" i="25"/>
  <c r="BC53" i="25" s="1"/>
  <c r="BD53" i="25" s="1"/>
  <c r="AZ62" i="25"/>
  <c r="BC62" i="25" s="1"/>
  <c r="BD62" i="25" s="1"/>
  <c r="BV66" i="25"/>
  <c r="BP66" i="25" s="1"/>
  <c r="BQ66" i="25" s="1"/>
  <c r="BV67" i="25"/>
  <c r="BP67" i="25" s="1"/>
  <c r="BQ67" i="25" s="1"/>
  <c r="BV68" i="25"/>
  <c r="BP68" i="25" s="1"/>
  <c r="BQ68" i="25" s="1"/>
  <c r="BV69" i="25"/>
  <c r="BP69" i="25" s="1"/>
  <c r="BQ69" i="25" s="1"/>
  <c r="BV70" i="25"/>
  <c r="BP70" i="25" s="1"/>
  <c r="BQ70" i="25" s="1"/>
  <c r="BV71" i="25"/>
  <c r="BP71" i="25" s="1"/>
  <c r="BQ71" i="25" s="1"/>
  <c r="BV84" i="25"/>
  <c r="BP84" i="25" s="1"/>
  <c r="BQ84" i="25" s="1"/>
  <c r="BV89" i="25"/>
  <c r="BP89" i="25" s="1"/>
  <c r="BQ89" i="25" s="1"/>
  <c r="BV95" i="25"/>
  <c r="BP95" i="25" s="1"/>
  <c r="BQ95" i="25" s="1"/>
  <c r="BV100" i="25"/>
  <c r="BP100" i="25" s="1"/>
  <c r="BQ100" i="25" s="1"/>
  <c r="BV108" i="25"/>
  <c r="BP108" i="25" s="1"/>
  <c r="BQ108" i="25" s="1"/>
  <c r="AW115" i="25"/>
  <c r="BA115" i="25" s="1"/>
  <c r="BB115" i="25" s="1"/>
  <c r="AZ115" i="25"/>
  <c r="BC115" i="25" s="1"/>
  <c r="BD115" i="25" s="1"/>
  <c r="AV23" i="25"/>
  <c r="AW23" i="25" s="1"/>
  <c r="BA23" i="25" s="1"/>
  <c r="BB23" i="25" s="1"/>
  <c r="BE23" i="25" s="1"/>
  <c r="BO23" i="25"/>
  <c r="BK23" i="25"/>
  <c r="AY24" i="25"/>
  <c r="AV29" i="25"/>
  <c r="AW29" i="25" s="1"/>
  <c r="BA29" i="25" s="1"/>
  <c r="BB29" i="25" s="1"/>
  <c r="BE29" i="25" s="1"/>
  <c r="BO29" i="25"/>
  <c r="AZ30" i="25"/>
  <c r="BC30" i="25" s="1"/>
  <c r="BD30" i="25" s="1"/>
  <c r="AY30" i="25"/>
  <c r="AV35" i="25"/>
  <c r="AW35" i="25" s="1"/>
  <c r="BA35" i="25" s="1"/>
  <c r="BB35" i="25" s="1"/>
  <c r="BE35" i="25" s="1"/>
  <c r="BO35" i="25"/>
  <c r="BK35" i="25"/>
  <c r="AY36" i="25"/>
  <c r="AY41" i="25"/>
  <c r="AY43" i="25"/>
  <c r="AV43" i="25"/>
  <c r="AW43" i="25" s="1"/>
  <c r="AY46" i="25"/>
  <c r="AY48" i="25"/>
  <c r="AY50" i="25"/>
  <c r="AZ56" i="25"/>
  <c r="BC56" i="25" s="1"/>
  <c r="BD56" i="25" s="1"/>
  <c r="AZ65" i="25"/>
  <c r="BC65" i="25" s="1"/>
  <c r="BD65" i="25" s="1"/>
  <c r="BV75" i="25"/>
  <c r="BP75" i="25" s="1"/>
  <c r="BQ75" i="25" s="1"/>
  <c r="BV83" i="25"/>
  <c r="BP83" i="25" s="1"/>
  <c r="BQ83" i="25" s="1"/>
  <c r="AZ86" i="25"/>
  <c r="BC86" i="25" s="1"/>
  <c r="BD86" i="25" s="1"/>
  <c r="BV88" i="25"/>
  <c r="BP88" i="25" s="1"/>
  <c r="BQ88" i="25" s="1"/>
  <c r="AZ91" i="25"/>
  <c r="BC91" i="25" s="1"/>
  <c r="BD91" i="25" s="1"/>
  <c r="BV93" i="25"/>
  <c r="BP93" i="25" s="1"/>
  <c r="BQ93" i="25" s="1"/>
  <c r="BV99" i="25"/>
  <c r="BP99" i="25" s="1"/>
  <c r="BQ99" i="25" s="1"/>
  <c r="BV104" i="25"/>
  <c r="BP104" i="25" s="1"/>
  <c r="BQ104" i="25" s="1"/>
  <c r="AZ106" i="25"/>
  <c r="BC106" i="25" s="1"/>
  <c r="BD106" i="25" s="1"/>
  <c r="AZ111" i="25"/>
  <c r="BC111" i="25" s="1"/>
  <c r="BD111" i="25" s="1"/>
  <c r="AZ112" i="25"/>
  <c r="BC112" i="25" s="1"/>
  <c r="BD112" i="25" s="1"/>
  <c r="AY111" i="25"/>
  <c r="BA111" i="25" s="1"/>
  <c r="BB111" i="25" s="1"/>
  <c r="BE111" i="25" s="1"/>
  <c r="BE112" i="25"/>
  <c r="BE114" i="25"/>
  <c r="BE116" i="25"/>
  <c r="BE118" i="25"/>
  <c r="AZ152" i="25"/>
  <c r="BC152" i="25" s="1"/>
  <c r="BD152" i="25" s="1"/>
  <c r="AW152" i="25"/>
  <c r="BA152" i="25" s="1"/>
  <c r="BB152" i="25" s="1"/>
  <c r="BE152" i="25" s="1"/>
  <c r="AZ156" i="25"/>
  <c r="BC156" i="25" s="1"/>
  <c r="BD156" i="25" s="1"/>
  <c r="AW156" i="25"/>
  <c r="BA156" i="25" s="1"/>
  <c r="BB156" i="25" s="1"/>
  <c r="BE156" i="25" s="1"/>
  <c r="AZ160" i="25"/>
  <c r="BC160" i="25" s="1"/>
  <c r="BD160" i="25" s="1"/>
  <c r="AW160" i="25"/>
  <c r="BA160" i="25" s="1"/>
  <c r="BB160" i="25" s="1"/>
  <c r="BE160" i="25" s="1"/>
  <c r="AZ162" i="25"/>
  <c r="BC162" i="25" s="1"/>
  <c r="BD162" i="25" s="1"/>
  <c r="AZ164" i="25"/>
  <c r="BC164" i="25" s="1"/>
  <c r="BD164" i="25" s="1"/>
  <c r="AW164" i="25"/>
  <c r="BA164" i="25" s="1"/>
  <c r="BB164" i="25" s="1"/>
  <c r="BE164" i="25" s="1"/>
  <c r="AZ166" i="25"/>
  <c r="BC166" i="25" s="1"/>
  <c r="BD166" i="25" s="1"/>
  <c r="AZ168" i="25"/>
  <c r="BC168" i="25" s="1"/>
  <c r="BD168" i="25" s="1"/>
  <c r="AW168" i="25"/>
  <c r="BA168" i="25" s="1"/>
  <c r="BB168" i="25" s="1"/>
  <c r="BE168" i="25" s="1"/>
  <c r="BK38" i="25"/>
  <c r="BO38" i="25"/>
  <c r="BK39" i="25"/>
  <c r="BO39" i="25"/>
  <c r="BK40" i="25"/>
  <c r="BO40" i="25"/>
  <c r="BK41" i="25"/>
  <c r="BO41" i="25"/>
  <c r="BK42" i="25"/>
  <c r="BO42" i="25"/>
  <c r="BK43" i="25"/>
  <c r="BO43" i="25"/>
  <c r="BK44" i="25"/>
  <c r="BO44" i="25"/>
  <c r="BK45" i="25"/>
  <c r="BO45" i="25"/>
  <c r="BK46" i="25"/>
  <c r="BO46" i="25"/>
  <c r="BK47" i="25"/>
  <c r="BO47" i="25"/>
  <c r="BK48" i="25"/>
  <c r="BO48" i="25"/>
  <c r="BK49" i="25"/>
  <c r="BO49" i="25"/>
  <c r="BK50" i="25"/>
  <c r="BO50" i="25"/>
  <c r="AY51" i="25"/>
  <c r="BK51" i="25"/>
  <c r="BO51" i="25"/>
  <c r="AY52" i="25"/>
  <c r="BA52" i="25" s="1"/>
  <c r="BB52" i="25" s="1"/>
  <c r="BE52" i="25" s="1"/>
  <c r="BK52" i="25"/>
  <c r="BO52" i="25"/>
  <c r="AY53" i="25"/>
  <c r="BA53" i="25" s="1"/>
  <c r="BB53" i="25" s="1"/>
  <c r="BE53" i="25" s="1"/>
  <c r="BK53" i="25"/>
  <c r="BO53" i="25"/>
  <c r="AY54" i="25"/>
  <c r="BK54" i="25"/>
  <c r="BO54" i="25"/>
  <c r="AY55" i="25"/>
  <c r="BK55" i="25"/>
  <c r="BO55" i="25"/>
  <c r="AY56" i="25"/>
  <c r="BA56" i="25" s="1"/>
  <c r="BB56" i="25" s="1"/>
  <c r="BE56" i="25" s="1"/>
  <c r="BK56" i="25"/>
  <c r="BO56" i="25"/>
  <c r="AY57" i="25"/>
  <c r="BA57" i="25" s="1"/>
  <c r="BB57" i="25" s="1"/>
  <c r="BE57" i="25" s="1"/>
  <c r="BK57" i="25"/>
  <c r="BO57" i="25"/>
  <c r="AY58" i="25"/>
  <c r="BA58" i="25" s="1"/>
  <c r="BB58" i="25" s="1"/>
  <c r="BE58" i="25" s="1"/>
  <c r="BK58" i="25"/>
  <c r="BO58" i="25"/>
  <c r="AY59" i="25"/>
  <c r="BK59" i="25"/>
  <c r="BO59" i="25"/>
  <c r="AY60" i="25"/>
  <c r="BK60" i="25"/>
  <c r="BO60" i="25"/>
  <c r="AY61" i="25"/>
  <c r="BK61" i="25"/>
  <c r="BO61" i="25"/>
  <c r="AY62" i="25"/>
  <c r="BA62" i="25" s="1"/>
  <c r="BB62" i="25" s="1"/>
  <c r="BE62" i="25" s="1"/>
  <c r="BK62" i="25"/>
  <c r="BO62" i="25"/>
  <c r="AY63" i="25"/>
  <c r="BK63" i="25"/>
  <c r="BO63" i="25"/>
  <c r="AY64" i="25"/>
  <c r="BK64" i="25"/>
  <c r="BO64" i="25"/>
  <c r="AY65" i="25"/>
  <c r="BA65" i="25" s="1"/>
  <c r="BB65" i="25" s="1"/>
  <c r="BE65" i="25" s="1"/>
  <c r="BK65" i="25"/>
  <c r="BO65" i="25"/>
  <c r="AY66" i="25"/>
  <c r="BK66" i="25"/>
  <c r="BO66" i="25"/>
  <c r="AY67" i="25"/>
  <c r="BK67" i="25"/>
  <c r="BO67" i="25"/>
  <c r="AY68" i="25"/>
  <c r="BK68" i="25"/>
  <c r="BO68" i="25"/>
  <c r="AY69" i="25"/>
  <c r="BK69" i="25"/>
  <c r="BO69" i="25"/>
  <c r="AY70" i="25"/>
  <c r="BK70" i="25"/>
  <c r="BO70" i="25"/>
  <c r="AY71" i="25"/>
  <c r="BK71" i="25"/>
  <c r="BO71" i="25"/>
  <c r="AY72" i="25"/>
  <c r="BK72" i="25"/>
  <c r="BO72" i="25"/>
  <c r="AY73" i="25"/>
  <c r="BK73" i="25"/>
  <c r="BO73" i="25"/>
  <c r="AY74" i="25"/>
  <c r="BK74" i="25"/>
  <c r="BO74" i="25"/>
  <c r="AY75" i="25"/>
  <c r="BK75" i="25"/>
  <c r="BO75" i="25"/>
  <c r="AY76" i="25"/>
  <c r="BK76" i="25"/>
  <c r="BO76" i="25"/>
  <c r="AY77" i="25"/>
  <c r="BA77" i="25" s="1"/>
  <c r="BB77" i="25" s="1"/>
  <c r="BE77" i="25" s="1"/>
  <c r="BK77" i="25"/>
  <c r="BO77" i="25"/>
  <c r="AY78" i="25"/>
  <c r="BK78" i="25"/>
  <c r="BO78" i="25"/>
  <c r="AY79" i="25"/>
  <c r="BK79" i="25"/>
  <c r="BO79" i="25"/>
  <c r="AY80" i="25"/>
  <c r="BA80" i="25" s="1"/>
  <c r="BB80" i="25" s="1"/>
  <c r="BE80" i="25" s="1"/>
  <c r="BK80" i="25"/>
  <c r="BO80" i="25"/>
  <c r="AY81" i="25"/>
  <c r="BA81" i="25" s="1"/>
  <c r="BB81" i="25" s="1"/>
  <c r="BE81" i="25" s="1"/>
  <c r="BK81" i="25"/>
  <c r="BO81" i="25"/>
  <c r="AY82" i="25"/>
  <c r="BA82" i="25" s="1"/>
  <c r="BB82" i="25" s="1"/>
  <c r="BE82" i="25" s="1"/>
  <c r="BK82" i="25"/>
  <c r="BO82" i="25"/>
  <c r="AY83" i="25"/>
  <c r="BK83" i="25"/>
  <c r="BO83" i="25"/>
  <c r="AY84" i="25"/>
  <c r="BK84" i="25"/>
  <c r="BO84" i="25"/>
  <c r="AY85" i="25"/>
  <c r="BK85" i="25"/>
  <c r="BO85" i="25"/>
  <c r="AY86" i="25"/>
  <c r="BA86" i="25" s="1"/>
  <c r="BB86" i="25" s="1"/>
  <c r="BE86" i="25" s="1"/>
  <c r="BK86" i="25"/>
  <c r="BO86" i="25"/>
  <c r="AY87" i="25"/>
  <c r="BK87" i="25"/>
  <c r="BO87" i="25"/>
  <c r="AY88" i="25"/>
  <c r="BK88" i="25"/>
  <c r="BO88" i="25"/>
  <c r="AY89" i="25"/>
  <c r="BK89" i="25"/>
  <c r="BO89" i="25"/>
  <c r="AY90" i="25"/>
  <c r="BK90" i="25"/>
  <c r="BO90" i="25"/>
  <c r="AY91" i="25"/>
  <c r="BA91" i="25" s="1"/>
  <c r="BB91" i="25" s="1"/>
  <c r="BE91" i="25" s="1"/>
  <c r="BK91" i="25"/>
  <c r="BO91" i="25"/>
  <c r="AY92" i="25"/>
  <c r="BK92" i="25"/>
  <c r="BO92" i="25"/>
  <c r="AY93" i="25"/>
  <c r="BK93" i="25"/>
  <c r="BO93" i="25"/>
  <c r="AY94" i="25"/>
  <c r="BA94" i="25" s="1"/>
  <c r="BB94" i="25" s="1"/>
  <c r="BE94" i="25" s="1"/>
  <c r="BK94" i="25"/>
  <c r="BO94" i="25"/>
  <c r="AY95" i="25"/>
  <c r="BK95" i="25"/>
  <c r="BO95" i="25"/>
  <c r="AY96" i="25"/>
  <c r="BK96" i="25"/>
  <c r="BO96" i="25"/>
  <c r="AY97" i="25"/>
  <c r="BK97" i="25"/>
  <c r="BO97" i="25"/>
  <c r="AY98" i="25"/>
  <c r="BA98" i="25" s="1"/>
  <c r="BB98" i="25" s="1"/>
  <c r="BE98" i="25" s="1"/>
  <c r="BK98" i="25"/>
  <c r="BO98" i="25"/>
  <c r="AY99" i="25"/>
  <c r="BK99" i="25"/>
  <c r="BO99" i="25"/>
  <c r="AY100" i="25"/>
  <c r="BK100" i="25"/>
  <c r="BO100" i="25"/>
  <c r="AY101" i="25"/>
  <c r="BK101" i="25"/>
  <c r="BO101" i="25"/>
  <c r="AY102" i="25"/>
  <c r="BK102" i="25"/>
  <c r="BO102" i="25"/>
  <c r="BK103" i="25"/>
  <c r="BO103" i="25"/>
  <c r="BK104" i="25"/>
  <c r="BO104" i="25"/>
  <c r="BK105" i="25"/>
  <c r="BO105" i="25"/>
  <c r="BK106" i="25"/>
  <c r="BO106" i="25"/>
  <c r="BK107" i="25"/>
  <c r="BO107" i="25"/>
  <c r="BK108" i="25"/>
  <c r="BO108" i="25"/>
  <c r="BK109" i="25"/>
  <c r="BO109" i="25"/>
  <c r="BK110" i="25"/>
  <c r="BO110" i="25"/>
  <c r="AZ114" i="25"/>
  <c r="BC114" i="25" s="1"/>
  <c r="BD114" i="25" s="1"/>
  <c r="AZ116" i="25"/>
  <c r="BC116" i="25" s="1"/>
  <c r="BD116" i="25" s="1"/>
  <c r="AZ118" i="25"/>
  <c r="BC118" i="25" s="1"/>
  <c r="BD118" i="25" s="1"/>
  <c r="AY119" i="25"/>
  <c r="AZ119" i="25"/>
  <c r="BC119" i="25" s="1"/>
  <c r="BD119" i="25" s="1"/>
  <c r="AY120" i="25"/>
  <c r="AZ120" i="25"/>
  <c r="BC120" i="25" s="1"/>
  <c r="BD120" i="25" s="1"/>
  <c r="AY121" i="25"/>
  <c r="AZ121" i="25"/>
  <c r="BC121" i="25" s="1"/>
  <c r="BD121" i="25" s="1"/>
  <c r="AY122" i="25"/>
  <c r="AZ122" i="25"/>
  <c r="BC122" i="25" s="1"/>
  <c r="BD122" i="25" s="1"/>
  <c r="AY123" i="25"/>
  <c r="AZ123" i="25"/>
  <c r="BC123" i="25" s="1"/>
  <c r="BD123" i="25" s="1"/>
  <c r="AY124" i="25"/>
  <c r="AZ124" i="25"/>
  <c r="BC124" i="25" s="1"/>
  <c r="BD124" i="25" s="1"/>
  <c r="AY125" i="25"/>
  <c r="AZ125" i="25"/>
  <c r="BC125" i="25" s="1"/>
  <c r="BD125" i="25" s="1"/>
  <c r="AY126" i="25"/>
  <c r="AZ126" i="25"/>
  <c r="BC126" i="25" s="1"/>
  <c r="BD126" i="25" s="1"/>
  <c r="BA144" i="25"/>
  <c r="BB144" i="25" s="1"/>
  <c r="BA145" i="25"/>
  <c r="BB145" i="25" s="1"/>
  <c r="BE145" i="25" s="1"/>
  <c r="BA146" i="25"/>
  <c r="BB146" i="25" s="1"/>
  <c r="BA147" i="25"/>
  <c r="BB147" i="25" s="1"/>
  <c r="BA148" i="25"/>
  <c r="BB148" i="25" s="1"/>
  <c r="AW172" i="25"/>
  <c r="BA172" i="25" s="1"/>
  <c r="BB172" i="25" s="1"/>
  <c r="BE172" i="25" s="1"/>
  <c r="AZ172" i="25"/>
  <c r="BC172" i="25" s="1"/>
  <c r="BD172" i="25" s="1"/>
  <c r="AV38" i="25"/>
  <c r="AW38" i="25" s="1"/>
  <c r="BA38" i="25" s="1"/>
  <c r="BB38" i="25" s="1"/>
  <c r="BE38" i="25" s="1"/>
  <c r="AV39" i="25"/>
  <c r="AW39" i="25" s="1"/>
  <c r="BA39" i="25" s="1"/>
  <c r="BB39" i="25" s="1"/>
  <c r="BE39" i="25" s="1"/>
  <c r="AV41" i="25"/>
  <c r="AW41" i="25" s="1"/>
  <c r="BA41" i="25" s="1"/>
  <c r="BB41" i="25" s="1"/>
  <c r="BE41" i="25" s="1"/>
  <c r="AV42" i="25"/>
  <c r="AW42" i="25" s="1"/>
  <c r="BA42" i="25" s="1"/>
  <c r="BB42" i="25" s="1"/>
  <c r="BE42" i="25" s="1"/>
  <c r="AV45" i="25"/>
  <c r="AW45" i="25" s="1"/>
  <c r="BA45" i="25" s="1"/>
  <c r="BB45" i="25" s="1"/>
  <c r="BE45" i="25" s="1"/>
  <c r="AV46" i="25"/>
  <c r="AW46" i="25" s="1"/>
  <c r="BA46" i="25" s="1"/>
  <c r="BB46" i="25" s="1"/>
  <c r="BE46" i="25" s="1"/>
  <c r="AV47" i="25"/>
  <c r="AW47" i="25" s="1"/>
  <c r="BA47" i="25" s="1"/>
  <c r="BB47" i="25" s="1"/>
  <c r="BE47" i="25" s="1"/>
  <c r="AV48" i="25"/>
  <c r="AW48" i="25" s="1"/>
  <c r="BA48" i="25" s="1"/>
  <c r="BB48" i="25" s="1"/>
  <c r="BE48" i="25" s="1"/>
  <c r="AV49" i="25"/>
  <c r="AW49" i="25" s="1"/>
  <c r="BA49" i="25" s="1"/>
  <c r="BB49" i="25" s="1"/>
  <c r="BE49" i="25" s="1"/>
  <c r="AV50" i="25"/>
  <c r="AW50" i="25" s="1"/>
  <c r="BA50" i="25" s="1"/>
  <c r="BB50" i="25" s="1"/>
  <c r="BE50" i="25" s="1"/>
  <c r="AV51" i="25"/>
  <c r="AW51" i="25" s="1"/>
  <c r="BA51" i="25" s="1"/>
  <c r="BB51" i="25" s="1"/>
  <c r="BE51" i="25" s="1"/>
  <c r="AV54" i="25"/>
  <c r="AW54" i="25" s="1"/>
  <c r="BA54" i="25" s="1"/>
  <c r="BB54" i="25" s="1"/>
  <c r="BE54" i="25" s="1"/>
  <c r="AV55" i="25"/>
  <c r="AW55" i="25" s="1"/>
  <c r="AV59" i="25"/>
  <c r="AW59" i="25" s="1"/>
  <c r="AV60" i="25"/>
  <c r="AW60" i="25" s="1"/>
  <c r="BA60" i="25" s="1"/>
  <c r="BB60" i="25" s="1"/>
  <c r="BE60" i="25" s="1"/>
  <c r="AV61" i="25"/>
  <c r="AW61" i="25" s="1"/>
  <c r="BA61" i="25" s="1"/>
  <c r="BB61" i="25" s="1"/>
  <c r="BE61" i="25" s="1"/>
  <c r="AV63" i="25"/>
  <c r="AW63" i="25" s="1"/>
  <c r="AV64" i="25"/>
  <c r="AW64" i="25" s="1"/>
  <c r="BA64" i="25" s="1"/>
  <c r="BB64" i="25" s="1"/>
  <c r="BE64" i="25" s="1"/>
  <c r="AV66" i="25"/>
  <c r="AW66" i="25" s="1"/>
  <c r="BA66" i="25" s="1"/>
  <c r="BB66" i="25" s="1"/>
  <c r="BE66" i="25" s="1"/>
  <c r="AV67" i="25"/>
  <c r="AW67" i="25" s="1"/>
  <c r="AV68" i="25"/>
  <c r="AW68" i="25" s="1"/>
  <c r="BA68" i="25" s="1"/>
  <c r="BB68" i="25" s="1"/>
  <c r="BE68" i="25" s="1"/>
  <c r="AV69" i="25"/>
  <c r="AW69" i="25" s="1"/>
  <c r="BA69" i="25" s="1"/>
  <c r="BB69" i="25" s="1"/>
  <c r="BE69" i="25" s="1"/>
  <c r="AV70" i="25"/>
  <c r="AW70" i="25" s="1"/>
  <c r="BA70" i="25" s="1"/>
  <c r="BB70" i="25" s="1"/>
  <c r="BE70" i="25" s="1"/>
  <c r="AV71" i="25"/>
  <c r="AW71" i="25" s="1"/>
  <c r="AV72" i="25"/>
  <c r="AW72" i="25" s="1"/>
  <c r="BA72" i="25" s="1"/>
  <c r="BB72" i="25" s="1"/>
  <c r="BE72" i="25" s="1"/>
  <c r="AV73" i="25"/>
  <c r="AW73" i="25" s="1"/>
  <c r="BA73" i="25" s="1"/>
  <c r="BB73" i="25" s="1"/>
  <c r="BE73" i="25" s="1"/>
  <c r="AV74" i="25"/>
  <c r="AW74" i="25" s="1"/>
  <c r="BA74" i="25" s="1"/>
  <c r="BB74" i="25" s="1"/>
  <c r="BE74" i="25" s="1"/>
  <c r="AV75" i="25"/>
  <c r="AW75" i="25" s="1"/>
  <c r="AV76" i="25"/>
  <c r="AW76" i="25" s="1"/>
  <c r="BA76" i="25" s="1"/>
  <c r="BB76" i="25" s="1"/>
  <c r="BE76" i="25" s="1"/>
  <c r="AV78" i="25"/>
  <c r="AW78" i="25" s="1"/>
  <c r="BA78" i="25" s="1"/>
  <c r="BB78" i="25" s="1"/>
  <c r="BE78" i="25" s="1"/>
  <c r="AV79" i="25"/>
  <c r="AW79" i="25" s="1"/>
  <c r="BA79" i="25" s="1"/>
  <c r="BB79" i="25" s="1"/>
  <c r="BE79" i="25" s="1"/>
  <c r="AV83" i="25"/>
  <c r="AW83" i="25" s="1"/>
  <c r="AV84" i="25"/>
  <c r="AW84" i="25" s="1"/>
  <c r="BA84" i="25" s="1"/>
  <c r="BB84" i="25" s="1"/>
  <c r="BE84" i="25" s="1"/>
  <c r="AV85" i="25"/>
  <c r="AW85" i="25" s="1"/>
  <c r="BA85" i="25" s="1"/>
  <c r="BB85" i="25" s="1"/>
  <c r="BE85" i="25" s="1"/>
  <c r="AV87" i="25"/>
  <c r="AW87" i="25" s="1"/>
  <c r="BA87" i="25" s="1"/>
  <c r="BB87" i="25" s="1"/>
  <c r="BE87" i="25" s="1"/>
  <c r="AV88" i="25"/>
  <c r="AW88" i="25" s="1"/>
  <c r="BA88" i="25" s="1"/>
  <c r="BB88" i="25" s="1"/>
  <c r="BE88" i="25" s="1"/>
  <c r="AV89" i="25"/>
  <c r="AW89" i="25" s="1"/>
  <c r="BA89" i="25" s="1"/>
  <c r="BB89" i="25" s="1"/>
  <c r="BE89" i="25" s="1"/>
  <c r="AV90" i="25"/>
  <c r="AW90" i="25" s="1"/>
  <c r="BA90" i="25" s="1"/>
  <c r="BB90" i="25" s="1"/>
  <c r="BE90" i="25" s="1"/>
  <c r="AV92" i="25"/>
  <c r="AW92" i="25" s="1"/>
  <c r="BA92" i="25" s="1"/>
  <c r="BB92" i="25" s="1"/>
  <c r="BE92" i="25" s="1"/>
  <c r="AV93" i="25"/>
  <c r="AW93" i="25" s="1"/>
  <c r="BA93" i="25" s="1"/>
  <c r="BB93" i="25" s="1"/>
  <c r="BE93" i="25" s="1"/>
  <c r="AV95" i="25"/>
  <c r="AW95" i="25" s="1"/>
  <c r="AV96" i="25"/>
  <c r="AW96" i="25" s="1"/>
  <c r="BA96" i="25" s="1"/>
  <c r="BB96" i="25" s="1"/>
  <c r="BE96" i="25" s="1"/>
  <c r="AV97" i="25"/>
  <c r="AW97" i="25" s="1"/>
  <c r="BA97" i="25" s="1"/>
  <c r="BB97" i="25" s="1"/>
  <c r="BE97" i="25" s="1"/>
  <c r="AV99" i="25"/>
  <c r="AW99" i="25" s="1"/>
  <c r="AV100" i="25"/>
  <c r="AW100" i="25" s="1"/>
  <c r="BA100" i="25" s="1"/>
  <c r="BB100" i="25" s="1"/>
  <c r="BE100" i="25" s="1"/>
  <c r="AV101" i="25"/>
  <c r="AW101" i="25" s="1"/>
  <c r="AV102" i="25"/>
  <c r="AW102" i="25" s="1"/>
  <c r="BA102" i="25" s="1"/>
  <c r="BB102" i="25" s="1"/>
  <c r="BE102" i="25" s="1"/>
  <c r="AV104" i="25"/>
  <c r="AW104" i="25" s="1"/>
  <c r="BA104" i="25" s="1"/>
  <c r="BB104" i="25" s="1"/>
  <c r="BE104" i="25" s="1"/>
  <c r="AV108" i="25"/>
  <c r="AW108" i="25" s="1"/>
  <c r="BA108" i="25" s="1"/>
  <c r="BB108" i="25" s="1"/>
  <c r="BE108" i="25" s="1"/>
  <c r="AV110" i="25"/>
  <c r="AW110" i="25" s="1"/>
  <c r="BA110" i="25" s="1"/>
  <c r="BB110" i="25" s="1"/>
  <c r="BE110" i="25" s="1"/>
  <c r="BE115" i="25"/>
  <c r="BE117" i="25"/>
  <c r="AZ151" i="25"/>
  <c r="BC151" i="25" s="1"/>
  <c r="BD151" i="25" s="1"/>
  <c r="AZ155" i="25"/>
  <c r="BC155" i="25" s="1"/>
  <c r="BD155" i="25" s="1"/>
  <c r="AZ159" i="25"/>
  <c r="BC159" i="25" s="1"/>
  <c r="BD159" i="25" s="1"/>
  <c r="BE162" i="25"/>
  <c r="BE166" i="25"/>
  <c r="BE113" i="25"/>
  <c r="BA119" i="25"/>
  <c r="BB119" i="25" s="1"/>
  <c r="BE119" i="25" s="1"/>
  <c r="BA120" i="25"/>
  <c r="BB120" i="25" s="1"/>
  <c r="BE120" i="25" s="1"/>
  <c r="BA121" i="25"/>
  <c r="BB121" i="25" s="1"/>
  <c r="BE121" i="25" s="1"/>
  <c r="BA122" i="25"/>
  <c r="BB122" i="25" s="1"/>
  <c r="BE122" i="25" s="1"/>
  <c r="BA123" i="25"/>
  <c r="BB123" i="25" s="1"/>
  <c r="BE123" i="25" s="1"/>
  <c r="BA124" i="25"/>
  <c r="BB124" i="25" s="1"/>
  <c r="BE124" i="25" s="1"/>
  <c r="BA125" i="25"/>
  <c r="BB125" i="25" s="1"/>
  <c r="BE125" i="25" s="1"/>
  <c r="BA126" i="25"/>
  <c r="BB126" i="25" s="1"/>
  <c r="BE126" i="25" s="1"/>
  <c r="BA127" i="25"/>
  <c r="BB127" i="25" s="1"/>
  <c r="BE127" i="25" s="1"/>
  <c r="BA129" i="25"/>
  <c r="BB129" i="25" s="1"/>
  <c r="BE129" i="25" s="1"/>
  <c r="BA131" i="25"/>
  <c r="BB131" i="25" s="1"/>
  <c r="BE131" i="25" s="1"/>
  <c r="BA133" i="25"/>
  <c r="BB133" i="25" s="1"/>
  <c r="BE133" i="25" s="1"/>
  <c r="BA135" i="25"/>
  <c r="BB135" i="25" s="1"/>
  <c r="BE135" i="25" s="1"/>
  <c r="BA137" i="25"/>
  <c r="BB137" i="25" s="1"/>
  <c r="BE137" i="25" s="1"/>
  <c r="BA139" i="25"/>
  <c r="BB139" i="25" s="1"/>
  <c r="BE139" i="25" s="1"/>
  <c r="BA141" i="25"/>
  <c r="BB141" i="25" s="1"/>
  <c r="BE141" i="25" s="1"/>
  <c r="BE143" i="25"/>
  <c r="BE144" i="25"/>
  <c r="BE146" i="25"/>
  <c r="BE147" i="25"/>
  <c r="BE148" i="25"/>
  <c r="BE153" i="25"/>
  <c r="BE157" i="25"/>
  <c r="BV170" i="25"/>
  <c r="BP170" i="25" s="1"/>
  <c r="BQ170" i="25" s="1"/>
  <c r="AZ127" i="25"/>
  <c r="BC127" i="25" s="1"/>
  <c r="BD127" i="25" s="1"/>
  <c r="AZ128" i="25"/>
  <c r="BC128" i="25" s="1"/>
  <c r="BD128" i="25" s="1"/>
  <c r="AZ129" i="25"/>
  <c r="BC129" i="25" s="1"/>
  <c r="BD129" i="25" s="1"/>
  <c r="AZ130" i="25"/>
  <c r="BC130" i="25" s="1"/>
  <c r="BD130" i="25" s="1"/>
  <c r="AZ131" i="25"/>
  <c r="BC131" i="25" s="1"/>
  <c r="BD131" i="25" s="1"/>
  <c r="AZ132" i="25"/>
  <c r="BC132" i="25" s="1"/>
  <c r="BD132" i="25" s="1"/>
  <c r="AZ133" i="25"/>
  <c r="BC133" i="25" s="1"/>
  <c r="BD133" i="25" s="1"/>
  <c r="AZ134" i="25"/>
  <c r="BC134" i="25" s="1"/>
  <c r="BD134" i="25" s="1"/>
  <c r="AZ135" i="25"/>
  <c r="BC135" i="25" s="1"/>
  <c r="BD135" i="25" s="1"/>
  <c r="AZ136" i="25"/>
  <c r="BC136" i="25" s="1"/>
  <c r="BD136" i="25" s="1"/>
  <c r="AZ137" i="25"/>
  <c r="BC137" i="25" s="1"/>
  <c r="BD137" i="25" s="1"/>
  <c r="AZ138" i="25"/>
  <c r="BC138" i="25" s="1"/>
  <c r="BD138" i="25" s="1"/>
  <c r="AZ139" i="25"/>
  <c r="BC139" i="25" s="1"/>
  <c r="BD139" i="25" s="1"/>
  <c r="AZ140" i="25"/>
  <c r="BC140" i="25" s="1"/>
  <c r="BD140" i="25" s="1"/>
  <c r="AZ141" i="25"/>
  <c r="BC141" i="25" s="1"/>
  <c r="BD141" i="25" s="1"/>
  <c r="AZ142" i="25"/>
  <c r="BC142" i="25" s="1"/>
  <c r="BD142" i="25" s="1"/>
  <c r="AZ143" i="25"/>
  <c r="BC143" i="25" s="1"/>
  <c r="BD143" i="25" s="1"/>
  <c r="AZ144" i="25"/>
  <c r="BC144" i="25" s="1"/>
  <c r="BD144" i="25" s="1"/>
  <c r="AZ145" i="25"/>
  <c r="BC145" i="25" s="1"/>
  <c r="BD145" i="25" s="1"/>
  <c r="AZ146" i="25"/>
  <c r="BC146" i="25" s="1"/>
  <c r="BD146" i="25" s="1"/>
  <c r="AZ147" i="25"/>
  <c r="BC147" i="25" s="1"/>
  <c r="BD147" i="25" s="1"/>
  <c r="AZ148" i="25"/>
  <c r="BC148" i="25" s="1"/>
  <c r="BD148" i="25" s="1"/>
  <c r="AZ149" i="25"/>
  <c r="BC149" i="25" s="1"/>
  <c r="BD149" i="25" s="1"/>
  <c r="AZ153" i="25"/>
  <c r="BC153" i="25" s="1"/>
  <c r="BD153" i="25" s="1"/>
  <c r="AZ157" i="25"/>
  <c r="BC157" i="25" s="1"/>
  <c r="BD157" i="25" s="1"/>
  <c r="AZ161" i="25"/>
  <c r="BC161" i="25" s="1"/>
  <c r="BD161" i="25" s="1"/>
  <c r="AZ165" i="25"/>
  <c r="BC165" i="25" s="1"/>
  <c r="BD165" i="25" s="1"/>
  <c r="CC173" i="25"/>
  <c r="BY173" i="25"/>
  <c r="BS173" i="25" s="1"/>
  <c r="BX173" i="25"/>
  <c r="BU173" i="25" s="1"/>
  <c r="CC177" i="25"/>
  <c r="BY177" i="25"/>
  <c r="BS177" i="25" s="1"/>
  <c r="BX177" i="25"/>
  <c r="BU177" i="25" s="1"/>
  <c r="BA177" i="25"/>
  <c r="BB177" i="25" s="1"/>
  <c r="BE177" i="25" s="1"/>
  <c r="AZ179" i="25"/>
  <c r="BC179" i="25" s="1"/>
  <c r="BD179" i="25" s="1"/>
  <c r="CB179" i="25"/>
  <c r="AZ183" i="25"/>
  <c r="BC183" i="25" s="1"/>
  <c r="BD183" i="25" s="1"/>
  <c r="BV184" i="25"/>
  <c r="BP184" i="25" s="1"/>
  <c r="BQ184" i="25" s="1"/>
  <c r="BE185" i="25"/>
  <c r="AZ187" i="25"/>
  <c r="BC187" i="25" s="1"/>
  <c r="BD187" i="25" s="1"/>
  <c r="BV188" i="25"/>
  <c r="BP188" i="25" s="1"/>
  <c r="BQ188" i="25" s="1"/>
  <c r="BE189" i="25"/>
  <c r="AZ191" i="25"/>
  <c r="BC191" i="25" s="1"/>
  <c r="BD191" i="25" s="1"/>
  <c r="BV192" i="25"/>
  <c r="BP192" i="25" s="1"/>
  <c r="BQ192" i="25" s="1"/>
  <c r="BE193" i="25"/>
  <c r="AZ195" i="25"/>
  <c r="BC195" i="25" s="1"/>
  <c r="BD195" i="25" s="1"/>
  <c r="BV196" i="25"/>
  <c r="BP196" i="25" s="1"/>
  <c r="BQ196" i="25" s="1"/>
  <c r="BE197" i="25"/>
  <c r="AZ199" i="25"/>
  <c r="BC199" i="25" s="1"/>
  <c r="BD199" i="25" s="1"/>
  <c r="BE200" i="25"/>
  <c r="AZ201" i="25"/>
  <c r="BC201" i="25" s="1"/>
  <c r="BD201" i="25" s="1"/>
  <c r="BE202" i="25"/>
  <c r="AZ203" i="25"/>
  <c r="BC203" i="25" s="1"/>
  <c r="BD203" i="25" s="1"/>
  <c r="BE204" i="25"/>
  <c r="AZ205" i="25"/>
  <c r="BC205" i="25" s="1"/>
  <c r="BD205" i="25" s="1"/>
  <c r="BE206" i="25"/>
  <c r="AZ207" i="25"/>
  <c r="BC207" i="25" s="1"/>
  <c r="BD207" i="25" s="1"/>
  <c r="AZ209" i="25"/>
  <c r="BC209" i="25" s="1"/>
  <c r="BD209" i="25" s="1"/>
  <c r="AZ211" i="25"/>
  <c r="BC211" i="25" s="1"/>
  <c r="BD211" i="25" s="1"/>
  <c r="AZ213" i="25"/>
  <c r="BC213" i="25" s="1"/>
  <c r="BD213" i="25" s="1"/>
  <c r="AW213" i="25"/>
  <c r="BA213" i="25" s="1"/>
  <c r="BB213" i="25" s="1"/>
  <c r="BE213" i="25" s="1"/>
  <c r="AW227" i="25"/>
  <c r="BA227" i="25" s="1"/>
  <c r="BB227" i="25" s="1"/>
  <c r="BE227" i="25" s="1"/>
  <c r="AZ227" i="25"/>
  <c r="BC227" i="25" s="1"/>
  <c r="BD227" i="25" s="1"/>
  <c r="BX150" i="25"/>
  <c r="BU150" i="25" s="1"/>
  <c r="AY151" i="25"/>
  <c r="BA151" i="25" s="1"/>
  <c r="BB151" i="25" s="1"/>
  <c r="BE151" i="25" s="1"/>
  <c r="BK151" i="25"/>
  <c r="BO151" i="25"/>
  <c r="BY153" i="25"/>
  <c r="BS153" i="25" s="1"/>
  <c r="BV153" i="25" s="1"/>
  <c r="BP153" i="25" s="1"/>
  <c r="BQ153" i="25" s="1"/>
  <c r="BX154" i="25"/>
  <c r="BU154" i="25" s="1"/>
  <c r="AY155" i="25"/>
  <c r="BA155" i="25" s="1"/>
  <c r="BB155" i="25" s="1"/>
  <c r="BE155" i="25" s="1"/>
  <c r="BK155" i="25"/>
  <c r="BO155" i="25"/>
  <c r="BY157" i="25"/>
  <c r="BS157" i="25" s="1"/>
  <c r="BV157" i="25" s="1"/>
  <c r="BP157" i="25" s="1"/>
  <c r="BQ157" i="25" s="1"/>
  <c r="BX158" i="25"/>
  <c r="BU158" i="25" s="1"/>
  <c r="AY159" i="25"/>
  <c r="BA159" i="25" s="1"/>
  <c r="BB159" i="25" s="1"/>
  <c r="BE159" i="25" s="1"/>
  <c r="BK159" i="25"/>
  <c r="BO159" i="25"/>
  <c r="BY161" i="25"/>
  <c r="BS161" i="25" s="1"/>
  <c r="BV161" i="25" s="1"/>
  <c r="BP161" i="25" s="1"/>
  <c r="BQ161" i="25" s="1"/>
  <c r="BX162" i="25"/>
  <c r="BU162" i="25" s="1"/>
  <c r="AY163" i="25"/>
  <c r="BA163" i="25" s="1"/>
  <c r="BB163" i="25" s="1"/>
  <c r="BE163" i="25" s="1"/>
  <c r="BK163" i="25"/>
  <c r="BO163" i="25"/>
  <c r="BY165" i="25"/>
  <c r="BS165" i="25" s="1"/>
  <c r="BV165" i="25" s="1"/>
  <c r="BP165" i="25" s="1"/>
  <c r="BQ165" i="25" s="1"/>
  <c r="BX166" i="25"/>
  <c r="BU166" i="25" s="1"/>
  <c r="AY167" i="25"/>
  <c r="BA167" i="25" s="1"/>
  <c r="BB167" i="25" s="1"/>
  <c r="BE167" i="25" s="1"/>
  <c r="BK167" i="25"/>
  <c r="BO167" i="25"/>
  <c r="CC172" i="25"/>
  <c r="BY172" i="25"/>
  <c r="BS172" i="25" s="1"/>
  <c r="AZ173" i="25"/>
  <c r="BC173" i="25" s="1"/>
  <c r="BD173" i="25" s="1"/>
  <c r="AY174" i="25"/>
  <c r="CC176" i="25"/>
  <c r="BY176" i="25"/>
  <c r="BS176" i="25" s="1"/>
  <c r="BV176" i="25" s="1"/>
  <c r="BP176" i="25" s="1"/>
  <c r="BQ176" i="25" s="1"/>
  <c r="AZ176" i="25"/>
  <c r="BC176" i="25" s="1"/>
  <c r="BD176" i="25" s="1"/>
  <c r="BV216" i="25"/>
  <c r="BP216" i="25" s="1"/>
  <c r="BQ216" i="25" s="1"/>
  <c r="AZ221" i="25"/>
  <c r="BC221" i="25" s="1"/>
  <c r="BD221" i="25" s="1"/>
  <c r="BY150" i="25"/>
  <c r="BS150" i="25" s="1"/>
  <c r="BK152" i="25"/>
  <c r="BO152" i="25"/>
  <c r="BY154" i="25"/>
  <c r="BS154" i="25" s="1"/>
  <c r="BK156" i="25"/>
  <c r="BO156" i="25"/>
  <c r="BY158" i="25"/>
  <c r="BS158" i="25" s="1"/>
  <c r="BK160" i="25"/>
  <c r="BO160" i="25"/>
  <c r="BY162" i="25"/>
  <c r="BS162" i="25" s="1"/>
  <c r="BK164" i="25"/>
  <c r="BO164" i="25"/>
  <c r="BY166" i="25"/>
  <c r="BS166" i="25" s="1"/>
  <c r="BK168" i="25"/>
  <c r="BO168" i="25"/>
  <c r="AY169" i="25"/>
  <c r="BA169" i="25" s="1"/>
  <c r="BB169" i="25" s="1"/>
  <c r="BE169" i="25" s="1"/>
  <c r="BV171" i="25"/>
  <c r="BP171" i="25" s="1"/>
  <c r="BQ171" i="25" s="1"/>
  <c r="BO171" i="25"/>
  <c r="BK171" i="25"/>
  <c r="BX172" i="25"/>
  <c r="BU172" i="25" s="1"/>
  <c r="AY173" i="25"/>
  <c r="BA173" i="25" s="1"/>
  <c r="BB173" i="25" s="1"/>
  <c r="BE173" i="25" s="1"/>
  <c r="BV175" i="25"/>
  <c r="BP175" i="25" s="1"/>
  <c r="BQ175" i="25" s="1"/>
  <c r="BO175" i="25"/>
  <c r="BK175" i="25"/>
  <c r="BA178" i="25"/>
  <c r="BB178" i="25" s="1"/>
  <c r="BE178" i="25" s="1"/>
  <c r="AY180" i="25"/>
  <c r="BA180" i="25" s="1"/>
  <c r="BB180" i="25" s="1"/>
  <c r="BE180" i="25" s="1"/>
  <c r="BA182" i="25"/>
  <c r="BB182" i="25" s="1"/>
  <c r="BA184" i="25"/>
  <c r="BB184" i="25" s="1"/>
  <c r="BE184" i="25" s="1"/>
  <c r="AZ185" i="25"/>
  <c r="BC185" i="25" s="1"/>
  <c r="BD185" i="25" s="1"/>
  <c r="BV186" i="25"/>
  <c r="BP186" i="25" s="1"/>
  <c r="BQ186" i="25" s="1"/>
  <c r="BE187" i="25"/>
  <c r="AZ189" i="25"/>
  <c r="BC189" i="25" s="1"/>
  <c r="BD189" i="25" s="1"/>
  <c r="BV190" i="25"/>
  <c r="BP190" i="25" s="1"/>
  <c r="BQ190" i="25" s="1"/>
  <c r="BE191" i="25"/>
  <c r="AZ193" i="25"/>
  <c r="BC193" i="25" s="1"/>
  <c r="BD193" i="25" s="1"/>
  <c r="BV194" i="25"/>
  <c r="BP194" i="25" s="1"/>
  <c r="BQ194" i="25" s="1"/>
  <c r="BE195" i="25"/>
  <c r="AZ197" i="25"/>
  <c r="BC197" i="25" s="1"/>
  <c r="BD197" i="25" s="1"/>
  <c r="BV198" i="25"/>
  <c r="BP198" i="25" s="1"/>
  <c r="BQ198" i="25" s="1"/>
  <c r="BE199" i="25"/>
  <c r="AZ200" i="25"/>
  <c r="BC200" i="25" s="1"/>
  <c r="BD200" i="25" s="1"/>
  <c r="BE201" i="25"/>
  <c r="AZ202" i="25"/>
  <c r="BC202" i="25" s="1"/>
  <c r="BD202" i="25" s="1"/>
  <c r="BE203" i="25"/>
  <c r="AZ204" i="25"/>
  <c r="BC204" i="25" s="1"/>
  <c r="BD204" i="25" s="1"/>
  <c r="BE205" i="25"/>
  <c r="AZ206" i="25"/>
  <c r="BC206" i="25" s="1"/>
  <c r="BD206" i="25" s="1"/>
  <c r="BE207" i="25"/>
  <c r="AZ208" i="25"/>
  <c r="BC208" i="25" s="1"/>
  <c r="BD208" i="25" s="1"/>
  <c r="BE209" i="25"/>
  <c r="AZ210" i="25"/>
  <c r="BC210" i="25" s="1"/>
  <c r="BD210" i="25" s="1"/>
  <c r="BE211" i="25"/>
  <c r="BE215" i="25"/>
  <c r="BE219" i="25"/>
  <c r="AZ220" i="25"/>
  <c r="BC220" i="25" s="1"/>
  <c r="BD220" i="25" s="1"/>
  <c r="AZ222" i="25"/>
  <c r="BC222" i="25" s="1"/>
  <c r="BD222" i="25" s="1"/>
  <c r="CC169" i="25"/>
  <c r="BY169" i="25"/>
  <c r="BS169" i="25" s="1"/>
  <c r="BX169" i="25"/>
  <c r="BU169" i="25" s="1"/>
  <c r="CC170" i="25"/>
  <c r="AV170" i="25"/>
  <c r="AW170" i="25" s="1"/>
  <c r="BA170" i="25" s="1"/>
  <c r="BB170" i="25" s="1"/>
  <c r="BE170" i="25" s="1"/>
  <c r="BG171" i="25"/>
  <c r="AV171" i="25"/>
  <c r="CB173" i="25"/>
  <c r="AV174" i="25"/>
  <c r="AW174" i="25" s="1"/>
  <c r="BA174" i="25" s="1"/>
  <c r="BB174" i="25" s="1"/>
  <c r="BE174" i="25" s="1"/>
  <c r="BO174" i="25"/>
  <c r="BK174" i="25"/>
  <c r="AV175" i="25"/>
  <c r="AZ178" i="25"/>
  <c r="BC178" i="25" s="1"/>
  <c r="BD178" i="25" s="1"/>
  <c r="BA179" i="25"/>
  <c r="BB179" i="25" s="1"/>
  <c r="BE179" i="25" s="1"/>
  <c r="AY181" i="25"/>
  <c r="BA181" i="25" s="1"/>
  <c r="BB181" i="25" s="1"/>
  <c r="BE181" i="25" s="1"/>
  <c r="AZ182" i="25"/>
  <c r="BC182" i="25" s="1"/>
  <c r="BD182" i="25" s="1"/>
  <c r="BE182" i="25"/>
  <c r="BA183" i="25"/>
  <c r="BB183" i="25" s="1"/>
  <c r="BE183" i="25" s="1"/>
  <c r="AZ214" i="25"/>
  <c r="BC214" i="25" s="1"/>
  <c r="BD214" i="25" s="1"/>
  <c r="AW214" i="25"/>
  <c r="BA214" i="25" s="1"/>
  <c r="BB214" i="25" s="1"/>
  <c r="BE214" i="25" s="1"/>
  <c r="BE217" i="25"/>
  <c r="AW225" i="25"/>
  <c r="BA225" i="25" s="1"/>
  <c r="BB225" i="25" s="1"/>
  <c r="BE225" i="25" s="1"/>
  <c r="AZ225" i="25"/>
  <c r="BC225" i="25" s="1"/>
  <c r="BD225" i="25" s="1"/>
  <c r="AZ215" i="25"/>
  <c r="BC215" i="25" s="1"/>
  <c r="BD215" i="25" s="1"/>
  <c r="AZ216" i="25"/>
  <c r="BC216" i="25" s="1"/>
  <c r="BD216" i="25" s="1"/>
  <c r="AZ217" i="25"/>
  <c r="BC217" i="25" s="1"/>
  <c r="BD217" i="25" s="1"/>
  <c r="AW223" i="25"/>
  <c r="BA223" i="25" s="1"/>
  <c r="BB223" i="25" s="1"/>
  <c r="BE223" i="25" s="1"/>
  <c r="AW224" i="25"/>
  <c r="BA224" i="25" s="1"/>
  <c r="BB224" i="25" s="1"/>
  <c r="BE224" i="25" s="1"/>
  <c r="BV224" i="25"/>
  <c r="BP224" i="25" s="1"/>
  <c r="BQ224" i="25" s="1"/>
  <c r="CC225" i="25"/>
  <c r="BY225" i="25"/>
  <c r="BS225" i="25" s="1"/>
  <c r="BX225" i="25"/>
  <c r="BU225" i="25" s="1"/>
  <c r="AY226" i="25"/>
  <c r="BA226" i="25" s="1"/>
  <c r="BB226" i="25" s="1"/>
  <c r="BE226" i="25" s="1"/>
  <c r="AZ229" i="25"/>
  <c r="BC229" i="25" s="1"/>
  <c r="BD229" i="25" s="1"/>
  <c r="AZ231" i="25"/>
  <c r="BC231" i="25" s="1"/>
  <c r="BD231" i="25" s="1"/>
  <c r="AY231" i="25"/>
  <c r="BA231" i="25" s="1"/>
  <c r="BB231" i="25" s="1"/>
  <c r="BE231" i="25" s="1"/>
  <c r="AZ235" i="25"/>
  <c r="BC235" i="25" s="1"/>
  <c r="BD235" i="25" s="1"/>
  <c r="AY235" i="25"/>
  <c r="BA235" i="25" s="1"/>
  <c r="BB235" i="25" s="1"/>
  <c r="BE235" i="25" s="1"/>
  <c r="AZ249" i="25"/>
  <c r="BC249" i="25" s="1"/>
  <c r="BD249" i="25" s="1"/>
  <c r="BV250" i="25"/>
  <c r="BP250" i="25" s="1"/>
  <c r="BQ250" i="25" s="1"/>
  <c r="BV253" i="25"/>
  <c r="BP253" i="25" s="1"/>
  <c r="BQ253" i="25" s="1"/>
  <c r="BV257" i="25"/>
  <c r="BP257" i="25" s="1"/>
  <c r="BQ257" i="25" s="1"/>
  <c r="BA259" i="25"/>
  <c r="BB259" i="25" s="1"/>
  <c r="BY215" i="25"/>
  <c r="BS215" i="25" s="1"/>
  <c r="BV215" i="25" s="1"/>
  <c r="BP215" i="25" s="1"/>
  <c r="BQ215" i="25" s="1"/>
  <c r="BX218" i="25"/>
  <c r="BU218" i="25" s="1"/>
  <c r="AY221" i="25"/>
  <c r="BA221" i="25" s="1"/>
  <c r="BB221" i="25" s="1"/>
  <c r="BE221" i="25" s="1"/>
  <c r="BK221" i="25"/>
  <c r="BO221" i="25"/>
  <c r="AY222" i="25"/>
  <c r="BA222" i="25" s="1"/>
  <c r="BB222" i="25" s="1"/>
  <c r="BE222" i="25" s="1"/>
  <c r="BK222" i="25"/>
  <c r="BO222" i="25"/>
  <c r="BE228" i="25"/>
  <c r="AZ232" i="25"/>
  <c r="BC232" i="25" s="1"/>
  <c r="BD232" i="25" s="1"/>
  <c r="AY232" i="25"/>
  <c r="BA232" i="25" s="1"/>
  <c r="BB232" i="25" s="1"/>
  <c r="BE232" i="25" s="1"/>
  <c r="AZ236" i="25"/>
  <c r="BC236" i="25" s="1"/>
  <c r="BD236" i="25" s="1"/>
  <c r="AY236" i="25"/>
  <c r="BA236" i="25" s="1"/>
  <c r="BB236" i="25" s="1"/>
  <c r="BE236" i="25" s="1"/>
  <c r="AW251" i="25"/>
  <c r="BA251" i="25" s="1"/>
  <c r="BB251" i="25" s="1"/>
  <c r="BE251" i="25" s="1"/>
  <c r="AZ251" i="25"/>
  <c r="BC251" i="25" s="1"/>
  <c r="BD251" i="25" s="1"/>
  <c r="BV258" i="25"/>
  <c r="BP258" i="25" s="1"/>
  <c r="BQ258" i="25" s="1"/>
  <c r="AY212" i="25"/>
  <c r="BA212" i="25" s="1"/>
  <c r="BB212" i="25" s="1"/>
  <c r="BE212" i="25" s="1"/>
  <c r="BK212" i="25"/>
  <c r="BO212" i="25"/>
  <c r="BK213" i="25"/>
  <c r="BO213" i="25"/>
  <c r="BK214" i="25"/>
  <c r="BO214" i="25"/>
  <c r="BY218" i="25"/>
  <c r="BS218" i="25" s="1"/>
  <c r="BK223" i="25"/>
  <c r="AZ228" i="25"/>
  <c r="BC228" i="25" s="1"/>
  <c r="BD228" i="25" s="1"/>
  <c r="BA229" i="25"/>
  <c r="BB229" i="25" s="1"/>
  <c r="AZ233" i="25"/>
  <c r="BC233" i="25" s="1"/>
  <c r="BD233" i="25" s="1"/>
  <c r="AY233" i="25"/>
  <c r="BA233" i="25" s="1"/>
  <c r="BB233" i="25" s="1"/>
  <c r="BE233" i="25" s="1"/>
  <c r="AZ237" i="25"/>
  <c r="BC237" i="25" s="1"/>
  <c r="BD237" i="25" s="1"/>
  <c r="AY237" i="25"/>
  <c r="BA237" i="25" s="1"/>
  <c r="BB237" i="25" s="1"/>
  <c r="BE237" i="25" s="1"/>
  <c r="BV249" i="25"/>
  <c r="BP249" i="25" s="1"/>
  <c r="BQ249" i="25" s="1"/>
  <c r="AZ253" i="25"/>
  <c r="BC253" i="25" s="1"/>
  <c r="BD253" i="25" s="1"/>
  <c r="BV255" i="25"/>
  <c r="BP255" i="25" s="1"/>
  <c r="BQ255" i="25" s="1"/>
  <c r="BE229" i="25"/>
  <c r="AZ230" i="25"/>
  <c r="BC230" i="25" s="1"/>
  <c r="BD230" i="25" s="1"/>
  <c r="AY230" i="25"/>
  <c r="BA230" i="25" s="1"/>
  <c r="BB230" i="25" s="1"/>
  <c r="BE230" i="25" s="1"/>
  <c r="AZ234" i="25"/>
  <c r="BC234" i="25" s="1"/>
  <c r="BD234" i="25" s="1"/>
  <c r="AY234" i="25"/>
  <c r="BA234" i="25" s="1"/>
  <c r="BB234" i="25" s="1"/>
  <c r="BE234" i="25" s="1"/>
  <c r="AZ250" i="25"/>
  <c r="BC250" i="25" s="1"/>
  <c r="BD250" i="25" s="1"/>
  <c r="AZ259" i="25"/>
  <c r="BC259" i="25" s="1"/>
  <c r="BD259" i="25" s="1"/>
  <c r="CC261" i="25"/>
  <c r="AV261" i="25"/>
  <c r="AW261" i="25" s="1"/>
  <c r="BA261" i="25" s="1"/>
  <c r="BB261" i="25" s="1"/>
  <c r="BE261" i="25" s="1"/>
  <c r="CC263" i="25"/>
  <c r="AV263" i="25"/>
  <c r="BV265" i="25"/>
  <c r="BP265" i="25" s="1"/>
  <c r="BQ265" i="25" s="1"/>
  <c r="AY238" i="25"/>
  <c r="BA238" i="25" s="1"/>
  <c r="BB238" i="25" s="1"/>
  <c r="BE238" i="25" s="1"/>
  <c r="AY239" i="25"/>
  <c r="BA239" i="25" s="1"/>
  <c r="BB239" i="25" s="1"/>
  <c r="BE239" i="25" s="1"/>
  <c r="AY240" i="25"/>
  <c r="BA240" i="25" s="1"/>
  <c r="BB240" i="25" s="1"/>
  <c r="BE240" i="25" s="1"/>
  <c r="AY241" i="25"/>
  <c r="BA241" i="25" s="1"/>
  <c r="BB241" i="25" s="1"/>
  <c r="BE241" i="25" s="1"/>
  <c r="AY242" i="25"/>
  <c r="BA242" i="25" s="1"/>
  <c r="BB242" i="25" s="1"/>
  <c r="BE242" i="25" s="1"/>
  <c r="AY243" i="25"/>
  <c r="BA243" i="25" s="1"/>
  <c r="BB243" i="25" s="1"/>
  <c r="BE243" i="25" s="1"/>
  <c r="AY244" i="25"/>
  <c r="BA244" i="25" s="1"/>
  <c r="BB244" i="25" s="1"/>
  <c r="BE244" i="25" s="1"/>
  <c r="AY245" i="25"/>
  <c r="BA245" i="25" s="1"/>
  <c r="BB245" i="25" s="1"/>
  <c r="BE245" i="25" s="1"/>
  <c r="AY246" i="25"/>
  <c r="BA246" i="25" s="1"/>
  <c r="BB246" i="25" s="1"/>
  <c r="BE246" i="25" s="1"/>
  <c r="AY247" i="25"/>
  <c r="BA247" i="25" s="1"/>
  <c r="BB247" i="25" s="1"/>
  <c r="BE247" i="25" s="1"/>
  <c r="AY248" i="25"/>
  <c r="BA248" i="25" s="1"/>
  <c r="BB248" i="25" s="1"/>
  <c r="BE248" i="25" s="1"/>
  <c r="BX251" i="25"/>
  <c r="BU251" i="25" s="1"/>
  <c r="AY252" i="25"/>
  <c r="BA252" i="25" s="1"/>
  <c r="BB252" i="25" s="1"/>
  <c r="BE252" i="25" s="1"/>
  <c r="BE259" i="25"/>
  <c r="BY261" i="25"/>
  <c r="BS261" i="25" s="1"/>
  <c r="BV261" i="25" s="1"/>
  <c r="BP261" i="25" s="1"/>
  <c r="BQ261" i="25" s="1"/>
  <c r="BE262" i="25"/>
  <c r="BY263" i="25"/>
  <c r="BS263" i="25" s="1"/>
  <c r="BV263" i="25" s="1"/>
  <c r="BP263" i="25" s="1"/>
  <c r="BQ263" i="25" s="1"/>
  <c r="BE264" i="25"/>
  <c r="BX267" i="25"/>
  <c r="BU267" i="25" s="1"/>
  <c r="CC267" i="25"/>
  <c r="BY267" i="25"/>
  <c r="BS267" i="25" s="1"/>
  <c r="AZ269" i="25"/>
  <c r="BC269" i="25" s="1"/>
  <c r="BD269" i="25" s="1"/>
  <c r="BV270" i="25"/>
  <c r="BP270" i="25" s="1"/>
  <c r="BQ270" i="25" s="1"/>
  <c r="BA274" i="25"/>
  <c r="BB274" i="25" s="1"/>
  <c r="BE274" i="25" s="1"/>
  <c r="BA278" i="25"/>
  <c r="BB278" i="25" s="1"/>
  <c r="BE278" i="25" s="1"/>
  <c r="BV281" i="25"/>
  <c r="BP281" i="25" s="1"/>
  <c r="BQ281" i="25" s="1"/>
  <c r="BV282" i="25"/>
  <c r="BP282" i="25" s="1"/>
  <c r="BQ282" i="25" s="1"/>
  <c r="BV283" i="25"/>
  <c r="BP283" i="25" s="1"/>
  <c r="BQ283" i="25" s="1"/>
  <c r="BV284" i="25"/>
  <c r="BP284" i="25" s="1"/>
  <c r="BQ284" i="25" s="1"/>
  <c r="BV285" i="25"/>
  <c r="BP285" i="25" s="1"/>
  <c r="BQ285" i="25" s="1"/>
  <c r="BK249" i="25"/>
  <c r="BO249" i="25"/>
  <c r="BY251" i="25"/>
  <c r="BS251" i="25" s="1"/>
  <c r="BK253" i="25"/>
  <c r="BO253" i="25"/>
  <c r="BK254" i="25"/>
  <c r="BO254" i="25"/>
  <c r="BK255" i="25"/>
  <c r="BO255" i="25"/>
  <c r="BK256" i="25"/>
  <c r="BO256" i="25"/>
  <c r="BK257" i="25"/>
  <c r="BO257" i="25"/>
  <c r="BK258" i="25"/>
  <c r="BO258" i="25"/>
  <c r="BI261" i="25"/>
  <c r="BJ261" i="25" s="1"/>
  <c r="BO261" i="25"/>
  <c r="AZ262" i="25"/>
  <c r="BC262" i="25" s="1"/>
  <c r="BD262" i="25" s="1"/>
  <c r="BI263" i="25"/>
  <c r="BJ263" i="25" s="1"/>
  <c r="BO263" i="25"/>
  <c r="AZ264" i="25"/>
  <c r="BC264" i="25" s="1"/>
  <c r="BD264" i="25" s="1"/>
  <c r="BV266" i="25"/>
  <c r="BP266" i="25" s="1"/>
  <c r="BQ266" i="25" s="1"/>
  <c r="AZ267" i="25"/>
  <c r="BC267" i="25" s="1"/>
  <c r="BD267" i="25" s="1"/>
  <c r="AW267" i="25"/>
  <c r="BA267" i="25" s="1"/>
  <c r="BB267" i="25" s="1"/>
  <c r="BE267" i="25" s="1"/>
  <c r="AZ271" i="25"/>
  <c r="BC271" i="25" s="1"/>
  <c r="BD271" i="25" s="1"/>
  <c r="AW271" i="25"/>
  <c r="BA271" i="25" s="1"/>
  <c r="BB271" i="25" s="1"/>
  <c r="BE271" i="25" s="1"/>
  <c r="BE275" i="25"/>
  <c r="BE279" i="25"/>
  <c r="BK250" i="25"/>
  <c r="BY252" i="25"/>
  <c r="BS252" i="25" s="1"/>
  <c r="BV252" i="25" s="1"/>
  <c r="BP252" i="25" s="1"/>
  <c r="BQ252" i="25" s="1"/>
  <c r="AV254" i="25"/>
  <c r="AW254" i="25" s="1"/>
  <c r="BA254" i="25" s="1"/>
  <c r="BB254" i="25" s="1"/>
  <c r="BE254" i="25" s="1"/>
  <c r="AV255" i="25"/>
  <c r="AW255" i="25" s="1"/>
  <c r="BA255" i="25" s="1"/>
  <c r="BB255" i="25" s="1"/>
  <c r="BE255" i="25" s="1"/>
  <c r="AV256" i="25"/>
  <c r="AW256" i="25" s="1"/>
  <c r="BA256" i="25" s="1"/>
  <c r="BB256" i="25" s="1"/>
  <c r="BE256" i="25" s="1"/>
  <c r="AV257" i="25"/>
  <c r="AW257" i="25" s="1"/>
  <c r="BA257" i="25" s="1"/>
  <c r="BB257" i="25" s="1"/>
  <c r="BE257" i="25" s="1"/>
  <c r="AV258" i="25"/>
  <c r="AW258" i="25" s="1"/>
  <c r="BA258" i="25" s="1"/>
  <c r="BB258" i="25" s="1"/>
  <c r="BE258" i="25" s="1"/>
  <c r="CC259" i="25"/>
  <c r="BY259" i="25"/>
  <c r="BS259" i="25" s="1"/>
  <c r="BV259" i="25" s="1"/>
  <c r="BP259" i="25" s="1"/>
  <c r="BQ259" i="25" s="1"/>
  <c r="CC260" i="25"/>
  <c r="BY260" i="25"/>
  <c r="BS260" i="25" s="1"/>
  <c r="BV260" i="25" s="1"/>
  <c r="BP260" i="25" s="1"/>
  <c r="BQ260" i="25" s="1"/>
  <c r="BK261" i="25"/>
  <c r="BK263" i="25"/>
  <c r="CC265" i="25"/>
  <c r="AV265" i="25"/>
  <c r="AW265" i="25" s="1"/>
  <c r="BA265" i="25" s="1"/>
  <c r="BB265" i="25" s="1"/>
  <c r="BE265" i="25" s="1"/>
  <c r="BA266" i="25"/>
  <c r="BB266" i="25" s="1"/>
  <c r="BE266" i="25" s="1"/>
  <c r="AY268" i="25"/>
  <c r="BA268" i="25" s="1"/>
  <c r="BB268" i="25" s="1"/>
  <c r="BE268" i="25" s="1"/>
  <c r="AZ268" i="25"/>
  <c r="BC268" i="25" s="1"/>
  <c r="BD268" i="25" s="1"/>
  <c r="BV269" i="25"/>
  <c r="BP269" i="25" s="1"/>
  <c r="BQ269" i="25" s="1"/>
  <c r="BA276" i="25"/>
  <c r="BB276" i="25" s="1"/>
  <c r="BE276" i="25" s="1"/>
  <c r="BA280" i="25"/>
  <c r="BB280" i="25" s="1"/>
  <c r="BE280" i="25" s="1"/>
  <c r="BK269" i="25"/>
  <c r="BO269" i="25"/>
  <c r="BY271" i="25"/>
  <c r="BS271" i="25" s="1"/>
  <c r="BV271" i="25" s="1"/>
  <c r="BP271" i="25" s="1"/>
  <c r="BQ271" i="25" s="1"/>
  <c r="CC271" i="25"/>
  <c r="AZ272" i="25"/>
  <c r="BC272" i="25" s="1"/>
  <c r="BD272" i="25" s="1"/>
  <c r="AZ273" i="25"/>
  <c r="BC273" i="25" s="1"/>
  <c r="BD273" i="25" s="1"/>
  <c r="AZ274" i="25"/>
  <c r="BC274" i="25" s="1"/>
  <c r="BD274" i="25" s="1"/>
  <c r="AZ275" i="25"/>
  <c r="BC275" i="25" s="1"/>
  <c r="BD275" i="25" s="1"/>
  <c r="AZ276" i="25"/>
  <c r="BC276" i="25" s="1"/>
  <c r="BD276" i="25" s="1"/>
  <c r="AZ277" i="25"/>
  <c r="BC277" i="25" s="1"/>
  <c r="BD277" i="25" s="1"/>
  <c r="AZ278" i="25"/>
  <c r="BC278" i="25" s="1"/>
  <c r="BD278" i="25" s="1"/>
  <c r="AZ279" i="25"/>
  <c r="BC279" i="25" s="1"/>
  <c r="BD279" i="25" s="1"/>
  <c r="AZ280" i="25"/>
  <c r="BC280" i="25" s="1"/>
  <c r="BD280" i="25" s="1"/>
  <c r="AZ281" i="25"/>
  <c r="BC281" i="25" s="1"/>
  <c r="BD281" i="25" s="1"/>
  <c r="AZ282" i="25"/>
  <c r="BC282" i="25" s="1"/>
  <c r="BD282" i="25" s="1"/>
  <c r="AZ283" i="25"/>
  <c r="BC283" i="25" s="1"/>
  <c r="BD283" i="25" s="1"/>
  <c r="AZ284" i="25"/>
  <c r="BC284" i="25" s="1"/>
  <c r="BD284" i="25" s="1"/>
  <c r="AZ285" i="25"/>
  <c r="BC285" i="25" s="1"/>
  <c r="BD285" i="25" s="1"/>
  <c r="AZ286" i="25"/>
  <c r="BC286" i="25" s="1"/>
  <c r="BD286" i="25" s="1"/>
  <c r="BV291" i="25"/>
  <c r="BP291" i="25" s="1"/>
  <c r="BQ291" i="25" s="1"/>
  <c r="BV295" i="25"/>
  <c r="BP295" i="25" s="1"/>
  <c r="BQ295" i="25" s="1"/>
  <c r="BV297" i="25"/>
  <c r="BP297" i="25" s="1"/>
  <c r="BQ297" i="25" s="1"/>
  <c r="AW301" i="25"/>
  <c r="BA301" i="25" s="1"/>
  <c r="BB301" i="25" s="1"/>
  <c r="BE301" i="25" s="1"/>
  <c r="AZ301" i="25"/>
  <c r="BC301" i="25" s="1"/>
  <c r="BD301" i="25" s="1"/>
  <c r="BV310" i="25"/>
  <c r="BP310" i="25" s="1"/>
  <c r="BQ310" i="25" s="1"/>
  <c r="BV311" i="25"/>
  <c r="BP311" i="25" s="1"/>
  <c r="BQ311" i="25" s="1"/>
  <c r="BK262" i="25"/>
  <c r="BY264" i="25"/>
  <c r="BS264" i="25" s="1"/>
  <c r="BV264" i="25" s="1"/>
  <c r="BP264" i="25" s="1"/>
  <c r="BQ264" i="25" s="1"/>
  <c r="BK266" i="25"/>
  <c r="BY268" i="25"/>
  <c r="BS268" i="25" s="1"/>
  <c r="BV268" i="25" s="1"/>
  <c r="BP268" i="25" s="1"/>
  <c r="BQ268" i="25" s="1"/>
  <c r="BY272" i="25"/>
  <c r="BS272" i="25" s="1"/>
  <c r="BV272" i="25" s="1"/>
  <c r="BP272" i="25" s="1"/>
  <c r="BQ272" i="25" s="1"/>
  <c r="BI286" i="25"/>
  <c r="BJ286" i="25" s="1"/>
  <c r="BA291" i="25"/>
  <c r="BB291" i="25" s="1"/>
  <c r="BE293" i="25"/>
  <c r="BE296" i="25"/>
  <c r="BE298" i="25"/>
  <c r="AZ270" i="25"/>
  <c r="BC270" i="25" s="1"/>
  <c r="BD270" i="25" s="1"/>
  <c r="BA292" i="25"/>
  <c r="BB292" i="25" s="1"/>
  <c r="BE292" i="25" s="1"/>
  <c r="BV293" i="25"/>
  <c r="BP293" i="25" s="1"/>
  <c r="BQ293" i="25" s="1"/>
  <c r="BA295" i="25"/>
  <c r="BB295" i="25" s="1"/>
  <c r="BE295" i="25" s="1"/>
  <c r="BV296" i="25"/>
  <c r="BP296" i="25" s="1"/>
  <c r="BQ296" i="25" s="1"/>
  <c r="AW299" i="25"/>
  <c r="BA299" i="25" s="1"/>
  <c r="BB299" i="25" s="1"/>
  <c r="BE299" i="25" s="1"/>
  <c r="AZ299" i="25"/>
  <c r="BC299" i="25" s="1"/>
  <c r="BD299" i="25" s="1"/>
  <c r="BV307" i="25"/>
  <c r="BP307" i="25" s="1"/>
  <c r="BQ307" i="25" s="1"/>
  <c r="AW308" i="25"/>
  <c r="BA308" i="25" s="1"/>
  <c r="BB308" i="25" s="1"/>
  <c r="BE308" i="25" s="1"/>
  <c r="AZ308" i="25"/>
  <c r="BC308" i="25" s="1"/>
  <c r="BD308" i="25" s="1"/>
  <c r="BA310" i="25"/>
  <c r="BB310" i="25" s="1"/>
  <c r="BE310" i="25" s="1"/>
  <c r="BE287" i="25"/>
  <c r="BE288" i="25"/>
  <c r="BE289" i="25"/>
  <c r="AY290" i="25"/>
  <c r="BA290" i="25" s="1"/>
  <c r="BB290" i="25" s="1"/>
  <c r="BE290" i="25" s="1"/>
  <c r="AZ290" i="25"/>
  <c r="BC290" i="25" s="1"/>
  <c r="BD290" i="25" s="1"/>
  <c r="BE291" i="25"/>
  <c r="AW300" i="25"/>
  <c r="BA300" i="25" s="1"/>
  <c r="BB300" i="25" s="1"/>
  <c r="BE300" i="25" s="1"/>
  <c r="AZ300" i="25"/>
  <c r="BC300" i="25" s="1"/>
  <c r="BD300" i="25" s="1"/>
  <c r="BE311" i="25"/>
  <c r="AZ291" i="25"/>
  <c r="BC291" i="25" s="1"/>
  <c r="BD291" i="25" s="1"/>
  <c r="AZ292" i="25"/>
  <c r="BC292" i="25" s="1"/>
  <c r="BD292" i="25" s="1"/>
  <c r="AZ293" i="25"/>
  <c r="BC293" i="25" s="1"/>
  <c r="BD293" i="25" s="1"/>
  <c r="AZ294" i="25"/>
  <c r="BC294" i="25" s="1"/>
  <c r="BD294" i="25" s="1"/>
  <c r="BL294" i="25"/>
  <c r="AZ295" i="25"/>
  <c r="BC295" i="25" s="1"/>
  <c r="BD295" i="25" s="1"/>
  <c r="BL295" i="25"/>
  <c r="BK295" i="25" s="1"/>
  <c r="AZ296" i="25"/>
  <c r="BC296" i="25" s="1"/>
  <c r="BD296" i="25" s="1"/>
  <c r="AZ297" i="25"/>
  <c r="BC297" i="25" s="1"/>
  <c r="BD297" i="25" s="1"/>
  <c r="AZ298" i="25"/>
  <c r="BC298" i="25" s="1"/>
  <c r="BD298" i="25" s="1"/>
  <c r="BL298" i="25"/>
  <c r="BK298" i="25" s="1"/>
  <c r="BY306" i="25"/>
  <c r="BS306" i="25" s="1"/>
  <c r="BV306" i="25" s="1"/>
  <c r="BP306" i="25" s="1"/>
  <c r="BQ306" i="25" s="1"/>
  <c r="CC306" i="25"/>
  <c r="AZ307" i="25"/>
  <c r="BC307" i="25" s="1"/>
  <c r="BD307" i="25" s="1"/>
  <c r="BN310" i="25"/>
  <c r="AZ312" i="25"/>
  <c r="BC312" i="25" s="1"/>
  <c r="BD312" i="25" s="1"/>
  <c r="AY316" i="25"/>
  <c r="BA316" i="25" s="1"/>
  <c r="BB316" i="25" s="1"/>
  <c r="BE316" i="25" s="1"/>
  <c r="AZ316" i="25"/>
  <c r="BC316" i="25" s="1"/>
  <c r="BD316" i="25" s="1"/>
  <c r="AY320" i="25"/>
  <c r="BA320" i="25" s="1"/>
  <c r="BB320" i="25" s="1"/>
  <c r="BE320" i="25" s="1"/>
  <c r="AZ320" i="25"/>
  <c r="BC320" i="25" s="1"/>
  <c r="BD320" i="25" s="1"/>
  <c r="BE336" i="25"/>
  <c r="BX299" i="25"/>
  <c r="BU299" i="25" s="1"/>
  <c r="AY302" i="25"/>
  <c r="BA302" i="25" s="1"/>
  <c r="BB302" i="25" s="1"/>
  <c r="BE302" i="25" s="1"/>
  <c r="AY303" i="25"/>
  <c r="BA303" i="25" s="1"/>
  <c r="BB303" i="25" s="1"/>
  <c r="BE303" i="25" s="1"/>
  <c r="AY304" i="25"/>
  <c r="BA304" i="25" s="1"/>
  <c r="BB304" i="25" s="1"/>
  <c r="BE304" i="25" s="1"/>
  <c r="AY305" i="25"/>
  <c r="BA305" i="25" s="1"/>
  <c r="BB305" i="25" s="1"/>
  <c r="BE305" i="25" s="1"/>
  <c r="BX308" i="25"/>
  <c r="BU308" i="25" s="1"/>
  <c r="AY309" i="25"/>
  <c r="BA309" i="25" s="1"/>
  <c r="BB309" i="25" s="1"/>
  <c r="BE309" i="25" s="1"/>
  <c r="AY312" i="25"/>
  <c r="BA312" i="25" s="1"/>
  <c r="BB312" i="25" s="1"/>
  <c r="BE312" i="25" s="1"/>
  <c r="BA314" i="25"/>
  <c r="BB314" i="25" s="1"/>
  <c r="BE314" i="25" s="1"/>
  <c r="AY315" i="25"/>
  <c r="BA315" i="25" s="1"/>
  <c r="BB315" i="25" s="1"/>
  <c r="BE315" i="25" s="1"/>
  <c r="AY317" i="25"/>
  <c r="BA317" i="25" s="1"/>
  <c r="BB317" i="25" s="1"/>
  <c r="BE317" i="25" s="1"/>
  <c r="AZ317" i="25"/>
  <c r="BC317" i="25" s="1"/>
  <c r="BD317" i="25" s="1"/>
  <c r="BA323" i="25"/>
  <c r="BB323" i="25" s="1"/>
  <c r="BE323" i="25" s="1"/>
  <c r="BA328" i="25"/>
  <c r="BB328" i="25" s="1"/>
  <c r="BE328" i="25" s="1"/>
  <c r="BV332" i="25"/>
  <c r="BP332" i="25" s="1"/>
  <c r="BQ332" i="25" s="1"/>
  <c r="BV336" i="25"/>
  <c r="BP336" i="25" s="1"/>
  <c r="BQ336" i="25" s="1"/>
  <c r="BY299" i="25"/>
  <c r="BS299" i="25" s="1"/>
  <c r="BY308" i="25"/>
  <c r="BS308" i="25" s="1"/>
  <c r="BV308" i="25" s="1"/>
  <c r="BP308" i="25" s="1"/>
  <c r="BQ308" i="25" s="1"/>
  <c r="AZ310" i="25"/>
  <c r="BC310" i="25" s="1"/>
  <c r="BD310" i="25" s="1"/>
  <c r="AZ311" i="25"/>
  <c r="BC311" i="25" s="1"/>
  <c r="BD311" i="25" s="1"/>
  <c r="CC312" i="25"/>
  <c r="BY312" i="25"/>
  <c r="BS312" i="25" s="1"/>
  <c r="BX312" i="25"/>
  <c r="BU312" i="25" s="1"/>
  <c r="AY318" i="25"/>
  <c r="BA318" i="25" s="1"/>
  <c r="BB318" i="25" s="1"/>
  <c r="BE318" i="25" s="1"/>
  <c r="AZ318" i="25"/>
  <c r="BC318" i="25" s="1"/>
  <c r="BD318" i="25" s="1"/>
  <c r="BE321" i="25"/>
  <c r="BE325" i="25"/>
  <c r="BE329" i="25"/>
  <c r="BE334" i="25"/>
  <c r="AZ336" i="25"/>
  <c r="BC336" i="25" s="1"/>
  <c r="BD336" i="25" s="1"/>
  <c r="BK287" i="25"/>
  <c r="BK288" i="25"/>
  <c r="BK289" i="25"/>
  <c r="BK290" i="25"/>
  <c r="BK291" i="25"/>
  <c r="BK292" i="25"/>
  <c r="BK293" i="25"/>
  <c r="BK294" i="25"/>
  <c r="BK296" i="25"/>
  <c r="BY302" i="25"/>
  <c r="BS302" i="25" s="1"/>
  <c r="BV302" i="25" s="1"/>
  <c r="BP302" i="25" s="1"/>
  <c r="BQ302" i="25" s="1"/>
  <c r="BK307" i="25"/>
  <c r="BY309" i="25"/>
  <c r="BS309" i="25" s="1"/>
  <c r="BV309" i="25" s="1"/>
  <c r="BP309" i="25" s="1"/>
  <c r="BQ309" i="25" s="1"/>
  <c r="AY313" i="25"/>
  <c r="BA313" i="25" s="1"/>
  <c r="BB313" i="25" s="1"/>
  <c r="BE313" i="25" s="1"/>
  <c r="CB314" i="25"/>
  <c r="AY319" i="25"/>
  <c r="BA319" i="25" s="1"/>
  <c r="BB319" i="25" s="1"/>
  <c r="BE319" i="25" s="1"/>
  <c r="AZ319" i="25"/>
  <c r="BC319" i="25" s="1"/>
  <c r="BD319" i="25" s="1"/>
  <c r="BA322" i="25"/>
  <c r="BB322" i="25" s="1"/>
  <c r="BE322" i="25" s="1"/>
  <c r="BE324" i="25"/>
  <c r="BA326" i="25"/>
  <c r="BB326" i="25" s="1"/>
  <c r="BE326" i="25" s="1"/>
  <c r="BA330" i="25"/>
  <c r="BB330" i="25" s="1"/>
  <c r="BE330" i="25" s="1"/>
  <c r="BE335" i="25"/>
  <c r="AZ321" i="25"/>
  <c r="BC321" i="25" s="1"/>
  <c r="BD321" i="25" s="1"/>
  <c r="AZ322" i="25"/>
  <c r="BC322" i="25" s="1"/>
  <c r="BD322" i="25" s="1"/>
  <c r="AZ323" i="25"/>
  <c r="BC323" i="25" s="1"/>
  <c r="BD323" i="25" s="1"/>
  <c r="AZ324" i="25"/>
  <c r="BC324" i="25" s="1"/>
  <c r="BD324" i="25" s="1"/>
  <c r="AZ325" i="25"/>
  <c r="BC325" i="25" s="1"/>
  <c r="BD325" i="25" s="1"/>
  <c r="AZ326" i="25"/>
  <c r="BC326" i="25" s="1"/>
  <c r="BD326" i="25" s="1"/>
  <c r="AZ327" i="25"/>
  <c r="BC327" i="25" s="1"/>
  <c r="BD327" i="25" s="1"/>
  <c r="AZ328" i="25"/>
  <c r="BC328" i="25" s="1"/>
  <c r="BD328" i="25" s="1"/>
  <c r="AZ329" i="25"/>
  <c r="BC329" i="25" s="1"/>
  <c r="BD329" i="25" s="1"/>
  <c r="AZ330" i="25"/>
  <c r="BC330" i="25" s="1"/>
  <c r="BD330" i="25" s="1"/>
  <c r="AZ331" i="25"/>
  <c r="BC331" i="25" s="1"/>
  <c r="BD331" i="25" s="1"/>
  <c r="AY337" i="25"/>
  <c r="BA337" i="25" s="1"/>
  <c r="BB337" i="25" s="1"/>
  <c r="BE337" i="25" s="1"/>
  <c r="BA339" i="25"/>
  <c r="BB339" i="25" s="1"/>
  <c r="BE339" i="25" s="1"/>
  <c r="BA340" i="25"/>
  <c r="BB340" i="25" s="1"/>
  <c r="BE340" i="25" s="1"/>
  <c r="BV340" i="25"/>
  <c r="BP340" i="25" s="1"/>
  <c r="BQ340" i="25" s="1"/>
  <c r="AZ341" i="25"/>
  <c r="BC341" i="25" s="1"/>
  <c r="BD341" i="25" s="1"/>
  <c r="CA341" i="25"/>
  <c r="CB341" i="25" s="1"/>
  <c r="AY342" i="25"/>
  <c r="BA342" i="25" s="1"/>
  <c r="BB342" i="25" s="1"/>
  <c r="BE342" i="25" s="1"/>
  <c r="AZ342" i="25"/>
  <c r="BC342" i="25" s="1"/>
  <c r="BD342" i="25" s="1"/>
  <c r="BE344" i="25"/>
  <c r="BE345" i="25"/>
  <c r="BA347" i="25"/>
  <c r="BB347" i="25" s="1"/>
  <c r="BE347" i="25" s="1"/>
  <c r="BE349" i="25"/>
  <c r="BA338" i="25"/>
  <c r="BB338" i="25" s="1"/>
  <c r="BE338" i="25" s="1"/>
  <c r="BV338" i="25"/>
  <c r="BP338" i="25" s="1"/>
  <c r="BQ338" i="25" s="1"/>
  <c r="BV339" i="25"/>
  <c r="BP339" i="25" s="1"/>
  <c r="BQ339" i="25" s="1"/>
  <c r="AY341" i="25"/>
  <c r="BA341" i="25" s="1"/>
  <c r="BB341" i="25" s="1"/>
  <c r="BE341" i="25" s="1"/>
  <c r="BA343" i="25"/>
  <c r="BB343" i="25" s="1"/>
  <c r="BE343" i="25" s="1"/>
  <c r="BV345" i="25"/>
  <c r="BP345" i="25" s="1"/>
  <c r="BQ345" i="25" s="1"/>
  <c r="BA348" i="25"/>
  <c r="BB348" i="25" s="1"/>
  <c r="BE348" i="25" s="1"/>
  <c r="BV349" i="25"/>
  <c r="BP349" i="25" s="1"/>
  <c r="BQ349" i="25" s="1"/>
  <c r="BA346" i="25"/>
  <c r="BB346" i="25" s="1"/>
  <c r="BE346" i="25" s="1"/>
  <c r="BV347" i="25"/>
  <c r="BP347" i="25" s="1"/>
  <c r="BQ347" i="25" s="1"/>
  <c r="AZ343" i="25"/>
  <c r="BC343" i="25" s="1"/>
  <c r="BD343" i="25" s="1"/>
  <c r="AZ344" i="25"/>
  <c r="BC344" i="25" s="1"/>
  <c r="BD344" i="25" s="1"/>
  <c r="AZ345" i="25"/>
  <c r="BC345" i="25" s="1"/>
  <c r="BD345" i="25" s="1"/>
  <c r="AZ346" i="25"/>
  <c r="BC346" i="25" s="1"/>
  <c r="BD346" i="25" s="1"/>
  <c r="AZ347" i="25"/>
  <c r="BC347" i="25" s="1"/>
  <c r="BD347" i="25" s="1"/>
  <c r="AZ348" i="25"/>
  <c r="BC348" i="25" s="1"/>
  <c r="BD348" i="25" s="1"/>
  <c r="AZ349" i="25"/>
  <c r="BC349" i="25" s="1"/>
  <c r="BD349" i="25" s="1"/>
  <c r="AV353" i="25"/>
  <c r="AW353" i="25" s="1"/>
  <c r="BA353" i="25" s="1"/>
  <c r="BB353" i="25" s="1"/>
  <c r="BE353" i="25" s="1"/>
  <c r="BO353" i="25"/>
  <c r="AZ355" i="25"/>
  <c r="BC355" i="25" s="1"/>
  <c r="BD355" i="25" s="1"/>
  <c r="BE356" i="25"/>
  <c r="AZ357" i="25"/>
  <c r="BC357" i="25" s="1"/>
  <c r="BD357" i="25" s="1"/>
  <c r="BA358" i="25"/>
  <c r="BB358" i="25" s="1"/>
  <c r="BE358" i="25" s="1"/>
  <c r="AZ359" i="25"/>
  <c r="BC359" i="25" s="1"/>
  <c r="BD359" i="25" s="1"/>
  <c r="BA360" i="25"/>
  <c r="BB360" i="25" s="1"/>
  <c r="BE360" i="25" s="1"/>
  <c r="BL360" i="25"/>
  <c r="AZ362" i="25"/>
  <c r="BC362" i="25" s="1"/>
  <c r="BD362" i="25" s="1"/>
  <c r="CB350" i="25"/>
  <c r="AV351" i="25"/>
  <c r="AW351" i="25" s="1"/>
  <c r="BA351" i="25" s="1"/>
  <c r="BB351" i="25" s="1"/>
  <c r="BE351" i="25" s="1"/>
  <c r="CB352" i="25"/>
  <c r="BM353" i="25"/>
  <c r="BL353" i="25" s="1"/>
  <c r="BK353" i="25" s="1"/>
  <c r="BV353" i="25"/>
  <c r="BP353" i="25" s="1"/>
  <c r="BQ353" i="25" s="1"/>
  <c r="BV355" i="25"/>
  <c r="BP355" i="25" s="1"/>
  <c r="BQ355" i="25" s="1"/>
  <c r="BV357" i="25"/>
  <c r="BP357" i="25" s="1"/>
  <c r="BQ357" i="25" s="1"/>
  <c r="BA361" i="25"/>
  <c r="BB361" i="25" s="1"/>
  <c r="BE361" i="25" s="1"/>
  <c r="BL361" i="25"/>
  <c r="BK361" i="25" s="1"/>
  <c r="AV354" i="25"/>
  <c r="AW354" i="25" s="1"/>
  <c r="BA354" i="25" s="1"/>
  <c r="BB354" i="25" s="1"/>
  <c r="BE354" i="25" s="1"/>
  <c r="BO354" i="25"/>
  <c r="BE355" i="25"/>
  <c r="BE357" i="25"/>
  <c r="BE359" i="25"/>
  <c r="BE362" i="25"/>
  <c r="BK343" i="25"/>
  <c r="BK344" i="25"/>
  <c r="BK347" i="25"/>
  <c r="BK348" i="25"/>
  <c r="BK349" i="25"/>
  <c r="AV350" i="25"/>
  <c r="AW350" i="25" s="1"/>
  <c r="BA350" i="25" s="1"/>
  <c r="BB350" i="25" s="1"/>
  <c r="BE350" i="25" s="1"/>
  <c r="BM351" i="25"/>
  <c r="BL351" i="25" s="1"/>
  <c r="BK351" i="25" s="1"/>
  <c r="CB351" i="25"/>
  <c r="AV352" i="25"/>
  <c r="AW352" i="25" s="1"/>
  <c r="BA352" i="25" s="1"/>
  <c r="BB352" i="25" s="1"/>
  <c r="BE352" i="25" s="1"/>
  <c r="BI353" i="25"/>
  <c r="BJ353" i="25" s="1"/>
  <c r="BM354" i="25"/>
  <c r="BL354" i="25" s="1"/>
  <c r="BK354" i="25" s="1"/>
  <c r="BV354" i="25"/>
  <c r="BP354" i="25" s="1"/>
  <c r="BQ354" i="25" s="1"/>
  <c r="BV356" i="25"/>
  <c r="BP356" i="25" s="1"/>
  <c r="BQ356" i="25" s="1"/>
  <c r="BV358" i="25"/>
  <c r="BP358" i="25" s="1"/>
  <c r="BQ358" i="25" s="1"/>
  <c r="AZ361" i="25"/>
  <c r="BC361" i="25" s="1"/>
  <c r="BD361" i="25" s="1"/>
  <c r="BV361" i="25"/>
  <c r="BP361" i="25" s="1"/>
  <c r="BQ361" i="25" s="1"/>
  <c r="BV363" i="25"/>
  <c r="BP363" i="25" s="1"/>
  <c r="BQ363" i="25" s="1"/>
  <c r="BV364" i="25"/>
  <c r="BP364" i="25" s="1"/>
  <c r="BQ364" i="25" s="1"/>
  <c r="BV365" i="25"/>
  <c r="BP365" i="25" s="1"/>
  <c r="BQ365" i="25" s="1"/>
  <c r="AW363" i="25"/>
  <c r="BA363" i="25" s="1"/>
  <c r="BB363" i="25" s="1"/>
  <c r="BE363" i="25" s="1"/>
  <c r="AV365" i="25"/>
  <c r="BO367" i="25"/>
  <c r="BK367" i="25"/>
  <c r="BT368" i="25"/>
  <c r="AV368" i="25"/>
  <c r="AW368" i="25" s="1"/>
  <c r="BA368" i="25" s="1"/>
  <c r="BB368" i="25" s="1"/>
  <c r="BE368" i="25" s="1"/>
  <c r="BI369" i="25"/>
  <c r="BJ369" i="25" s="1"/>
  <c r="BO369" i="25"/>
  <c r="BT370" i="25"/>
  <c r="BV370" i="25" s="1"/>
  <c r="BP370" i="25" s="1"/>
  <c r="BQ370" i="25" s="1"/>
  <c r="AV370" i="25"/>
  <c r="AW370" i="25" s="1"/>
  <c r="BA370" i="25" s="1"/>
  <c r="BB370" i="25" s="1"/>
  <c r="BE370" i="25" s="1"/>
  <c r="BI371" i="25"/>
  <c r="BJ371" i="25" s="1"/>
  <c r="BO371" i="25"/>
  <c r="BV372" i="25"/>
  <c r="BP372" i="25" s="1"/>
  <c r="BQ372" i="25" s="1"/>
  <c r="AZ374" i="25"/>
  <c r="BC374" i="25" s="1"/>
  <c r="BD374" i="25" s="1"/>
  <c r="AZ378" i="25"/>
  <c r="BC378" i="25" s="1"/>
  <c r="BD378" i="25" s="1"/>
  <c r="BE380" i="25"/>
  <c r="BK355" i="25"/>
  <c r="BK356" i="25"/>
  <c r="BK357" i="25"/>
  <c r="BK358" i="25"/>
  <c r="BK359" i="25"/>
  <c r="BK360" i="25"/>
  <c r="BK362" i="25"/>
  <c r="BK363" i="25"/>
  <c r="AT364" i="25"/>
  <c r="AV364" i="25" s="1"/>
  <c r="BV368" i="25"/>
  <c r="BP368" i="25" s="1"/>
  <c r="BQ368" i="25" s="1"/>
  <c r="BA372" i="25"/>
  <c r="BB372" i="25" s="1"/>
  <c r="BE372" i="25" s="1"/>
  <c r="AZ373" i="25"/>
  <c r="BC373" i="25" s="1"/>
  <c r="BD373" i="25" s="1"/>
  <c r="AZ377" i="25"/>
  <c r="BC377" i="25" s="1"/>
  <c r="BD377" i="25" s="1"/>
  <c r="BT367" i="25"/>
  <c r="BV367" i="25" s="1"/>
  <c r="BP367" i="25" s="1"/>
  <c r="BQ367" i="25" s="1"/>
  <c r="AV367" i="25"/>
  <c r="AW367" i="25" s="1"/>
  <c r="BA367" i="25" s="1"/>
  <c r="BB367" i="25" s="1"/>
  <c r="BE367" i="25" s="1"/>
  <c r="AZ368" i="25"/>
  <c r="BC368" i="25" s="1"/>
  <c r="BD368" i="25" s="1"/>
  <c r="BT369" i="25"/>
  <c r="BV369" i="25" s="1"/>
  <c r="BP369" i="25" s="1"/>
  <c r="BQ369" i="25" s="1"/>
  <c r="AV369" i="25"/>
  <c r="AW369" i="25" s="1"/>
  <c r="BA369" i="25" s="1"/>
  <c r="BB369" i="25" s="1"/>
  <c r="BE369" i="25" s="1"/>
  <c r="BT371" i="25"/>
  <c r="BV371" i="25" s="1"/>
  <c r="BP371" i="25" s="1"/>
  <c r="BQ371" i="25" s="1"/>
  <c r="AV371" i="25"/>
  <c r="AY373" i="25"/>
  <c r="BA373" i="25" s="1"/>
  <c r="BB373" i="25" s="1"/>
  <c r="BE373" i="25" s="1"/>
  <c r="AY374" i="25"/>
  <c r="BA374" i="25" s="1"/>
  <c r="BB374" i="25" s="1"/>
  <c r="BE374" i="25" s="1"/>
  <c r="AY375" i="25"/>
  <c r="BA375" i="25" s="1"/>
  <c r="BB375" i="25" s="1"/>
  <c r="BE375" i="25" s="1"/>
  <c r="AY376" i="25"/>
  <c r="BA376" i="25" s="1"/>
  <c r="BB376" i="25" s="1"/>
  <c r="BE376" i="25" s="1"/>
  <c r="AY377" i="25"/>
  <c r="BA377" i="25" s="1"/>
  <c r="BB377" i="25" s="1"/>
  <c r="BE377" i="25" s="1"/>
  <c r="AY378" i="25"/>
  <c r="BA378" i="25" s="1"/>
  <c r="BB378" i="25" s="1"/>
  <c r="BE378" i="25" s="1"/>
  <c r="AY379" i="25"/>
  <c r="BA379" i="25" s="1"/>
  <c r="BB379" i="25" s="1"/>
  <c r="BE379" i="25" s="1"/>
  <c r="CB382" i="25"/>
  <c r="BV383" i="25"/>
  <c r="BP383" i="25" s="1"/>
  <c r="BQ383" i="25" s="1"/>
  <c r="BV384" i="25"/>
  <c r="BP384" i="25" s="1"/>
  <c r="BQ384" i="25" s="1"/>
  <c r="BV385" i="25"/>
  <c r="BP385" i="25" s="1"/>
  <c r="BQ385" i="25" s="1"/>
  <c r="BV386" i="25"/>
  <c r="BP386" i="25" s="1"/>
  <c r="BQ386" i="25" s="1"/>
  <c r="BV387" i="25"/>
  <c r="BP387" i="25" s="1"/>
  <c r="BQ387" i="25" s="1"/>
  <c r="BL380" i="25"/>
  <c r="BK380" i="25" s="1"/>
  <c r="AY381" i="25"/>
  <c r="AV381" i="25"/>
  <c r="AW381" i="25" s="1"/>
  <c r="BA381" i="25" s="1"/>
  <c r="BB381" i="25" s="1"/>
  <c r="BE381" i="25" s="1"/>
  <c r="AV382" i="25"/>
  <c r="AW382" i="25" s="1"/>
  <c r="BA382" i="25" s="1"/>
  <c r="BB382" i="25" s="1"/>
  <c r="BE382" i="25" s="1"/>
  <c r="AV383" i="25"/>
  <c r="AW383" i="25" s="1"/>
  <c r="BA383" i="25" s="1"/>
  <c r="BB383" i="25" s="1"/>
  <c r="BE383" i="25" s="1"/>
  <c r="AY384" i="25"/>
  <c r="BK384" i="25"/>
  <c r="BO384" i="25"/>
  <c r="AY385" i="25"/>
  <c r="BK385" i="25"/>
  <c r="BO385" i="25"/>
  <c r="AY386" i="25"/>
  <c r="BK386" i="25"/>
  <c r="BO386" i="25"/>
  <c r="AY387" i="25"/>
  <c r="BK387" i="25"/>
  <c r="BO387" i="25"/>
  <c r="AY388" i="25"/>
  <c r="BK388" i="25"/>
  <c r="BO388" i="25"/>
  <c r="AY389" i="25"/>
  <c r="BK389" i="25"/>
  <c r="BO389" i="25"/>
  <c r="AV384" i="25"/>
  <c r="AW384" i="25" s="1"/>
  <c r="AV385" i="25"/>
  <c r="AW385" i="25" s="1"/>
  <c r="BA385" i="25" s="1"/>
  <c r="BB385" i="25" s="1"/>
  <c r="BE385" i="25" s="1"/>
  <c r="AV386" i="25"/>
  <c r="AW386" i="25" s="1"/>
  <c r="AV387" i="25"/>
  <c r="AW387" i="25" s="1"/>
  <c r="BA387" i="25" s="1"/>
  <c r="BB387" i="25" s="1"/>
  <c r="BE387" i="25" s="1"/>
  <c r="AV388" i="25"/>
  <c r="AW388" i="25" s="1"/>
  <c r="AV389" i="25"/>
  <c r="AW389" i="25" s="1"/>
  <c r="BA389" i="25" s="1"/>
  <c r="BB389" i="25" s="1"/>
  <c r="BE389" i="25" s="1"/>
  <c r="BV162" i="25" l="1"/>
  <c r="BP162" i="25" s="1"/>
  <c r="BQ162" i="25" s="1"/>
  <c r="BV154" i="25"/>
  <c r="BP154" i="25" s="1"/>
  <c r="BQ154" i="25" s="1"/>
  <c r="AZ192" i="25"/>
  <c r="BC192" i="25" s="1"/>
  <c r="BD192" i="25" s="1"/>
  <c r="BA33" i="25"/>
  <c r="BB33" i="25" s="1"/>
  <c r="BE33" i="25" s="1"/>
  <c r="BV262" i="25"/>
  <c r="BP262" i="25" s="1"/>
  <c r="BQ262" i="25" s="1"/>
  <c r="BA59" i="25"/>
  <c r="BB59" i="25" s="1"/>
  <c r="BE59" i="25" s="1"/>
  <c r="BA95" i="25"/>
  <c r="BB95" i="25" s="1"/>
  <c r="BE95" i="25" s="1"/>
  <c r="BA63" i="25"/>
  <c r="BB63" i="25" s="1"/>
  <c r="BE63" i="25" s="1"/>
  <c r="BA55" i="25"/>
  <c r="BB55" i="25" s="1"/>
  <c r="BE55" i="25" s="1"/>
  <c r="BV166" i="25"/>
  <c r="BP166" i="25" s="1"/>
  <c r="BQ166" i="25" s="1"/>
  <c r="BV150" i="25"/>
  <c r="BP150" i="25" s="1"/>
  <c r="BQ150" i="25" s="1"/>
  <c r="BA99" i="25"/>
  <c r="BB99" i="25" s="1"/>
  <c r="BE99" i="25" s="1"/>
  <c r="BA83" i="25"/>
  <c r="BB83" i="25" s="1"/>
  <c r="BE83" i="25" s="1"/>
  <c r="BA75" i="25"/>
  <c r="BB75" i="25" s="1"/>
  <c r="BE75" i="25" s="1"/>
  <c r="BA71" i="25"/>
  <c r="BB71" i="25" s="1"/>
  <c r="BE71" i="25" s="1"/>
  <c r="BA67" i="25"/>
  <c r="BB67" i="25" s="1"/>
  <c r="BE67" i="25" s="1"/>
  <c r="AZ370" i="25"/>
  <c r="BC370" i="25" s="1"/>
  <c r="BD370" i="25" s="1"/>
  <c r="AZ34" i="25"/>
  <c r="BC34" i="25" s="1"/>
  <c r="BD34" i="25" s="1"/>
  <c r="AZ25" i="25"/>
  <c r="BC25" i="25" s="1"/>
  <c r="BD25" i="25" s="1"/>
  <c r="AZ238" i="25"/>
  <c r="BC238" i="25" s="1"/>
  <c r="BD238" i="25" s="1"/>
  <c r="AZ261" i="25"/>
  <c r="BC261" i="25" s="1"/>
  <c r="BD261" i="25" s="1"/>
  <c r="BV169" i="25"/>
  <c r="BP169" i="25" s="1"/>
  <c r="BQ169" i="25" s="1"/>
  <c r="BA101" i="25"/>
  <c r="BB101" i="25" s="1"/>
  <c r="BE101" i="25" s="1"/>
  <c r="AZ24" i="25"/>
  <c r="BC24" i="25" s="1"/>
  <c r="BD24" i="25" s="1"/>
  <c r="AZ37" i="25"/>
  <c r="BC37" i="25" s="1"/>
  <c r="BD37" i="25" s="1"/>
  <c r="AZ8" i="25"/>
  <c r="BC8" i="25" s="1"/>
  <c r="BD8" i="25" s="1"/>
  <c r="BA386" i="25"/>
  <c r="BB386" i="25" s="1"/>
  <c r="BE386" i="25" s="1"/>
  <c r="AZ387" i="25"/>
  <c r="BC387" i="25" s="1"/>
  <c r="BD387" i="25" s="1"/>
  <c r="AZ26" i="25"/>
  <c r="BC26" i="25" s="1"/>
  <c r="BD26" i="25" s="1"/>
  <c r="BA218" i="25"/>
  <c r="BB218" i="25" s="1"/>
  <c r="BE218" i="25" s="1"/>
  <c r="BV223" i="25"/>
  <c r="BP223" i="25" s="1"/>
  <c r="BQ223" i="25" s="1"/>
  <c r="AZ196" i="25"/>
  <c r="BC196" i="25" s="1"/>
  <c r="BD196" i="25" s="1"/>
  <c r="AZ188" i="25"/>
  <c r="BC188" i="25" s="1"/>
  <c r="BD188" i="25" s="1"/>
  <c r="AZ382" i="25"/>
  <c r="BC382" i="25" s="1"/>
  <c r="BD382" i="25" s="1"/>
  <c r="AZ242" i="25"/>
  <c r="BC242" i="25" s="1"/>
  <c r="BD242" i="25" s="1"/>
  <c r="AZ43" i="25"/>
  <c r="BC43" i="25" s="1"/>
  <c r="BD43" i="25" s="1"/>
  <c r="AZ219" i="25"/>
  <c r="BC219" i="25" s="1"/>
  <c r="BD219" i="25" s="1"/>
  <c r="AZ212" i="25"/>
  <c r="BC212" i="25" s="1"/>
  <c r="BD212" i="25" s="1"/>
  <c r="BV155" i="25"/>
  <c r="BP155" i="25" s="1"/>
  <c r="BQ155" i="25" s="1"/>
  <c r="BA388" i="25"/>
  <c r="BB388" i="25" s="1"/>
  <c r="BE388" i="25" s="1"/>
  <c r="BA384" i="25"/>
  <c r="BB384" i="25" s="1"/>
  <c r="BE384" i="25" s="1"/>
  <c r="AZ353" i="25"/>
  <c r="BC353" i="25" s="1"/>
  <c r="BD353" i="25" s="1"/>
  <c r="BV218" i="25"/>
  <c r="BP218" i="25" s="1"/>
  <c r="BQ218" i="25" s="1"/>
  <c r="BV158" i="25"/>
  <c r="BP158" i="25" s="1"/>
  <c r="BQ158" i="25" s="1"/>
  <c r="BA43" i="25"/>
  <c r="BB43" i="25" s="1"/>
  <c r="BE43" i="25" s="1"/>
  <c r="AZ366" i="25"/>
  <c r="BC366" i="25" s="1"/>
  <c r="BD366" i="25" s="1"/>
  <c r="AW366" i="25"/>
  <c r="BA366" i="25" s="1"/>
  <c r="BB366" i="25" s="1"/>
  <c r="BE366" i="25" s="1"/>
  <c r="AZ309" i="25"/>
  <c r="BC309" i="25" s="1"/>
  <c r="BD309" i="25" s="1"/>
  <c r="AZ218" i="25"/>
  <c r="BC218" i="25" s="1"/>
  <c r="BD218" i="25" s="1"/>
  <c r="BV151" i="25"/>
  <c r="BP151" i="25" s="1"/>
  <c r="BQ151" i="25" s="1"/>
  <c r="BV251" i="25"/>
  <c r="BP251" i="25" s="1"/>
  <c r="BQ251" i="25" s="1"/>
  <c r="BV267" i="25"/>
  <c r="BP267" i="25" s="1"/>
  <c r="BQ267" i="25" s="1"/>
  <c r="AZ36" i="25"/>
  <c r="BC36" i="25" s="1"/>
  <c r="BD36" i="25" s="1"/>
  <c r="AZ32" i="25"/>
  <c r="BC32" i="25" s="1"/>
  <c r="BD32" i="25" s="1"/>
  <c r="AZ376" i="25"/>
  <c r="BC376" i="25" s="1"/>
  <c r="BD376" i="25" s="1"/>
  <c r="AZ313" i="25"/>
  <c r="BC313" i="25" s="1"/>
  <c r="BD313" i="25" s="1"/>
  <c r="AZ252" i="25"/>
  <c r="BC252" i="25" s="1"/>
  <c r="BD252" i="25" s="1"/>
  <c r="BV212" i="25"/>
  <c r="BP212" i="25" s="1"/>
  <c r="BQ212" i="25" s="1"/>
  <c r="AZ177" i="25"/>
  <c r="BC177" i="25" s="1"/>
  <c r="BD177" i="25" s="1"/>
  <c r="BA44" i="25"/>
  <c r="BB44" i="25" s="1"/>
  <c r="BE44" i="25" s="1"/>
  <c r="AZ380" i="25"/>
  <c r="BC380" i="25" s="1"/>
  <c r="BD380" i="25" s="1"/>
  <c r="AZ94" i="25"/>
  <c r="BC94" i="25" s="1"/>
  <c r="BD94" i="25" s="1"/>
  <c r="AW364" i="25"/>
  <c r="BA364" i="25" s="1"/>
  <c r="BB364" i="25" s="1"/>
  <c r="BE364" i="25" s="1"/>
  <c r="AZ364" i="25"/>
  <c r="BC364" i="25" s="1"/>
  <c r="BD364" i="25" s="1"/>
  <c r="AZ388" i="25"/>
  <c r="BC388" i="25" s="1"/>
  <c r="BD388" i="25" s="1"/>
  <c r="AZ384" i="25"/>
  <c r="BC384" i="25" s="1"/>
  <c r="BD384" i="25" s="1"/>
  <c r="AZ383" i="25"/>
  <c r="BC383" i="25" s="1"/>
  <c r="BD383" i="25" s="1"/>
  <c r="AZ352" i="25"/>
  <c r="BC352" i="25" s="1"/>
  <c r="BD352" i="25" s="1"/>
  <c r="AZ175" i="25"/>
  <c r="BC175" i="25" s="1"/>
  <c r="BD175" i="25" s="1"/>
  <c r="AW175" i="25"/>
  <c r="BA175" i="25" s="1"/>
  <c r="BB175" i="25" s="1"/>
  <c r="BE175" i="25" s="1"/>
  <c r="AZ97" i="25"/>
  <c r="BC97" i="25" s="1"/>
  <c r="BD97" i="25" s="1"/>
  <c r="AZ63" i="25"/>
  <c r="BC63" i="25" s="1"/>
  <c r="BD63" i="25" s="1"/>
  <c r="AZ54" i="25"/>
  <c r="BC54" i="25" s="1"/>
  <c r="BD54" i="25" s="1"/>
  <c r="AZ50" i="25"/>
  <c r="BC50" i="25" s="1"/>
  <c r="BD50" i="25" s="1"/>
  <c r="AZ59" i="25"/>
  <c r="BC59" i="25" s="1"/>
  <c r="BD59" i="25" s="1"/>
  <c r="AZ44" i="25"/>
  <c r="BC44" i="25" s="1"/>
  <c r="BD44" i="25" s="1"/>
  <c r="BA24" i="25"/>
  <c r="BB24" i="25" s="1"/>
  <c r="BE24" i="25" s="1"/>
  <c r="AZ47" i="25"/>
  <c r="BC47" i="25" s="1"/>
  <c r="BD47" i="25" s="1"/>
  <c r="BA25" i="25"/>
  <c r="BB25" i="25" s="1"/>
  <c r="BE25" i="25" s="1"/>
  <c r="AZ104" i="25"/>
  <c r="BC104" i="25" s="1"/>
  <c r="BD104" i="25" s="1"/>
  <c r="AZ90" i="25"/>
  <c r="BC90" i="25" s="1"/>
  <c r="BD90" i="25" s="1"/>
  <c r="AZ73" i="25"/>
  <c r="BC73" i="25" s="1"/>
  <c r="BD73" i="25" s="1"/>
  <c r="AZ69" i="25"/>
  <c r="BC69" i="25" s="1"/>
  <c r="BD69" i="25" s="1"/>
  <c r="BA34" i="25"/>
  <c r="BB34" i="25" s="1"/>
  <c r="BE34" i="25" s="1"/>
  <c r="BA28" i="25"/>
  <c r="BB28" i="25" s="1"/>
  <c r="BE28" i="25" s="1"/>
  <c r="AZ21" i="25"/>
  <c r="BC21" i="25" s="1"/>
  <c r="BD21" i="25" s="1"/>
  <c r="G88" i="89"/>
  <c r="F68" i="89"/>
  <c r="F80" i="89"/>
  <c r="I88" i="89"/>
  <c r="N88" i="89"/>
  <c r="E62" i="89"/>
  <c r="L88" i="89"/>
  <c r="E51" i="89"/>
  <c r="AZ367" i="25"/>
  <c r="BC367" i="25" s="1"/>
  <c r="BD367" i="25" s="1"/>
  <c r="AZ369" i="25"/>
  <c r="BC369" i="25" s="1"/>
  <c r="BD369" i="25" s="1"/>
  <c r="AW365" i="25"/>
  <c r="BA365" i="25" s="1"/>
  <c r="BB365" i="25" s="1"/>
  <c r="BE365" i="25" s="1"/>
  <c r="AZ365" i="25"/>
  <c r="BC365" i="25" s="1"/>
  <c r="BD365" i="25" s="1"/>
  <c r="BV312" i="25"/>
  <c r="BP312" i="25" s="1"/>
  <c r="BQ312" i="25" s="1"/>
  <c r="AZ255" i="25"/>
  <c r="BC255" i="25" s="1"/>
  <c r="BD255" i="25" s="1"/>
  <c r="AZ258" i="25"/>
  <c r="BC258" i="25" s="1"/>
  <c r="BD258" i="25" s="1"/>
  <c r="AZ257" i="25"/>
  <c r="BC257" i="25" s="1"/>
  <c r="BD257" i="25" s="1"/>
  <c r="BV225" i="25"/>
  <c r="BP225" i="25" s="1"/>
  <c r="BQ225" i="25" s="1"/>
  <c r="AZ171" i="25"/>
  <c r="BC171" i="25" s="1"/>
  <c r="BD171" i="25" s="1"/>
  <c r="AW171" i="25"/>
  <c r="BA171" i="25" s="1"/>
  <c r="BB171" i="25" s="1"/>
  <c r="BE171" i="25" s="1"/>
  <c r="AZ170" i="25"/>
  <c r="BC170" i="25" s="1"/>
  <c r="BD170" i="25" s="1"/>
  <c r="AZ102" i="25"/>
  <c r="BC102" i="25" s="1"/>
  <c r="BD102" i="25" s="1"/>
  <c r="AZ87" i="25"/>
  <c r="BC87" i="25" s="1"/>
  <c r="BD87" i="25" s="1"/>
  <c r="AZ74" i="25"/>
  <c r="BC74" i="25" s="1"/>
  <c r="BD74" i="25" s="1"/>
  <c r="AZ41" i="25"/>
  <c r="BC41" i="25" s="1"/>
  <c r="BD41" i="25" s="1"/>
  <c r="AZ93" i="25"/>
  <c r="BC93" i="25" s="1"/>
  <c r="BD93" i="25" s="1"/>
  <c r="AZ83" i="25"/>
  <c r="BC83" i="25" s="1"/>
  <c r="BD83" i="25" s="1"/>
  <c r="AZ100" i="25"/>
  <c r="BC100" i="25" s="1"/>
  <c r="BD100" i="25" s="1"/>
  <c r="AZ89" i="25"/>
  <c r="BC89" i="25" s="1"/>
  <c r="BD89" i="25" s="1"/>
  <c r="AZ49" i="25"/>
  <c r="BC49" i="25" s="1"/>
  <c r="BD49" i="25" s="1"/>
  <c r="AZ101" i="25"/>
  <c r="BC101" i="25" s="1"/>
  <c r="BD101" i="25" s="1"/>
  <c r="AZ72" i="25"/>
  <c r="BC72" i="25" s="1"/>
  <c r="BD72" i="25" s="1"/>
  <c r="AZ68" i="25"/>
  <c r="BC68" i="25" s="1"/>
  <c r="BD68" i="25" s="1"/>
  <c r="AZ35" i="25"/>
  <c r="BC35" i="25" s="1"/>
  <c r="BD35" i="25" s="1"/>
  <c r="AZ29" i="25"/>
  <c r="BC29" i="25" s="1"/>
  <c r="BD29" i="25" s="1"/>
  <c r="AZ23" i="25"/>
  <c r="BC23" i="25" s="1"/>
  <c r="BD23" i="25" s="1"/>
  <c r="F57" i="89"/>
  <c r="E88" i="89"/>
  <c r="M87" i="89"/>
  <c r="E56" i="89"/>
  <c r="P87" i="89"/>
  <c r="E73" i="89"/>
  <c r="AZ386" i="25"/>
  <c r="BC386" i="25" s="1"/>
  <c r="BD386" i="25" s="1"/>
  <c r="AZ351" i="25"/>
  <c r="BC351" i="25" s="1"/>
  <c r="BD351" i="25" s="1"/>
  <c r="AZ354" i="25"/>
  <c r="BC354" i="25" s="1"/>
  <c r="BD354" i="25" s="1"/>
  <c r="BV299" i="25"/>
  <c r="BP299" i="25" s="1"/>
  <c r="BQ299" i="25" s="1"/>
  <c r="AZ256" i="25"/>
  <c r="BC256" i="25" s="1"/>
  <c r="BD256" i="25" s="1"/>
  <c r="BV172" i="25"/>
  <c r="BP172" i="25" s="1"/>
  <c r="BQ172" i="25" s="1"/>
  <c r="AZ108" i="25"/>
  <c r="BC108" i="25" s="1"/>
  <c r="BD108" i="25" s="1"/>
  <c r="AZ92" i="25"/>
  <c r="BC92" i="25" s="1"/>
  <c r="BD92" i="25" s="1"/>
  <c r="AZ46" i="25"/>
  <c r="BC46" i="25" s="1"/>
  <c r="BD46" i="25" s="1"/>
  <c r="AZ99" i="25"/>
  <c r="BC99" i="25" s="1"/>
  <c r="BD99" i="25" s="1"/>
  <c r="AZ75" i="25"/>
  <c r="BC75" i="25" s="1"/>
  <c r="BD75" i="25" s="1"/>
  <c r="AZ61" i="25"/>
  <c r="BC61" i="25" s="1"/>
  <c r="BD61" i="25" s="1"/>
  <c r="BA36" i="25"/>
  <c r="BB36" i="25" s="1"/>
  <c r="BE36" i="25" s="1"/>
  <c r="AZ76" i="25"/>
  <c r="BC76" i="25" s="1"/>
  <c r="BD76" i="25" s="1"/>
  <c r="AZ51" i="25"/>
  <c r="BC51" i="25" s="1"/>
  <c r="BD51" i="25" s="1"/>
  <c r="AZ42" i="25"/>
  <c r="BC42" i="25" s="1"/>
  <c r="BD42" i="25" s="1"/>
  <c r="BA37" i="25"/>
  <c r="BB37" i="25" s="1"/>
  <c r="BE37" i="25" s="1"/>
  <c r="AZ96" i="25"/>
  <c r="BC96" i="25" s="1"/>
  <c r="BD96" i="25" s="1"/>
  <c r="AZ85" i="25"/>
  <c r="BC85" i="25" s="1"/>
  <c r="BD85" i="25" s="1"/>
  <c r="AZ71" i="25"/>
  <c r="BC71" i="25" s="1"/>
  <c r="BD71" i="25" s="1"/>
  <c r="AZ67" i="25"/>
  <c r="BC67" i="25" s="1"/>
  <c r="BD67" i="25" s="1"/>
  <c r="AZ38" i="25"/>
  <c r="BC38" i="25" s="1"/>
  <c r="BD38" i="25" s="1"/>
  <c r="BA32" i="25"/>
  <c r="BB32" i="25" s="1"/>
  <c r="BE32" i="25" s="1"/>
  <c r="BA26" i="25"/>
  <c r="BB26" i="25" s="1"/>
  <c r="BE26" i="25" s="1"/>
  <c r="AZ17" i="25"/>
  <c r="BC17" i="25" s="1"/>
  <c r="BD17" i="25" s="1"/>
  <c r="Q87" i="89"/>
  <c r="E79" i="89"/>
  <c r="E69" i="89"/>
  <c r="O89" i="89"/>
  <c r="P89" i="89"/>
  <c r="E75" i="89"/>
  <c r="N87" i="89"/>
  <c r="E61" i="89"/>
  <c r="Q89" i="89"/>
  <c r="E81" i="89"/>
  <c r="AZ385" i="25"/>
  <c r="BC385" i="25" s="1"/>
  <c r="BD385" i="25" s="1"/>
  <c r="AZ389" i="25"/>
  <c r="BC389" i="25" s="1"/>
  <c r="BD389" i="25" s="1"/>
  <c r="AZ381" i="25"/>
  <c r="BC381" i="25" s="1"/>
  <c r="BD381" i="25" s="1"/>
  <c r="AZ371" i="25"/>
  <c r="BC371" i="25" s="1"/>
  <c r="BD371" i="25" s="1"/>
  <c r="AW371" i="25"/>
  <c r="BA371" i="25" s="1"/>
  <c r="BB371" i="25" s="1"/>
  <c r="BE371" i="25" s="1"/>
  <c r="AZ350" i="25"/>
  <c r="BC350" i="25" s="1"/>
  <c r="BD350" i="25" s="1"/>
  <c r="AZ265" i="25"/>
  <c r="BC265" i="25" s="1"/>
  <c r="BD265" i="25" s="1"/>
  <c r="AZ263" i="25"/>
  <c r="BC263" i="25" s="1"/>
  <c r="BD263" i="25" s="1"/>
  <c r="AW263" i="25"/>
  <c r="BA263" i="25" s="1"/>
  <c r="BB263" i="25" s="1"/>
  <c r="BE263" i="25" s="1"/>
  <c r="AZ254" i="25"/>
  <c r="BC254" i="25" s="1"/>
  <c r="BD254" i="25" s="1"/>
  <c r="AZ174" i="25"/>
  <c r="BC174" i="25" s="1"/>
  <c r="BD174" i="25" s="1"/>
  <c r="BV177" i="25"/>
  <c r="BP177" i="25" s="1"/>
  <c r="BQ177" i="25" s="1"/>
  <c r="BV173" i="25"/>
  <c r="BP173" i="25" s="1"/>
  <c r="BQ173" i="25" s="1"/>
  <c r="AZ79" i="25"/>
  <c r="BC79" i="25" s="1"/>
  <c r="BD79" i="25" s="1"/>
  <c r="AZ64" i="25"/>
  <c r="BC64" i="25" s="1"/>
  <c r="BD64" i="25" s="1"/>
  <c r="AZ55" i="25"/>
  <c r="BC55" i="25" s="1"/>
  <c r="BD55" i="25" s="1"/>
  <c r="AZ48" i="25"/>
  <c r="BC48" i="25" s="1"/>
  <c r="BD48" i="25" s="1"/>
  <c r="AZ110" i="25"/>
  <c r="BC110" i="25" s="1"/>
  <c r="BD110" i="25" s="1"/>
  <c r="AZ88" i="25"/>
  <c r="BC88" i="25" s="1"/>
  <c r="BD88" i="25" s="1"/>
  <c r="AZ60" i="25"/>
  <c r="BC60" i="25" s="1"/>
  <c r="BD60" i="25" s="1"/>
  <c r="AZ39" i="25"/>
  <c r="BC39" i="25" s="1"/>
  <c r="BD39" i="25" s="1"/>
  <c r="BA30" i="25"/>
  <c r="BB30" i="25" s="1"/>
  <c r="BE30" i="25" s="1"/>
  <c r="AZ95" i="25"/>
  <c r="BC95" i="25" s="1"/>
  <c r="BD95" i="25" s="1"/>
  <c r="AZ84" i="25"/>
  <c r="BC84" i="25" s="1"/>
  <c r="BD84" i="25" s="1"/>
  <c r="AZ45" i="25"/>
  <c r="BC45" i="25" s="1"/>
  <c r="BD45" i="25" s="1"/>
  <c r="BA31" i="25"/>
  <c r="BB31" i="25" s="1"/>
  <c r="BE31" i="25" s="1"/>
  <c r="AZ78" i="25"/>
  <c r="BC78" i="25" s="1"/>
  <c r="BD78" i="25" s="1"/>
  <c r="AZ70" i="25"/>
  <c r="BC70" i="25" s="1"/>
  <c r="BD70" i="25" s="1"/>
  <c r="AZ66" i="25"/>
  <c r="BC66" i="25" s="1"/>
  <c r="BD66" i="25" s="1"/>
  <c r="AZ33" i="25"/>
  <c r="BC33" i="25" s="1"/>
  <c r="BD33" i="25" s="1"/>
  <c r="AZ27" i="25"/>
  <c r="BC27" i="25" s="1"/>
  <c r="BD27" i="25" s="1"/>
  <c r="AZ19" i="25"/>
  <c r="BC19" i="25" s="1"/>
  <c r="BD19" i="25" s="1"/>
  <c r="N89" i="89"/>
  <c r="E63" i="89"/>
  <c r="L87" i="89"/>
  <c r="E50" i="89"/>
  <c r="L89" i="89"/>
  <c r="E52" i="89"/>
  <c r="P88" i="89"/>
  <c r="E74" i="89"/>
  <c r="E67" i="89"/>
  <c r="O87" i="89"/>
  <c r="M89" i="89"/>
  <c r="E58" i="89"/>
  <c r="F58" i="89" l="1"/>
  <c r="E89" i="89"/>
  <c r="H88" i="89"/>
  <c r="F74" i="89"/>
  <c r="F50" i="89"/>
  <c r="D87" i="89"/>
  <c r="F81" i="89"/>
  <c r="I89" i="89"/>
  <c r="H89" i="89"/>
  <c r="F75" i="89"/>
  <c r="F79" i="89"/>
  <c r="I87" i="89"/>
  <c r="F51" i="89"/>
  <c r="D88" i="89"/>
  <c r="F56" i="89"/>
  <c r="E87" i="89"/>
  <c r="D89" i="89"/>
  <c r="F52" i="89"/>
  <c r="F89" i="89"/>
  <c r="F63" i="89"/>
  <c r="F87" i="89"/>
  <c r="F61" i="89"/>
  <c r="F88" i="89"/>
  <c r="F62" i="89"/>
  <c r="G87" i="89"/>
  <c r="F67" i="89"/>
  <c r="G89" i="89"/>
  <c r="F69" i="89"/>
  <c r="F73" i="89"/>
  <c r="H87" i="89"/>
</calcChain>
</file>

<file path=xl/comments1.xml><?xml version="1.0" encoding="utf-8"?>
<comments xmlns="http://schemas.openxmlformats.org/spreadsheetml/2006/main">
  <authors>
    <author>Mee Mee Thaw</author>
    <author>SIT MEAL Supervisor</author>
  </authors>
  <commentList>
    <comment ref="D3" authorId="0" shapeId="0">
      <text>
        <r>
          <rPr>
            <b/>
            <sz val="9"/>
            <color indexed="81"/>
            <rFont val="Tahoma"/>
            <family val="2"/>
          </rPr>
          <t>Mee Mee Thaw:</t>
        </r>
        <r>
          <rPr>
            <sz val="9"/>
            <color indexed="81"/>
            <rFont val="Tahoma"/>
            <family val="2"/>
          </rPr>
          <t xml:space="preserve">
</t>
        </r>
      </text>
    </comment>
    <comment ref="E34" authorId="0" shapeId="0">
      <text>
        <r>
          <rPr>
            <b/>
            <sz val="9"/>
            <color indexed="81"/>
            <rFont val="Tahoma"/>
            <family val="2"/>
          </rPr>
          <t>Mee Mee Thaw:</t>
        </r>
        <r>
          <rPr>
            <sz val="9"/>
            <color indexed="81"/>
            <rFont val="Tahoma"/>
            <family val="2"/>
          </rPr>
          <t xml:space="preserve">
Combination of BTP 1,2,3</t>
        </r>
      </text>
    </comment>
    <comment ref="E53" authorId="0" shapeId="0">
      <text>
        <r>
          <rPr>
            <b/>
            <sz val="9"/>
            <color indexed="81"/>
            <rFont val="Tahoma"/>
            <family val="2"/>
          </rPr>
          <t>Mee Mee Thaw:</t>
        </r>
        <r>
          <rPr>
            <sz val="9"/>
            <color indexed="81"/>
            <rFont val="Tahoma"/>
            <family val="2"/>
          </rPr>
          <t xml:space="preserve">
Note from KBC " (5 Ward Baptist Church( Lon Khin- MMR001CMP179, and Ku Day Maw KBC- MMR001CMP231) and open new camp as Lawng Hkang Shait Yang Camp ( Lel Pyin) under Hpakant Township. So technically, the mentioned two camp will be combine into one camp as Lawng Hkang Shait Yang Camp ( Lel Pyin)".</t>
        </r>
      </text>
    </comment>
    <comment ref="E60" authorId="0" shapeId="0">
      <text>
        <r>
          <rPr>
            <b/>
            <sz val="9"/>
            <color indexed="81"/>
            <rFont val="Tahoma"/>
            <family val="2"/>
          </rPr>
          <t>Mee Mee Thaw:</t>
        </r>
        <r>
          <rPr>
            <sz val="9"/>
            <color indexed="81"/>
            <rFont val="Tahoma"/>
            <family val="2"/>
          </rPr>
          <t xml:space="preserve">
combination of Loi je lisu 1+2+3+4</t>
        </r>
      </text>
    </comment>
    <comment ref="Z335" authorId="1" shapeId="0">
      <text>
        <r>
          <rPr>
            <b/>
            <sz val="9"/>
            <color indexed="81"/>
            <rFont val="Tahoma"/>
            <family val="2"/>
          </rPr>
          <t>SIT MEAL Supervisor:</t>
        </r>
        <r>
          <rPr>
            <sz val="9"/>
            <color indexed="81"/>
            <rFont val="Tahoma"/>
            <family val="2"/>
          </rPr>
          <t xml:space="preserve">
Update from Jan 2018</t>
        </r>
      </text>
    </comment>
    <comment ref="AA335" authorId="1" shapeId="0">
      <text>
        <r>
          <rPr>
            <b/>
            <sz val="9"/>
            <color indexed="81"/>
            <rFont val="Tahoma"/>
            <family val="2"/>
          </rPr>
          <t>SIT MEAL Supervisor:</t>
        </r>
        <r>
          <rPr>
            <sz val="9"/>
            <color indexed="81"/>
            <rFont val="Tahoma"/>
            <family val="2"/>
          </rPr>
          <t xml:space="preserve">
most of the latrines in Barsara require major maintenance. But the latrines in other camps mentioned below need only minor maintenace </t>
        </r>
      </text>
    </comment>
    <comment ref="AO341" authorId="1" shapeId="0">
      <text>
        <r>
          <rPr>
            <b/>
            <sz val="9"/>
            <color indexed="81"/>
            <rFont val="Tahoma"/>
            <family val="2"/>
          </rPr>
          <t>SIT MEAL Supervisor:</t>
        </r>
        <r>
          <rPr>
            <sz val="9"/>
            <color indexed="81"/>
            <rFont val="Tahoma"/>
            <family val="2"/>
          </rPr>
          <t xml:space="preserve">
Thae Chaung camp + Thae Chaung muslim Village</t>
        </r>
      </text>
    </comment>
  </commentList>
</comments>
</file>

<file path=xl/comments2.xml><?xml version="1.0" encoding="utf-8"?>
<comments xmlns="http://schemas.openxmlformats.org/spreadsheetml/2006/main">
  <authors>
    <author>Than Kyaw Soe</author>
  </authors>
  <commentList>
    <comment ref="E420" authorId="0" shapeId="0">
      <text>
        <r>
          <rPr>
            <b/>
            <sz val="9"/>
            <color indexed="81"/>
            <rFont val="Tahoma"/>
            <family val="2"/>
          </rPr>
          <t>Than Kyaw Soe:</t>
        </r>
        <r>
          <rPr>
            <sz val="9"/>
            <color indexed="81"/>
            <rFont val="Tahoma"/>
            <family val="2"/>
          </rPr>
          <t xml:space="preserve">
move to another locations need to change the GPS Point</t>
        </r>
      </text>
    </comment>
  </commentList>
</comments>
</file>

<file path=xl/sharedStrings.xml><?xml version="1.0" encoding="utf-8"?>
<sst xmlns="http://schemas.openxmlformats.org/spreadsheetml/2006/main" count="19552" uniqueCount="2806">
  <si>
    <t>General Site information</t>
  </si>
  <si>
    <t>V1</t>
  </si>
  <si>
    <t>V2</t>
  </si>
  <si>
    <t>V3</t>
  </si>
  <si>
    <t>V4</t>
  </si>
  <si>
    <t>V5</t>
  </si>
  <si>
    <t>V6a</t>
  </si>
  <si>
    <t>V6b</t>
  </si>
  <si>
    <t>V7</t>
  </si>
  <si>
    <t>V8</t>
  </si>
  <si>
    <t>x1</t>
  </si>
  <si>
    <t>x2</t>
  </si>
  <si>
    <t>x3</t>
  </si>
  <si>
    <t>x4</t>
  </si>
  <si>
    <t>x5</t>
  </si>
  <si>
    <t>x6</t>
  </si>
  <si>
    <t>x7</t>
  </si>
  <si>
    <t>x8</t>
  </si>
  <si>
    <t>x9</t>
  </si>
  <si>
    <t>x10</t>
  </si>
  <si>
    <t>drop down</t>
  </si>
  <si>
    <t>#</t>
  </si>
  <si>
    <t>Text</t>
  </si>
  <si>
    <t>date</t>
  </si>
  <si>
    <t>Reporting Period</t>
  </si>
  <si>
    <t>WASH focal Agency</t>
  </si>
  <si>
    <t>State</t>
  </si>
  <si>
    <t>Township</t>
  </si>
  <si>
    <t>Site Name</t>
  </si>
  <si>
    <t>Total HH</t>
  </si>
  <si>
    <t xml:space="preserve">Total PoP </t>
  </si>
  <si>
    <t xml:space="preserve">Primary Donor covering WASH activities at site </t>
  </si>
  <si>
    <t>Expected end of funding for WASH activties at site
(dd,mm,yyyy)</t>
  </si>
  <si>
    <t>CCCM Management</t>
  </si>
  <si>
    <t>CCCM Focal Agency</t>
  </si>
  <si>
    <t>Type of accommodation</t>
  </si>
  <si>
    <t>Ethnic or GCA/NGCA</t>
  </si>
  <si>
    <t>Lat</t>
  </si>
  <si>
    <t>Long</t>
  </si>
  <si>
    <t>Pcode</t>
  </si>
  <si>
    <t>Covered</t>
  </si>
  <si>
    <t>Remark</t>
  </si>
  <si>
    <t>2017_Q4</t>
  </si>
  <si>
    <t>KMSS</t>
  </si>
  <si>
    <t>Kachin</t>
  </si>
  <si>
    <t>Mansi</t>
  </si>
  <si>
    <t>Maing Khaung Catholic Church</t>
  </si>
  <si>
    <t>DFID/HARP</t>
  </si>
  <si>
    <t>Yes</t>
  </si>
  <si>
    <t>KMSS-BMO</t>
  </si>
  <si>
    <t>Camp</t>
  </si>
  <si>
    <t>GCA</t>
  </si>
  <si>
    <t>* below in red are where changes were made for 2018</t>
  </si>
  <si>
    <t>HRP calculation</t>
  </si>
  <si>
    <t>Current Indicators</t>
  </si>
  <si>
    <t>4W indicators (2018)</t>
  </si>
  <si>
    <t>Definitions/Remarks</t>
  </si>
  <si>
    <t xml:space="preserve">CAMP </t>
  </si>
  <si>
    <t xml:space="preserve">VILLAGE </t>
  </si>
  <si>
    <t>WASH Focal Agency</t>
  </si>
  <si>
    <t xml:space="preserve">Site Name </t>
  </si>
  <si>
    <t>2018 HRP Indicators</t>
  </si>
  <si>
    <t>#of students at TLS</t>
  </si>
  <si>
    <t>V9</t>
  </si>
  <si>
    <t>V10</t>
  </si>
  <si>
    <t># Work days (approx) lost in this site due to access restrictions</t>
  </si>
  <si>
    <t>Yes/No</t>
  </si>
  <si>
    <t>V11</t>
  </si>
  <si>
    <t xml:space="preserve">WASH Committee part of camp management structures </t>
  </si>
  <si>
    <t>%</t>
  </si>
  <si>
    <t>V11a</t>
  </si>
  <si>
    <r>
      <t xml:space="preserve">% Women on camp WASH committee </t>
    </r>
    <r>
      <rPr>
        <i/>
        <sz val="10"/>
        <color rgb="FF2C2C2C"/>
        <rFont val="Corbel"/>
        <family val="2"/>
      </rPr>
      <t>(Kachin &amp; Shan only)</t>
    </r>
  </si>
  <si>
    <r>
      <t xml:space="preserve">% Women in leadership positions in wash committees </t>
    </r>
    <r>
      <rPr>
        <i/>
        <sz val="10"/>
        <rFont val="Corbel"/>
        <family val="2"/>
      </rPr>
      <t>(Kachin &amp; Shan only)</t>
    </r>
  </si>
  <si>
    <t>V12</t>
  </si>
  <si>
    <t># Functioning protected hand dug well</t>
  </si>
  <si>
    <t># of functional public open wells with sealed walls with water flowing/available all day used for drinking/domestic water</t>
  </si>
  <si>
    <t>HRP 1 (improved sources)</t>
  </si>
  <si>
    <t>HRP1: Number of people with equitable and safe access to sufficient quantity of drinking water</t>
  </si>
  <si>
    <t>V13</t>
  </si>
  <si>
    <t xml:space="preserve"># Functioning Tube wells/boreholes </t>
  </si>
  <si>
    <t># of functional public wells/boreholes ( deep tube well, shallow tube well) with water flowing/available all day with a functional flowrate</t>
  </si>
  <si>
    <t>V14a</t>
  </si>
  <si>
    <t xml:space="preserve"># Litres/Day provided with overhead or storage tank with reticulation/ Water  gravity system or boating/trucking
</t>
  </si>
  <si>
    <t>Aim for dry season is 7.5 liters/person/day minimum</t>
  </si>
  <si>
    <t>V14b</t>
  </si>
  <si>
    <t xml:space="preserve">Protected/fenced ponds do not count as improved water source or safe drinking water unless the results for ceramic filters and negative e.coli water quality test results are in place. </t>
  </si>
  <si>
    <t>HRP 2 (unimproved sources)</t>
  </si>
  <si>
    <t>HRP2: Number of people with equitable and safe access to sufficient quantity of domestic water</t>
  </si>
  <si>
    <t>V17</t>
  </si>
  <si>
    <t># Water points fully handed over  (managed by families / small group of families with repairs by WASH/camp committees)</t>
  </si>
  <si>
    <t># of water points that have been fully handed over to families and community as part of the exit strategy. Note repairs might still be done by committees</t>
  </si>
  <si>
    <t># of Water samples tested for fecal coliform  (@ water source)</t>
  </si>
  <si>
    <t>No fecal coliform per 100ml of water for water sources
Test result of zero colony forming unit per 100ml (0 cfu/100ml) is clean.</t>
  </si>
  <si>
    <t># of Water samples which passed the fecal coliform test  (@ water source)</t>
  </si>
  <si>
    <t>V16</t>
  </si>
  <si>
    <t># of Water samples tested for fecal coliform (@ HH level)</t>
  </si>
  <si>
    <t># of Water samples which passed the fecal coliform test (@ HH level)</t>
  </si>
  <si>
    <t>WATER
Comments                                         
(If you have gaps or questions)</t>
  </si>
  <si>
    <t>V18</t>
  </si>
  <si>
    <t># Existing functional latrines (cluster semi-permanent design for protracted sites; cluster emergency design for new displacement sites)</t>
  </si>
  <si>
    <t>HRP 3 (latrine X 20 ppl)</t>
  </si>
  <si>
    <t xml:space="preserve">HRP3: Number of people with access to functional sanitation facilities
</t>
  </si>
  <si>
    <t># Existing latrines needing major repairs &amp; maintenance (dysfunctional)</t>
  </si>
  <si>
    <t>Major repairs or maintenance include: need for coverage of septic tank, major structural damage with no doors, superstructure/walls, roof, major pipes breakage, steps/access which makes the latrine to be considered a 'non-functional latrine.'</t>
  </si>
  <si>
    <t># of latrines desludged in past quarter</t>
  </si>
  <si>
    <t>HRP 4 (Latrine X 20 ppl)</t>
  </si>
  <si>
    <t>N/A</t>
  </si>
  <si>
    <t>HRP4: Number of people with access to continuous sanitation services (Number of ppl benefiting from desluding)</t>
  </si>
  <si>
    <t>V20</t>
  </si>
  <si>
    <t># Latrines fully handed over (managed by families or small group of families)</t>
  </si>
  <si>
    <t># of shared latrines accessible to all persons in the family and managed by families or a small group of families/neighbors. Fully handed over from agencies to family/community.</t>
  </si>
  <si>
    <t>V21</t>
  </si>
  <si>
    <t>Is there an effective solid waste management system in place (i.e. incinerator, community-led management system)</t>
  </si>
  <si>
    <t xml:space="preserve">Existing and functional bins, incinerator, regular collection system and final disposal systems operational) </t>
  </si>
  <si>
    <t>V22</t>
  </si>
  <si>
    <t xml:space="preserve">Does the camp have surface water drainage
</t>
  </si>
  <si>
    <r>
      <rPr>
        <b/>
        <sz val="10"/>
        <color rgb="FF000000"/>
        <rFont val="Corbel"/>
        <family val="2"/>
      </rPr>
      <t>Is the drainage system functional/effective?</t>
    </r>
    <r>
      <rPr>
        <sz val="10"/>
        <color rgb="FF000000"/>
        <rFont val="Corbel"/>
        <family val="2"/>
      </rPr>
      <t xml:space="preserve"> This means no stagnant water / water with continuous flow. No stagnant water around WASH facilities and preventing access. And no standing water/mosquito breeding areas throughout the camp during the dry season. </t>
    </r>
  </si>
  <si>
    <t xml:space="preserve"># of children Latrine </t>
  </si>
  <si>
    <t>Sanitation 
Comments                                               
(If you have gaps or questions)</t>
  </si>
  <si>
    <t>V23</t>
  </si>
  <si>
    <t># functioning hand washing stations (Kachin &amp; Shan only)</t>
  </si>
  <si>
    <t>Type of handwashing approach to site - household, communal, or both?</t>
  </si>
  <si>
    <t xml:space="preserve"># Individual functioning bathing spaces </t>
  </si>
  <si>
    <t>Functional means structurally sound, accessible to users,  with a door and appropriate for women and men</t>
  </si>
  <si>
    <t xml:space="preserve"># Communal functioning bathing spaces </t>
  </si>
  <si>
    <t>V25</t>
  </si>
  <si>
    <t># Hygiene Promoters 
(includes camp based staff)</t>
  </si>
  <si>
    <t>Number of hygiene promoters working during the reporting period per site (camp or village based) that are paid or receive some sort of incentive by the cluster partner.</t>
  </si>
  <si>
    <t>HRP 5 (1:100 HHs)</t>
  </si>
  <si>
    <t xml:space="preserve">HRP5: Number of people reached by regular dedicated hygiene promotion/behavior change activities
</t>
  </si>
  <si>
    <t>V26</t>
  </si>
  <si>
    <t># HH received standard amount of soaps for this quarter</t>
  </si>
  <si>
    <t>HRP 6 (take the lowest figure out of V26 or V27)</t>
  </si>
  <si>
    <t>HRP 6: Number of people who received regular supply of hygiene items</t>
  </si>
  <si>
    <t>V27</t>
  </si>
  <si>
    <t># HH received standard amount of Sanitary Pads for this quarter</t>
  </si>
  <si>
    <t>V28</t>
  </si>
  <si>
    <t>Is sufficient soap available for TLS? (Yes/No)</t>
  </si>
  <si>
    <t>Hygiene
Comments                                                               
(If you have gaps or questions)</t>
  </si>
  <si>
    <t>အနီရောင် အပိုင်းများသည် ၂၀၁၈တွင် ပြောင်းလဲထားသော အပိုင်းဖြစ်သည်</t>
  </si>
  <si>
    <t>ဤစခန်းတွင် WASH ဆိုင်ရာ လုပ်ငန်းများကို ထောက်ပံ့သည့် အလှုရှင် အဖွဲ့အစည်း</t>
  </si>
  <si>
    <t>ဤစခန်းဆိုက်တွင် WASH ဆိုင်ရာ လုပ်ငန်းများအတွက် အလှူငွေ ပြီးဆုံးသည့် ကာလ</t>
  </si>
  <si>
    <t>သွားလာခွင့် အကန့်အသတ်များကြောင့် လုပ်ငန်းရပ်တန့်နေသည့် ရက်များ</t>
  </si>
  <si>
    <t>WASH ကော်မတီသည် camp ၏ စီမံခန့်ခွဲမှု အဖွဲ့တွင် ပါဝင်သည်။</t>
  </si>
  <si>
    <t xml:space="preserve">WASH ကော်မတီတွင် ပါဝင်သော အမျိုးသမီး % </t>
  </si>
  <si>
    <t xml:space="preserve">WASH ကော်မတီတွင် ဦးဆောင်သူအဖြစ် ပါဝင်သော အမျိုးသမီး % </t>
  </si>
  <si>
    <t>ကောင်းမွန်စွာ အသုံးပြုနိုင်သော ဖုံးကာထားသည့် ရေတွင်း အရေအတွက်</t>
  </si>
  <si>
    <t>ကောင်းမွန်စွာ အသုံးပြုနိုင်သော အဝီစိတွင်း အရေအတွက်</t>
  </si>
  <si>
    <t>တစ်ရက် ရနိုင်သော ရေလီတာ (ရေစင်/ရေလှောင်ကန်မှ ရေပိုက်ဖြင့် / ရေဆင်းပိုက်ဖြင့် / လှေ/လှည်း ထရပ်ကားဖြင့် ပို့ဆောင်သည်)</t>
  </si>
  <si>
    <t>ခြောက်သွေ့ကာလအတွက် ရည်ရွယ်၍ အနည်းဆုံး တစ်ရက်လျင် လူတစ်ဦးအတွက်  ၇.၅ လီတာ နှုံး</t>
  </si>
  <si>
    <t>လက်ရှိ ကာရံဖုံးအုပ်ထားသော ရေကန် ရေအိုင် အရေအတွက်</t>
  </si>
  <si>
    <t>e.coli မရှိကြောင်းစစ်ဆေးပြီး မြေအိုးရေစစ်သုံးမထားပါက ကာရံဖုံးအုပ်ထားသော ရေကန် ရေအိုင် ကို ကောင်းမွန်၍သန့်် ရှင်းသောရေအဖြစ် မသတ်မှတ်နိုင်ပါ</t>
  </si>
  <si>
    <t>အပြည့်အဝ လွှဲပြောင်းပေးပြီးသော ရေထွက်နေရာများ (မိသားစုများ  /  မိသားစု အစုအဖွဲ့များ  က စီမံခန့်ခွဲပြီး WASH/camp ကော်မတီက ပြုပြင်ပေးသည်)</t>
  </si>
  <si>
    <t>ရေထွက်ပင်ရင်းတွင် ရေအရည်အသွေး  စစ်ဆေးခဲ့သည့် နမူနာအရေအတွက်</t>
  </si>
  <si>
    <t xml:space="preserve">ရေထွက်ပင်ရင်းမှ ရေ  ၁၀၀ မီလီလီတာတွင် fecal coliform မပါခြင်း
zero colony forming unit per 100ml (၀ cfu/100ml) ရှိသောနမူနာကို သန့်် ရှင်းသော ရေနမူနာ အဖြစ် သတ်မှတ်သည်။  
</t>
  </si>
  <si>
    <t xml:space="preserve">ရေထွက်ပင်ရင်းတွင် စစ်ဆေးသော ရေနမူနာများတွင် ပိုးမွှားမပါသောရေ အဖြစ် တွေ့ရှိရသော နမူနာ အရေအတွက် </t>
  </si>
  <si>
    <t>အိမ်ထောင်စုတွင် ရေအရည်အသွေး  စစ်ဆေးခဲ့သည့် နမူနာအရေအတွက်</t>
  </si>
  <si>
    <t xml:space="preserve">အိမ်ထောင်စုတွင် စစ်ဆေးသော ရေနမူနာများတွင် ပိုးမွှားမပါသောရေ အဖြစ် တွေ့ရှိရသော နမူနာ အရေအတွက် </t>
  </si>
  <si>
    <t>WATER Comments                                         
(If you have gaps or questions)</t>
  </si>
  <si>
    <t>လက်ရှိ အသုံးပြု၍ရသော အိမ်သာ အရေအတွက် (ရေရှည် ဆိုက်များအတွက် cluster ၏ဒီဇိုင်း ။ အသစ်ဖြစ်လာသော ဆိုက်များအတွက် cluster ၏အရေးပေါ်ဒီဇိုင်း)</t>
  </si>
  <si>
    <t>နှစ်အနည်းငယ် ကြာသော site များတွင်  တစ်စိတ်တပိုင်း ရေရှည်သုံး အိမ်သားများ ပါဝင်သည်။ siteအသစ် ပြောင်းရွှေ့လာသူ အသစ်များ ရှိပါက အရေးပေါ် ဒီဇိုင်းများလည်း ပါဝင်သည်။ အသုံးပြုနိုင်သော အိမ်သာ ဆိုသည်မှာ အမိုး ၊အကာ၊ တခါး အနည်းငယ် ချို့ယွင်းနေနိုင်သော်လည်း  သော့ပိတ်နိုင်ပြီး မပြည့််သေးသော တွင်း ရှိရမည်။ (မပြည့််သောတွင်း ဆိုသည်မှာ ပြည့်် ရန် တစ်ပေ အလိုအထိဖြစ်သည်။)</t>
  </si>
  <si>
    <t>အကြီးစားပြင်ဆင်ရန်လိုသော (သုံးမရသည့်အခြေအနေ) အိမ်သာအရေအတွက်</t>
  </si>
  <si>
    <t xml:space="preserve">အကြီးစားပြင်ဆင်ရန်လိုသော အခြေအနေဆိုသည်မှာ  အညစ်အကြေးလှောင်ကန် အဖုံးလိုအပ်ခြင်း တခါးမရှိပဲ အမိုးအကာ ပျက်စီးနေခြင်း အဓိက ပိုက်လိုင်းများ ကအတက်အဆင်း လှေခါး ပျက်စီးနေခြင်း </t>
  </si>
  <si>
    <t>အပြည့်အဝလွှဲပြောင်းပေးပြီးသော အိမ်သာအရေအတွက် (မိသားစုများ။ မိသားစု အစုအဖွဲ့များက ဦးစီးသော)</t>
  </si>
  <si>
    <t>ကောင်းမွန်သော အမှိုက်ရှင်းသည့် စနစ် ရှိပါသလား (မီးရှို့ပြာချစက်၊ လူမှုအဖွဲ့အစည်း ဦးဆောင်သည့်စနစ်)</t>
  </si>
  <si>
    <t>ကောင်းမွန်သော အမှိုက်ရှင်းသည့် စနစ် ရှိပါသလား (မီးရှို့ပြာချစက်၊ အမှိုက်ပုံး ၊အမှိုက်သိမ်း စွန့်် ပစ် သည့််စနစ်)</t>
  </si>
  <si>
    <t>camp တွင် မြေပေါ် ရေဆိုးထုတ်သည့် စနစ်ရှိပါသလား</t>
  </si>
  <si>
    <t>ခြောက်သွေ့ရာသီတွင် WASH နှင့်သက်ဆိုင်သော နေရာများတွင်  ရေမစီးဆင်းပဲ ရေအိုင် နေပြီး ခြင်ပေါက်ပွားနိုင်သော အခြေအနေ</t>
  </si>
  <si>
    <t>Sanitation Comments                                               
(If you have gaps or questions)</t>
  </si>
  <si>
    <t>လူ့အဖွဲ့အစည်းအတွင်း အသုံးပြု၍ရသော လက်ဆေးနေရာများကို သုံးခွင့်ရှိသော အိမ်ထောင်စု% ။ အသုံးပြု၍ရသော အခြေအနေ ဆိုသည်မှာ ရေနှင့် ဆပ်ပြာ ရှိ၍ ရေပိုက်ခေါ့င်းများ ကောင်းမွန်ခြင်း ဖြစ်သည်။</t>
  </si>
  <si>
    <t>လက်ဆေးရန် အသုံးပြုသော ပုံစံ − အိမ်ထောင်စု ၊ လူ့အဖွဲ့အစည်း ၊ နှစ်မျိုးလုံး</t>
  </si>
  <si>
    <t>တစ်ဦးချင်း အသုံးပြု၍ရသော ရေချိုးခန်း အရေအတွက်</t>
  </si>
  <si>
    <t>အသုံးပြု၍ရသော အခြေအနေ ဆိုသည်မှာ ရေချိုးခန်းသို့ သွားလာ၍ရပြီး ခိုင်ခံ့ကာ တံခါးကောင်းမွန်ခြင်း ကျား။မ အားလုံးအတွက် သင့်လျော်ခြင်း ဖြစ်သည်။</t>
  </si>
  <si>
    <t>လူ့မှုအဖွဲ့အစည်း အသုံးပြု၍ရသော ရေချိုးခန်း အရေအတွက်</t>
  </si>
  <si>
    <t>ပိုးမွှားသန့်စင်မှု ဆိုင်ရာ လုပ်ဆောင်သူ အရေအတွက် (camp တွင်ခန့်ထားသောဝန်ထမ်းအပါအဝင်)</t>
  </si>
  <si>
    <t xml:space="preserve">Hygiene Comments </t>
  </si>
  <si>
    <t>2018 HRP Calculation</t>
  </si>
  <si>
    <t>HRP Code</t>
  </si>
  <si>
    <t>4W Code</t>
  </si>
  <si>
    <t>Corresponding 4W indicator</t>
  </si>
  <si>
    <t>Unit</t>
  </si>
  <si>
    <t>HRP1</t>
  </si>
  <si>
    <t>V12, V13, V14a</t>
  </si>
  <si>
    <t># Functioning protected hand dug well
# Functioning Tube wells/boreholes 
# Litres/Day provided with overhead or storage tank with reticulation/ Water  gravity system or boating/trucking</t>
  </si>
  <si>
    <r>
      <rPr>
        <b/>
        <sz val="10"/>
        <color rgb="FF2C2C2C"/>
        <rFont val="Gill Sans MT"/>
        <family val="2"/>
      </rPr>
      <t>Camp:</t>
    </r>
    <r>
      <rPr>
        <sz val="10"/>
        <color rgb="FF2C2C2C"/>
        <rFont val="Gill Sans MT"/>
        <family val="2"/>
      </rPr>
      <t xml:space="preserve">Hand dug well </t>
    </r>
    <r>
      <rPr>
        <b/>
        <sz val="10"/>
        <color rgb="FF2C2C2C"/>
        <rFont val="Gill Sans MT"/>
        <family val="2"/>
      </rPr>
      <t>400</t>
    </r>
    <r>
      <rPr>
        <sz val="10"/>
        <color rgb="FF2C2C2C"/>
        <rFont val="Gill Sans MT"/>
        <family val="2"/>
      </rPr>
      <t xml:space="preserve"> PPL, Hand Pump </t>
    </r>
    <r>
      <rPr>
        <b/>
        <sz val="10"/>
        <color rgb="FF2C2C2C"/>
        <rFont val="Gill Sans MT"/>
        <family val="2"/>
      </rPr>
      <t>500</t>
    </r>
    <r>
      <rPr>
        <sz val="10"/>
        <color rgb="FF2C2C2C"/>
        <rFont val="Gill Sans MT"/>
        <family val="2"/>
      </rPr>
      <t xml:space="preserve"> PPL,15L/P/D : 8 hr tapstand open, 
</t>
    </r>
    <r>
      <rPr>
        <b/>
        <sz val="10"/>
        <color rgb="FF2C2C2C"/>
        <rFont val="Gill Sans MT"/>
        <family val="2"/>
      </rPr>
      <t>Village:</t>
    </r>
    <r>
      <rPr>
        <sz val="10"/>
        <color rgb="FF2C2C2C"/>
        <rFont val="Gill Sans MT"/>
        <family val="2"/>
      </rPr>
      <t xml:space="preserve"> Hand dug well 250 PPL, Hand Pump 250 PPL,15L/P/D : 8 hr tapstand open</t>
    </r>
  </si>
  <si>
    <t>people per improved water source</t>
  </si>
  <si>
    <t>HRP2</t>
  </si>
  <si>
    <r>
      <rPr>
        <b/>
        <sz val="10"/>
        <color rgb="FF2C2C2C"/>
        <rFont val="Gill Sans MT"/>
        <family val="2"/>
      </rPr>
      <t xml:space="preserve">Camp: 250 PPL/Pond+ </t>
    </r>
    <r>
      <rPr>
        <sz val="10"/>
        <color rgb="FF2C2C2C"/>
        <rFont val="Gill Sans MT"/>
        <family val="2"/>
      </rPr>
      <t xml:space="preserve">Hand dug well </t>
    </r>
    <r>
      <rPr>
        <b/>
        <sz val="10"/>
        <color rgb="FF2C2C2C"/>
        <rFont val="Gill Sans MT"/>
        <family val="2"/>
      </rPr>
      <t>400</t>
    </r>
    <r>
      <rPr>
        <sz val="10"/>
        <color rgb="FF2C2C2C"/>
        <rFont val="Gill Sans MT"/>
        <family val="2"/>
      </rPr>
      <t xml:space="preserve"> PPL, Hand Pump </t>
    </r>
    <r>
      <rPr>
        <b/>
        <sz val="10"/>
        <color rgb="FF2C2C2C"/>
        <rFont val="Gill Sans MT"/>
        <family val="2"/>
      </rPr>
      <t>500</t>
    </r>
    <r>
      <rPr>
        <sz val="10"/>
        <color rgb="FF2C2C2C"/>
        <rFont val="Gill Sans MT"/>
        <family val="2"/>
      </rPr>
      <t xml:space="preserve"> PPL,15L/P/D : 8 hr tapstand open, 
</t>
    </r>
    <r>
      <rPr>
        <b/>
        <sz val="10"/>
        <color rgb="FF2C2C2C"/>
        <rFont val="Gill Sans MT"/>
        <family val="2"/>
      </rPr>
      <t>Village:</t>
    </r>
    <r>
      <rPr>
        <sz val="10"/>
        <color rgb="FF2C2C2C"/>
        <rFont val="Gill Sans MT"/>
        <family val="2"/>
      </rPr>
      <t xml:space="preserve"> 250 PPL/Pond+ Hand dug well 250 PPL, Hand Pump 250 PPL,15L/P/D : 8 hr tapstand open</t>
    </r>
  </si>
  <si>
    <t>HRP3</t>
  </si>
  <si>
    <t>Number of people with access to functional sanitation facilities</t>
  </si>
  <si>
    <t>people per latrine</t>
  </si>
  <si>
    <t>HRP4</t>
  </si>
  <si>
    <t>Number of people with access to continuous sanitation services (Number of ppl benefiting from desluding) (Sanitation service include desludging cycle services)</t>
  </si>
  <si>
    <t>Camp:20PPL:1
Village: Not applicable</t>
  </si>
  <si>
    <t>HRP5</t>
  </si>
  <si>
    <t>Number of people reached by regular dedicated hygiene promotion/behavior change activities</t>
  </si>
  <si>
    <t>Camp: 100HH:1 
Village: 100HH:1</t>
  </si>
  <si>
    <t xml:space="preserve">HH per hygiene promoter
</t>
  </si>
  <si>
    <t>HRP6</t>
  </si>
  <si>
    <t>Number of people who received regular supply of hygiene items (Regular minimum hygiene items include soap and sanitary pads. )</t>
  </si>
  <si>
    <t># HH received standard amount of soaps for this quarter
# HH received standard amount of Sanitary Pads for this quarter</t>
  </si>
  <si>
    <t>the lowest figure out of V26 or V27
Village: not applicable</t>
  </si>
  <si>
    <t>HH coverage</t>
  </si>
  <si>
    <r>
      <rPr>
        <sz val="18"/>
        <color theme="0"/>
        <rFont val="Calibri"/>
        <family val="2"/>
      </rPr>
      <t>WASH CLUSTER</t>
    </r>
    <r>
      <rPr>
        <b/>
        <sz val="18"/>
        <color theme="0"/>
        <rFont val="Calibri"/>
        <family val="2"/>
      </rPr>
      <t xml:space="preserve"> 4W MATRIX </t>
    </r>
    <r>
      <rPr>
        <sz val="18"/>
        <color theme="0"/>
        <rFont val="Calibri"/>
        <family val="2"/>
      </rPr>
      <t>MYANMAR</t>
    </r>
  </si>
  <si>
    <t>Objectives of the 4W matrix:</t>
  </si>
  <si>
    <t>To identify the geographical positionning of the different intervenants (Who)</t>
  </si>
  <si>
    <t>To reduce the geographical gaps coverage (Where)</t>
  </si>
  <si>
    <t>To produce a basic analysis of the needs covered, and needs remaining (What)</t>
  </si>
  <si>
    <t>To predict at minima the coverage extension or reduction in short term (When)</t>
  </si>
  <si>
    <t>To support defining priorities (traffic light)</t>
  </si>
  <si>
    <t>To offer a synthetic situation overview, a relavant and comparable analysis over time</t>
  </si>
  <si>
    <t>The 4W exercise cannot replace more complex and field monitoring tools and analysis.</t>
  </si>
  <si>
    <t xml:space="preserve"> It won't analyse much the qualitative aspect of the intervention, while it is a pre-condition for any intervention </t>
  </si>
  <si>
    <t>To respect minimum technical standards, shared and contextualised by the cluster</t>
  </si>
  <si>
    <t>Principle</t>
  </si>
  <si>
    <t>The matrix remain a flexible tools and can be frequently adapted, based on field experience, needs, and change in the intervention context</t>
  </si>
  <si>
    <t>The Wash cluster has the duty to offer a feed back on data provided by the Agency, and offer a consolidated analysis.</t>
  </si>
  <si>
    <t>The wash cluster meeting, state level or country level, are the place to exchange on result findings</t>
  </si>
  <si>
    <t>The 4W should be updated at quaterly basis, while all agencies are requested to fill the form to offer a more accurate and relevant outlook of the situation</t>
  </si>
  <si>
    <t>The 4W and its analysis is shared with the Myanmar autorities at state and national level</t>
  </si>
  <si>
    <t>The wash cluster is in charge of gathering the information from the State government, in case of technical direct implementation</t>
  </si>
  <si>
    <t>The 4W consolidated by the wash cluster and its analysis will be quarterly shared through the google wash group, WASH Cluster google drive and the MIMU internet site</t>
  </si>
  <si>
    <t>Use of Excel Sheet:</t>
  </si>
  <si>
    <t>DATABASE: Main database for Data Entry by partners</t>
  </si>
  <si>
    <t>HRP Calculations: Calculations method for HRP indicators</t>
  </si>
  <si>
    <t>HRP report: linked with 2017 WASH Cluster HRP report and outcome of quarterly WASH Cluster 4 W</t>
  </si>
  <si>
    <t>ANALYSIS: overall Analysis based on partner's  quarterly update 4 Ws</t>
  </si>
  <si>
    <t>Kachin/Rakhine/Shan: Quarterly Snapshot by state. Mapping can not be included in data entry period. It will be included in final version of 4 W released.</t>
  </si>
  <si>
    <t>By Camp: camp level analysis with different dimensions</t>
  </si>
  <si>
    <t>Focal point Agency:</t>
  </si>
  <si>
    <t xml:space="preserve">As per WASH cluster strategic plan and SOF, the approach remains one main wash actor per camp </t>
  </si>
  <si>
    <t>However, depending of the needs, two actors can be considered per sub sector, and different regarding wash sub-sector</t>
  </si>
  <si>
    <t>From a cluster point of view, to facilitate the data collection, the defined focal wash agency is reporting for the overall wash situation in the location, and not only on its own activities</t>
  </si>
  <si>
    <t>The agency focal point is defined on an bilateral agreement between NGOs, while the Cluster can accompaign any process difficulties</t>
  </si>
  <si>
    <t>Geographical reporting coverage</t>
  </si>
  <si>
    <t>WASH Cluster, through intersectorial coordination with CCCM, is providing a site baseline data. However,  this pre-defined list is not closed to new locations, if related to the emergency.</t>
  </si>
  <si>
    <t>In case of new location (ex: spontaneous camps not registered with CCCM, host communities considered directly affected, isolated villages facing</t>
  </si>
  <si>
    <t>humanitarian risk…), please mark in the Database, and engage exchange with the Wash cluster in order to properly recognize this location, and allow to exchange with CCCM if needed.</t>
  </si>
  <si>
    <t>The agencies are also welcome to cross check the data and mention major discrepancies with field observations. The wash cluster in that case ensures a follow up at the inter-cluster level</t>
  </si>
  <si>
    <t xml:space="preserve">Water </t>
  </si>
  <si>
    <t>Sanitation</t>
  </si>
  <si>
    <t>Hygiene</t>
  </si>
  <si>
    <t>CALCULATION</t>
  </si>
  <si>
    <t xml:space="preserve">V12 </t>
  </si>
  <si>
    <t>V14</t>
  </si>
  <si>
    <t>V15</t>
  </si>
  <si>
    <t>Bore hole/ well</t>
  </si>
  <si>
    <t>Drinking</t>
  </si>
  <si>
    <t>Ponds</t>
  </si>
  <si>
    <t>Domestic</t>
  </si>
  <si>
    <t>two sources</t>
  </si>
  <si>
    <t>Same</t>
  </si>
  <si>
    <t>GAP2</t>
  </si>
  <si>
    <t># Non-functioning (repairs, desluding)</t>
  </si>
  <si>
    <t>dropdown</t>
  </si>
  <si>
    <t xml:space="preserve"> Red &gt;=30% __Orange 0%~29%__ Green =0%</t>
  </si>
  <si>
    <t xml:space="preserve">HRP4: </t>
  </si>
  <si>
    <t>HRP 6</t>
  </si>
  <si>
    <t xml:space="preserve"># Existing protected/fenced ponds </t>
  </si>
  <si>
    <t># of hand washing station for TLS</t>
  </si>
  <si>
    <t>Does the camp have surface water drainage</t>
  </si>
  <si>
    <t>Sanitation                         Comments                                               
(If you have gaps or questions)</t>
  </si>
  <si>
    <t># Paid/incentivized Hygiene Promoters 
(includes camp based staff)</t>
  </si>
  <si>
    <t>% of Water samples which passed the fecal coliform test  (@ water source)</t>
  </si>
  <si>
    <t>% Water samples which passed the fecal coliform test (@ HH level)</t>
  </si>
  <si>
    <t>Access to safe drinking water through improved water points (for Camp)</t>
  </si>
  <si>
    <t>Access to safe drinking water through improved water points (for Village)</t>
  </si>
  <si>
    <t>Equitable and continuous access to sufficient quantity of safe drinking water through improved water sources</t>
  </si>
  <si>
    <t>Number of People with equitable and continuous access to sufficient quantity of safe drinking water through improved water sources</t>
  </si>
  <si>
    <t>Number of People access to unimproved water sources</t>
  </si>
  <si>
    <t>% Equitable and continuous access to sufficient quantity of domestic water (borehole+ponds)</t>
  </si>
  <si>
    <t># people Equitable and continuous access to sufficient quantity of domestic water (borehole+ponds)</t>
  </si>
  <si>
    <t># of Water points coverage</t>
  </si>
  <si>
    <r>
      <t>% of equitable and continuous access to sufficient quantity of safe drinking and domestic water's GAP</t>
    </r>
    <r>
      <rPr>
        <b/>
        <sz val="10"/>
        <color rgb="FFFF0000"/>
        <rFont val="Corbel"/>
        <family val="2"/>
      </rPr>
      <t/>
    </r>
  </si>
  <si>
    <r>
      <t xml:space="preserve"># people needs </t>
    </r>
    <r>
      <rPr>
        <sz val="10"/>
        <color theme="0"/>
        <rFont val="Corbel"/>
        <family val="2"/>
      </rPr>
      <t>equitable and continuous access to sufficient quantity of safe drinking and domestic water -</t>
    </r>
    <r>
      <rPr>
        <b/>
        <sz val="10"/>
        <color theme="0"/>
        <rFont val="Corbel"/>
        <family val="2"/>
      </rPr>
      <t>GAP</t>
    </r>
  </si>
  <si>
    <t># Potential required new water points</t>
  </si>
  <si>
    <t>Total required water points</t>
  </si>
  <si>
    <t>Total # of latrine</t>
  </si>
  <si>
    <t>% people access to functioning Latrine</t>
  </si>
  <si>
    <t># potential required new latrines</t>
  </si>
  <si>
    <t>Total required Latrines</t>
  </si>
  <si>
    <r>
      <t xml:space="preserve">% Latrines requiring  repairs/maintenance
</t>
    </r>
    <r>
      <rPr>
        <b/>
        <sz val="11"/>
        <color rgb="FFFF0000"/>
        <rFont val="Corbel"/>
        <family val="2"/>
      </rPr>
      <t>Red &gt;=10%,</t>
    </r>
    <r>
      <rPr>
        <b/>
        <sz val="11"/>
        <color theme="0"/>
        <rFont val="Corbel"/>
        <family val="2"/>
      </rPr>
      <t xml:space="preserve">
</t>
    </r>
    <r>
      <rPr>
        <b/>
        <sz val="11"/>
        <color theme="5" tint="-0.249977111117893"/>
        <rFont val="Corbel"/>
        <family val="2"/>
      </rPr>
      <t>Orange 0%~9%,</t>
    </r>
    <r>
      <rPr>
        <b/>
        <sz val="11"/>
        <color theme="0"/>
        <rFont val="Corbel"/>
        <family val="2"/>
      </rPr>
      <t xml:space="preserve">
</t>
    </r>
    <r>
      <rPr>
        <b/>
        <sz val="11"/>
        <color rgb="FF00B050"/>
        <rFont val="Corbel"/>
        <family val="2"/>
      </rPr>
      <t>Green =0%</t>
    </r>
  </si>
  <si>
    <t>Number of people with access to continuous sanitation services (desluding)</t>
  </si>
  <si>
    <t>Number of people with equitable access to safe and continuous sanitation facilities</t>
  </si>
  <si>
    <t>Hygiene Coverage %</t>
  </si>
  <si>
    <r>
      <t xml:space="preserve">Hygiene Gap %
</t>
    </r>
    <r>
      <rPr>
        <b/>
        <sz val="11"/>
        <color rgb="FFFF0000"/>
        <rFont val="Corbel"/>
        <family val="2"/>
      </rPr>
      <t>Red &gt;=30%,</t>
    </r>
    <r>
      <rPr>
        <b/>
        <sz val="11"/>
        <color theme="0"/>
        <rFont val="Corbel"/>
        <family val="2"/>
      </rPr>
      <t xml:space="preserve">
</t>
    </r>
    <r>
      <rPr>
        <b/>
        <sz val="11"/>
        <color rgb="FFFFC000"/>
        <rFont val="Corbel"/>
        <family val="2"/>
      </rPr>
      <t>Orange 0%~29%,</t>
    </r>
    <r>
      <rPr>
        <b/>
        <sz val="11"/>
        <color theme="0"/>
        <rFont val="Corbel"/>
        <family val="2"/>
      </rPr>
      <t xml:space="preserve"> 
</t>
    </r>
    <r>
      <rPr>
        <b/>
        <sz val="11"/>
        <color theme="9" tint="-0.499984740745262"/>
        <rFont val="Corbel"/>
        <family val="2"/>
      </rPr>
      <t>Green =0%</t>
    </r>
  </si>
  <si>
    <t>%people reached by regular dedicated hygiene promotion/behavior change activities</t>
  </si>
  <si>
    <t>% of HH with access to soap</t>
  </si>
  <si>
    <t>% of HH with access to Sanitary Pad</t>
  </si>
  <si>
    <t>Nb of HH with access to Hand Washing Station</t>
  </si>
  <si>
    <t>Location Type</t>
  </si>
  <si>
    <t>Location Type 1</t>
  </si>
  <si>
    <t>No</t>
  </si>
  <si>
    <t>Functional</t>
  </si>
  <si>
    <t>Household</t>
  </si>
  <si>
    <t>Sin Bo</t>
  </si>
  <si>
    <t>NA</t>
  </si>
  <si>
    <t>KBC</t>
  </si>
  <si>
    <t>Waingmaw</t>
  </si>
  <si>
    <t>Sha-It Yang</t>
  </si>
  <si>
    <t xml:space="preserve">Plan/GFFO,ADRA/CANADA  </t>
  </si>
  <si>
    <t>Both</t>
  </si>
  <si>
    <t>Chipwi</t>
  </si>
  <si>
    <t>Hpare Hkyer - BP6</t>
  </si>
  <si>
    <t>Hpakant</t>
  </si>
  <si>
    <t>Hlaing Naung Baptist</t>
  </si>
  <si>
    <t>ADRA/CANADA</t>
  </si>
  <si>
    <t>Non_Functional</t>
  </si>
  <si>
    <t>Mogaung</t>
  </si>
  <si>
    <t xml:space="preserve">Kyun Taw Baptist Church </t>
  </si>
  <si>
    <t>Mang Hawng Baptist Church</t>
  </si>
  <si>
    <t xml:space="preserve">Nat Gyi Kone Baptist Church </t>
  </si>
  <si>
    <t>Sar Hmaw - KBC</t>
  </si>
  <si>
    <t>Mohnyin</t>
  </si>
  <si>
    <t xml:space="preserve">Nawng Ing (Indawgyi) Baptist Church </t>
  </si>
  <si>
    <t>Myitkyina</t>
  </si>
  <si>
    <t>Du Kahtawng Baptist</t>
  </si>
  <si>
    <t>Jan Mai Kawng Baptist Church</t>
  </si>
  <si>
    <t>Kyun Pin Thar Baptist Church</t>
  </si>
  <si>
    <t>Le Kone Bethlehem Church</t>
  </si>
  <si>
    <t xml:space="preserve">Le Kone Ziun Baptist Church </t>
  </si>
  <si>
    <t>Maliyang Baptist Church</t>
  </si>
  <si>
    <t>Man Hkring Baptist Church</t>
  </si>
  <si>
    <t xml:space="preserve">Njang Dung Baptist Church </t>
  </si>
  <si>
    <t>Shatapru Sut Ngai Tawng</t>
  </si>
  <si>
    <t>Shwe Zet Baptist Church</t>
  </si>
  <si>
    <t>Tat Kone Baptist Church</t>
  </si>
  <si>
    <t>Tat Kone Galile Baptist Church</t>
  </si>
  <si>
    <t>Tat Kone San Pya Baptist Church</t>
  </si>
  <si>
    <t>Puta-O</t>
  </si>
  <si>
    <t>Lung Sut</t>
  </si>
  <si>
    <t>Hkau Shau (BP 12)</t>
  </si>
  <si>
    <t>Mading Baptist Church</t>
  </si>
  <si>
    <t xml:space="preserve">Maga Yang </t>
  </si>
  <si>
    <t>Maina KBC (Bawng Ring)</t>
  </si>
  <si>
    <t>Maina Lawang Baptist Church</t>
  </si>
  <si>
    <t>Pajau - Jan Mai</t>
  </si>
  <si>
    <t>Qtr. 2 Myoma Baptist Church</t>
  </si>
  <si>
    <t>Shing Jai</t>
  </si>
  <si>
    <t>Maing Khaung</t>
  </si>
  <si>
    <t>Sumprabum</t>
  </si>
  <si>
    <t>Ndup Yang</t>
  </si>
  <si>
    <t>Not_inPlace</t>
  </si>
  <si>
    <t>Salang Yang</t>
  </si>
  <si>
    <t xml:space="preserve">Shar Du Zut KBC church </t>
  </si>
  <si>
    <t>Shar Du Zut RC church</t>
  </si>
  <si>
    <t>Muyin church (Aung Yar pre-school compound)</t>
  </si>
  <si>
    <t>Shar Du Zut SanPya</t>
  </si>
  <si>
    <t>Metta</t>
  </si>
  <si>
    <t>Mansi Baptist Church</t>
  </si>
  <si>
    <t>USAID, Christian AID, HIDA</t>
  </si>
  <si>
    <t>Bhamo</t>
  </si>
  <si>
    <t>Aung Thar Church</t>
  </si>
  <si>
    <t>WHH ( BMZ ),USAID</t>
  </si>
  <si>
    <t>Htoi San Church</t>
  </si>
  <si>
    <t>USAID, Christian AID, HIDA, WHH ( AA )</t>
  </si>
  <si>
    <t>Lisu Boarding-House</t>
  </si>
  <si>
    <t>Mu-yin Baptist Church</t>
  </si>
  <si>
    <t>WHH ( BMZ ),USAID, HIDA</t>
  </si>
  <si>
    <t>Nant Hlaing Church</t>
  </si>
  <si>
    <t>Yoe Kyi Monastery</t>
  </si>
  <si>
    <t>Momauk</t>
  </si>
  <si>
    <t>Agritural Compound (KBC)</t>
  </si>
  <si>
    <t>Kachin Su Baptist Church (ECCD)</t>
  </si>
  <si>
    <t>USAID,Christian Aid, HIDA</t>
  </si>
  <si>
    <t>Khar Nan (1) Baptist Church</t>
  </si>
  <si>
    <t>Man Bung Catholic compound</t>
  </si>
  <si>
    <t>Mandalay Monestry</t>
  </si>
  <si>
    <t>WHH ( BMZ ),USAID, Christian AID</t>
  </si>
  <si>
    <t>Momauk Baptist Church</t>
  </si>
  <si>
    <t>Shwegu</t>
  </si>
  <si>
    <t>Shwe Gu Baptist Church</t>
  </si>
  <si>
    <t>Shwe Gu Catholic Church</t>
  </si>
  <si>
    <t xml:space="preserve">Hpun Lum Yang </t>
  </si>
  <si>
    <t>WHH-BMZ,WHH-AA</t>
  </si>
  <si>
    <t>Boys Boarding house, A Len Bum</t>
  </si>
  <si>
    <t>Girl Boarding house, A Len Bum</t>
  </si>
  <si>
    <t xml:space="preserve">Woi Chyai </t>
  </si>
  <si>
    <t>Woi Chyai host families</t>
  </si>
  <si>
    <t>Woi Chyai (Mong Lai)</t>
  </si>
  <si>
    <t>IDP Boarding School, A Len Bum</t>
  </si>
  <si>
    <t>Pan Wa</t>
  </si>
  <si>
    <t>DFID/UNICEF</t>
  </si>
  <si>
    <t>Need to be renovation of GFS</t>
  </si>
  <si>
    <t>Saw Zam</t>
  </si>
  <si>
    <t xml:space="preserve">DFID / UNICEF </t>
  </si>
  <si>
    <t>Communal</t>
  </si>
  <si>
    <t>5 Ward RC Church(lon Khin)</t>
  </si>
  <si>
    <t>Nant Ma Hpit Catholic Church</t>
  </si>
  <si>
    <t xml:space="preserve">Dum Bung </t>
  </si>
  <si>
    <t>Jan Mai Kawng Catholic Church</t>
  </si>
  <si>
    <t>Nan Kway St. John Catholic Church</t>
  </si>
  <si>
    <t>Pa Dauk Myaing(Pa La Na)</t>
  </si>
  <si>
    <t>Border Post 8</t>
  </si>
  <si>
    <t>Maina Catholic Church (St. Joseph)</t>
  </si>
  <si>
    <t>Post 6 Camp</t>
  </si>
  <si>
    <t xml:space="preserve">St. Patrick Catholic Church </t>
  </si>
  <si>
    <t xml:space="preserve">Ma Hawng RC </t>
  </si>
  <si>
    <t>UNICEF</t>
  </si>
  <si>
    <t>Shalom</t>
  </si>
  <si>
    <t>Lawng Hkang Shait Yang Camp​ ( Lel Pyin)​ </t>
  </si>
  <si>
    <t>OFDA</t>
  </si>
  <si>
    <t>Chipwi KBC camp</t>
  </si>
  <si>
    <t>UNICEF/OFDA</t>
  </si>
  <si>
    <t>We need to check with how many litre/day of gravity system when we will go field trip to Chihpwi</t>
  </si>
  <si>
    <t>Lhaovao Baptist Church (LBC)</t>
  </si>
  <si>
    <t>AG Church, Hmaw Si Sa</t>
  </si>
  <si>
    <t>AG Church, Maw Wan</t>
  </si>
  <si>
    <t>Baptist Church, Hmaw Si Sar(Lon Khin)</t>
  </si>
  <si>
    <t>Water distribution system(overhead tank) is not functioning</t>
  </si>
  <si>
    <t>Chin Church, Seik Mu</t>
  </si>
  <si>
    <t>This camp using water source from private pipe line distribution.</t>
  </si>
  <si>
    <t>Dhama Rakhita, Nyein Chan Tar Yar Ward(Lon Khin)</t>
  </si>
  <si>
    <t>Hmaw Wan, Anglican</t>
  </si>
  <si>
    <t>Hpakant Baptist Church, Nam Ma Hpit</t>
  </si>
  <si>
    <t>Lisu Baptist Church, Maw Shan Vil,. Seik Mu</t>
  </si>
  <si>
    <t>Lisu Baptist Church, Maw Wan Ward</t>
  </si>
  <si>
    <t>Maw Wan, Mu-yin Baptist Church</t>
  </si>
  <si>
    <t>Nam Ma Phyit, COC</t>
  </si>
  <si>
    <t>Rawan Baptist Church, Maw Shan Vil., Seik Mu</t>
  </si>
  <si>
    <t>Sai Nai Baptish Church, Maw Shan Vil., Seki Mu</t>
  </si>
  <si>
    <t xml:space="preserve">Ward 2 Sai Taung Baptist Church, Seik Mu </t>
  </si>
  <si>
    <t>Yumar Baptist Church</t>
  </si>
  <si>
    <t>Maw Hpawng Hka Nan Baptist Church</t>
  </si>
  <si>
    <t>Maw Hpawng Lhaovo Baptist Church</t>
  </si>
  <si>
    <t>Shatapru Thida Aye Baptist Church</t>
  </si>
  <si>
    <t>Tat Kone COC Baptist - Tat Kone Htoi San</t>
  </si>
  <si>
    <t>Tat Kone Emanuel Church</t>
  </si>
  <si>
    <t xml:space="preserve">Hkat Cho </t>
  </si>
  <si>
    <t>Maina AG Church</t>
  </si>
  <si>
    <t>Nawng Hee Village</t>
  </si>
  <si>
    <t>Qtr. 2 Lhaovo Baptist Church</t>
  </si>
  <si>
    <t>Qtr. 3 Mu-yin  Baptist Church</t>
  </si>
  <si>
    <t>Qtr. 4 Monestry (Thargaya Thayett Taw)</t>
  </si>
  <si>
    <t>Thargaya Lisu Baptist Church</t>
  </si>
  <si>
    <t>Waingmaw AG Church</t>
  </si>
  <si>
    <t>SI</t>
  </si>
  <si>
    <t>AD-2000 Tharthana Compound</t>
  </si>
  <si>
    <t>ECHO/OFDA</t>
  </si>
  <si>
    <t>Phan Khar Kone</t>
  </si>
  <si>
    <t>Robert Church</t>
  </si>
  <si>
    <t>Loi Je Baptist Church</t>
  </si>
  <si>
    <t>Loi Je Catholic Church</t>
  </si>
  <si>
    <t>Loi Je Lisu Camp</t>
  </si>
  <si>
    <t xml:space="preserve">Nyaung Na Pin </t>
  </si>
  <si>
    <t>ECHO,OFDA</t>
  </si>
  <si>
    <t xml:space="preserve">Seng Ja </t>
  </si>
  <si>
    <t>Man Bung Edin Baptist Church</t>
  </si>
  <si>
    <t>Lwegel High School</t>
  </si>
  <si>
    <t>Laiza Je Yang School</t>
  </si>
  <si>
    <t xml:space="preserve">Je Yang Hka </t>
  </si>
  <si>
    <t>WPN</t>
  </si>
  <si>
    <t>ECHO</t>
  </si>
  <si>
    <t>Unknown</t>
  </si>
  <si>
    <t>Lana Zup Ja</t>
  </si>
  <si>
    <t xml:space="preserve">Nhkawng Pa </t>
  </si>
  <si>
    <t xml:space="preserve">Pa Kahtawng </t>
  </si>
  <si>
    <t>SCI</t>
  </si>
  <si>
    <t>Man Wing Baptist Church</t>
  </si>
  <si>
    <t>MHF</t>
  </si>
  <si>
    <t>Man Wing Baptist Church Cultural Compound</t>
  </si>
  <si>
    <t>Man Wing Catholic Church</t>
  </si>
  <si>
    <t>Man Wing Catholic Church II</t>
  </si>
  <si>
    <t>MA_UK</t>
  </si>
  <si>
    <t>Rakhine</t>
  </si>
  <si>
    <t>Sittwe</t>
  </si>
  <si>
    <t>Ah Hla Sin</t>
  </si>
  <si>
    <t>MAA</t>
  </si>
  <si>
    <t>DFID</t>
  </si>
  <si>
    <t>Dar Paing Village</t>
  </si>
  <si>
    <t>None</t>
  </si>
  <si>
    <t>Phwe Yar Gone village</t>
  </si>
  <si>
    <t>Thar Yar Kone (M)</t>
  </si>
  <si>
    <t>Kyauktaw</t>
  </si>
  <si>
    <t>Ah Lel Mu</t>
  </si>
  <si>
    <t>CARE</t>
  </si>
  <si>
    <t>Maungdaw</t>
  </si>
  <si>
    <t>Alay Mushee</t>
  </si>
  <si>
    <t>EU</t>
  </si>
  <si>
    <t>Malteser</t>
  </si>
  <si>
    <t>Aung Thay Pyay (NaTaLa)</t>
  </si>
  <si>
    <t>AA</t>
  </si>
  <si>
    <t>Aung Thay Pyay (San Suri)</t>
  </si>
  <si>
    <t>Minbya</t>
  </si>
  <si>
    <t>Cheit Taung</t>
  </si>
  <si>
    <t>ACF</t>
  </si>
  <si>
    <t>DPA</t>
  </si>
  <si>
    <t>Europaid</t>
  </si>
  <si>
    <t>Fatar</t>
  </si>
  <si>
    <t>CDN</t>
  </si>
  <si>
    <t>Buthidaung</t>
  </si>
  <si>
    <t xml:space="preserve">Faw Tay Ali </t>
  </si>
  <si>
    <t>ZOA</t>
  </si>
  <si>
    <t>Kha Maung Seik North</t>
  </si>
  <si>
    <t>Ma Gyi Koung</t>
  </si>
  <si>
    <t>Majee Ywa</t>
  </si>
  <si>
    <t>Ann</t>
  </si>
  <si>
    <t>Mingalar on</t>
  </si>
  <si>
    <t>BMZ</t>
  </si>
  <si>
    <t>Muslim (Aley Ywa)</t>
  </si>
  <si>
    <t>Muslim (Taung Ywa)</t>
  </si>
  <si>
    <t>Myaunk Ywa_R</t>
  </si>
  <si>
    <t>Nant Yar Gaing (Nant Yar Gaing)</t>
  </si>
  <si>
    <t>Nat Chaung (Garapyin)</t>
  </si>
  <si>
    <t>Palae' Kaine</t>
  </si>
  <si>
    <t>GIZ</t>
  </si>
  <si>
    <t>Phas Kawri</t>
  </si>
  <si>
    <t>Pin Zaing</t>
  </si>
  <si>
    <t>Rathedaung</t>
  </si>
  <si>
    <t>Pyaing Taung (Rakhine)</t>
  </si>
  <si>
    <t>LIFT</t>
  </si>
  <si>
    <t>Rakhine Ywa</t>
  </si>
  <si>
    <t>Rakhine Ywa_R</t>
  </si>
  <si>
    <t>Raza Bil</t>
  </si>
  <si>
    <t>Sapar Seik (Shari)</t>
  </si>
  <si>
    <t>Shwe Yin Aye</t>
  </si>
  <si>
    <t>Thit Taw Ywa</t>
  </si>
  <si>
    <t>Thit Tone Na Gwa Sone (Daung Ywa)</t>
  </si>
  <si>
    <t>Thit Tone Na Gwa Sone (Ywa Ma)</t>
  </si>
  <si>
    <t>Thit Tone Nar Lay Myo</t>
  </si>
  <si>
    <t>Thone Gwa</t>
  </si>
  <si>
    <t>Wa Khote Chaung</t>
  </si>
  <si>
    <t>Wa Lar Kan</t>
  </si>
  <si>
    <t>Wa Lar Kann</t>
  </si>
  <si>
    <t>Wai Thar Le</t>
  </si>
  <si>
    <t>Ywa Ma</t>
  </si>
  <si>
    <t>Ywa Thar Yar</t>
  </si>
  <si>
    <t>Ramree</t>
  </si>
  <si>
    <t>Ramree Ward 6</t>
  </si>
  <si>
    <t>Ramree Town</t>
  </si>
  <si>
    <t>Kyaukpyu</t>
  </si>
  <si>
    <t>Yae Myet</t>
  </si>
  <si>
    <t>Kyauk Ka Lay</t>
  </si>
  <si>
    <t>Baw Ya Par</t>
  </si>
  <si>
    <t>Rakhine Min Pyin</t>
  </si>
  <si>
    <t>Chin Ywar Min Pyin</t>
  </si>
  <si>
    <t>Wa Hmyaung</t>
  </si>
  <si>
    <t>Pyu Chaing</t>
  </si>
  <si>
    <t>War Net Chun</t>
  </si>
  <si>
    <t>Oxfam</t>
  </si>
  <si>
    <t>Ka Nyin Taw</t>
  </si>
  <si>
    <t>Kyauk Ta Lone</t>
  </si>
  <si>
    <t>MHDO</t>
  </si>
  <si>
    <t>Aung Thar Yar</t>
  </si>
  <si>
    <t>Mei Za Li Kaing</t>
  </si>
  <si>
    <t>Nyaung Chaung_ann</t>
  </si>
  <si>
    <t>Kan Za Li</t>
  </si>
  <si>
    <t>Taik Maw</t>
  </si>
  <si>
    <t>Wet Mee To</t>
  </si>
  <si>
    <t>Lun Kyaw</t>
  </si>
  <si>
    <t>Taung Chauk</t>
  </si>
  <si>
    <t>Oe Pone</t>
  </si>
  <si>
    <t>Sa Khan Maw</t>
  </si>
  <si>
    <t>Tan Chaung</t>
  </si>
  <si>
    <t>Laung Sat</t>
  </si>
  <si>
    <t>Kha Yan Kyun</t>
  </si>
  <si>
    <t>Nga Let Kya</t>
  </si>
  <si>
    <t>Chin Kone</t>
  </si>
  <si>
    <t>Pyaung Chaung</t>
  </si>
  <si>
    <t>Sin U Taik</t>
  </si>
  <si>
    <t>Zu Kaing</t>
  </si>
  <si>
    <t>Swi Chaung</t>
  </si>
  <si>
    <t>Kyeik Chaung</t>
  </si>
  <si>
    <t>Za Yat Kwin</t>
  </si>
  <si>
    <t>Dar Let (South)</t>
  </si>
  <si>
    <t>Ywar Haung Ah Htet</t>
  </si>
  <si>
    <t>Dar Let Ah Lel Kyun</t>
  </si>
  <si>
    <t>Nat Maw (Upper)</t>
  </si>
  <si>
    <t>Shan Kone</t>
  </si>
  <si>
    <t>Dar Let (North)</t>
  </si>
  <si>
    <t>Kwayt Shey Ywar Thit
(Kwayt Shay)</t>
  </si>
  <si>
    <t>RI</t>
  </si>
  <si>
    <t>Myebon</t>
  </si>
  <si>
    <t>Taung Paw</t>
  </si>
  <si>
    <t>Kan Thar Htwat Wa</t>
  </si>
  <si>
    <t>Pauktaw</t>
  </si>
  <si>
    <t>Sin Tet Maw Rakhine(Baw Da Li)</t>
  </si>
  <si>
    <t>Village approach(Agency regular provide only cleaning mateirals)</t>
  </si>
  <si>
    <t>Sin Tet Maw (Host)</t>
  </si>
  <si>
    <t>Sin Tet Maw</t>
  </si>
  <si>
    <t>Nget Chaung 1</t>
  </si>
  <si>
    <t>Nget Chaung 2</t>
  </si>
  <si>
    <t>Sin Aing</t>
  </si>
  <si>
    <t>DRC</t>
  </si>
  <si>
    <t>Kyein Ni Pyin</t>
  </si>
  <si>
    <t>Ah Nauk Ye Ku Lar</t>
  </si>
  <si>
    <t>Ah Nauk Ywe</t>
  </si>
  <si>
    <t>Bar Sa Yar Host</t>
  </si>
  <si>
    <t>Basare</t>
  </si>
  <si>
    <t>Bu May</t>
  </si>
  <si>
    <t>Set Yone Su 1</t>
  </si>
  <si>
    <t>Thea Chaung Let Tha Mar Kone</t>
  </si>
  <si>
    <t>Sat Roe Kya 1</t>
  </si>
  <si>
    <t>Sat Roe Kya 2</t>
  </si>
  <si>
    <t>Set Yone Su 3</t>
  </si>
  <si>
    <t>Thea Chaung Ku Lar</t>
  </si>
  <si>
    <t>Thae Chaung</t>
  </si>
  <si>
    <t>Dar Pai (IDP in host families)</t>
  </si>
  <si>
    <t>Dar Pai</t>
  </si>
  <si>
    <t>Baw Du Pha 1</t>
  </si>
  <si>
    <t xml:space="preserve">Thet Kae Pyin </t>
  </si>
  <si>
    <t xml:space="preserve">Hmanzi </t>
  </si>
  <si>
    <t>Baw Du Pha 2</t>
  </si>
  <si>
    <t>Thet Kae Pyin Village (IDPs in host family)</t>
  </si>
  <si>
    <t>Khaung Doke Khar</t>
  </si>
  <si>
    <t>Baw Du Pha (IDP in host families)</t>
  </si>
  <si>
    <t>Hla May Shwe</t>
  </si>
  <si>
    <t>Ohn Taw Gyi (South)</t>
  </si>
  <si>
    <t>Maw Ti Ngar</t>
  </si>
  <si>
    <t>Ohn Taw Gyi (North)</t>
  </si>
  <si>
    <t>Say Tha Mar Nge</t>
  </si>
  <si>
    <t>Thet Kay Pyin Ywar Ma</t>
  </si>
  <si>
    <t>Done Pyin Village</t>
  </si>
  <si>
    <t>Ohn Taw Gyi</t>
  </si>
  <si>
    <t>Say Tha Mar Gyi village</t>
  </si>
  <si>
    <t>Zaw Pu Gyar</t>
  </si>
  <si>
    <t>Say Tha Mar Gyi</t>
  </si>
  <si>
    <t>Ohn Taw Shey</t>
  </si>
  <si>
    <t>Ohn Taw Chay</t>
  </si>
  <si>
    <t>Phwe Yar Kone</t>
  </si>
  <si>
    <t>Nga/ Pun Ywar Shey</t>
  </si>
  <si>
    <t>Daung Pyauk Kay</t>
  </si>
  <si>
    <t>Kan Ni</t>
  </si>
  <si>
    <t>Nga/ Pun Ywar Gyi</t>
  </si>
  <si>
    <t>Thein Tan</t>
  </si>
  <si>
    <t>Me la zi Kone</t>
  </si>
  <si>
    <t>Ah Lar Than</t>
  </si>
  <si>
    <t xml:space="preserve">Aung Daing </t>
  </si>
  <si>
    <t>Kyet Taw Pyin</t>
  </si>
  <si>
    <t>Nga/Tauk Tet</t>
  </si>
  <si>
    <t>Ponnagyun</t>
  </si>
  <si>
    <t>Tan Khoe</t>
  </si>
  <si>
    <t>Kywi Te</t>
  </si>
  <si>
    <t>Chi Laing Hpin</t>
  </si>
  <si>
    <t>Tan Zwei</t>
  </si>
  <si>
    <t>Nyaung Pin Gyi (Ku Lar)</t>
  </si>
  <si>
    <t>Nyaung Pin Gyi (Rakhine)</t>
  </si>
  <si>
    <t>Thar Si</t>
  </si>
  <si>
    <t>Tha Dar</t>
  </si>
  <si>
    <t>Irish Aid</t>
  </si>
  <si>
    <t>Chaik Taung</t>
  </si>
  <si>
    <t>Shwe Zin Khin (Rakhine)</t>
  </si>
  <si>
    <t>Kan Chaung Wa</t>
  </si>
  <si>
    <t>San Htoe Tan</t>
  </si>
  <si>
    <t>Ah Nauk Pyin</t>
  </si>
  <si>
    <t>Chein Khar Li</t>
  </si>
  <si>
    <t>Yoe Ngu</t>
  </si>
  <si>
    <t>Koe Tan Kauk</t>
  </si>
  <si>
    <t>Naw Wai</t>
  </si>
  <si>
    <t>Mrauk-U</t>
  </si>
  <si>
    <t>Let Than Chi (Ywar Thit)</t>
  </si>
  <si>
    <t>Kyauk Sar Taing</t>
  </si>
  <si>
    <t>Let Than Chi (Haung)</t>
  </si>
  <si>
    <t>Nyaung Pin Hla</t>
  </si>
  <si>
    <t>Zee kone Tan (or) Kon Tan Zay</t>
  </si>
  <si>
    <t>Mi Chaung Yae Thauk</t>
  </si>
  <si>
    <t>Baw Di Kone</t>
  </si>
  <si>
    <t>Yan Aung Pyin</t>
  </si>
  <si>
    <t>Lone Tin</t>
  </si>
  <si>
    <t>Myet Tauk</t>
  </si>
  <si>
    <t>Thit Ka Toe</t>
  </si>
  <si>
    <t>Bu Chaung</t>
  </si>
  <si>
    <t>Dar Peit</t>
  </si>
  <si>
    <t>Kyone Pyin</t>
  </si>
  <si>
    <t xml:space="preserve">U Htoe Dan </t>
  </si>
  <si>
    <t>Tauk Sone</t>
  </si>
  <si>
    <t>Navy Seik</t>
  </si>
  <si>
    <t>Pann Phaw Pyin</t>
  </si>
  <si>
    <t>Shwe Ta Mar</t>
  </si>
  <si>
    <t>Sin Oe</t>
  </si>
  <si>
    <t>Kyauk Pan Du (NTL)</t>
  </si>
  <si>
    <t>Pauk Pin Yin</t>
  </si>
  <si>
    <t>Be Lar Mi</t>
  </si>
  <si>
    <t>Ah Du</t>
  </si>
  <si>
    <t>Than Du</t>
  </si>
  <si>
    <t>Ni Lin Paw</t>
  </si>
  <si>
    <t>Ah Htet Nan Yar (Muslim)</t>
  </si>
  <si>
    <t>Ah Htet Nan Yar (Rakhine)</t>
  </si>
  <si>
    <t>Yin Chaung</t>
  </si>
  <si>
    <t>Ah Htet Nan Yar</t>
  </si>
  <si>
    <t>Chut Pyin</t>
  </si>
  <si>
    <t>Chin Ywa(Pyaing Taung)</t>
  </si>
  <si>
    <t>Maw Htet</t>
  </si>
  <si>
    <t>Tha Yet Oak</t>
  </si>
  <si>
    <t>Pyin Chay</t>
  </si>
  <si>
    <t>Pyin Hlyar Shey</t>
  </si>
  <si>
    <t>Kar Di</t>
  </si>
  <si>
    <t>Kywe Lan Chaung</t>
  </si>
  <si>
    <t>Pet Khwet Seik</t>
  </si>
  <si>
    <t>Nga San Baw (Moke Soe Chaung) (Ywar Haung)</t>
  </si>
  <si>
    <t>Maung Hpyu (Da Pyu Chaung)</t>
  </si>
  <si>
    <t>Kyauk Yan Thar Si</t>
  </si>
  <si>
    <t>Gaw Yaw Ma Ni</t>
  </si>
  <si>
    <t>Maw</t>
  </si>
  <si>
    <t>Kyaung Taung</t>
  </si>
  <si>
    <t>Ngwe Taung</t>
  </si>
  <si>
    <t>Kone Tan</t>
  </si>
  <si>
    <t>Zin Kha Mar</t>
  </si>
  <si>
    <t>Ah Myet Taung</t>
  </si>
  <si>
    <t>Pyaing Taung</t>
  </si>
  <si>
    <t>Taung Chaung</t>
  </si>
  <si>
    <t>Yet Khone Taing</t>
  </si>
  <si>
    <t>Taung Maw</t>
  </si>
  <si>
    <t>Thein Taung pyin (Dine Net)</t>
  </si>
  <si>
    <t>Kon Tan (U Daung Ah Nauk)</t>
  </si>
  <si>
    <t>Zee Khaung</t>
  </si>
  <si>
    <t>Zon Mar</t>
  </si>
  <si>
    <t>Hla Tha Ma</t>
  </si>
  <si>
    <t>Thein Taung pyin (Muslim)</t>
  </si>
  <si>
    <t>Langui</t>
  </si>
  <si>
    <t>Kyauk Pyin Seik</t>
  </si>
  <si>
    <t>Say Tha Ma</t>
  </si>
  <si>
    <t>Pe Tha Du</t>
  </si>
  <si>
    <t>Ahr Kar Taung</t>
  </si>
  <si>
    <t>Oke Taung Pyin</t>
  </si>
  <si>
    <t>Kan Sit</t>
  </si>
  <si>
    <t>Gan Gaw Myaing ( Na Ta La )</t>
  </si>
  <si>
    <t>Ohn Chaung</t>
  </si>
  <si>
    <t>Aung Pa</t>
  </si>
  <si>
    <t>Kar Di (Kywe Cho Maw)</t>
  </si>
  <si>
    <t>Thaing Ta Poke</t>
  </si>
  <si>
    <t>Oke Hpo (Oe Hpauk)</t>
  </si>
  <si>
    <t>Nyaung Chaung</t>
  </si>
  <si>
    <t>Phyar Pyin</t>
  </si>
  <si>
    <t>Oe Hpauk Ywar Thit</t>
  </si>
  <si>
    <t>In Bar Yi</t>
  </si>
  <si>
    <t>Ah Htet See Maung</t>
  </si>
  <si>
    <t>Oke Kan</t>
  </si>
  <si>
    <t>Gwa Sone Muslim</t>
  </si>
  <si>
    <t>Gwa Sone Rakhine</t>
  </si>
  <si>
    <t>Doke Kan Chaung</t>
  </si>
  <si>
    <t>Tha Pyay Seik</t>
  </si>
  <si>
    <t>Goke Pi Htaunt (Rakhine)</t>
  </si>
  <si>
    <t>Nay Pu Khan</t>
  </si>
  <si>
    <t>Goke Pi Htaunt</t>
  </si>
  <si>
    <t>Honsara (Zaw Ma Tat)</t>
  </si>
  <si>
    <t>Hin Thar Ra</t>
  </si>
  <si>
    <t>Du Than Dar</t>
  </si>
  <si>
    <t>Kine Gyi (Rakhine)</t>
  </si>
  <si>
    <t>Sin Khone Taing (Ku Lar)</t>
  </si>
  <si>
    <t>Saw Kina Ma</t>
  </si>
  <si>
    <t>Zaw Ma Tat</t>
  </si>
  <si>
    <t>Lam Bar Gone Nah</t>
  </si>
  <si>
    <t>Din Gar</t>
  </si>
  <si>
    <t>Ah Pauk Wa</t>
  </si>
  <si>
    <t>Gaung Gyi</t>
  </si>
  <si>
    <t>Maw Staw Bis</t>
  </si>
  <si>
    <t>Ywar Thit Kay</t>
  </si>
  <si>
    <t>Wet Ma Kya</t>
  </si>
  <si>
    <t>Sin Khone Taing (Rakhine)</t>
  </si>
  <si>
    <t>Say Taung</t>
  </si>
  <si>
    <t>Yun Nyar</t>
  </si>
  <si>
    <t>Pyin  Hla Zay Ywa</t>
  </si>
  <si>
    <t>Zedi Taung (Muslim)</t>
  </si>
  <si>
    <t>Thein Tan (Rakhine)</t>
  </si>
  <si>
    <t>Thein Tan (Muslim)</t>
  </si>
  <si>
    <t>Kan Pyin</t>
  </si>
  <si>
    <t xml:space="preserve">Baw Li </t>
  </si>
  <si>
    <t>Kyauk Sar Dine</t>
  </si>
  <si>
    <t>Gudar Pyin</t>
  </si>
  <si>
    <t>Nwar Yone Taung</t>
  </si>
  <si>
    <t>Tha Yet Taung</t>
  </si>
  <si>
    <t>San Go Taung</t>
  </si>
  <si>
    <t>Kha Yay Myaing (NaTaLa)</t>
  </si>
  <si>
    <t>Shat Shar Taung</t>
  </si>
  <si>
    <t>Kyauk Yan (Rakhine)</t>
  </si>
  <si>
    <t>U Yin Thar</t>
  </si>
  <si>
    <t>Godzilla (Hteik Tu Pauk Myauk)</t>
  </si>
  <si>
    <t>Tat Oo Anauk</t>
  </si>
  <si>
    <t>Sein Hnyin Pyar_Tha Pyay Taw</t>
  </si>
  <si>
    <t>Let Wea Det Pyin Shey_Tha Pyay Taw</t>
  </si>
  <si>
    <t>Shwe Hlaing</t>
  </si>
  <si>
    <t>Nur Ru Lar</t>
  </si>
  <si>
    <t>Shwe Hlaing Rakhine</t>
  </si>
  <si>
    <t>Min Thar Seik</t>
  </si>
  <si>
    <t>Mardilla</t>
  </si>
  <si>
    <t>Taung Ywa</t>
  </si>
  <si>
    <t>Phwe Ra</t>
  </si>
  <si>
    <t>Taungchay Ywa Muslim</t>
  </si>
  <si>
    <t>Chaung Pauk</t>
  </si>
  <si>
    <t>Myauk Ywa</t>
  </si>
  <si>
    <t>Kan Tha Ya</t>
  </si>
  <si>
    <t>Kyar Nyo Pyin (Rakhine)
+ Pyar Yae</t>
  </si>
  <si>
    <t>Ashit Ywa_M</t>
  </si>
  <si>
    <t>Ashit Ywa_R</t>
  </si>
  <si>
    <t>Hla Nyo Kan</t>
  </si>
  <si>
    <t>Ah Nauk</t>
  </si>
  <si>
    <t>Kin Chaung</t>
  </si>
  <si>
    <t>Let Saung Kauk</t>
  </si>
  <si>
    <t>Ywar Gyi</t>
  </si>
  <si>
    <t>Ywar Gyi (Middle)</t>
  </si>
  <si>
    <t>Kyar Nyo Pyin (Muslim)</t>
  </si>
  <si>
    <t>Taung Pauk</t>
  </si>
  <si>
    <t>Kyauk Se</t>
  </si>
  <si>
    <t>Ngar Yauk Kaing</t>
  </si>
  <si>
    <t>Done Thein</t>
  </si>
  <si>
    <t>Let Thar Ywa</t>
  </si>
  <si>
    <t>Bomu Ywa</t>
  </si>
  <si>
    <t>Kin Taung (Taung + Myauk)</t>
  </si>
  <si>
    <t>Kan Pyi Tha Zi</t>
  </si>
  <si>
    <t>Thaung Paing Nyar</t>
  </si>
  <si>
    <t>Ywa Haung_M</t>
  </si>
  <si>
    <t>Ywa Haung_R</t>
  </si>
  <si>
    <t xml:space="preserve">Kan Kyar Taung </t>
  </si>
  <si>
    <t>Ywa thit Kay</t>
  </si>
  <si>
    <t>Ah Lel Ywa</t>
  </si>
  <si>
    <t>Myoma Myauk (Chitta Ywa)</t>
  </si>
  <si>
    <t>Kan Kyar Myauk</t>
  </si>
  <si>
    <t>Shauk Chaung</t>
  </si>
  <si>
    <t>Myaung Nar</t>
  </si>
  <si>
    <t>Ward-6 (Lay Myaing)</t>
  </si>
  <si>
    <t>Let Wea Det Pyin Shey_Ywar Thit</t>
  </si>
  <si>
    <t>Inn Hpauk</t>
  </si>
  <si>
    <t>Gar Pu (Lower)</t>
  </si>
  <si>
    <t>Ah Htet Gar Pu</t>
  </si>
  <si>
    <t>Let Wea Det Pyin Shey</t>
  </si>
  <si>
    <t>Taung Htaung Ha Yar</t>
  </si>
  <si>
    <t>Ywa Gyi (Tha Yet Kin Ma Nu)</t>
  </si>
  <si>
    <t>Ka Doe Seik</t>
  </si>
  <si>
    <t>Taung (Pale Taung)</t>
  </si>
  <si>
    <t>Kyet Mauk Taung (Myauk Ywar)</t>
  </si>
  <si>
    <t>Kyet Mauk Taung (Taung Ywar)</t>
  </si>
  <si>
    <t>Play Taung Ywa Gyi North</t>
  </si>
  <si>
    <t>Khaung Htoke</t>
  </si>
  <si>
    <t>Nan Yah Gone Ahtet</t>
  </si>
  <si>
    <t>Than Chay RK</t>
  </si>
  <si>
    <t>Gone Nar</t>
  </si>
  <si>
    <t>Doe Tan</t>
  </si>
  <si>
    <t>Kyauk Yit Muslim</t>
  </si>
  <si>
    <t>Kyauk Yit RK</t>
  </si>
  <si>
    <t>Palay Taung Ywa Thit</t>
  </si>
  <si>
    <t>Let Wea Det</t>
  </si>
  <si>
    <t>Pyaing Chaung</t>
  </si>
  <si>
    <t>Kyar Nyo Inn</t>
  </si>
  <si>
    <t>Si Tar (Pa Zun Chaung)</t>
  </si>
  <si>
    <t>Pa Lat Kay</t>
  </si>
  <si>
    <t>Aung Thar Yar (NaTaLa)</t>
  </si>
  <si>
    <t>Pale Taung</t>
  </si>
  <si>
    <t>Kha Yu Chaung (Muslim)</t>
  </si>
  <si>
    <t>Laung Chaung (Daing Net)</t>
  </si>
  <si>
    <t>Ba Da Nar</t>
  </si>
  <si>
    <t>Mee Chaung Zay_Ywar Thit</t>
  </si>
  <si>
    <t>Inn Chaung (Muslim)</t>
  </si>
  <si>
    <t>Inn Chaung (Daing Net)</t>
  </si>
  <si>
    <t>Hpar Wut Chaung</t>
  </si>
  <si>
    <t>Hpar Wut Chaung (Myauk Ywar)</t>
  </si>
  <si>
    <t>Zay Teit Taung</t>
  </si>
  <si>
    <t>Chin Pyin</t>
  </si>
  <si>
    <t>Ywar Thar Yar</t>
  </si>
  <si>
    <t>Zin Paing Nyar</t>
  </si>
  <si>
    <t>San Pai Pin Yin</t>
  </si>
  <si>
    <t>Ngan Chaung_Gone Nar</t>
  </si>
  <si>
    <t>Yai Myet Taung Ywa Thit</t>
  </si>
  <si>
    <t>Khat Pa Kaung</t>
  </si>
  <si>
    <t>Lu Fan Pyin</t>
  </si>
  <si>
    <t>Kywe Ta Ma</t>
  </si>
  <si>
    <t>Nga Khu Ya (Myauk Ywar)</t>
  </si>
  <si>
    <t>Kyein Chaung</t>
  </si>
  <si>
    <t>Hindu</t>
  </si>
  <si>
    <t>Koun Tan</t>
  </si>
  <si>
    <t>Lin Bar Gone Nar</t>
  </si>
  <si>
    <t>Yai Mya</t>
  </si>
  <si>
    <t>Sa Pe Kong A Nauk Ywa</t>
  </si>
  <si>
    <t>Sin Thay Pyin (Zay Di Pyin)</t>
  </si>
  <si>
    <t>Kyun Pauk Ku Lar</t>
  </si>
  <si>
    <t>Thar Yar Kone</t>
  </si>
  <si>
    <t>Thet Kaing Ngyar</t>
  </si>
  <si>
    <t>That Kaing Nyar (Thet)</t>
  </si>
  <si>
    <t>Ah Nauk Ka Maung Seik</t>
  </si>
  <si>
    <t>Thae Chaung(Rakhine)</t>
  </si>
  <si>
    <t>Taung Htaung</t>
  </si>
  <si>
    <t>Nga Ta Paung</t>
  </si>
  <si>
    <t>Tha Yet Oke Ywar Haung</t>
  </si>
  <si>
    <t>Pyein Chaung</t>
  </si>
  <si>
    <t>Pyaung Seik</t>
  </si>
  <si>
    <t>La Mu Ta Pin</t>
  </si>
  <si>
    <t>Ahla Madi</t>
  </si>
  <si>
    <t>Kyaung Swae Phyu</t>
  </si>
  <si>
    <t>Shan (North)</t>
  </si>
  <si>
    <t>Namhkan</t>
  </si>
  <si>
    <t>Nam Hkam Catholic Church ( St. Thomas I)</t>
  </si>
  <si>
    <t>ECHO,HARP</t>
  </si>
  <si>
    <t>Kutkai</t>
  </si>
  <si>
    <t>Kutkai downtown (RC Church)</t>
  </si>
  <si>
    <t>HARP</t>
  </si>
  <si>
    <t>Manton</t>
  </si>
  <si>
    <t>Mandung - RC</t>
  </si>
  <si>
    <t>Mungji Pa Dabang (Catholic Church)</t>
  </si>
  <si>
    <t>Muse</t>
  </si>
  <si>
    <t>Muse Catholic Church</t>
  </si>
  <si>
    <t>Nam Hkam - Nay Win Ni (Palawng)</t>
  </si>
  <si>
    <t>Metta,KBC-HDD-NSS,KMSS</t>
  </si>
  <si>
    <t>Mungji Pa Dabang (Baptist Church)</t>
  </si>
  <si>
    <t>WHH</t>
  </si>
  <si>
    <t>KMSS,Metta</t>
  </si>
  <si>
    <t>Nam Hkawng</t>
  </si>
  <si>
    <t xml:space="preserve">Nam Hpak Ka Mare </t>
  </si>
  <si>
    <t>WHH(BMZ,AA)</t>
  </si>
  <si>
    <t>Nam Hpak Ka Ta'ang</t>
  </si>
  <si>
    <t>WHH(BMZ, AA)</t>
  </si>
  <si>
    <t>Insufficient Drinking Water</t>
  </si>
  <si>
    <t>Hseni</t>
  </si>
  <si>
    <t>Nam Sa Larp</t>
  </si>
  <si>
    <t>Namtu</t>
  </si>
  <si>
    <t>Pan Ta Pyae</t>
  </si>
  <si>
    <t>Solar Pump System (9600 Litre per day)</t>
  </si>
  <si>
    <t>Zup Aung Camp</t>
  </si>
  <si>
    <t>Other</t>
  </si>
  <si>
    <t>Kone Khem Camp</t>
  </si>
  <si>
    <t>Kutkai downtown (KBC Church)</t>
  </si>
  <si>
    <t xml:space="preserve">New Pang Ku </t>
  </si>
  <si>
    <t>Kyu Sot</t>
  </si>
  <si>
    <t>Lisu Church Namtu</t>
  </si>
  <si>
    <t xml:space="preserve">Mung Hawm </t>
  </si>
  <si>
    <t>Kutkai downtown (KBC Church-2)</t>
  </si>
  <si>
    <t>Mai Yu Lay Ta'ang</t>
  </si>
  <si>
    <t>Nam Tu Baptist</t>
  </si>
  <si>
    <t>Mandung - Jinghpaw</t>
  </si>
  <si>
    <t>Mine Yu Lay village</t>
  </si>
  <si>
    <t>Muse Baptist Church</t>
  </si>
  <si>
    <t>Nam Hkam (KBC Jaw Wang) II</t>
  </si>
  <si>
    <t>WHH(BMZ, AA),ECHO</t>
  </si>
  <si>
    <t>Namhkan - Pang Long KBC</t>
  </si>
  <si>
    <t>Man Loi</t>
  </si>
  <si>
    <t>Hpai Kawng</t>
  </si>
  <si>
    <t>Hsipaw</t>
  </si>
  <si>
    <t>Man Kaung/Naung Ti Kyar Village</t>
  </si>
  <si>
    <t>Narte</t>
  </si>
  <si>
    <t>Hpai Kawng Mare</t>
  </si>
  <si>
    <t>Man Sa</t>
  </si>
  <si>
    <t>Mong Wee Shan</t>
  </si>
  <si>
    <t>Pan Law</t>
  </si>
  <si>
    <t>SCI,KBC-HDD-NSS</t>
  </si>
  <si>
    <t>Nam Hkam (KBC Jaw Wang)</t>
  </si>
  <si>
    <t>Tsan Lun - Namjarap</t>
  </si>
  <si>
    <t>Kutkhai KBC-2 (Block-6)</t>
  </si>
  <si>
    <t>Jwan Jaw KBC</t>
  </si>
  <si>
    <t>Type of Accommodation</t>
  </si>
  <si>
    <t>HRP categories</t>
  </si>
  <si>
    <t>Current 4 W reported list</t>
  </si>
  <si>
    <t>Updated Date</t>
  </si>
  <si>
    <t>Site Name_(Old)</t>
  </si>
  <si>
    <t>Aung Mingalar_(Swan Saw ward)</t>
  </si>
  <si>
    <t>Closed Camp</t>
  </si>
  <si>
    <t>IDPs in collective centers or self-settled - pre existing</t>
  </si>
  <si>
    <t>Q1_2017</t>
  </si>
  <si>
    <t>B.E.H.S 2 (Ho Mun ward)</t>
  </si>
  <si>
    <t>B.E.H.S 4 (Ho Mun ward)</t>
  </si>
  <si>
    <t>Ban Hkung (School)</t>
  </si>
  <si>
    <t/>
  </si>
  <si>
    <t>Ban Hkung Yang</t>
  </si>
  <si>
    <t>Ban Hkung Yang (Boarding School)</t>
  </si>
  <si>
    <t>Daw Hpum Yang Ninghtawn</t>
  </si>
  <si>
    <t>Gant Gwin</t>
  </si>
  <si>
    <t>KBC (Ho Mun Ward)</t>
  </si>
  <si>
    <t>Lawk Awng Mare D. (Sinbo Area)</t>
  </si>
  <si>
    <t>Host Families</t>
  </si>
  <si>
    <t>IDPs in host families</t>
  </si>
  <si>
    <t>Updated date 11/7/2017: that is village</t>
  </si>
  <si>
    <t>Lawk Hkawng Ginwang</t>
  </si>
  <si>
    <t>Injangyang</t>
  </si>
  <si>
    <t>Camp like setting</t>
  </si>
  <si>
    <t>NSS WASH Cluster comments:Metta distributed hygiene kit in Apr'17 but no assessment done for other WASH needs. Security concern is high to travel.</t>
  </si>
  <si>
    <t>Nam Hka Mare (west of Man Wing)</t>
  </si>
  <si>
    <t>NGCA</t>
  </si>
  <si>
    <t xml:space="preserve">Nam Hkam Malut Jak </t>
  </si>
  <si>
    <t>Q4_2016</t>
  </si>
  <si>
    <t>Nam Lim Pa    (Boarding School)</t>
  </si>
  <si>
    <t>Namt Hkun monastery</t>
  </si>
  <si>
    <t>Namtu KBC 1</t>
  </si>
  <si>
    <t>3/Jul/2017: Changed camp status as "Closed" according to the information of KBC. Note from KBC "Namtu KBC 1(MMR015CMP230) and Namtu KBC 2 (MMR015CMP231) are already integrated into the old camp ( Nam Tu Baptist (MMR015CMP014)".
17-01-2017: New added camp. Missing data will be collected from partners and present in next Report.</t>
  </si>
  <si>
    <t>Namtu KBC 2</t>
  </si>
  <si>
    <t>combined with KBC 1</t>
  </si>
  <si>
    <t>Namtu RC</t>
  </si>
  <si>
    <t>all IDPs returned home; open status in July 31 CCCM camp list</t>
  </si>
  <si>
    <t>Si Hkan Gyi</t>
  </si>
  <si>
    <t>St. Peter Church (Ho Mun ward)</t>
  </si>
  <si>
    <t>Thu Kha Waddy</t>
  </si>
  <si>
    <t xml:space="preserve">Wein Sai Church </t>
  </si>
  <si>
    <t>UNHCR</t>
  </si>
  <si>
    <t>Planned Camp</t>
  </si>
  <si>
    <t>Muslim</t>
  </si>
  <si>
    <t>Ward 6</t>
  </si>
  <si>
    <t>Self Settled Camp</t>
  </si>
  <si>
    <t>Village</t>
  </si>
  <si>
    <t xml:space="preserve">WASH - resettled, relocated, surrounding communities &amp; host communities </t>
  </si>
  <si>
    <t>Nga/Oke</t>
  </si>
  <si>
    <t xml:space="preserve">Kyauk Ta Lone </t>
  </si>
  <si>
    <t>Q2_2017</t>
  </si>
  <si>
    <t>MHDO updated</t>
  </si>
  <si>
    <t>Village_Not HRP</t>
  </si>
  <si>
    <t>Q3_2016</t>
  </si>
  <si>
    <t>Taik Maw(Tike Maw)</t>
  </si>
  <si>
    <t>Chin+Rakhine</t>
  </si>
  <si>
    <t>Nga Lat Kya</t>
  </si>
  <si>
    <t>Zu Kaing(Ka Zu Kaing)</t>
  </si>
  <si>
    <t>Kywi Pyin</t>
  </si>
  <si>
    <t>Chin</t>
  </si>
  <si>
    <t>Kyeik Chaung(Jade Chaung)</t>
  </si>
  <si>
    <t>Yaw Haung Ah Htet
(Ywar Haung)</t>
  </si>
  <si>
    <t>Nat Maw Upper + Nat Maw</t>
  </si>
  <si>
    <t>Nga Shwe Pyin</t>
  </si>
  <si>
    <t>Ah Ngu Ywar Haung</t>
  </si>
  <si>
    <t>Ah Ngu Ywar Thit</t>
  </si>
  <si>
    <t>Ohn Taw</t>
  </si>
  <si>
    <t>Aung Le Byin</t>
  </si>
  <si>
    <t>Pyin Taw Che</t>
  </si>
  <si>
    <t>Relocated</t>
  </si>
  <si>
    <t>Chin (Khame)</t>
  </si>
  <si>
    <t>Khame</t>
  </si>
  <si>
    <t>Chin (Rakhine)</t>
  </si>
  <si>
    <t>Taung Pyin</t>
  </si>
  <si>
    <t>Sin Tet Maw (from Nget Chaung)</t>
  </si>
  <si>
    <t>Sin Tet Maw (Nget Chaung)</t>
  </si>
  <si>
    <t xml:space="preserve">Pyar Tha Kywe </t>
  </si>
  <si>
    <t>Thit Khoke Taw</t>
  </si>
  <si>
    <t>Thit Khaung Taw</t>
  </si>
  <si>
    <t>Nget Chaung</t>
  </si>
  <si>
    <t>Gaung Hpyu</t>
  </si>
  <si>
    <t>Yet Chaung</t>
  </si>
  <si>
    <t>Dagon</t>
  </si>
  <si>
    <t>Pein Hne Chaung</t>
  </si>
  <si>
    <t>Painnal Chaung</t>
  </si>
  <si>
    <t>A Nauk Ywe</t>
  </si>
  <si>
    <t>Wet Gaung</t>
  </si>
  <si>
    <t>Pa Lin Pyin (Muslim)</t>
  </si>
  <si>
    <t>Basara</t>
  </si>
  <si>
    <t>Pa Lin Pyin (Rakhine, Fisher)</t>
  </si>
  <si>
    <t>Pa Lin Pyin (Rakhine, Main)</t>
  </si>
  <si>
    <t>Pyar Lay Chaung (New)</t>
  </si>
  <si>
    <t>Pyar Lay Chaung (Old)</t>
  </si>
  <si>
    <t>Ohn Yee Paw</t>
  </si>
  <si>
    <t>Maramargyi</t>
  </si>
  <si>
    <t>Thea Chaung  carpenter</t>
  </si>
  <si>
    <t>Kyauk Nga Nwar</t>
  </si>
  <si>
    <t>Sat Roe Kya</t>
  </si>
  <si>
    <t>Dohn Taik Kwin</t>
  </si>
  <si>
    <t>Done Dike Kwin host</t>
  </si>
  <si>
    <t>Thae Chaung (Kyaukphyu)</t>
  </si>
  <si>
    <t>Thea Chaung (IDPs from Kyaukphyu)*</t>
  </si>
  <si>
    <t>Thea Chaung Village</t>
  </si>
  <si>
    <t>Thea Chaung market</t>
  </si>
  <si>
    <t xml:space="preserve">Thea Chaung </t>
  </si>
  <si>
    <t>agencies gap,combine with village pop</t>
  </si>
  <si>
    <t>Dar Pai (IDP in host family)</t>
  </si>
  <si>
    <t>Ba Wan Chaung Wa Su</t>
  </si>
  <si>
    <t>agencies gap</t>
  </si>
  <si>
    <t>Ba Wunn Chaung Wa Su</t>
  </si>
  <si>
    <t>agencies gap,to ask SI to be splicted BDP1, BDP2</t>
  </si>
  <si>
    <t>Thet Kel Pyin</t>
  </si>
  <si>
    <t>Hmansi ( from Kaung Doke Khar)</t>
  </si>
  <si>
    <t>Baw Du Pha</t>
  </si>
  <si>
    <t>Kaung Doke Khar (excl. Hmanzi)</t>
  </si>
  <si>
    <t>Baw Du Pha (IDP in host family)</t>
  </si>
  <si>
    <t>Ohn Taw Gyi South</t>
  </si>
  <si>
    <t>Maw Ti Ngar (TKP west)</t>
  </si>
  <si>
    <t>Ohn Taw Gyi North</t>
  </si>
  <si>
    <t>Gwa Son</t>
  </si>
  <si>
    <t>Khwa Sone</t>
  </si>
  <si>
    <t>Phwe Yar Gone</t>
  </si>
  <si>
    <t>Kann Ni</t>
  </si>
  <si>
    <t>Nga/Pun Ywar Gyi</t>
  </si>
  <si>
    <t>Ah Haung Taung</t>
  </si>
  <si>
    <t>Ah Houng Taung</t>
  </si>
  <si>
    <t>Thin Pone Tan</t>
  </si>
  <si>
    <t>village</t>
  </si>
  <si>
    <t>Sa Par Htar</t>
  </si>
  <si>
    <t>Nat Seik</t>
  </si>
  <si>
    <t>Met Ka Lar Kya</t>
  </si>
  <si>
    <t>Returned</t>
  </si>
  <si>
    <t>Nyaung Pin Gyi</t>
  </si>
  <si>
    <t>Kyauk Seik</t>
  </si>
  <si>
    <t>Paik Thay</t>
  </si>
  <si>
    <t>Shwe Laung Tin</t>
  </si>
  <si>
    <t>Chait Taung - Tha Dar</t>
  </si>
  <si>
    <t>Mixed</t>
  </si>
  <si>
    <t>Chait Taung</t>
  </si>
  <si>
    <t>Shwe Zin Khin</t>
  </si>
  <si>
    <t>Chein Khar Li (Rakhine)</t>
  </si>
  <si>
    <t>old data update on 24.4.2017</t>
  </si>
  <si>
    <t>Chait Taung - San Htoe Tan</t>
  </si>
  <si>
    <t>Sam Ba Le</t>
  </si>
  <si>
    <t>Set Yone Maw</t>
  </si>
  <si>
    <t>Koe Tan Kauk (Rakhine)</t>
  </si>
  <si>
    <t>Let Than Chi (Tiit)</t>
  </si>
  <si>
    <t>Aung Taing</t>
  </si>
  <si>
    <t>Bucheung</t>
  </si>
  <si>
    <t>Da Pae</t>
  </si>
  <si>
    <t>Thi Kyar</t>
  </si>
  <si>
    <t>Yai-Thei-Thi Kyar</t>
  </si>
  <si>
    <t>Yai Thei-Muslim</t>
  </si>
  <si>
    <t>Yai Thei</t>
  </si>
  <si>
    <t>Kyun Paw (Pauk Taw)</t>
  </si>
  <si>
    <t>Auk Nan Yar</t>
  </si>
  <si>
    <t>Zay Di Pyin</t>
  </si>
  <si>
    <t>Pa Rein</t>
  </si>
  <si>
    <t>Pi Dauk Myaing</t>
  </si>
  <si>
    <t>Padauk Myaing</t>
  </si>
  <si>
    <t>Pu Yain Kone</t>
  </si>
  <si>
    <t>Doe Wai Chaung</t>
  </si>
  <si>
    <t>Sa Hpo Gyun</t>
  </si>
  <si>
    <t>Kyein Tan</t>
  </si>
  <si>
    <t>Kardi</t>
  </si>
  <si>
    <t>Raw Ma Ni Sin Oe</t>
  </si>
  <si>
    <t>Kyawe Lan Chaung</t>
  </si>
  <si>
    <t>Pet Kwet Seik</t>
  </si>
  <si>
    <t>Lan Paik Khwin</t>
  </si>
  <si>
    <t>Zan Kha Ma</t>
  </si>
  <si>
    <t>Prine Taung</t>
  </si>
  <si>
    <t>Not_HRP</t>
  </si>
  <si>
    <t>Oo Daung Ah Nauk Ywa</t>
  </si>
  <si>
    <t>Zumar Ywa</t>
  </si>
  <si>
    <t>Q3_2017</t>
  </si>
  <si>
    <t>CDN Updated, CLTS village</t>
  </si>
  <si>
    <t>Im Bar Yi</t>
  </si>
  <si>
    <t>Ah Htet See Maun</t>
  </si>
  <si>
    <t>Kaing Gyi</t>
  </si>
  <si>
    <t>Ah Pauk Wa Village</t>
  </si>
  <si>
    <t>U Saung Tan (lower)</t>
  </si>
  <si>
    <t xml:space="preserve">Myo </t>
  </si>
  <si>
    <t>CDN Updated</t>
  </si>
  <si>
    <t>Kha Yai Myaing</t>
  </si>
  <si>
    <t>Ashit Ywa</t>
  </si>
  <si>
    <t>A Nauk Ywa</t>
  </si>
  <si>
    <t>Ywa Gyi</t>
  </si>
  <si>
    <t>Middle</t>
  </si>
  <si>
    <t>Tha Yet Oke Ywar Thit</t>
  </si>
  <si>
    <t xml:space="preserve">M </t>
  </si>
  <si>
    <t>Taung Pine Nyar</t>
  </si>
  <si>
    <t>Ywa Haung</t>
  </si>
  <si>
    <t>Nidin</t>
  </si>
  <si>
    <t>Ni Din</t>
  </si>
  <si>
    <t>Play Taung South</t>
  </si>
  <si>
    <t>Kyet Mauk Taung Myuak</t>
  </si>
  <si>
    <t>Than Chay  RK</t>
  </si>
  <si>
    <t>Ah Lel Kyun</t>
  </si>
  <si>
    <t>Ah Lel</t>
  </si>
  <si>
    <t>Taung Bwe</t>
  </si>
  <si>
    <t>Daing Net</t>
  </si>
  <si>
    <t>Myaunk Ywa_M</t>
  </si>
  <si>
    <t>Rakhine/Dinet</t>
  </si>
  <si>
    <t>Tha Pon</t>
  </si>
  <si>
    <t>Muslim (Myaunk Ywa)</t>
  </si>
  <si>
    <t>Ba Gone Nar</t>
  </si>
  <si>
    <t>Thar Yar Koung</t>
  </si>
  <si>
    <t>Thet Kaing Ngyar (Thet Kaing Ngyar)</t>
  </si>
  <si>
    <t>Thet Kaing Ngyar (Thet Ywa)</t>
  </si>
  <si>
    <t>Kaung Maung Seik</t>
  </si>
  <si>
    <t>Ah Shey Kha Maung Seik</t>
  </si>
  <si>
    <t>NSS WASH cluster comment: camp closed by end of Mar'17. open status in July 31 CCCM camp list</t>
  </si>
  <si>
    <t>Man Kaung village</t>
  </si>
  <si>
    <t>NSS WASH Cluster comments:Metta distributed hygiene kit in Apr'17 but no assessment done for other WASH needs. Water supply and latrines shared with host families. Metta could cover latrine construction if needed.</t>
  </si>
  <si>
    <t>Nam Tu RC</t>
  </si>
  <si>
    <t xml:space="preserve">Shwe Myint Thar Monastery </t>
  </si>
  <si>
    <t>2/June/2017: Changed camp status as "Closed" according to UNHCR_Lashio information. IDPs are moved to Kyu Sot camp</t>
  </si>
  <si>
    <t>Village Type Camp</t>
  </si>
  <si>
    <t xml:space="preserve">Mungji Pa Dabang (Baptist Church)         </t>
  </si>
  <si>
    <t>27/Apr/2017: Changed camp status as "Closed", Data source: KBC.</t>
  </si>
  <si>
    <t>6/April/2017: New Added camp. Data source: UNOCHA, Partners and CCCM.</t>
  </si>
  <si>
    <t xml:space="preserve">Mungji Pa Dabang (RC Church)         </t>
  </si>
  <si>
    <t>NSS WASH Cluster comments:land space very limited for infra; IDPs stay with and share WASH facilities from host families.</t>
  </si>
  <si>
    <t>Mong Wee Ta'ang</t>
  </si>
  <si>
    <t>Nam Lim Pa</t>
  </si>
  <si>
    <t>Nam Lim Pa - Scattered IDPs in forest</t>
  </si>
  <si>
    <t>Man Wing Host Families</t>
  </si>
  <si>
    <t>Clutural Compound</t>
  </si>
  <si>
    <t>MWG -RC2</t>
  </si>
  <si>
    <t>Bang Lung</t>
  </si>
  <si>
    <t>Jaw 2</t>
  </si>
  <si>
    <t>NSS WASH Cluster comments: Metta distributed hygiene kit in Apr'17 but no assessment done for other WASH needs.</t>
  </si>
  <si>
    <t xml:space="preserve">Lagatyan </t>
  </si>
  <si>
    <t>Lung Kawk  ( Hka Hkye Zup)</t>
  </si>
  <si>
    <t>Howa</t>
  </si>
  <si>
    <t>Nam Hkyet</t>
  </si>
  <si>
    <t>Maing Khaung KBC 2</t>
  </si>
  <si>
    <t>SI did emergency response</t>
  </si>
  <si>
    <t>Bum Tsit Pa * (2)</t>
  </si>
  <si>
    <t>Muse KBC Church</t>
  </si>
  <si>
    <t>Muse RC Church</t>
  </si>
  <si>
    <t xml:space="preserve">Mung Baw </t>
  </si>
  <si>
    <t>NSS WASH Cluster comments: no WASH actor knows where this camp is.</t>
  </si>
  <si>
    <t>Munekoe Pa (Giwang) - Hka San (Mung  Go  Pa )</t>
  </si>
  <si>
    <t xml:space="preserve">Munekoe Pa (Giwang) - Hka San (Mung  Go  Pa ) </t>
  </si>
  <si>
    <t>Mansi_Host Families</t>
  </si>
  <si>
    <t>Updated Date 11/7/17:Not known</t>
  </si>
  <si>
    <t>Mansi Host Families</t>
  </si>
  <si>
    <t>Man Kawng Baptist Church</t>
  </si>
  <si>
    <t>Camp close in CCCM list but WASH agencies presence</t>
  </si>
  <si>
    <t>Man Kawng Catholic Church</t>
  </si>
  <si>
    <t>Mung Ding Pa  (Boarder)</t>
  </si>
  <si>
    <t>Shwegu_Host Families</t>
  </si>
  <si>
    <t>Updated Date 11/7/17:Not known; Changed to Closed status in July 31 camp list,WC does not include in Q3 2017 report</t>
  </si>
  <si>
    <t>Momauk_Host Families</t>
  </si>
  <si>
    <t>Momauk Host Families</t>
  </si>
  <si>
    <t>Momauk Catholic Church (St. Patrick)</t>
  </si>
  <si>
    <t>Ni Thaw Ka Monestry</t>
  </si>
  <si>
    <t>Kannar Yeik Thar</t>
  </si>
  <si>
    <t>Bhamo_Host Families</t>
  </si>
  <si>
    <t>Updated Date 11/7/17:Not known and did not identify among WASH partners</t>
  </si>
  <si>
    <t>Ta Gun Taing Monastery (Shwe Kyi Na)</t>
  </si>
  <si>
    <t>Updated date: 11/7/2017:SI did not WASH implement since july 2016</t>
  </si>
  <si>
    <t>Khun Sint Village</t>
  </si>
  <si>
    <t>Updated date 11/7/2017: Not known</t>
  </si>
  <si>
    <t xml:space="preserve">Myo Thit </t>
  </si>
  <si>
    <t>Updated Date 11/7/2017 : not known</t>
  </si>
  <si>
    <t xml:space="preserve">Man Nawng </t>
  </si>
  <si>
    <t>Updated Date 11/7/2017 : not known;Changed to Closed status in July 31 camp list,WC does not include in Q3 2017 report</t>
  </si>
  <si>
    <t xml:space="preserve">Mai Khat </t>
  </si>
  <si>
    <t>Updated Date 11/7/2017 : not known;Changed to Closed status in July 31 camp list, WC does not include in Q3 2017 report</t>
  </si>
  <si>
    <t xml:space="preserve">Tarli </t>
  </si>
  <si>
    <t>Dawthponeyan Boarding School</t>
  </si>
  <si>
    <t>Updated date 11/7/2017: already moved to other place;Changed to Closed status in July 31 camp list</t>
  </si>
  <si>
    <t xml:space="preserve">Phar Kay/Nant Waing </t>
  </si>
  <si>
    <t>Updated Date 11/7/2017 : not known;Changed to Closed status in July 31 camp list;Changed to Closed status in July 31 camp list,WC does not include in Q3 2017 report</t>
  </si>
  <si>
    <t>Laiza Market 3 - Laiza Gat</t>
  </si>
  <si>
    <t>Laiza Market 3 / Laiza Gat</t>
  </si>
  <si>
    <t>Boarding School</t>
  </si>
  <si>
    <t>Man Ting</t>
  </si>
  <si>
    <t>Updated Date 11/7/2017 : not known; Changed to Closed status in July 31 camp list,WC does not include in Q3 2017 report,WC does not include in Q3 2017 report</t>
  </si>
  <si>
    <t>Moenyin Host Families</t>
  </si>
  <si>
    <t>Updated date 11/7/2017: IDP families live in host community</t>
  </si>
  <si>
    <t>Village Type camp</t>
  </si>
  <si>
    <t>Pajau / Jan Mai</t>
  </si>
  <si>
    <t>Hopin Host Families</t>
  </si>
  <si>
    <t>Nant Mun</t>
  </si>
  <si>
    <t>Nawng Ing (Indawgyi) Baptist Church</t>
  </si>
  <si>
    <t>Zai Awng - Mung Ga Zup</t>
  </si>
  <si>
    <t>Zai Awng / Mung Ga Zup</t>
  </si>
  <si>
    <t>Laiza Muklum Hpyen  Yen Mungshawa ni</t>
  </si>
  <si>
    <t>Sar Hmaw - ICM</t>
  </si>
  <si>
    <t>intervention finished;Changed to Closed status in July 31 camp list</t>
  </si>
  <si>
    <t>Sar Maw-ICM</t>
  </si>
  <si>
    <t>6/Apr/2017: Change camp status as "Open". Data source: Protection team and comfirmed by camp manager.
2/feb/2017: Closed Camp
10/Jan/2017: Population update. Data source: KMSS_Myitkyina
21/Oct/2016: Population update. Data source: KMSS_Myitkyina
14/Jul/2016: Population update. Data Source:KMSS_Myitkyina
9/Nov/15. Accomodation changes from Host families to Camp. Data source: CCCM
19-Aug-15 (Population Udate. Data Source: KMSS-MYT)
25-Jun-2015 (New host families. Source: RRD)</t>
  </si>
  <si>
    <t>Hka Shi</t>
  </si>
  <si>
    <t>2/June/2017: New added camp. Data source: WASH cluster, WV (World Vision). SI did emergency response</t>
  </si>
  <si>
    <t>Waingmaw Baptist Zonal Office</t>
  </si>
  <si>
    <t>intervention finished</t>
  </si>
  <si>
    <t>Wun Tho Buddhist Monastery</t>
  </si>
  <si>
    <t>Changed to Closed status in July 31 camp list</t>
  </si>
  <si>
    <t>Myay Myint Baptist Church</t>
  </si>
  <si>
    <t>Sadung</t>
  </si>
  <si>
    <t>Du Kahtawng Qtr. 14, 4 and 5 is combined into Du Kahtawng Baptist in 31st CCCM camp list</t>
  </si>
  <si>
    <t>Du Kahtawng Qtr. 4</t>
  </si>
  <si>
    <t>Du Kahtawng Qtr. 5</t>
  </si>
  <si>
    <t>Du Kahtawng Qtr. 14</t>
  </si>
  <si>
    <t>Tat Kone COC Baptist / Tat Kone Htoi San</t>
  </si>
  <si>
    <t>Ward 2 Cahotlic Church, Seik Mu</t>
  </si>
  <si>
    <t xml:space="preserve">Pan Wa (Saw Zam) camp </t>
  </si>
  <si>
    <t>5 Ward Baptist Church(lon Khin)</t>
  </si>
  <si>
    <t>3/Jul/2017: Changed camp status as "Closed" according to the information of KBC. Note from KBC " (5 Ward Baptist Church( Lon Khin- MMR001CMP179, and Ku Day Maw KBC- MMR001CMP231) and open new camp as Lawng Hkang Shait Yang Camp ( Lel Pyin) under Hpakant Township. So technically, the mentioned two camp will be combine into one camp as Lawng Hkang Shait Yang Camp ( Lel Pyin)".</t>
  </si>
  <si>
    <t>Muring Baptist Church, Awng Ra, Wa Ra Zut VT</t>
  </si>
  <si>
    <t>Baptist Church, Sai Ra village</t>
  </si>
  <si>
    <t xml:space="preserve">Lan Jaw </t>
  </si>
  <si>
    <t>Updated date 11/7/1017:Not known and did not identify among WASH partners; Changed to Closed status in July 31 camp list,WC does not include in Q3 2017 report</t>
  </si>
  <si>
    <t>Baptist Church, Naung Hmee VT</t>
  </si>
  <si>
    <t>Ku Day Maw KBC</t>
  </si>
  <si>
    <t>Wara Zup KBC Church</t>
  </si>
  <si>
    <t>Updated date 11/7/2017: KBC has a plan to implement this location through ADRA; Changed to Closed status in July 31 camp list,WC does not include in Q3 2017 report</t>
  </si>
  <si>
    <t>A Lo Taw Pyae monastery</t>
  </si>
  <si>
    <t>Thar Ta Na Aung San monastery</t>
  </si>
  <si>
    <t>Updated date 11/7/2017: there is no camp</t>
  </si>
  <si>
    <t>Ndup Yang 1</t>
  </si>
  <si>
    <t>La Ja</t>
  </si>
  <si>
    <t>Khaunglanhpu</t>
  </si>
  <si>
    <t>Inn Lel Yan - Host Families</t>
  </si>
  <si>
    <t>Updated date 11/7/2017: KBC implement this camp since 2014 and some IDP families moved to other camps</t>
  </si>
  <si>
    <t>Naung Khaing</t>
  </si>
  <si>
    <t>Machanbaw - KBC</t>
  </si>
  <si>
    <t>Machanbaw</t>
  </si>
  <si>
    <t>Machanbaw-KBC</t>
  </si>
  <si>
    <t>Tote Tan Ward</t>
  </si>
  <si>
    <t>Updated date 11/7/2017: already moved to other place</t>
  </si>
  <si>
    <t>Lone Sut</t>
  </si>
  <si>
    <t>6/May/2017: New added camp. Data source: KBC. Camp was confirmed by CCCM unit. The missing informaiton will be updated as soon as possible.</t>
  </si>
  <si>
    <t>(Nam Hoi) Host families</t>
  </si>
  <si>
    <t>Namtu (Nam Hoi) Host families</t>
  </si>
  <si>
    <t>AD-2000 Extension camp</t>
  </si>
  <si>
    <t>camp</t>
  </si>
  <si>
    <t>AG Church Pa Ma Tee</t>
  </si>
  <si>
    <t>opening date: 16/8/17 and updated date in CCCM list: 31/8/17 ; New displacement from Ka Sung,not yet updated in Q3 4W</t>
  </si>
  <si>
    <t>not found in camp list. Partners said sub-camp of momauk baptist church</t>
  </si>
  <si>
    <t>Aung Thay Pyay (San Suri))</t>
  </si>
  <si>
    <t>Aung Zay Gone</t>
  </si>
  <si>
    <t>Baw Du Pha Village</t>
  </si>
  <si>
    <t>Bhamo Host Families</t>
  </si>
  <si>
    <t>not found in camp list</t>
  </si>
  <si>
    <t>Bum Tsit Pa * (3)</t>
  </si>
  <si>
    <t>Chin Ywar</t>
  </si>
  <si>
    <t>Chipwi (School coumpound)</t>
  </si>
  <si>
    <t>School</t>
  </si>
  <si>
    <t>Doke Htan Ward</t>
  </si>
  <si>
    <t>Hpaung Taw Pyin</t>
  </si>
  <si>
    <t>Ka Bu Dam CoC</t>
  </si>
  <si>
    <t>Opening date: 7/13/2017 and updated date in CCCM list: not yet updated in Q3 4W</t>
  </si>
  <si>
    <t>Kutkai (host High School)</t>
  </si>
  <si>
    <t>Opeing date: 1/6/2017 and updated date in CCCM list: 31/7/2017 ; 3/Jul/2017: Changed camp status as "Closed" according to the information of KBC. Note from KBC " (5 Ward Baptist Church( Lon Khin- MMR001CMP179, and Ku Day Maw KBC- MMR001CMP231) and open new camp as Lawng Hkang Shait Yang Camp ( Lel Pyin) under Hpakant Township. So technically, the mentioned two camp will be combine into one camp as Lawng Hkang Shait Yang Camp ( Lel Pyin)".</t>
  </si>
  <si>
    <t>Lisu Baptist Church</t>
  </si>
  <si>
    <t>Loi Je Lisu (2) Camp</t>
  </si>
  <si>
    <t>Loi Je Lisu  (2) Camp</t>
  </si>
  <si>
    <t>Loi Je Lisu (3) Camp</t>
  </si>
  <si>
    <t>Loi Je Lisu  (3) Camp</t>
  </si>
  <si>
    <t>Loi Je Lisu (4) Camp</t>
  </si>
  <si>
    <t>Loi Je Lisu  (4) Camp</t>
  </si>
  <si>
    <t>Loi Je RC Boarding School</t>
  </si>
  <si>
    <t>Man Wing Baptist Church Boarding House</t>
  </si>
  <si>
    <t>Man wing gyi (host school)</t>
  </si>
  <si>
    <t>Mong Wee - Shan</t>
  </si>
  <si>
    <t>Muslim
 (Aley Ywa)</t>
  </si>
  <si>
    <t>Muslim
 (Taung Ywa)</t>
  </si>
  <si>
    <t>Muslim
 (Myaunk Ywa)</t>
  </si>
  <si>
    <t>Nam Hpak Ka (Man Mau host school)</t>
  </si>
  <si>
    <t>Nampaka (Man Mau host school)</t>
  </si>
  <si>
    <t>Namti</t>
  </si>
  <si>
    <t>opening date: 16/8/17 and updated date in CCCM list: 31/8/17 ; Displacement out of Ka Sung,not yet updated in Q3 4W</t>
  </si>
  <si>
    <t>Ndup Yang 2</t>
  </si>
  <si>
    <t>N-Lwe Yan</t>
  </si>
  <si>
    <t>Ohnmadee monastery</t>
  </si>
  <si>
    <t>Naung Cho</t>
  </si>
  <si>
    <t>Pa Kahtawng 1B</t>
  </si>
  <si>
    <t>Pa Kahtawng 2</t>
  </si>
  <si>
    <t xml:space="preserve">Pa Kahtawng Boarding High School </t>
  </si>
  <si>
    <t xml:space="preserve">Pa Kahtawng Boarding Middle School </t>
  </si>
  <si>
    <t>Pa Kahtawng Host Families</t>
  </si>
  <si>
    <t>Pa Kahtawng Primary House</t>
  </si>
  <si>
    <t>Paung Mae</t>
  </si>
  <si>
    <t>Rakhine Ywa_M</t>
  </si>
  <si>
    <t>6/June/2017: Added as new camp instead of Zai Awng - Mung Ga Zup camp because of the conflict on Dec, 2016. So IDPs ( from Zai Awng - Mung Ga Zup ) flew to Lung Byen. They stay awhile at Lung Byen and then they moved to Shait Yang on 17 Jan 2017. Changed the camp name as "Shait Yan</t>
  </si>
  <si>
    <t>Shwe Zin Khin (Ku Lar)</t>
  </si>
  <si>
    <t>Shwegu Host Families</t>
  </si>
  <si>
    <t xml:space="preserve">Tanai AG Church </t>
  </si>
  <si>
    <t>Tanai</t>
  </si>
  <si>
    <t>Opeing date: 1/6/2017 and updated date in CCCM list: 29/6/2017;not yet updated in Q3 4W</t>
  </si>
  <si>
    <t>Tanai CoC</t>
  </si>
  <si>
    <t xml:space="preserve">Tanai KBC Church </t>
  </si>
  <si>
    <t>Opeing date: 1/6/2017 and updated date in CCCM list: 29/6/2017; not yet updated in Q3 4W</t>
  </si>
  <si>
    <t xml:space="preserve">Tanai RC Church - Kinsa Ra </t>
  </si>
  <si>
    <t>Tat Kone (Ra Da Kawng)</t>
  </si>
  <si>
    <t>Taung Oo Maw</t>
  </si>
  <si>
    <t>Thet Kel Pyin Village</t>
  </si>
  <si>
    <t>Thit Tone Na Gwa Sone (HlaeMro)</t>
  </si>
  <si>
    <t>Vote Par Yone monastery</t>
  </si>
  <si>
    <t>Kah Mee</t>
  </si>
  <si>
    <t>West</t>
  </si>
  <si>
    <t>CAMP</t>
  </si>
  <si>
    <t>Zupyan camp</t>
  </si>
  <si>
    <t>new camp added in 30/9/2017</t>
  </si>
  <si>
    <t>V6</t>
  </si>
  <si>
    <t>V19</t>
  </si>
  <si>
    <t>V24</t>
  </si>
  <si>
    <t>For Township dropdown</t>
  </si>
  <si>
    <t>For Camp Dropdown</t>
  </si>
  <si>
    <t>Dropdown</t>
  </si>
  <si>
    <t>Wash focal point Agency</t>
  </si>
  <si>
    <t># work days (approx) lost in this site due to access restrictions</t>
  </si>
  <si>
    <t>WASH Committee part of camp management structures</t>
  </si>
  <si>
    <t>Primary Donor covering WASH activities at site</t>
  </si>
  <si>
    <t>Expected end of funding for WASH activties at site</t>
  </si>
  <si>
    <t xml:space="preserve">% of women on camp WASH committee </t>
  </si>
  <si>
    <t># Functioning protected open wells (without hand pump)</t>
  </si>
  <si>
    <t># functional wells/boreholes (with hand pump)</t>
  </si>
  <si>
    <t xml:space="preserve"># functional tapstands </t>
  </si>
  <si>
    <t>Litres/Day provided with Overhead or storage tank with reticulation/ Water  gravity system
based on SPHERE standard ( 15L/P/D : 8 hr tapstand open)</t>
  </si>
  <si>
    <t>% of E-Coli  Water quality test result
(@ water source or HH level)</t>
  </si>
  <si>
    <t xml:space="preserve"># water points managed by families or small group of families </t>
  </si>
  <si>
    <t># latrines functional &amp; appropriate</t>
  </si>
  <si>
    <t># Latrines requiring urgent desludging</t>
  </si>
  <si>
    <t xml:space="preserve"># Latrines managed by families or small group of families </t>
  </si>
  <si>
    <t>Is there an effective solid waste management system in place</t>
  </si>
  <si>
    <t>Does the camp have drainage of surface water</t>
  </si>
  <si>
    <t>% HHs with access to functional hand washing station  (communal or HHs level)</t>
  </si>
  <si>
    <t>Handwashing approch to camp - household, communal, or both?</t>
  </si>
  <si>
    <t xml:space="preserve"># of individual bathing spaces functional </t>
  </si>
  <si>
    <t xml:space="preserve"># Hygiene Promoters </t>
  </si>
  <si>
    <t xml:space="preserve">% of HHs with access to sufficient soap (250g/ person/month) </t>
  </si>
  <si>
    <t>State_list</t>
  </si>
  <si>
    <t>TSps</t>
  </si>
  <si>
    <t>2013_Q4</t>
  </si>
  <si>
    <t>ABCD</t>
  </si>
  <si>
    <t>2014_Q1</t>
  </si>
  <si>
    <t>Not_Functional</t>
  </si>
  <si>
    <t>2014_Q2</t>
  </si>
  <si>
    <t>ACF, CDN</t>
  </si>
  <si>
    <t>AusAid</t>
  </si>
  <si>
    <t>2014_Q4</t>
  </si>
  <si>
    <t>ACTED</t>
  </si>
  <si>
    <t>2015_Q1</t>
  </si>
  <si>
    <t>Arche nova</t>
  </si>
  <si>
    <t>CIDA</t>
  </si>
  <si>
    <t>2015_Q2</t>
  </si>
  <si>
    <t>DANIDA</t>
  </si>
  <si>
    <t>2015_Q3</t>
  </si>
  <si>
    <t>CARE, CDN</t>
  </si>
  <si>
    <t>DFAT</t>
  </si>
  <si>
    <t>2015_Q4</t>
  </si>
  <si>
    <t>CDN, MA_UK</t>
  </si>
  <si>
    <t>2016_Q1</t>
  </si>
  <si>
    <t>Cesvi</t>
  </si>
  <si>
    <t>2016_Q2</t>
  </si>
  <si>
    <t>Cesvi, SI</t>
  </si>
  <si>
    <t>2016_Q3</t>
  </si>
  <si>
    <t>CNN</t>
  </si>
  <si>
    <t>Nawngmun</t>
  </si>
  <si>
    <t>2016_Q4</t>
  </si>
  <si>
    <t>2017_Q1</t>
  </si>
  <si>
    <t>DRD</t>
  </si>
  <si>
    <t>2017_Q2</t>
  </si>
  <si>
    <t>IRC</t>
  </si>
  <si>
    <t>2017_Q3</t>
  </si>
  <si>
    <t>Tsawlaw</t>
  </si>
  <si>
    <t>2018_Q1</t>
  </si>
  <si>
    <t>KMSS, KBC-HDD-NSS</t>
  </si>
  <si>
    <t>FCA</t>
  </si>
  <si>
    <t>KMSS, Metta</t>
  </si>
  <si>
    <t>France</t>
  </si>
  <si>
    <t>KMSS, SCI</t>
  </si>
  <si>
    <t>KMSS, KBC</t>
  </si>
  <si>
    <t>Gwa</t>
  </si>
  <si>
    <t>HIDA</t>
  </si>
  <si>
    <t>MDCG</t>
  </si>
  <si>
    <t>Merlin</t>
  </si>
  <si>
    <t>Metta, ICRC</t>
  </si>
  <si>
    <t>OCHA</t>
  </si>
  <si>
    <t>Munaung</t>
  </si>
  <si>
    <t>Metta, KBC-HDD-NSS</t>
  </si>
  <si>
    <t>Metta, KBC-HDD-NSS, KMSS</t>
  </si>
  <si>
    <t>Metta, SCI</t>
  </si>
  <si>
    <t>Metta, SI</t>
  </si>
  <si>
    <t>MSF</t>
  </si>
  <si>
    <t>Thandwe</t>
  </si>
  <si>
    <t>ICRC</t>
  </si>
  <si>
    <t>Toungup</t>
  </si>
  <si>
    <t>Myauk Ywa (Kyet Mauk Taung)</t>
  </si>
  <si>
    <t>Aik Chan (Ai' Chun)</t>
  </si>
  <si>
    <t>Oxfam, MA_UK</t>
  </si>
  <si>
    <t>Chinshwehaw Sub-township (Kokang SAZ)</t>
  </si>
  <si>
    <t>Oxfam, KMSS</t>
  </si>
  <si>
    <t>Hkun Mar (Hkwin Ma)</t>
  </si>
  <si>
    <t>PLAN</t>
  </si>
  <si>
    <t>Hopang</t>
  </si>
  <si>
    <t>Hsawng Hpa (Saun Pha)</t>
  </si>
  <si>
    <t>SCI, MA_UK</t>
  </si>
  <si>
    <t>SCI, KBC-HDD-NSS</t>
  </si>
  <si>
    <t>Ka Lawng Hpar</t>
  </si>
  <si>
    <t>SCI, KMSS</t>
  </si>
  <si>
    <t>Kawng Min Hsang</t>
  </si>
  <si>
    <t>Konkyan</t>
  </si>
  <si>
    <t>Konkyan (Kokang SAZ)</t>
  </si>
  <si>
    <t>SI, MA_UK</t>
  </si>
  <si>
    <t>Kunlong</t>
  </si>
  <si>
    <t>SI, KBC</t>
  </si>
  <si>
    <t>Unicef</t>
  </si>
  <si>
    <t>Kyaukme</t>
  </si>
  <si>
    <t>Lashio</t>
  </si>
  <si>
    <t>Laukkaing</t>
  </si>
  <si>
    <t>Laukkaing (Kokang SAZ)</t>
  </si>
  <si>
    <t>Lin Haw</t>
  </si>
  <si>
    <t>Long Htan</t>
  </si>
  <si>
    <t>Mabein</t>
  </si>
  <si>
    <t>Man Man Hseng</t>
  </si>
  <si>
    <t>Man Tun</t>
  </si>
  <si>
    <t>Matman</t>
  </si>
  <si>
    <t>Mongmao</t>
  </si>
  <si>
    <t>Mongmit</t>
  </si>
  <si>
    <t>Mongyai</t>
  </si>
  <si>
    <t>Nam Tit</t>
  </si>
  <si>
    <t>Namhsan</t>
  </si>
  <si>
    <t>Nar Kawng</t>
  </si>
  <si>
    <t>Nar Wee (Na Wi)</t>
  </si>
  <si>
    <t>Narphan</t>
  </si>
  <si>
    <t>Nawng Hkit</t>
  </si>
  <si>
    <t>Nawnghkio</t>
  </si>
  <si>
    <t>Pang Hkam</t>
  </si>
  <si>
    <t>Pang Yang</t>
  </si>
  <si>
    <t>Pangsang</t>
  </si>
  <si>
    <t>Pangwaun</t>
  </si>
  <si>
    <t>Tangyan</t>
  </si>
  <si>
    <t>Yawng Lin</t>
  </si>
  <si>
    <t>Yin Pang</t>
  </si>
  <si>
    <t>ANauk Ywa</t>
  </si>
  <si>
    <t>Myaunk Ywa</t>
  </si>
  <si>
    <t xml:space="preserve">Thet Kel Pyin </t>
  </si>
  <si>
    <t>AD-2000 Tharthana Compound*</t>
  </si>
  <si>
    <t>Phan Khar Kone*</t>
  </si>
  <si>
    <t>Robert Church*</t>
  </si>
  <si>
    <t>Pan Ku</t>
  </si>
  <si>
    <t>Bum Tsit Pa * (1)</t>
  </si>
  <si>
    <t>Lana Zup Ja *</t>
  </si>
  <si>
    <t>Maing Khaung Baptist Church</t>
  </si>
  <si>
    <t>Man Wing Baptist Church*</t>
  </si>
  <si>
    <t>Man Wing Catholic Church*</t>
  </si>
  <si>
    <t>Mansi Baptist Church*</t>
  </si>
  <si>
    <t xml:space="preserve">Nawng Ing (Indawgyi) Baptist Church  </t>
  </si>
  <si>
    <t>Loi Je Lisu  (1) Camp</t>
  </si>
  <si>
    <t xml:space="preserve">Loi Je Nyaung Na Pin </t>
  </si>
  <si>
    <t xml:space="preserve">Loi Je Seng Ja </t>
  </si>
  <si>
    <t>Pa Kahtawng 1 A</t>
  </si>
  <si>
    <t>Nam Hkawng/Manaung kaung</t>
  </si>
  <si>
    <t>Namtu Baptist</t>
  </si>
  <si>
    <t>Woi Chyai  host families</t>
  </si>
  <si>
    <r>
      <t xml:space="preserve">Number of people with equitable and safe access to sufficient quantity of drinking water </t>
    </r>
    <r>
      <rPr>
        <sz val="10"/>
        <color rgb="FF2C2C2C"/>
        <rFont val="Gill Sans MT"/>
        <family val="2"/>
      </rPr>
      <t>(Drinking Water from the improved source, provided collection time is more than 30 minutes for a round trip including queueing)</t>
    </r>
  </si>
  <si>
    <r>
      <t xml:space="preserve">Number of people with equitable and safe access to sufficient quantity of domestic water </t>
    </r>
    <r>
      <rPr>
        <sz val="10"/>
        <color rgb="FF2C2C2C"/>
        <rFont val="Gill Sans MT"/>
        <family val="2"/>
      </rPr>
      <t>(Drinking Water from the improved source, provided collection time is more than 30 minutes for a round trip including queueing)</t>
    </r>
  </si>
  <si>
    <t xml:space="preserve">HRP 2018 Indicators </t>
  </si>
  <si>
    <t>Parameter/Assumptions</t>
  </si>
  <si>
    <t>people per unimproved water source</t>
  </si>
  <si>
    <t xml:space="preserve">Camp:20PPL:1
Village: 6 PPL:1
</t>
  </si>
  <si>
    <t># Existing protected/fenced ponds, river, unprotected springs</t>
  </si>
  <si>
    <t># of hand washing stations at TLS (schools)</t>
  </si>
  <si>
    <t>1 latrine = 1 drophole</t>
  </si>
  <si>
    <t>In sites existing for a few years, the semi-permanent design is the only applicable option to be counted. If there are new sites due to new displacements, the emergency design latrine should be counted.Functional definition includes only mildly damaged roof, wall or door, with lock or some safety/door closure device, no major crack, on slab, no major leakage on pit,  pit is not full. (full pit: gap of 1ft height left before full)</t>
  </si>
  <si>
    <t># of latrines desludged in past quarter (Count the number of latrine dropholes or doors, not number of septic tanks)</t>
  </si>
  <si>
    <t># of children Latrines in camps</t>
  </si>
  <si>
    <t>V29</t>
  </si>
  <si>
    <t>V30</t>
  </si>
  <si>
    <t>V31</t>
  </si>
  <si>
    <t>V32</t>
  </si>
  <si>
    <t>V33</t>
  </si>
  <si>
    <t>V34</t>
  </si>
  <si>
    <t>V35</t>
  </si>
  <si>
    <t>V36</t>
  </si>
  <si>
    <t>V37</t>
  </si>
  <si>
    <t>V38</t>
  </si>
  <si>
    <t>HHs targeted (i.e. 89% of HHs in Rakhine) who received sanitary pads at least once in the past quarter (sanitary pads mean: a pack of sanitary pads as of amount in standard Hygiene Kit.)</t>
  </si>
  <si>
    <t>HHs targeted (i.e. 89% in Rakhine) who received soap at least once in the past quarter (Soap means: a pack of soaps as of amount in standard Hygiene Kit )</t>
  </si>
  <si>
    <t>HRP 1</t>
  </si>
  <si>
    <t>HRP 2</t>
  </si>
  <si>
    <t>V36, V37</t>
  </si>
  <si>
    <t># of latrines in TLS (schools)</t>
  </si>
  <si>
    <t xml:space="preserve"> (Yes/No)</t>
  </si>
  <si>
    <r>
      <t xml:space="preserve">*TLS:temporary learning space </t>
    </r>
    <r>
      <rPr>
        <sz val="8"/>
        <color theme="1"/>
        <rFont val="Corbel"/>
        <family val="2"/>
      </rPr>
      <t>ယာယီ စာသင်ကြားရေး နေရာ</t>
    </r>
  </si>
  <si>
    <t>TLS တွင် လုံလောက်သော ဆပ်ပြာ ရှိပါသလား</t>
  </si>
  <si>
    <t>ကောင်းမွန်စွာ အသုံးပြုနိုင်၍ ဖုံးကာထားပြီး တစ်နေ့လုံး အတွက် သုံးရေ သောက်ရေ ရရှိနိုင်သော ရေတွင်း #</t>
  </si>
  <si>
    <t>ကောင်းမွန်စွာ အသုံးပြုနိုင်သော အဝီစိတွင်း (ပိုက်စိုက်ထားသော / တွင်းတူးထားသော) တစ်နေ့လုံး အတွက် သုံးရေ သောက်ရေ ရရှိနိုင်သော ရေတွင်း #</t>
  </si>
  <si>
    <t>အိမ်သာကန်ရှင်းသော အကြိမ်ရေအတွက် (ကန်#အားဖြင့်် ရေတွက်ခြင်း မဟုတ်ပါ။ အိမ်သာ # ကိုဖြင့််သွင်းပါ။)</t>
  </si>
  <si>
    <t>အပြည့်အဝလွှဲပြောင်းပေးပြီးသော အိမ်သာ# (မိသားစုများ။ မိသားစု အစုအဖွဲ့များက ဦးစီးသော)</t>
  </si>
  <si>
    <t>ဤကာလအတွင်း ပိုးမွှားသန့်စင်မှု ဆိုင်ရာ လုပ်ဆောင်သူ #တွက် အဖွဲအစည်းမှ အခကြေးငွေ ရယူ ဆောင်ရွက်သူများပါဝင်သည်။</t>
  </si>
  <si>
    <t>ပြီးခဲ့သော သုံးလအတွင်း ဆပ်ပြာ အနည်းဆုံး တစ်ကြိမ်ရသော အိမ်ထောင်စု #
(ဆပ်ပြာ။ ။ standard Hygiene Kit တွင် ပါဝင်သော ဆပ်ပြာ # ကိုဆိုလိုသည်)</t>
  </si>
  <si>
    <t>ပြီးခဲ့သော သုံးလအတွင်း အမျိုးသမီး ဓမ္မတာ အသုံးအဆောင် များ အနည်းဆုံး တစ်ကြိမ်ရသော အိမ်ထောင်စု #
(အမျိုးသမီး ဓမ္မတာ အသုံးအဆောင် များ ။ ။ standard Hygiene Kit တွင် ပါဝင်သော အမျိုးသမီး ဓမ္မတာ အသုံးအဆောင် # ကိုဆိုလိုသည်)</t>
  </si>
  <si>
    <t xml:space="preserve"> TLS ရှိ ကျောင်းသား အရေအတွက်</t>
  </si>
  <si>
    <t xml:space="preserve"> TLS တွင် လက်ဆးရန် နေရာ အရေအတွက်</t>
  </si>
  <si>
    <t>ပြီးခဲ့သော သုံးလပါတ်အတွင်း အိမ်သာကန်ရှင်းသော အကြိမ်အရေအတွက်</t>
  </si>
  <si>
    <t>စခန်းရှိ ကလေးသုံး အိမ်သာ အရေအတွက်</t>
  </si>
  <si>
    <t xml:space="preserve"> TLSရှိ ကလေးသုံး အိမ်သာ အရေအတွက်</t>
  </si>
  <si>
    <t>V11b</t>
  </si>
  <si>
    <t>Chauk Maing</t>
  </si>
  <si>
    <t>Pang Kawng</t>
  </si>
  <si>
    <t xml:space="preserve">Mai Ja Yang </t>
  </si>
  <si>
    <t xml:space="preserve">Lana Zup Ja </t>
  </si>
  <si>
    <t xml:space="preserve">New Lana Zup Ja </t>
  </si>
  <si>
    <t>Bumtsit Pa 1</t>
  </si>
  <si>
    <t>Bumtsit Pa 2</t>
  </si>
  <si>
    <t>Bumtsit Pa 3</t>
  </si>
  <si>
    <t>လူ့အဖွဲ့အစည်းအတွင်း အသုံးပြု၍ရသော လက်ဆေးနေရာများ</t>
  </si>
  <si>
    <t>ဆပ်ပြာရရှိသော အိမ်ထောင်စု</t>
  </si>
  <si>
    <t>အမျိုးသမီး ဓမ္မတာ အသုံးအဆောင် ရရှိသော အိမ်ထောင်စု</t>
  </si>
  <si>
    <r>
      <t># HHs with access to a functioning communal handwashing stations (</t>
    </r>
    <r>
      <rPr>
        <b/>
        <sz val="10"/>
        <color rgb="FFFF0000"/>
        <rFont val="Corbel"/>
        <family val="2"/>
      </rPr>
      <t>functional</t>
    </r>
    <r>
      <rPr>
        <sz val="10"/>
        <color rgb="FFFF0000"/>
        <rFont val="Corbel"/>
        <family val="2"/>
      </rPr>
      <t xml:space="preserve"> means e.g. with water and soap present, taps working)</t>
    </r>
  </si>
  <si>
    <t>ဆပ်ပြာရရှိသော အိမ်ထောင်စု #</t>
  </si>
  <si>
    <t>အမျိုးသမီး ဓမ္မတာ အသုံးအဆောင် ရရှိသော အိမ်ထောင်စု #</t>
  </si>
  <si>
    <t>MMR015CMP237</t>
  </si>
  <si>
    <t>MMR015CMP241</t>
  </si>
  <si>
    <t>MMR015CMP242</t>
  </si>
  <si>
    <t>MMR001CMP215</t>
  </si>
  <si>
    <t>MMR001CMP216</t>
  </si>
  <si>
    <t>MMR001CMP214</t>
  </si>
  <si>
    <t>MMR001CMP153</t>
  </si>
  <si>
    <t>MMR001CMP046</t>
  </si>
  <si>
    <t>KMSS-MYT</t>
  </si>
  <si>
    <t>MMR015CMP236</t>
  </si>
  <si>
    <t>MMR015CMP233</t>
  </si>
  <si>
    <t>MMR001CMP147</t>
  </si>
  <si>
    <t>MMR001CMP146</t>
  </si>
  <si>
    <t>MMR015CMP232</t>
  </si>
  <si>
    <t>KMSS-LSO</t>
  </si>
  <si>
    <t>MMR015CMP222</t>
  </si>
  <si>
    <t>MMR001CMP136</t>
  </si>
  <si>
    <t>MMR015CMP002</t>
  </si>
  <si>
    <t>MMR015CMP139</t>
  </si>
  <si>
    <t>MMR001CMP209</t>
  </si>
  <si>
    <t>MMR015CMP238</t>
  </si>
  <si>
    <t>MMR015CMP230</t>
  </si>
  <si>
    <t>MMR015CMP231</t>
  </si>
  <si>
    <t>MMR015CMP229</t>
  </si>
  <si>
    <t>MMR001CMP219</t>
  </si>
  <si>
    <t>MMR015CMP239</t>
  </si>
  <si>
    <t>MMR001CMP211</t>
  </si>
  <si>
    <t>MMR015CMP243</t>
  </si>
  <si>
    <t>MMR012CMP037</t>
  </si>
  <si>
    <t>MMR012CMP038</t>
  </si>
  <si>
    <t>198657</t>
  </si>
  <si>
    <t>198611</t>
  </si>
  <si>
    <t>198645</t>
  </si>
  <si>
    <t>198643</t>
  </si>
  <si>
    <t>198647</t>
  </si>
  <si>
    <t>198612</t>
  </si>
  <si>
    <t>198514</t>
  </si>
  <si>
    <t>198516</t>
  </si>
  <si>
    <t>198512</t>
  </si>
  <si>
    <t>MMR012CMP036</t>
  </si>
  <si>
    <t>MMR012CMP035</t>
  </si>
  <si>
    <t>199191</t>
  </si>
  <si>
    <t>199264</t>
  </si>
  <si>
    <t>199261</t>
  </si>
  <si>
    <t>199262</t>
  </si>
  <si>
    <t>199266</t>
  </si>
  <si>
    <t>199265</t>
  </si>
  <si>
    <t>199223</t>
  </si>
  <si>
    <t>199218</t>
  </si>
  <si>
    <t>199156</t>
  </si>
  <si>
    <t>199161</t>
  </si>
  <si>
    <t>199159</t>
  </si>
  <si>
    <t>199158</t>
  </si>
  <si>
    <t>199157</t>
  </si>
  <si>
    <t>199160</t>
  </si>
  <si>
    <t>199137</t>
  </si>
  <si>
    <t>199133</t>
  </si>
  <si>
    <t>199135</t>
  </si>
  <si>
    <t>197566</t>
  </si>
  <si>
    <t>199134</t>
  </si>
  <si>
    <t>220838</t>
  </si>
  <si>
    <t>199235</t>
  </si>
  <si>
    <t>199241</t>
  </si>
  <si>
    <t>199236</t>
  </si>
  <si>
    <t>199250</t>
  </si>
  <si>
    <t>199248</t>
  </si>
  <si>
    <t>199233</t>
  </si>
  <si>
    <t>199240</t>
  </si>
  <si>
    <t>197309</t>
  </si>
  <si>
    <t>197254</t>
  </si>
  <si>
    <t>197253</t>
  </si>
  <si>
    <t>197255</t>
  </si>
  <si>
    <t>217974</t>
  </si>
  <si>
    <t>217973</t>
  </si>
  <si>
    <t>MMR012CMP014</t>
  </si>
  <si>
    <t>MMR012CMP013</t>
  </si>
  <si>
    <t>197486</t>
  </si>
  <si>
    <t>197550</t>
  </si>
  <si>
    <t>197479</t>
  </si>
  <si>
    <t>197378</t>
  </si>
  <si>
    <t>197548</t>
  </si>
  <si>
    <t>MMR012CMP019</t>
  </si>
  <si>
    <t>MMR012CMP096</t>
  </si>
  <si>
    <t>197430</t>
  </si>
  <si>
    <t>197562</t>
  </si>
  <si>
    <t>MMR012CMP017</t>
  </si>
  <si>
    <t>LWF</t>
  </si>
  <si>
    <t>197277</t>
  </si>
  <si>
    <t>197557</t>
  </si>
  <si>
    <t>197366</t>
  </si>
  <si>
    <t>MMR012CMP018</t>
  </si>
  <si>
    <t>197558</t>
  </si>
  <si>
    <t>197279</t>
  </si>
  <si>
    <t>197531</t>
  </si>
  <si>
    <t>MMR012CMP016</t>
  </si>
  <si>
    <t>197537</t>
  </si>
  <si>
    <t>197280</t>
  </si>
  <si>
    <t>196142</t>
  </si>
  <si>
    <t>196208</t>
  </si>
  <si>
    <t>MMR012CMP039</t>
  </si>
  <si>
    <t>196141</t>
  </si>
  <si>
    <t>196130</t>
  </si>
  <si>
    <t>220593</t>
  </si>
  <si>
    <t>MMR012CMP056</t>
  </si>
  <si>
    <t>196209</t>
  </si>
  <si>
    <t>197286</t>
  </si>
  <si>
    <t>MMR012CMP105</t>
  </si>
  <si>
    <t>MMR012CMP111</t>
  </si>
  <si>
    <t>MMR012CMP112</t>
  </si>
  <si>
    <t>MMR012CMP057</t>
  </si>
  <si>
    <t>MMR012CMP093</t>
  </si>
  <si>
    <t>MMR012CMP047</t>
  </si>
  <si>
    <t>196211</t>
  </si>
  <si>
    <t>MMR012CMP046</t>
  </si>
  <si>
    <t>MMR012CMP097</t>
  </si>
  <si>
    <t>MMR012CMP041</t>
  </si>
  <si>
    <t>MMR012CMP015</t>
  </si>
  <si>
    <t>MMR012CMP113</t>
  </si>
  <si>
    <t>MMR012CMP048</t>
  </si>
  <si>
    <t>NRC</t>
  </si>
  <si>
    <t>MMR012CMP102</t>
  </si>
  <si>
    <t>MMR012CMP040</t>
  </si>
  <si>
    <t>MMR012CMP114</t>
  </si>
  <si>
    <t>MMR012CMP091</t>
  </si>
  <si>
    <t>MMR012CMP042</t>
  </si>
  <si>
    <t>MMR012CMP103</t>
  </si>
  <si>
    <t>MMR012CMP116</t>
  </si>
  <si>
    <t>MMR012CMP092</t>
  </si>
  <si>
    <t>MMR012CMP115</t>
  </si>
  <si>
    <t>196155</t>
  </si>
  <si>
    <t>196156</t>
  </si>
  <si>
    <t>196159</t>
  </si>
  <si>
    <t>MMR012CMP045</t>
  </si>
  <si>
    <t>197176</t>
  </si>
  <si>
    <t>MMR012CMP098</t>
  </si>
  <si>
    <t>MMR012CMP044</t>
  </si>
  <si>
    <t>196144</t>
  </si>
  <si>
    <t>196140</t>
  </si>
  <si>
    <t>220671</t>
  </si>
  <si>
    <t>196145</t>
  </si>
  <si>
    <t>197171</t>
  </si>
  <si>
    <t>196139</t>
  </si>
  <si>
    <t>196143</t>
  </si>
  <si>
    <t>196138</t>
  </si>
  <si>
    <t>196412</t>
  </si>
  <si>
    <t>196137</t>
  </si>
  <si>
    <t>196408</t>
  </si>
  <si>
    <t>196377</t>
  </si>
  <si>
    <t>196375</t>
  </si>
  <si>
    <t>196401</t>
  </si>
  <si>
    <t>MMR012CMP031</t>
  </si>
  <si>
    <t>197779</t>
  </si>
  <si>
    <t>196359</t>
  </si>
  <si>
    <t>196357</t>
  </si>
  <si>
    <t>MMR012CMP001</t>
  </si>
  <si>
    <t>197765</t>
  </si>
  <si>
    <t>MMR012CMP002</t>
  </si>
  <si>
    <t>196994</t>
  </si>
  <si>
    <t>196998</t>
  </si>
  <si>
    <t>196996</t>
  </si>
  <si>
    <t>MMR012CMP003</t>
  </si>
  <si>
    <t>MMR012CMP032</t>
  </si>
  <si>
    <t>MMR012CMP008</t>
  </si>
  <si>
    <t>MMR012CMP033</t>
  </si>
  <si>
    <t>MMR012CMP104</t>
  </si>
  <si>
    <t>196356</t>
  </si>
  <si>
    <t>MMR012CMP110</t>
  </si>
  <si>
    <t>220626</t>
  </si>
  <si>
    <t>196496</t>
  </si>
  <si>
    <t>MMR012CMP006</t>
  </si>
  <si>
    <t>196349</t>
  </si>
  <si>
    <t>196508</t>
  </si>
  <si>
    <t>196350</t>
  </si>
  <si>
    <t>MMR012CMP117</t>
  </si>
  <si>
    <t>MMR012CMP010</t>
  </si>
  <si>
    <t>196351</t>
  </si>
  <si>
    <t>196337</t>
  </si>
  <si>
    <t>197596</t>
  </si>
  <si>
    <t>197609</t>
  </si>
  <si>
    <t>197067</t>
  </si>
  <si>
    <t>197608</t>
  </si>
  <si>
    <t>197595</t>
  </si>
  <si>
    <t>198075</t>
  </si>
  <si>
    <t>197599</t>
  </si>
  <si>
    <t>197601</t>
  </si>
  <si>
    <t>197602</t>
  </si>
  <si>
    <t>197600</t>
  </si>
  <si>
    <t>197597</t>
  </si>
  <si>
    <t>197603</t>
  </si>
  <si>
    <t>197593</t>
  </si>
  <si>
    <t>196331</t>
  </si>
  <si>
    <t>MMR012CMP034</t>
  </si>
  <si>
    <t>197590</t>
  </si>
  <si>
    <t>197589</t>
  </si>
  <si>
    <t>MMR012CMP009</t>
  </si>
  <si>
    <t>197591</t>
  </si>
  <si>
    <t>220694</t>
  </si>
  <si>
    <t>196429</t>
  </si>
  <si>
    <t>197580</t>
  </si>
  <si>
    <t>197585</t>
  </si>
  <si>
    <t>MMR012CMP005</t>
  </si>
  <si>
    <t>197586</t>
  </si>
  <si>
    <t>196321</t>
  </si>
  <si>
    <t>197583</t>
  </si>
  <si>
    <t>196318</t>
  </si>
  <si>
    <t>MMR012CMP012</t>
  </si>
  <si>
    <t>196316</t>
  </si>
  <si>
    <t>196312</t>
  </si>
  <si>
    <t>197690</t>
  </si>
  <si>
    <t>197707</t>
  </si>
  <si>
    <t>197706</t>
  </si>
  <si>
    <t>196983</t>
  </si>
  <si>
    <t>196926</t>
  </si>
  <si>
    <t>196313</t>
  </si>
  <si>
    <t>198058</t>
  </si>
  <si>
    <t>198450</t>
  </si>
  <si>
    <t>197691</t>
  </si>
  <si>
    <t>198449</t>
  </si>
  <si>
    <t>198451</t>
  </si>
  <si>
    <t>198452</t>
  </si>
  <si>
    <t>198448</t>
  </si>
  <si>
    <t>198026</t>
  </si>
  <si>
    <t>217884</t>
  </si>
  <si>
    <t>198447</t>
  </si>
  <si>
    <t>217885</t>
  </si>
  <si>
    <t>217886</t>
  </si>
  <si>
    <t>197674</t>
  </si>
  <si>
    <t>197670</t>
  </si>
  <si>
    <t>220754</t>
  </si>
  <si>
    <t>198443</t>
  </si>
  <si>
    <t>198444</t>
  </si>
  <si>
    <t>198421</t>
  </si>
  <si>
    <t>197669</t>
  </si>
  <si>
    <t>198446</t>
  </si>
  <si>
    <t>198442</t>
  </si>
  <si>
    <t>MMR012CMP026</t>
  </si>
  <si>
    <t>196643</t>
  </si>
  <si>
    <t>196642</t>
  </si>
  <si>
    <t>198431</t>
  </si>
  <si>
    <t>198428</t>
  </si>
  <si>
    <t>196943</t>
  </si>
  <si>
    <t>198423</t>
  </si>
  <si>
    <t>196973</t>
  </si>
  <si>
    <t>MMR012CMP027</t>
  </si>
  <si>
    <t>MMR012CMP109</t>
  </si>
  <si>
    <t>198049</t>
  </si>
  <si>
    <t>MMR012CMP088</t>
  </si>
  <si>
    <t>220744</t>
  </si>
  <si>
    <t>197666</t>
  </si>
  <si>
    <t>198047</t>
  </si>
  <si>
    <t>198045</t>
  </si>
  <si>
    <t>198048</t>
  </si>
  <si>
    <t>198046</t>
  </si>
  <si>
    <t>MMR012CMP024</t>
  </si>
  <si>
    <t>196946</t>
  </si>
  <si>
    <t>196950</t>
  </si>
  <si>
    <t>198429</t>
  </si>
  <si>
    <t>198432</t>
  </si>
  <si>
    <t>196951</t>
  </si>
  <si>
    <t>198430</t>
  </si>
  <si>
    <t>197665</t>
  </si>
  <si>
    <t>198418</t>
  </si>
  <si>
    <t>MMR012CMP028</t>
  </si>
  <si>
    <t>198425</t>
  </si>
  <si>
    <t>198399</t>
  </si>
  <si>
    <t>198398</t>
  </si>
  <si>
    <t>198427</t>
  </si>
  <si>
    <t>217879</t>
  </si>
  <si>
    <t>198390</t>
  </si>
  <si>
    <t>198413</t>
  </si>
  <si>
    <t>198391</t>
  </si>
  <si>
    <t>198408</t>
  </si>
  <si>
    <t>220739</t>
  </si>
  <si>
    <t>198409</t>
  </si>
  <si>
    <t>198404</t>
  </si>
  <si>
    <t>198410</t>
  </si>
  <si>
    <t>198407</t>
  </si>
  <si>
    <t>198002</t>
  </si>
  <si>
    <t>MMR012CMP029</t>
  </si>
  <si>
    <t>197999</t>
  </si>
  <si>
    <t>196869</t>
  </si>
  <si>
    <t>198001</t>
  </si>
  <si>
    <t>198380</t>
  </si>
  <si>
    <t>198000</t>
  </si>
  <si>
    <t>198378</t>
  </si>
  <si>
    <t>198367</t>
  </si>
  <si>
    <t>198379</t>
  </si>
  <si>
    <t>217895</t>
  </si>
  <si>
    <t>198368</t>
  </si>
  <si>
    <t>197995</t>
  </si>
  <si>
    <t>196883</t>
  </si>
  <si>
    <t>197997</t>
  </si>
  <si>
    <t>MMR012CMP020</t>
  </si>
  <si>
    <t>197996</t>
  </si>
  <si>
    <t>198369</t>
  </si>
  <si>
    <t>196873</t>
  </si>
  <si>
    <t>217876</t>
  </si>
  <si>
    <t>198335</t>
  </si>
  <si>
    <t>MMR012CMP084</t>
  </si>
  <si>
    <t>198356</t>
  </si>
  <si>
    <t>217894</t>
  </si>
  <si>
    <t>MMR012CMP086</t>
  </si>
  <si>
    <t>197990</t>
  </si>
  <si>
    <t>MMR012CMP082</t>
  </si>
  <si>
    <t>197989</t>
  </si>
  <si>
    <t>MMR012CMP085</t>
  </si>
  <si>
    <t>198334</t>
  </si>
  <si>
    <t>MMR012CMP083</t>
  </si>
  <si>
    <t>197992</t>
  </si>
  <si>
    <t>198332</t>
  </si>
  <si>
    <t>MMR012CMP095</t>
  </si>
  <si>
    <t>MMR012CMP023</t>
  </si>
  <si>
    <t>198291</t>
  </si>
  <si>
    <t>198301</t>
  </si>
  <si>
    <t>198299</t>
  </si>
  <si>
    <t>198292</t>
  </si>
  <si>
    <t>198302</t>
  </si>
  <si>
    <t>MMR012CMP030</t>
  </si>
  <si>
    <t>217871</t>
  </si>
  <si>
    <t>198300</t>
  </si>
  <si>
    <t>198317</t>
  </si>
  <si>
    <t>198303</t>
  </si>
  <si>
    <t>198297</t>
  </si>
  <si>
    <t>198316</t>
  </si>
  <si>
    <t>198318</t>
  </si>
  <si>
    <t>MMR012CMP025</t>
  </si>
  <si>
    <t>196787</t>
  </si>
  <si>
    <t>MMR012CMP022</t>
  </si>
  <si>
    <t>MMR012CMP021</t>
  </si>
  <si>
    <t>217866</t>
  </si>
  <si>
    <t>198164</t>
  </si>
  <si>
    <t>198185</t>
  </si>
  <si>
    <t>198187</t>
  </si>
  <si>
    <t>198183</t>
  </si>
  <si>
    <t>198184</t>
  </si>
  <si>
    <t>197896</t>
  </si>
  <si>
    <t>197897</t>
  </si>
  <si>
    <t>196767</t>
  </si>
  <si>
    <t>197890</t>
  </si>
  <si>
    <t>197879</t>
  </si>
  <si>
    <t>197880</t>
  </si>
  <si>
    <t>197887</t>
  </si>
  <si>
    <t>197883</t>
  </si>
  <si>
    <t>197867</t>
  </si>
  <si>
    <t>MMR012CMP094</t>
  </si>
  <si>
    <t>220747</t>
  </si>
  <si>
    <t>197839</t>
  </si>
  <si>
    <t>220722</t>
  </si>
  <si>
    <t>197820</t>
  </si>
  <si>
    <t>197817</t>
  </si>
  <si>
    <t>MMR015CMP244</t>
  </si>
  <si>
    <t>MMR015CMP221</t>
  </si>
  <si>
    <t>MMR015CMP210</t>
  </si>
  <si>
    <t>MMR015CMP014</t>
  </si>
  <si>
    <t>MMR015CMP248</t>
  </si>
  <si>
    <t>MMR015CMP228</t>
  </si>
  <si>
    <t>MMR015CMP209</t>
  </si>
  <si>
    <t>MMR015CMP009</t>
  </si>
  <si>
    <t>MMR015CMP226</t>
  </si>
  <si>
    <t>MMR015CMP218</t>
  </si>
  <si>
    <t>MMR015CMP207</t>
  </si>
  <si>
    <t>MMR015CMP020</t>
  </si>
  <si>
    <t>MMR015CMP006</t>
  </si>
  <si>
    <t>MMR015CMP015</t>
  </si>
  <si>
    <t>MMR015CMP219</t>
  </si>
  <si>
    <t>MMR015CMP016</t>
  </si>
  <si>
    <t>MMR015CMP245</t>
  </si>
  <si>
    <t>MMR015CMP017</t>
  </si>
  <si>
    <t>MMR015CMP217</t>
  </si>
  <si>
    <t>MMR015CMP018</t>
  </si>
  <si>
    <t>MMR015CMP220</t>
  </si>
  <si>
    <t>MMR015CMP224</t>
  </si>
  <si>
    <t>MMR015CMP223</t>
  </si>
  <si>
    <t>MMR015CMP225</t>
  </si>
  <si>
    <t>MMR015CMP007</t>
  </si>
  <si>
    <t>MMR001CMP204</t>
  </si>
  <si>
    <t>MMR001CMP137</t>
  </si>
  <si>
    <t>MMR015CMP004</t>
  </si>
  <si>
    <t>MMR001CMP134</t>
  </si>
  <si>
    <t>MMR015CMP003</t>
  </si>
  <si>
    <t>MMR015CMP001</t>
  </si>
  <si>
    <t>MMR001CMP230</t>
  </si>
  <si>
    <t>MMR001CMP133</t>
  </si>
  <si>
    <t>MMR001CMP228</t>
  </si>
  <si>
    <t>MMR001CMP132</t>
  </si>
  <si>
    <t>MMR015CMP215</t>
  </si>
  <si>
    <t>MMR015CMP214</t>
  </si>
  <si>
    <t>MMR015CMP227</t>
  </si>
  <si>
    <t>MMR001CMP202</t>
  </si>
  <si>
    <t>MMR001CMP135</t>
  </si>
  <si>
    <t>MMR015CMP010</t>
  </si>
  <si>
    <t>MMR001CMP218</t>
  </si>
  <si>
    <t>MMR001CMP223</t>
  </si>
  <si>
    <t>MMR015CMP011</t>
  </si>
  <si>
    <t>Camp_not registered</t>
  </si>
  <si>
    <t>MMR001CMP226</t>
  </si>
  <si>
    <t>MMR001CMP129</t>
  </si>
  <si>
    <t>MMR015CMP213</t>
  </si>
  <si>
    <t>MMR015CMP216</t>
  </si>
  <si>
    <t>MMR015CMP005</t>
  </si>
  <si>
    <t>MMR001CMP128</t>
  </si>
  <si>
    <t>MMR015CMP022</t>
  </si>
  <si>
    <t>MMR015CMP012</t>
  </si>
  <si>
    <t>MMR001CMP196</t>
  </si>
  <si>
    <t>MMR001CMP066</t>
  </si>
  <si>
    <t>MMR001CMP212</t>
  </si>
  <si>
    <t>MMR001CMP213</t>
  </si>
  <si>
    <t>MMR001CMP067</t>
  </si>
  <si>
    <t>MMR001CMP068</t>
  </si>
  <si>
    <t>MMR001CMP070</t>
  </si>
  <si>
    <t>MMR001CMP071</t>
  </si>
  <si>
    <t>MMR001CMP069</t>
  </si>
  <si>
    <t>MMR001CMP072</t>
  </si>
  <si>
    <t>MMR001CMP203</t>
  </si>
  <si>
    <t>MMR001CMP073</t>
  </si>
  <si>
    <t>MMR001CMP193</t>
  </si>
  <si>
    <t>MMR001CMP199</t>
  </si>
  <si>
    <t>MMR001CMP062</t>
  </si>
  <si>
    <t>MMR001CMP052</t>
  </si>
  <si>
    <t>MMR001CMP053</t>
  </si>
  <si>
    <t>MMR001CMP056</t>
  </si>
  <si>
    <t>MMR001CMP197</t>
  </si>
  <si>
    <t>MMR001CMP057</t>
  </si>
  <si>
    <t>MMR001CMP058</t>
  </si>
  <si>
    <t>MMR001CMP051</t>
  </si>
  <si>
    <t>MMR001CMP059</t>
  </si>
  <si>
    <t>MMR001CMP194</t>
  </si>
  <si>
    <t>MMR001CMP050</t>
  </si>
  <si>
    <t>MMR001CMP048</t>
  </si>
  <si>
    <t>MMR001CMP049</t>
  </si>
  <si>
    <t>MMR001CMP163</t>
  </si>
  <si>
    <t>MMR001CMP047</t>
  </si>
  <si>
    <t>MMR001CMP126</t>
  </si>
  <si>
    <t>MMR001CMP055</t>
  </si>
  <si>
    <t>MMR001CMP054</t>
  </si>
  <si>
    <t>MMR001CMP200</t>
  </si>
  <si>
    <t>MMR001CMP131</t>
  </si>
  <si>
    <t>MMR001CMP061</t>
  </si>
  <si>
    <t>MMR001CMP063</t>
  </si>
  <si>
    <t>MMR001CMP064</t>
  </si>
  <si>
    <t>MMR001CMP123</t>
  </si>
  <si>
    <t>MMR001CMP060</t>
  </si>
  <si>
    <t>MMR001CMP240</t>
  </si>
  <si>
    <t>MMR001CMP065</t>
  </si>
  <si>
    <t>MMR001CMP122</t>
  </si>
  <si>
    <t>MMR001CMP121</t>
  </si>
  <si>
    <t>MMR001CMP117</t>
  </si>
  <si>
    <t>MMR001CMP208</t>
  </si>
  <si>
    <t>MMR001CMP116</t>
  </si>
  <si>
    <t>MMR001CMP198</t>
  </si>
  <si>
    <t>MMR001CMP080</t>
  </si>
  <si>
    <t>MMR001CMP233</t>
  </si>
  <si>
    <t>MMR001CMP120</t>
  </si>
  <si>
    <t>MMR001CMP119</t>
  </si>
  <si>
    <t>MMR001CMP232</t>
  </si>
  <si>
    <t>MMR001CMP081</t>
  </si>
  <si>
    <t>MMR001CMP152</t>
  </si>
  <si>
    <t>MMR001CMP111</t>
  </si>
  <si>
    <t>MMR001CMP149</t>
  </si>
  <si>
    <t>MMR001CMP115</t>
  </si>
  <si>
    <t>MMR001CMP113</t>
  </si>
  <si>
    <t>MMR001CMP235</t>
  </si>
  <si>
    <t>MMR001CMP236</t>
  </si>
  <si>
    <t>MMR001CMP160</t>
  </si>
  <si>
    <t>MMR001CMP077</t>
  </si>
  <si>
    <t>MMR001CMP237</t>
  </si>
  <si>
    <t>MMR001CMP079</t>
  </si>
  <si>
    <t>MMR001CMP248</t>
  </si>
  <si>
    <t>MMR001CMP078</t>
  </si>
  <si>
    <t>MMR001CMP028</t>
  </si>
  <si>
    <t>MMR001CMP037</t>
  </si>
  <si>
    <t>MMR001CMP030</t>
  </si>
  <si>
    <t>MMR001CMP026</t>
  </si>
  <si>
    <t>MMR001CMP014</t>
  </si>
  <si>
    <t>MMR001CMP038</t>
  </si>
  <si>
    <t>MMR001CMP025</t>
  </si>
  <si>
    <t>MMR001CMP033</t>
  </si>
  <si>
    <t>MMR001CMP032</t>
  </si>
  <si>
    <t>MMR001CMP036</t>
  </si>
  <si>
    <t>MMR001CMP027</t>
  </si>
  <si>
    <t>MMR001CMP016</t>
  </si>
  <si>
    <t>MMR001CMP015</t>
  </si>
  <si>
    <t>MMR001CMP013</t>
  </si>
  <si>
    <t>MMR001CMP021</t>
  </si>
  <si>
    <t>MMR001CMP020</t>
  </si>
  <si>
    <t>MMR001CMP022</t>
  </si>
  <si>
    <t>MMR001CMP017</t>
  </si>
  <si>
    <t>MMR001CMP010</t>
  </si>
  <si>
    <t>MMR001CMP011</t>
  </si>
  <si>
    <t>MMR001CMP012</t>
  </si>
  <si>
    <t>MMR001CMP019</t>
  </si>
  <si>
    <t>MMR001CMP018</t>
  </si>
  <si>
    <t>MMR001CMP005</t>
  </si>
  <si>
    <t>MMR001CMP003</t>
  </si>
  <si>
    <t>MMR001CMP039</t>
  </si>
  <si>
    <t>MMR001CMP024</t>
  </si>
  <si>
    <t>MMR001CMP040</t>
  </si>
  <si>
    <t>MMR001CMP006</t>
  </si>
  <si>
    <t>MMR001CMP001</t>
  </si>
  <si>
    <t>MMR001CMP029</t>
  </si>
  <si>
    <t>MMR001CMP004</t>
  </si>
  <si>
    <t>MMR001CMP041</t>
  </si>
  <si>
    <t>MMR001CMP002</t>
  </si>
  <si>
    <t>MMR001CMP023</t>
  </si>
  <si>
    <t>MMR001CMP007</t>
  </si>
  <si>
    <t>MMR001CMP031</t>
  </si>
  <si>
    <t>MMR001CMP008</t>
  </si>
  <si>
    <t>MMR001CMP009</t>
  </si>
  <si>
    <t>MMR001CMP162</t>
  </si>
  <si>
    <t>MMR001CMP148</t>
  </si>
  <si>
    <t>MMR001CMP182</t>
  </si>
  <si>
    <t>MMR001CMP181</t>
  </si>
  <si>
    <t>MMR001CMP184</t>
  </si>
  <si>
    <t>MMR001CMP185</t>
  </si>
  <si>
    <t>MMR001CMP109</t>
  </si>
  <si>
    <t>MMR001CMP105</t>
  </si>
  <si>
    <t>MMR001CMP210</t>
  </si>
  <si>
    <t>MMR001CMP229</t>
  </si>
  <si>
    <t>MMR001CMP103</t>
  </si>
  <si>
    <t>MMR001CMP091</t>
  </si>
  <si>
    <t>MMR001CMP191</t>
  </si>
  <si>
    <t>MMR001CMP190</t>
  </si>
  <si>
    <t>MMR001CMP192</t>
  </si>
  <si>
    <t>MMR001CMP167</t>
  </si>
  <si>
    <t>MMR001CMP176</t>
  </si>
  <si>
    <t>MMR001CMP174</t>
  </si>
  <si>
    <t>MMR001CMP225</t>
  </si>
  <si>
    <t>MMR001CMP169</t>
  </si>
  <si>
    <t>MMR001CMP168</t>
  </si>
  <si>
    <t>MMR001CMP179</t>
  </si>
  <si>
    <t>MMR001CMP177</t>
  </si>
  <si>
    <t>MMR001CMP183</t>
  </si>
  <si>
    <t>MMR001CMP172</t>
  </si>
  <si>
    <t>MMR001CMP045</t>
  </si>
  <si>
    <t>MMR001CMP188</t>
  </si>
  <si>
    <t>MMR001CMP043</t>
  </si>
  <si>
    <t>MMR001CMP231</t>
  </si>
  <si>
    <t>MMR001CMP242</t>
  </si>
  <si>
    <t>MMR001CMP195</t>
  </si>
  <si>
    <t>MMR001CMP042</t>
  </si>
  <si>
    <t>MMR001CMP243</t>
  </si>
  <si>
    <t>MMR001CMP247</t>
  </si>
  <si>
    <t>MMR001CMP244</t>
  </si>
  <si>
    <t>MMR001CMP246</t>
  </si>
  <si>
    <t>MMR001CMP245</t>
  </si>
  <si>
    <t>MMR001CMP206</t>
  </si>
  <si>
    <t>MMR001CMP239</t>
  </si>
  <si>
    <t>MMR001CMP238</t>
  </si>
  <si>
    <t>MMR001CMP074</t>
  </si>
  <si>
    <t>MMR001CMP227</t>
  </si>
  <si>
    <t>MMR001CMP220</t>
  </si>
  <si>
    <t>MMR001CMP221</t>
  </si>
  <si>
    <t>MMR001CMP075</t>
  </si>
  <si>
    <t>MMR001CMP234</t>
  </si>
  <si>
    <t>196210</t>
  </si>
  <si>
    <t>196823</t>
  </si>
  <si>
    <t>196884</t>
  </si>
  <si>
    <t>196886</t>
  </si>
  <si>
    <t>196927</t>
  </si>
  <si>
    <t>196929</t>
  </si>
  <si>
    <t>196971</t>
  </si>
  <si>
    <t>196878</t>
  </si>
  <si>
    <t>196875</t>
  </si>
  <si>
    <t>MMR015CMP247</t>
  </si>
  <si>
    <t>MMR</t>
  </si>
  <si>
    <t>220693</t>
  </si>
  <si>
    <t>197174</t>
  </si>
  <si>
    <t>MMR001CMP250</t>
  </si>
  <si>
    <t>MMR015CMP246</t>
  </si>
  <si>
    <t>196759</t>
  </si>
  <si>
    <t>MMR001CMP249</t>
  </si>
  <si>
    <t>196999</t>
  </si>
  <si>
    <t>MMR001CMP252</t>
  </si>
  <si>
    <t>MMR001CMP254</t>
  </si>
  <si>
    <t>MMR001CMP253</t>
  </si>
  <si>
    <t>MMR001CMP251</t>
  </si>
  <si>
    <t>220691</t>
  </si>
  <si>
    <t>197826</t>
  </si>
  <si>
    <t>HRP 5</t>
  </si>
  <si>
    <t>HRP 3</t>
  </si>
  <si>
    <t># Litres/Day provided</t>
  </si>
  <si>
    <t># Water points fully handed over</t>
  </si>
  <si>
    <t># of Water tested at source</t>
  </si>
  <si>
    <t># of Water passed at source</t>
  </si>
  <si>
    <t># of Water tested at HH</t>
  </si>
  <si>
    <t># of Water passed at HH</t>
  </si>
  <si>
    <t># Existing functional latrines</t>
  </si>
  <si>
    <t># Existing latrines dysfunctional</t>
  </si>
  <si>
    <t># of latrines desludged</t>
  </si>
  <si>
    <t># Latrines fully handed over</t>
  </si>
  <si>
    <t>effective solid waste management system</t>
  </si>
  <si>
    <t>Type of handwashing approach</t>
  </si>
  <si>
    <t># HH received Sanitary Pads</t>
  </si>
  <si>
    <t># HH received soaps</t>
  </si>
  <si>
    <t>Is sufficient soap available for TLS?</t>
  </si>
  <si>
    <t>%Water samples which passed at HH</t>
  </si>
  <si>
    <t>Access to safe drinking water for Camp</t>
  </si>
  <si>
    <t>Access to safe drinking water for Village</t>
  </si>
  <si>
    <t>%Equitable and continuous access to sufficient quantity of safe drinking water</t>
  </si>
  <si>
    <t>%Equitable and continuous access to sufficient quantity of domestic water borehole n ponds</t>
  </si>
  <si>
    <t>#Water points coverage</t>
  </si>
  <si>
    <t>#Potential required new water points</t>
  </si>
  <si>
    <t>%Women in leadership positions in wash committees</t>
  </si>
  <si>
    <t>% Women on camp WASH committee</t>
  </si>
  <si>
    <t>WATER Comments</t>
  </si>
  <si>
    <t>Sanitation Comments</t>
  </si>
  <si>
    <t>Hygiene Comments</t>
  </si>
  <si>
    <t>Hygiene Coverage%</t>
  </si>
  <si>
    <t>Hygiene Gap%</t>
  </si>
  <si>
    <t>%people reached by regular dedicated hygiene promotion</t>
  </si>
  <si>
    <t>%HH with access to soap</t>
  </si>
  <si>
    <t>#HH with access to Hand Washing Station</t>
  </si>
  <si>
    <t>% of Latrine Gap
Red &gt;=30%
Orange 0%~29%__
Green =0%</t>
  </si>
  <si>
    <t>Standard amount of Soap and sanitary pad</t>
  </si>
  <si>
    <t>Camps only</t>
  </si>
  <si>
    <t>#People access to unimproved water sources</t>
  </si>
  <si>
    <t>Row Labels</t>
  </si>
  <si>
    <t>#ppl Equitable and continuous access to sufficient quantity of safe drinking water_1</t>
  </si>
  <si>
    <t>#people Equitable and continuous access to sufficient quantity of domestic water borehole n ponds_2</t>
  </si>
  <si>
    <t>#people access to functioning Latrine_3</t>
  </si>
  <si>
    <t>%HHs with access to functional hand washing stations</t>
  </si>
  <si>
    <t>%HHs with access to functional hand washing stations (communal or HHs level)</t>
  </si>
  <si>
    <t xml:space="preserve"> အသုံးပြု၍ရသော လက်ဆေးနေရာ သုံးနိုင်သော အိမ်ထောင်စု%</t>
  </si>
  <si>
    <t>(Multiple Items)</t>
  </si>
  <si>
    <t>Grand Total</t>
  </si>
  <si>
    <t>Indicators</t>
  </si>
  <si>
    <t>State/Region</t>
  </si>
  <si>
    <t xml:space="preserve"> In Need</t>
  </si>
  <si>
    <t>Overall reached</t>
  </si>
  <si>
    <t>Male 
(est 45%)</t>
  </si>
  <si>
    <t>Female 
(est 55%)</t>
  </si>
  <si>
    <t xml:space="preserve"> Children (&lt;18 yrs)
(est 35%)</t>
  </si>
  <si>
    <t xml:space="preserve"> Adult (18-59 yrs)
(est 40%)</t>
  </si>
  <si>
    <t xml:space="preserve"> Elderly (&gt;59 yrs)
(est 25%)</t>
  </si>
  <si>
    <t>Coverage</t>
  </si>
  <si>
    <t>Gap</t>
  </si>
  <si>
    <t>Number of people with equitable and safe access to sufficient quantity of drinking water</t>
  </si>
  <si>
    <t>Number of people with equitable and safe access to sufficient quantity of domestic water</t>
  </si>
  <si>
    <t>Number of people who received regular supply of hygiene items</t>
  </si>
  <si>
    <t>Number of people with access to continuous sanitation services</t>
  </si>
  <si>
    <t>Number of people with equitable and safe access to sufficient quantity of drinking water_1</t>
  </si>
  <si>
    <t>Number of people with equitable and safe access to sufficient quantity of domestic water_2</t>
  </si>
  <si>
    <t>Number of people with access to functional sanitation facilities_3</t>
  </si>
  <si>
    <t>Robert -Middle school</t>
  </si>
  <si>
    <t>Number of people with equitable and safe access to sufficient quantity of drinking water(Target)</t>
  </si>
  <si>
    <t>Number of people with equitable and safe access to sufficient quantity of drinking water(Reached)</t>
  </si>
  <si>
    <t>Number of people with equitable and safe access to sufficient quantity of domestic water(Reached)</t>
  </si>
  <si>
    <t>Number of people with access to functional sanitation facilities(Reached)</t>
  </si>
  <si>
    <t>Number of people with access to continuous sanitation services(Reached)</t>
  </si>
  <si>
    <t>Number of people reached by regular dedicated hygiene promotion/behavior change activities(Reached)</t>
  </si>
  <si>
    <t>Number of people who received regular supply of hygiene items(Reached)</t>
  </si>
  <si>
    <t>Number of people with equitable and safe access to sufficient quantity of domestic water(Target)</t>
  </si>
  <si>
    <t>Number of people with access to functional sanitation facilities(Target)</t>
  </si>
  <si>
    <t>Number of people with access to continuous sanitation services(Target)</t>
  </si>
  <si>
    <t>Number of people reached by regular dedicated hygiene promotion/behavior change activities(Target)</t>
  </si>
  <si>
    <t>Number of people who received regular supply of hygiene items(Target)</t>
  </si>
  <si>
    <t>Number of people with equitable and safe access to sufficient quantity of drinking water(Gap)</t>
  </si>
  <si>
    <t>Number of people who received regular supply of hygiene items(Gap)</t>
  </si>
  <si>
    <t>Number of people reached by regular dedicated hygiene promotion/behavior change activities(Gap)</t>
  </si>
  <si>
    <t>Number of people with access to continuous sanitation services(Gap)</t>
  </si>
  <si>
    <t>Number of people with access to functional sanitation facilities(Gap)</t>
  </si>
  <si>
    <t>Number of people with equitable and safe access to sufficient quantity of domestic water(Gap)</t>
  </si>
  <si>
    <t>Target</t>
  </si>
  <si>
    <t>SCI, ADRA/CANADA</t>
  </si>
  <si>
    <t>Total Population reached</t>
  </si>
  <si>
    <t>Overall HRP Target</t>
  </si>
  <si>
    <t>2017Q4_used</t>
  </si>
  <si>
    <t>open in cccm?</t>
  </si>
  <si>
    <t>Vtract</t>
  </si>
  <si>
    <t>VillageWard</t>
  </si>
  <si>
    <t>VW_pcode</t>
  </si>
  <si>
    <t>2017Q4used</t>
  </si>
  <si>
    <t>not in cccm2018Mar</t>
  </si>
  <si>
    <t>closed_cccm2018Mar</t>
  </si>
  <si>
    <t>Man Nway (Pang Hseng (Kyu Koke)) Sub-township</t>
  </si>
  <si>
    <t>Nam Hkawng Khu</t>
  </si>
  <si>
    <t>Kha Maung Chi Taing</t>
  </si>
  <si>
    <t>No (6) Ward</t>
  </si>
  <si>
    <t>MMR012013701506</t>
  </si>
  <si>
    <t>Kha Maung Chay Taing</t>
  </si>
  <si>
    <t>198950</t>
  </si>
  <si>
    <t>Khaung Doke Kar</t>
  </si>
  <si>
    <t>Aung Daing</t>
  </si>
  <si>
    <t>Hpwe Ywar Kone</t>
  </si>
  <si>
    <t>(Du) Chee Yar Tan</t>
  </si>
  <si>
    <t>King Chaung(No standard name yet)</t>
  </si>
  <si>
    <t>Kawng Wein</t>
  </si>
  <si>
    <t>Kar Lai Kone Hsar</t>
  </si>
  <si>
    <t>Kar Lai</t>
  </si>
  <si>
    <t>Momauk Town</t>
  </si>
  <si>
    <t>Ah Lin Kawng Ward</t>
  </si>
  <si>
    <t>MMR001012701502</t>
  </si>
  <si>
    <t>Seik Mu</t>
  </si>
  <si>
    <t>Maw Shan</t>
  </si>
  <si>
    <t>Muse Town</t>
  </si>
  <si>
    <t>Swei Taw Ward</t>
  </si>
  <si>
    <t>MMR015009701507</t>
  </si>
  <si>
    <t>Ho Mun Ward</t>
  </si>
  <si>
    <t>MMR015009701504</t>
  </si>
  <si>
    <t>Man Wein</t>
  </si>
  <si>
    <t>Nawng Hkam</t>
  </si>
  <si>
    <t>Nam Lin Pa</t>
  </si>
  <si>
    <t>Nam Pang</t>
  </si>
  <si>
    <t>Nam Hkon</t>
  </si>
  <si>
    <t>Namtu Town</t>
  </si>
  <si>
    <t>Namtu Ward</t>
  </si>
  <si>
    <t>MMR015015701501</t>
  </si>
  <si>
    <t>Sin Tet Maw (Ku Lar)</t>
  </si>
  <si>
    <t>Urban</t>
  </si>
  <si>
    <t>Sut Yoe Kya Ward</t>
  </si>
  <si>
    <t>MMR012001701531</t>
  </si>
  <si>
    <t>Ywar Gyi (North) Ward</t>
  </si>
  <si>
    <t>MMR012001701515</t>
  </si>
  <si>
    <t>Baw Du Hpa</t>
  </si>
  <si>
    <t>Mong Wee</t>
  </si>
  <si>
    <t>Man Mawn</t>
  </si>
  <si>
    <t>La Gat Dawt</t>
  </si>
  <si>
    <t>Man Pying (Pang Hseng (Kyu Koke)) Sub-township</t>
  </si>
  <si>
    <t>Hawwa</t>
  </si>
  <si>
    <t>Mone Paw Nam Chet (Zay) (Pang Hseng (Kyu Koke)) Sub-township</t>
  </si>
  <si>
    <t>Mone Paw Nam Chet</t>
  </si>
  <si>
    <t>Dum Buk</t>
  </si>
  <si>
    <t>Mai Bat</t>
  </si>
  <si>
    <t>Man Kawng</t>
  </si>
  <si>
    <t>Mung Ding Pa</t>
  </si>
  <si>
    <t>Kyay Nan Waing Ward</t>
  </si>
  <si>
    <t>MMR001012701503</t>
  </si>
  <si>
    <t>Man Nawng</t>
  </si>
  <si>
    <t>Maing Khat</t>
  </si>
  <si>
    <t>Tar Li</t>
  </si>
  <si>
    <t>Dawthponeyan  Town</t>
  </si>
  <si>
    <t>No (2) Ward</t>
  </si>
  <si>
    <t>MMR001012703502</t>
  </si>
  <si>
    <t>Hpar Kei (Dawthponeyan Sub-township)</t>
  </si>
  <si>
    <t>Hpar Kei</t>
  </si>
  <si>
    <t>Nam Sang Yang</t>
  </si>
  <si>
    <t>Man Ping (Ping) (Dawthponeyan Sub-township)</t>
  </si>
  <si>
    <t>Man Ping</t>
  </si>
  <si>
    <t>Nam Mun</t>
  </si>
  <si>
    <t>Hpawt Dawt</t>
  </si>
  <si>
    <t>Mon Gar Zut</t>
  </si>
  <si>
    <t>Sar Hmaw</t>
  </si>
  <si>
    <t>Waingmaw Town</t>
  </si>
  <si>
    <t>MMR001002701502</t>
  </si>
  <si>
    <t>Myitkyina Town</t>
  </si>
  <si>
    <t>Kachin Su Ward</t>
  </si>
  <si>
    <t>MMR001001701509</t>
  </si>
  <si>
    <t>Myay Myint Ward</t>
  </si>
  <si>
    <t>MMR001001701517</t>
  </si>
  <si>
    <t>Lone Khin</t>
  </si>
  <si>
    <t>Ma Sut Yang</t>
  </si>
  <si>
    <t>Lang Jaw (Pang War Sub-township)</t>
  </si>
  <si>
    <t>Lang Jaw</t>
  </si>
  <si>
    <t>Nawng Mi</t>
  </si>
  <si>
    <t>Nawng Myi</t>
  </si>
  <si>
    <t>Ku Day</t>
  </si>
  <si>
    <t>Wa Ra Zut</t>
  </si>
  <si>
    <t>Shar Du Zut</t>
  </si>
  <si>
    <t>La Ja Ga</t>
  </si>
  <si>
    <t>Lang Taung</t>
  </si>
  <si>
    <t>Nawng Hkaing</t>
  </si>
  <si>
    <t>Pa Ma Tee</t>
  </si>
  <si>
    <t>Mogaung Town</t>
  </si>
  <si>
    <t>cccm_2018March</t>
  </si>
  <si>
    <t>Taung Yin</t>
  </si>
  <si>
    <t>Gone Chein</t>
  </si>
  <si>
    <t>Say Poke Kay</t>
  </si>
  <si>
    <t>Kan Thar Htwet Wa Ward</t>
  </si>
  <si>
    <t>MMR012006701502</t>
  </si>
  <si>
    <t>Pon Nar Gyi</t>
  </si>
  <si>
    <t>Cha Eik</t>
  </si>
  <si>
    <t>197414</t>
  </si>
  <si>
    <t>197533</t>
  </si>
  <si>
    <t>San Pya Ward</t>
  </si>
  <si>
    <t>Ah Nauk San Pya Ward</t>
  </si>
  <si>
    <t>MMR012001701522</t>
  </si>
  <si>
    <t>Dar Paing Ywar Thit</t>
  </si>
  <si>
    <t>Kha War De Ywar Haung</t>
  </si>
  <si>
    <t>Say Tha Mar</t>
  </si>
  <si>
    <t>Kin Seik</t>
  </si>
  <si>
    <t>Thar Dar</t>
  </si>
  <si>
    <t>Tha Yet Oke</t>
  </si>
  <si>
    <t>Goke Pi Htaunt (Ku Lar)</t>
  </si>
  <si>
    <t>Sin Oe Chaing</t>
  </si>
  <si>
    <t>Shwe Hlaing Ku Lar</t>
  </si>
  <si>
    <t>Hpa Yar Paung</t>
  </si>
  <si>
    <t>Myo Ma (East) Ward</t>
  </si>
  <si>
    <t>MMR012009701504</t>
  </si>
  <si>
    <t>Wa Kin</t>
  </si>
  <si>
    <t>Khaung Toke</t>
  </si>
  <si>
    <t>Khaung Toke (Ku Lar)</t>
  </si>
  <si>
    <t>Moe Tay</t>
  </si>
  <si>
    <t>Nawng Tha Kyar</t>
  </si>
  <si>
    <t>Pang Long</t>
  </si>
  <si>
    <t>Pang Tha Pyay</t>
  </si>
  <si>
    <t>MMR015019701503</t>
  </si>
  <si>
    <t>Nar Tee</t>
  </si>
  <si>
    <t>Kutkai Town</t>
  </si>
  <si>
    <t>No (5) Ward</t>
  </si>
  <si>
    <t>MMR015011701505</t>
  </si>
  <si>
    <t>MMR015011701506</t>
  </si>
  <si>
    <t>No (3) Ward</t>
  </si>
  <si>
    <t>MMR015011701503</t>
  </si>
  <si>
    <t>Long Waun Nam Rein (Tarmoenye Sub-township)</t>
  </si>
  <si>
    <t>Mai Pong (Shu See)</t>
  </si>
  <si>
    <t>Mong Yu</t>
  </si>
  <si>
    <t>Nam Hpat Kar</t>
  </si>
  <si>
    <t>Nam Hpat Kar (Ho Pon + Pang Sa Lorp)</t>
  </si>
  <si>
    <t>Ho Nar</t>
  </si>
  <si>
    <t>Mung Hawm</t>
  </si>
  <si>
    <t xml:space="preserve">Htoi San Yang </t>
  </si>
  <si>
    <t>Mansi Town</t>
  </si>
  <si>
    <t>Kawng Yar Ward</t>
  </si>
  <si>
    <t>MMR001013701504</t>
  </si>
  <si>
    <t>Shwegu Town</t>
  </si>
  <si>
    <t>MMR001011701504</t>
  </si>
  <si>
    <t>Lwegel Town</t>
  </si>
  <si>
    <t>Aung Zay Yar Ward</t>
  </si>
  <si>
    <t>MMR001012702505</t>
  </si>
  <si>
    <t>Aung Chan Thar Ward</t>
  </si>
  <si>
    <t>MMR001012702503</t>
  </si>
  <si>
    <t>Saing Gyar Ward</t>
  </si>
  <si>
    <t>MMR001012702506</t>
  </si>
  <si>
    <t>Han Te</t>
  </si>
  <si>
    <t>Hpan Hkar Kone</t>
  </si>
  <si>
    <t>Man Pon</t>
  </si>
  <si>
    <t>Bhamo Town</t>
  </si>
  <si>
    <t>Pauk Kone Ward</t>
  </si>
  <si>
    <t>MMR001010701506</t>
  </si>
  <si>
    <t>Aung Thar</t>
  </si>
  <si>
    <t>Moe Hping</t>
  </si>
  <si>
    <t>Nyaung Pin Ward</t>
  </si>
  <si>
    <t>MMR001010701508</t>
  </si>
  <si>
    <t>Kawng Hsa (Lwegel Sub-township)</t>
  </si>
  <si>
    <t>Mai Gyar Yang</t>
  </si>
  <si>
    <t>Nam Hlaing</t>
  </si>
  <si>
    <t>Ba Lawng Kawng (Lwegel Sub-township)</t>
  </si>
  <si>
    <t>Hpa Lum</t>
  </si>
  <si>
    <t>Zee Wone Gawt</t>
  </si>
  <si>
    <t>Dum Bung</t>
  </si>
  <si>
    <t>In Baw Mai Kyin (Dawthponeyan Sub-township)</t>
  </si>
  <si>
    <t>Hpun Lum Yang</t>
  </si>
  <si>
    <t>Mohnyin Town</t>
  </si>
  <si>
    <t>Aung Tha Pyay Ward</t>
  </si>
  <si>
    <t>MMR001007701505</t>
  </si>
  <si>
    <t>Sa Ma</t>
  </si>
  <si>
    <t>Par Jaung</t>
  </si>
  <si>
    <t>Nar Gu</t>
  </si>
  <si>
    <t>Saga Pa</t>
  </si>
  <si>
    <t>Hkau Shau</t>
  </si>
  <si>
    <t>Saga Pa (Sadung Sub-township)</t>
  </si>
  <si>
    <t>Nawng Kaing Htaw</t>
  </si>
  <si>
    <t>Ma Haung</t>
  </si>
  <si>
    <t>Nat Gyi Kone Ward</t>
  </si>
  <si>
    <t>MMR001008701506</t>
  </si>
  <si>
    <t>Kyun Taw Ward</t>
  </si>
  <si>
    <t>MMR001008701510</t>
  </si>
  <si>
    <t>Hkat Shu</t>
  </si>
  <si>
    <t>No (4) Ward</t>
  </si>
  <si>
    <t>MMR001002701504</t>
  </si>
  <si>
    <t>MMR001002701503</t>
  </si>
  <si>
    <t>Lel Kone Ward</t>
  </si>
  <si>
    <t>MMR001001701525</t>
  </si>
  <si>
    <t>Ma Hkan Tee</t>
  </si>
  <si>
    <t>Nawng Hee</t>
  </si>
  <si>
    <t>Mading</t>
  </si>
  <si>
    <t>Mading/Hka Kun</t>
  </si>
  <si>
    <t>Maliyang Ward</t>
  </si>
  <si>
    <t>Kyun Pin Thar Ward</t>
  </si>
  <si>
    <t>MMR001001701510</t>
  </si>
  <si>
    <t>Maw Hpawng</t>
  </si>
  <si>
    <t>Du Ka Htaung Ward</t>
  </si>
  <si>
    <t>MMR001001701504</t>
  </si>
  <si>
    <t>Jan Mai Kawng</t>
  </si>
  <si>
    <t>Tat Kone Ward</t>
  </si>
  <si>
    <t>MMR001001701520</t>
  </si>
  <si>
    <t>Mai Na</t>
  </si>
  <si>
    <t>Nam Koi</t>
  </si>
  <si>
    <t>Si Tar Pu Ward</t>
  </si>
  <si>
    <t>MMR001001701521</t>
  </si>
  <si>
    <t>Waw Shung (Kan Paik Ti Sub-township)</t>
  </si>
  <si>
    <t>Shan Kyaing</t>
  </si>
  <si>
    <t>N Jang Dung</t>
  </si>
  <si>
    <t>Man Khein Ward</t>
  </si>
  <si>
    <t>MMR001001701519</t>
  </si>
  <si>
    <t>Shwe Set Ward</t>
  </si>
  <si>
    <t>MMR001001701518</t>
  </si>
  <si>
    <t>Pa La Na Sa Khan Myar</t>
  </si>
  <si>
    <t>Pi Tauk Myaing</t>
  </si>
  <si>
    <t>Nam Si In (Karmaing Sub-township)</t>
  </si>
  <si>
    <t>Htwe San Yang</t>
  </si>
  <si>
    <t>Sai Taung (Ywar Haung)</t>
  </si>
  <si>
    <t>Nam Ma Hpyit</t>
  </si>
  <si>
    <t>Pang War Town</t>
  </si>
  <si>
    <t>MMR001005702502</t>
  </si>
  <si>
    <t>Hpakan Town</t>
  </si>
  <si>
    <t>Maw Wam Ward</t>
  </si>
  <si>
    <t>MMR001009701501</t>
  </si>
  <si>
    <t>Nyein Chan Thar Yar</t>
  </si>
  <si>
    <t>Hmaw Si Zar</t>
  </si>
  <si>
    <t>Hpa Re (Pang War Sub-township)</t>
  </si>
  <si>
    <t>Hpa Re Waw Jang</t>
  </si>
  <si>
    <t>Rit Law</t>
  </si>
  <si>
    <t>Chipwi Town</t>
  </si>
  <si>
    <t>Ba Leit Dan Ward</t>
  </si>
  <si>
    <t>MMR001005701503</t>
  </si>
  <si>
    <t>Puta-O Town</t>
  </si>
  <si>
    <t>Lone Sut Ward</t>
  </si>
  <si>
    <t>MMR001014701510</t>
  </si>
  <si>
    <t>Hpai Kawng (Pang Hseng-Kyu Koke Sub-township</t>
  </si>
  <si>
    <t>Lel Pyin</t>
  </si>
  <si>
    <t>Kawng Hkar Man Pying</t>
  </si>
  <si>
    <t>Ba Wan Chaung Wa Su Ward</t>
  </si>
  <si>
    <t>MMR012007701504</t>
  </si>
  <si>
    <t>San Bar Lay</t>
  </si>
  <si>
    <t>Zi War</t>
  </si>
  <si>
    <t>Na Yan</t>
  </si>
  <si>
    <t>Sat Yon Maw (Ku Lar)</t>
  </si>
  <si>
    <t>Oke Kar Kyaw</t>
  </si>
  <si>
    <t>Yin Thei</t>
  </si>
  <si>
    <t>Pu Rein</t>
  </si>
  <si>
    <t>Raw Ma Ni</t>
  </si>
  <si>
    <t>Ah Lel Kyun Ku Lar</t>
  </si>
  <si>
    <t>Ya Da Nar Pon</t>
  </si>
  <si>
    <t>Ku Lar Taung Bway</t>
  </si>
  <si>
    <t>Shwe Kyee Nar Ward</t>
  </si>
  <si>
    <t>MMR001010701513</t>
  </si>
  <si>
    <t>Myo Thit</t>
  </si>
  <si>
    <t>Khon Sint</t>
  </si>
  <si>
    <t>Hopin Town</t>
  </si>
  <si>
    <t>Myo Ma (South) Ward</t>
  </si>
  <si>
    <t>MMR001007702503</t>
  </si>
  <si>
    <t>Moke Lwe</t>
  </si>
  <si>
    <t>Khar Shi</t>
  </si>
  <si>
    <t>Sumprabum Town</t>
  </si>
  <si>
    <t>Inn Lel Yan</t>
  </si>
  <si>
    <t>Doke Tan Ward</t>
  </si>
  <si>
    <t>MMR001014701509</t>
  </si>
  <si>
    <t>Ka Bu Dam</t>
  </si>
  <si>
    <t>Ma Hawng Baptist Church</t>
  </si>
  <si>
    <t>new 2018 march</t>
  </si>
  <si>
    <t>Indawgyi</t>
  </si>
  <si>
    <t xml:space="preserve">Khaung Doke Khar </t>
  </si>
  <si>
    <t xml:space="preserve">Taung Paw </t>
  </si>
  <si>
    <t>Thet Kae Pyin (IDPs in host family)</t>
  </si>
  <si>
    <t>Mingan</t>
  </si>
  <si>
    <t>Set Yon Su Ward</t>
  </si>
  <si>
    <t>MMR012001701526</t>
  </si>
  <si>
    <t>Individual House</t>
  </si>
  <si>
    <t>Set Yone Su</t>
  </si>
  <si>
    <t xml:space="preserve">Ah Pauk Wa </t>
  </si>
  <si>
    <t>Nam Hpak Ka Ta'ang ( Aung Tha Pyay)</t>
  </si>
  <si>
    <t>added by WASHcluster</t>
  </si>
  <si>
    <t>Ei Naing</t>
  </si>
  <si>
    <t>Zaw  Pu Gyar</t>
  </si>
  <si>
    <t>Daung Puauk Kay</t>
  </si>
  <si>
    <t>Nga Pun Ywar  Gyi</t>
  </si>
  <si>
    <t>Nga Pun Ywar  Shee</t>
  </si>
  <si>
    <t>Bar Sa Ra Host</t>
  </si>
  <si>
    <t>A Lar Than</t>
  </si>
  <si>
    <t xml:space="preserve">Me La Zi Kone </t>
  </si>
  <si>
    <t>Bumtsit Pa (1,2,3)</t>
  </si>
  <si>
    <t>Bum Tsit Pa 1</t>
  </si>
  <si>
    <t>Bum Tsit Pa 2</t>
  </si>
  <si>
    <t>Bum Tsit Pa 3</t>
  </si>
  <si>
    <t>SCI/FFO</t>
  </si>
  <si>
    <t>for Gap</t>
  </si>
  <si>
    <t>Assume 5 people per hh. 100 hh per Hygiene promoters. So, 500 people per hygiene promotor</t>
  </si>
  <si>
    <t>(All)</t>
  </si>
  <si>
    <t>Gaps for Snapshot</t>
  </si>
  <si>
    <t>Gap%</t>
  </si>
  <si>
    <t>Column Labels</t>
  </si>
  <si>
    <t>Values</t>
  </si>
  <si>
    <t># latrines desludged.</t>
  </si>
  <si>
    <t>Shan</t>
  </si>
  <si>
    <t>water pt gap</t>
  </si>
  <si>
    <t>GAP%</t>
  </si>
  <si>
    <t>Gap#</t>
  </si>
  <si>
    <t>Water</t>
  </si>
  <si>
    <t>Count of Site Name</t>
  </si>
  <si>
    <t>Average of %Water samples which passed at HH</t>
  </si>
  <si>
    <t xml:space="preserve">အိမ်ထောင်စုရှိရေ  ၁၀၀ မီလီလီတာတွင် fecal coliform မပါခြင်း
zero colony forming unit per 100ml (၀ cfu/100ml) ရှိသောနမူနာကို သန့်် ရှင်းသော ရေနမူနာ အဖြစ် သတ်မှတ်သည်။  
</t>
  </si>
  <si>
    <t>quality test</t>
  </si>
  <si>
    <t>Site didn't have water quality test</t>
  </si>
  <si>
    <t>Access to unimproved water points</t>
  </si>
  <si>
    <t>Sum of Total HH</t>
  </si>
  <si>
    <t>Sum of #HH with access to Hand Washing Station</t>
  </si>
  <si>
    <t>Sum of # HH received soaps</t>
  </si>
  <si>
    <t>Sum of # HH received Sanitary Pads</t>
  </si>
  <si>
    <t>#HH reached by regular dedicated hygiene promotion</t>
  </si>
  <si>
    <t>Waters GAP</t>
  </si>
  <si>
    <t>Sanitation Gap</t>
  </si>
  <si>
    <t>Hygiene Gap</t>
  </si>
  <si>
    <t>Water GAP</t>
  </si>
  <si>
    <t xml:space="preserve">Sanitation Gap </t>
  </si>
  <si>
    <t xml:space="preserve">PoP </t>
  </si>
  <si>
    <t xml:space="preserve">Water GAP </t>
  </si>
  <si>
    <t xml:space="preserve">sanitation Gap </t>
  </si>
  <si>
    <t xml:space="preserve">HH
(Rakhine-CCCM as of 1st May 2017)
</t>
  </si>
  <si>
    <t>Pop
(Rakhine-CCCM as of 1st May 2017)</t>
  </si>
  <si>
    <t>2018Q1used</t>
  </si>
  <si>
    <t>none</t>
  </si>
  <si>
    <t>Count of Does the camp have surface water drainage</t>
  </si>
  <si>
    <t>Coverage%</t>
  </si>
  <si>
    <t>Count of effective solid waste management system</t>
  </si>
  <si>
    <t>Total population</t>
  </si>
  <si>
    <t>Total</t>
  </si>
  <si>
    <t>Count of Is sufficient soap available for TLS?</t>
  </si>
  <si>
    <t>Sum of #of students at TLS</t>
  </si>
  <si>
    <t>Sum of # of hand washing station for TLS</t>
  </si>
  <si>
    <t>Sum of # of latrines in TLS (schools)</t>
  </si>
  <si>
    <t>Kachin Total</t>
  </si>
  <si>
    <t>Bum Tsit Pa</t>
  </si>
  <si>
    <t>Arche Nova</t>
  </si>
  <si>
    <t>NiDin</t>
  </si>
  <si>
    <t>CDN,(MA_UK)</t>
  </si>
  <si>
    <t>Baw Du Pha village</t>
  </si>
  <si>
    <t>Metta,KBC-HDD-NSS</t>
  </si>
  <si>
    <t>SCI,KMSS</t>
  </si>
  <si>
    <t>30-04-2018</t>
  </si>
  <si>
    <t>31-01-2018</t>
  </si>
  <si>
    <t>yes</t>
  </si>
  <si>
    <t>USAID, Christian Aid, HIDA</t>
  </si>
  <si>
    <t>no</t>
  </si>
  <si>
    <t>-</t>
  </si>
  <si>
    <t>Already tested the water quality test in Mai Khaung camp and the water quality report has not been develop yet.</t>
  </si>
  <si>
    <t>Not safe</t>
  </si>
  <si>
    <t>no water test</t>
  </si>
  <si>
    <t>No WASH actor</t>
  </si>
  <si>
    <t>nil</t>
  </si>
  <si>
    <t>Nill</t>
  </si>
  <si>
    <t>HH latrines in village</t>
  </si>
  <si>
    <t>still need to improve through hygiene awareness session</t>
  </si>
  <si>
    <t>There is solid waste management in ANY but no incinerator</t>
  </si>
  <si>
    <t>construction of latrines ongoing</t>
  </si>
  <si>
    <t>Quarterly Hygiene kits distribution is doing by Metta.</t>
  </si>
  <si>
    <t>not provided by Oxfam</t>
  </si>
  <si>
    <t>8 Hygiene promoters, 8 latrine cleaner, 10 environmental workers and 2 water system operators</t>
  </si>
  <si>
    <t>UNICEF distributed full HK</t>
  </si>
  <si>
    <t>Sanitation Comments        (If you have gaps or questions)</t>
  </si>
  <si>
    <t>SI does not deliver water to the village, only CWF and HP sessions</t>
  </si>
  <si>
    <t>There is solid waste management in ANY  villagebut no incinerator</t>
  </si>
  <si>
    <t>Access to soap as incentive for mass cleaning campaigns</t>
  </si>
  <si>
    <t>9/1/2018,1-dec-2018</t>
  </si>
  <si>
    <t>USAID</t>
  </si>
  <si>
    <t>9/1/2018,1-Dec-2018</t>
  </si>
  <si>
    <t>30/4/18, 30/6/18</t>
  </si>
  <si>
    <t>Need to renovation Tube well</t>
  </si>
  <si>
    <t xml:space="preserve">USAID,Christian Aid, </t>
  </si>
  <si>
    <t>Need to be construction Tube well</t>
  </si>
  <si>
    <t>to ask</t>
  </si>
  <si>
    <t>to confirm not found in Q1-2018</t>
  </si>
  <si>
    <t>data is provided from both SCI/KMSS</t>
  </si>
  <si>
    <t>MHF,HARP</t>
  </si>
  <si>
    <t>11/17/2018,12/31/2018</t>
  </si>
  <si>
    <t>MHF,ADRA/CANADA</t>
  </si>
  <si>
    <t>11/17/2018,1/31/2018</t>
  </si>
  <si>
    <t>SCI,Metta</t>
  </si>
  <si>
    <t>Bum Tsit Pa Camp II</t>
  </si>
  <si>
    <t>to ask not found in Q1 2018</t>
  </si>
  <si>
    <t>HARP,WHH(BMZ, AA)</t>
  </si>
  <si>
    <t>30/12/2018,30/4/18, 30/6/18</t>
  </si>
  <si>
    <t>WHH(BMZ, AA),SCI</t>
  </si>
  <si>
    <t>30/4/18,30/6/18,11/30/2019,</t>
  </si>
  <si>
    <t>WHH(BMZ,AA),SCI, ADRA/CANADA</t>
  </si>
  <si>
    <t>30/4/18, 30/6/18,11/30/2019</t>
  </si>
  <si>
    <t>Metta,KMSS</t>
  </si>
  <si>
    <t>WHH(BMZ, AA),HARP</t>
  </si>
  <si>
    <t>30/4/18, 30/6/18,12/31/2018</t>
  </si>
  <si>
    <t>WHH(BMZ, AA),SCI, ADRA/CANADA</t>
  </si>
  <si>
    <t>Plan/GFFO,ADRA/CANADA , WHH</t>
  </si>
  <si>
    <t>12/31/2019,30/4/18, 30/6/18</t>
  </si>
  <si>
    <t>Plan/GFFO,ADRA/CANADA  ,WHH(BMZ, AA)</t>
  </si>
  <si>
    <t>Plan/GFFO,ADRA/CANADA  ,WHH(BMZ,AA)</t>
  </si>
  <si>
    <t>MMR015CMP249</t>
  </si>
  <si>
    <t>MHF,WHH(BMZ, AA),ECHO</t>
  </si>
  <si>
    <t>11/17/2018,30/4/18, 30/6/18</t>
  </si>
  <si>
    <t>MHF,WHH(BMZ, AA)</t>
  </si>
  <si>
    <t>Change camp to village</t>
  </si>
  <si>
    <t>Set Yone Su 3 (Mingan)</t>
  </si>
  <si>
    <t>Nga Kyi Tauk Daing Nat</t>
  </si>
  <si>
    <t>Ka Nyin</t>
  </si>
  <si>
    <t>Min Ga Lar Gyi</t>
  </si>
  <si>
    <t>Paung Zar</t>
  </si>
  <si>
    <t>Ywet Nyo Taung ( Rakhine)</t>
  </si>
  <si>
    <t>Q1_2018</t>
  </si>
  <si>
    <t>Tha Ray Kon Baung</t>
  </si>
  <si>
    <t>rakhine</t>
  </si>
  <si>
    <t>Mi Nyo Htaunt</t>
  </si>
  <si>
    <t>Mi Nyo Htaunt_Thar Si</t>
  </si>
  <si>
    <t>SCI,Metta,KBC-HDD-NSS</t>
  </si>
  <si>
    <t>MHF,WHH(BMZ, AA),ECHO,ADRA/CANADA</t>
  </si>
  <si>
    <t>11/17/2018,30/4/18, 30/6/18,1/31/2018</t>
  </si>
  <si>
    <t>SCI,Metta, KBC-HDD-NSS</t>
  </si>
  <si>
    <t>MHF,ADRA/CANADA,WHH(BMZ, AA)</t>
  </si>
  <si>
    <t>11/17/2018,1/31/2018,30/4/18, 30/6/18</t>
  </si>
  <si>
    <t>SINTASIDIKAH</t>
  </si>
  <si>
    <t>31/12/2018</t>
  </si>
  <si>
    <t>%of Water samples which passed at water source</t>
  </si>
  <si>
    <t>Warter quality test made</t>
  </si>
  <si>
    <t>% Latrines requiring  repairs</t>
  </si>
  <si>
    <t># people with access to continuous sanitation services desluding_4</t>
  </si>
  <si>
    <t># people reached by regular dedicated hygiene promotion_5</t>
  </si>
  <si>
    <t>Rakhine Total</t>
  </si>
  <si>
    <t>Shan (North) Total</t>
  </si>
  <si>
    <t>Number of people with access to continuous sanitation services_4</t>
  </si>
  <si>
    <t>Number of people reached by regular dedicated hygiene promotion_5</t>
  </si>
  <si>
    <t>SCI, Metta</t>
  </si>
  <si>
    <t>Plan/GFFO,ADRA/CANADA, WHH(BMZ, AA)</t>
  </si>
  <si>
    <t>KMSS,KBC</t>
  </si>
  <si>
    <t>UNICEF, ADRA/CANADA</t>
  </si>
  <si>
    <t>12/31/2018,1/31/2018</t>
  </si>
  <si>
    <t xml:space="preserve"> Reached by Sex</t>
  </si>
  <si>
    <t xml:space="preserve">  Reached by Age</t>
  </si>
  <si>
    <t>11%</t>
  </si>
  <si>
    <t>21%</t>
  </si>
  <si>
    <t>Gap in active camps / township</t>
  </si>
  <si>
    <t xml:space="preserve">Partners </t>
  </si>
  <si>
    <t xml:space="preserve"> % 
Water Gap</t>
  </si>
  <si>
    <t xml:space="preserve"> %
 Sanitation Gap</t>
  </si>
  <si>
    <t>%  
Hygiene Gap</t>
  </si>
  <si>
    <t>Sum of # people reached by regular dedicated hygiene promotion_5</t>
  </si>
  <si>
    <t>% of HHs with access to Sanitary pad more than #%</t>
  </si>
  <si>
    <t>Ratio of Hyiene promoters to people less than #</t>
  </si>
  <si>
    <t>% of HHs with access to soap more than #%</t>
  </si>
  <si>
    <t>People adopt basic personal and community hygiene practices</t>
  </si>
  <si>
    <t>Nb of People who received regular supply of hygiene items</t>
  </si>
  <si>
    <t># People with access to soap</t>
  </si>
  <si>
    <t># People with access to Sanity Pads</t>
  </si>
  <si>
    <t># People received regular supply of hygiene items_6</t>
  </si>
  <si>
    <t>Number of People received regular supply of hygiene items_6</t>
  </si>
  <si>
    <t>OFDA/UNICEF</t>
  </si>
  <si>
    <t>87%</t>
  </si>
  <si>
    <t>DRC, SCI, SI</t>
  </si>
  <si>
    <t>(in active camps)</t>
  </si>
  <si>
    <t>Metta ,SI</t>
  </si>
  <si>
    <t>KBC ,KMSS ,Shalom</t>
  </si>
  <si>
    <t>KBC ,KMSS, KBC ,Shalom</t>
  </si>
  <si>
    <t>KBC ,KMSS ,Metta ,SCI ,WPN</t>
  </si>
  <si>
    <t>KBC ,KMSS</t>
  </si>
  <si>
    <t>KMSS ,Metta ,SI, KBC ,WPN</t>
  </si>
  <si>
    <t>KBC ,KMSS ,Metta ,Shalom</t>
  </si>
  <si>
    <t>KBC, Metta</t>
  </si>
  <si>
    <t>Metta,KBC-HDD-NSS,KMSS, SCI</t>
  </si>
  <si>
    <t>Metta,KBC-HDD-NSS, KMSS</t>
  </si>
  <si>
    <t>SCI,Metta,KBC-HDD-NSS, KMSS</t>
  </si>
  <si>
    <t>74%</t>
  </si>
  <si>
    <t># in GCA active camps (500:1)</t>
  </si>
  <si>
    <t># in NGCA active camps (500:1)</t>
  </si>
  <si>
    <t># in active camps (500:1)</t>
  </si>
  <si>
    <t># in villages (500:1)</t>
  </si>
  <si>
    <t># latrines (target)</t>
  </si>
  <si>
    <t># latrines (gap)</t>
  </si>
  <si>
    <t># handed over</t>
  </si>
  <si>
    <t># latrines desludged</t>
  </si>
  <si>
    <t># latrines dysfunctional</t>
  </si>
  <si>
    <t># in GCA (20:1)</t>
  </si>
  <si>
    <t># in NGCA (20:1)</t>
  </si>
  <si>
    <t># in active camps (20:1)</t>
  </si>
  <si>
    <t># in villages (6:1)</t>
  </si>
  <si>
    <t>#latrines dysfunctional</t>
  </si>
  <si>
    <t>CDN, DRC, MA_UK, Oxfam, SCI, SI</t>
  </si>
  <si>
    <t>89%</t>
  </si>
  <si>
    <t>51%</t>
  </si>
  <si>
    <t>76%</t>
  </si>
  <si>
    <t>Number of people reached by regular dedicated hygiene promotion</t>
  </si>
  <si>
    <t>HRP target</t>
  </si>
  <si>
    <t>IDP camps</t>
  </si>
  <si>
    <t>Average of %of Water samples which passed at water source</t>
  </si>
  <si>
    <t>Count of Warter quality test made</t>
  </si>
  <si>
    <t>No Test</t>
  </si>
  <si>
    <t>Tested</t>
  </si>
  <si>
    <t>HHs</t>
  </si>
  <si>
    <t>Pops</t>
  </si>
  <si>
    <t>% WATER GAP</t>
  </si>
  <si>
    <t>% LATRINE GAP</t>
  </si>
  <si>
    <t>% HYGIENE GAP</t>
  </si>
  <si>
    <t>CAMP Area GAP</t>
  </si>
  <si>
    <t>WinE</t>
  </si>
  <si>
    <t xml:space="preserve"> # of children Latrine s</t>
  </si>
  <si>
    <t xml:space="preserve"> # of hand washing stations for TLS</t>
  </si>
  <si>
    <t xml:space="preserve"> # of latrines in TLS (schools)</t>
  </si>
  <si>
    <t xml:space="preserve">  Total # of latrine</t>
  </si>
  <si>
    <t># latrines repairs</t>
  </si>
  <si>
    <t>GAP</t>
  </si>
  <si>
    <t>Latrines handed over</t>
  </si>
  <si>
    <t>Latrines not handed over</t>
  </si>
  <si>
    <t>with equitable and safe access to sufficient quantity of drinking water</t>
  </si>
  <si>
    <t>with equitable and safe access to sufficient quantity of domestic water</t>
  </si>
  <si>
    <t>with access to functional sanitation facilities</t>
  </si>
  <si>
    <t>with access to continuous sanitation services</t>
  </si>
  <si>
    <t>reached by regular dedicated hygiene promotion</t>
  </si>
  <si>
    <t>received regular supply of hygiene items</t>
  </si>
  <si>
    <t xml:space="preserve"> Total # of latrine</t>
  </si>
  <si>
    <t>Sum of # Existing functional latrines</t>
  </si>
  <si>
    <t>%equitable and continuous access to sufficient quantity of safe drinking and domestic water's GAP</t>
  </si>
  <si>
    <t>#people needs equitable and continuous access to sufficient quantity of safe drinking and domestic water GAP</t>
  </si>
  <si>
    <t>% of Latrine Gap</t>
  </si>
  <si>
    <t>Functioning</t>
  </si>
  <si>
    <t>Reparis</t>
  </si>
  <si>
    <t>Desludging</t>
  </si>
  <si>
    <t xml:space="preserve"> </t>
  </si>
  <si>
    <t>v</t>
  </si>
  <si>
    <t xml:space="preserve"> # of hand washing stations with soap</t>
  </si>
  <si>
    <t>% of FAIL water samples at HH</t>
  </si>
  <si>
    <t>% of FAIL water samples at water source</t>
  </si>
  <si>
    <t xml:space="preserve"> received regular supply of hygiene items</t>
  </si>
  <si>
    <t xml:space="preserve"> with equitable and safe access to sufficient quantity of drinking water</t>
  </si>
  <si>
    <t>HRP 6 (take the lowest figure out of V36 or V37)</t>
  </si>
  <si>
    <t>Indicator Summary (Eng/MM): All indicators and their propsed definition used in DATABASE</t>
  </si>
  <si>
    <t>Site_DB: if partners have a new site, this needs to be added/edited here (camp, village). Otherwise, no need for partners input as it's already linked with the core Database. WC IMO updated HHs and Pop figures based on updated CCCM's camp list on 4W Q1</t>
  </si>
  <si>
    <t>Bhamo Total</t>
  </si>
  <si>
    <t>Chipwi Total</t>
  </si>
  <si>
    <t>Hpakant Total</t>
  </si>
  <si>
    <t>Mansi Total</t>
  </si>
  <si>
    <t>Mogaung Total</t>
  </si>
  <si>
    <t>Mohnyin Total</t>
  </si>
  <si>
    <t>Momauk Total</t>
  </si>
  <si>
    <t>Myitkyina Total</t>
  </si>
  <si>
    <t>Puta-O Total</t>
  </si>
  <si>
    <t>Shwegu Total</t>
  </si>
  <si>
    <t>Sumprabum Total</t>
  </si>
  <si>
    <t>Tanai Total</t>
  </si>
  <si>
    <t>Waingmaw Total</t>
  </si>
  <si>
    <t>Ann Total</t>
  </si>
  <si>
    <t>Buthidaung Total</t>
  </si>
  <si>
    <t>Kyaukpyu Total</t>
  </si>
  <si>
    <t>Kyauktaw Total</t>
  </si>
  <si>
    <t>Maungdaw Total</t>
  </si>
  <si>
    <t>Minbya Total</t>
  </si>
  <si>
    <t>Mrauk-U Total</t>
  </si>
  <si>
    <t>Myebon Total</t>
  </si>
  <si>
    <t>Pauktaw Total</t>
  </si>
  <si>
    <t>Ponnagyun Total</t>
  </si>
  <si>
    <t>Rathedaung Total</t>
  </si>
  <si>
    <t>Sittwe Total</t>
  </si>
  <si>
    <t>Hseni Total</t>
  </si>
  <si>
    <t>Hsipaw Total</t>
  </si>
  <si>
    <t>Kutkai Total</t>
  </si>
  <si>
    <t>Manton Total</t>
  </si>
  <si>
    <t>Muse Total</t>
  </si>
  <si>
    <t>Namhkan Total</t>
  </si>
  <si>
    <t>Namtu Total</t>
  </si>
  <si>
    <t>Total Population</t>
  </si>
  <si>
    <t>Number of people with equitable and continuous access to safe sanitation facilities</t>
  </si>
  <si>
    <t>Number of people with equitable and continuous access to sufficient quantity of domestic water</t>
  </si>
  <si>
    <t>Number of People adopt basic personal and community hygiene practices</t>
  </si>
  <si>
    <t>Quarterly Dashboard: Dashboard for 1st Quarter 2017. We can view the analysis with different dimensions</t>
  </si>
  <si>
    <t>2018-1st Qtr 4W Camp DASHBOARD</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</si>
</sst>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43" formatCode="_(* #,##0.00_);_(* \(#,##0.00\);_(* &quot;-&quot;??_);_(@_)"/>
    <numFmt numFmtId="164" formatCode="_(* #,##0_);_(* \(#,##0\);_(* &quot;-&quot;??_);_(@_)"/>
    <numFmt numFmtId="165" formatCode="[$-409]d\-mmm\-yy;@"/>
    <numFmt numFmtId="166" formatCode="[$-409]d/mmm/yy;@"/>
    <numFmt numFmtId="167" formatCode="0.000000"/>
  </numFmts>
  <fonts count="106" x14ac:knownFonts="1">
    <font>
      <sz val="12"/>
      <color theme="1"/>
      <name val="Times New Roman"/>
      <family val="2"/>
    </font>
    <font>
      <sz val="11"/>
      <color theme="1"/>
      <name val="Calibri"/>
      <family val="2"/>
      <scheme val="minor"/>
    </font>
    <font>
      <sz val="11"/>
      <color theme="1"/>
      <name val="Calibri"/>
      <family val="2"/>
    </font>
    <font>
      <sz val="11"/>
      <color theme="1"/>
      <name val="Calibri"/>
      <family val="2"/>
    </font>
    <font>
      <sz val="12"/>
      <color theme="1"/>
      <name val="Times New Roman"/>
      <family val="2"/>
    </font>
    <font>
      <sz val="11"/>
      <color theme="1"/>
      <name val="Calibri"/>
      <family val="2"/>
      <scheme val="minor"/>
    </font>
    <font>
      <b/>
      <sz val="9"/>
      <color indexed="81"/>
      <name val="Tahoma"/>
      <family val="2"/>
    </font>
    <font>
      <sz val="9"/>
      <color indexed="81"/>
      <name val="Tahoma"/>
      <family val="2"/>
    </font>
    <font>
      <b/>
      <sz val="10"/>
      <color rgb="FFFFFFFF"/>
      <name val="Corbel"/>
      <family val="2"/>
    </font>
    <font>
      <sz val="10"/>
      <color rgb="FF2C2C2C"/>
      <name val="Corbel"/>
      <family val="2"/>
    </font>
    <font>
      <b/>
      <sz val="12"/>
      <color theme="1"/>
      <name val="Gill Sans MT"/>
      <family val="2"/>
    </font>
    <font>
      <sz val="12"/>
      <color theme="1"/>
      <name val="Gill Sans MT"/>
      <family val="2"/>
    </font>
    <font>
      <b/>
      <sz val="10"/>
      <color rgb="FF2C2C2C"/>
      <name val="Corbel"/>
      <family val="2"/>
    </font>
    <font>
      <sz val="12"/>
      <color rgb="FF2C2C2C"/>
      <name val="Gill Sans MT"/>
      <family val="2"/>
    </font>
    <font>
      <i/>
      <sz val="10"/>
      <color rgb="FF2C2C2C"/>
      <name val="Corbel"/>
      <family val="2"/>
    </font>
    <font>
      <b/>
      <sz val="11"/>
      <color theme="1"/>
      <name val="Calibri"/>
      <family val="2"/>
      <scheme val="minor"/>
    </font>
    <font>
      <sz val="10"/>
      <color theme="1"/>
      <name val="Corbel"/>
      <family val="2"/>
    </font>
    <font>
      <sz val="10"/>
      <name val="Corbel"/>
      <family val="2"/>
    </font>
    <font>
      <sz val="10"/>
      <color rgb="FF000000"/>
      <name val="Corbel"/>
      <family val="2"/>
    </font>
    <font>
      <b/>
      <sz val="10"/>
      <color rgb="FF000000"/>
      <name val="Corbel"/>
      <family val="2"/>
    </font>
    <font>
      <b/>
      <sz val="10"/>
      <color theme="1"/>
      <name val="Corbel"/>
      <family val="2"/>
    </font>
    <font>
      <sz val="10"/>
      <color theme="1"/>
      <name val="Calibri"/>
      <family val="2"/>
      <scheme val="minor"/>
    </font>
    <font>
      <b/>
      <sz val="10"/>
      <name val="Corbel"/>
      <family val="2"/>
    </font>
    <font>
      <b/>
      <sz val="10"/>
      <color theme="0"/>
      <name val="Corbel"/>
      <family val="2"/>
    </font>
    <font>
      <sz val="10"/>
      <color theme="0"/>
      <name val="Corbel"/>
      <family val="2"/>
    </font>
    <font>
      <b/>
      <sz val="14"/>
      <color theme="0"/>
      <name val="Corbel"/>
      <family val="2"/>
    </font>
    <font>
      <sz val="12"/>
      <color theme="1"/>
      <name val="Corbel"/>
      <family val="2"/>
    </font>
    <font>
      <b/>
      <sz val="18"/>
      <color theme="0"/>
      <name val="Calibri"/>
      <family val="2"/>
      <scheme val="minor"/>
    </font>
    <font>
      <sz val="18"/>
      <color theme="0"/>
      <name val="Calibri"/>
      <family val="2"/>
    </font>
    <font>
      <b/>
      <sz val="18"/>
      <color theme="0"/>
      <name val="Calibri"/>
      <family val="2"/>
    </font>
    <font>
      <b/>
      <sz val="12"/>
      <color theme="0"/>
      <name val="Corbel"/>
      <family val="2"/>
    </font>
    <font>
      <i/>
      <sz val="10"/>
      <name val="Corbel"/>
      <family val="2"/>
    </font>
    <font>
      <sz val="12"/>
      <color theme="0"/>
      <name val="Corbel"/>
      <family val="2"/>
    </font>
    <font>
      <b/>
      <sz val="10"/>
      <color rgb="FFFF0000"/>
      <name val="Corbel"/>
      <family val="2"/>
    </font>
    <font>
      <b/>
      <sz val="11"/>
      <color theme="0"/>
      <name val="Corbel"/>
      <family val="2"/>
    </font>
    <font>
      <b/>
      <sz val="11"/>
      <color rgb="FFFF0000"/>
      <name val="Corbel"/>
      <family val="2"/>
    </font>
    <font>
      <b/>
      <sz val="11"/>
      <color rgb="FF00B050"/>
      <name val="Corbel"/>
      <family val="2"/>
    </font>
    <font>
      <b/>
      <sz val="11"/>
      <color theme="5" tint="-0.249977111117893"/>
      <name val="Corbel"/>
      <family val="2"/>
    </font>
    <font>
      <b/>
      <sz val="12"/>
      <color theme="1"/>
      <name val="Times New Roman"/>
      <family val="1"/>
    </font>
    <font>
      <b/>
      <sz val="11"/>
      <color rgb="FFFFC000"/>
      <name val="Corbel"/>
      <family val="2"/>
    </font>
    <font>
      <b/>
      <sz val="11"/>
      <color theme="9" tint="-0.499984740745262"/>
      <name val="Corbel"/>
      <family val="2"/>
    </font>
    <font>
      <sz val="10"/>
      <color indexed="8"/>
      <name val="Arial"/>
      <family val="2"/>
    </font>
    <font>
      <sz val="10"/>
      <color rgb="FF2C2C2C"/>
      <name val="Calibri"/>
      <family val="2"/>
      <scheme val="minor"/>
    </font>
    <font>
      <sz val="10"/>
      <color indexed="8"/>
      <name val="Calibri"/>
      <family val="2"/>
      <scheme val="minor"/>
    </font>
    <font>
      <b/>
      <sz val="10"/>
      <color theme="0" tint="-0.249977111117893"/>
      <name val="Corbel"/>
      <family val="2"/>
    </font>
    <font>
      <sz val="10"/>
      <color theme="0" tint="-0.249977111117893"/>
      <name val="Corbel"/>
      <family val="2"/>
    </font>
    <font>
      <sz val="11"/>
      <color rgb="FF006100"/>
      <name val="Calibri"/>
      <family val="2"/>
    </font>
    <font>
      <sz val="11"/>
      <color rgb="FF9C0006"/>
      <name val="Calibri"/>
      <family val="2"/>
    </font>
    <font>
      <b/>
      <sz val="11"/>
      <color rgb="FF006100"/>
      <name val="Calibri"/>
      <family val="2"/>
      <scheme val="minor"/>
    </font>
    <font>
      <b/>
      <sz val="11"/>
      <color rgb="FF9C0006"/>
      <name val="Calibri"/>
      <family val="2"/>
      <scheme val="minor"/>
    </font>
    <font>
      <b/>
      <sz val="15"/>
      <color theme="0"/>
      <name val="Corbel"/>
      <family val="2"/>
    </font>
    <font>
      <sz val="10"/>
      <color theme="4" tint="0.59999389629810485"/>
      <name val="Corbel"/>
      <family val="2"/>
    </font>
    <font>
      <sz val="10"/>
      <color theme="5" tint="0.79998168889431442"/>
      <name val="Corbel"/>
      <family val="2"/>
    </font>
    <font>
      <sz val="10"/>
      <color rgb="FF92D050"/>
      <name val="Corbel"/>
      <family val="2"/>
    </font>
    <font>
      <sz val="11"/>
      <color theme="4" tint="0.79998168889431442"/>
      <name val="Calibri"/>
      <family val="2"/>
      <scheme val="minor"/>
    </font>
    <font>
      <sz val="10"/>
      <color rgb="FFFF0000"/>
      <name val="Corbel"/>
      <family val="2"/>
    </font>
    <font>
      <sz val="11"/>
      <color theme="5" tint="0.79998168889431442"/>
      <name val="Calibri"/>
      <family val="2"/>
      <scheme val="minor"/>
    </font>
    <font>
      <sz val="11"/>
      <color theme="9" tint="0.79998168889431442"/>
      <name val="Calibri"/>
      <family val="2"/>
      <scheme val="minor"/>
    </font>
    <font>
      <b/>
      <sz val="11"/>
      <color theme="8" tint="-0.249977111117893"/>
      <name val="Corbel"/>
      <family val="2"/>
    </font>
    <font>
      <sz val="9"/>
      <color rgb="FFFF0000"/>
      <name val="Corbel"/>
      <family val="2"/>
    </font>
    <font>
      <b/>
      <sz val="9"/>
      <color rgb="FF2C2C2C"/>
      <name val="Corbel"/>
      <family val="2"/>
    </font>
    <font>
      <sz val="9"/>
      <color theme="1"/>
      <name val="Corbel"/>
      <family val="2"/>
    </font>
    <font>
      <sz val="9"/>
      <color rgb="FF2C2C2C"/>
      <name val="Corbel"/>
      <family val="2"/>
    </font>
    <font>
      <sz val="9"/>
      <name val="Corbel"/>
      <family val="2"/>
    </font>
    <font>
      <sz val="9"/>
      <color rgb="FF000000"/>
      <name val="Corbel"/>
      <family val="2"/>
    </font>
    <font>
      <sz val="10"/>
      <color rgb="FF2C2C2C"/>
      <name val="Corbel"/>
      <family val="2"/>
    </font>
    <font>
      <sz val="14"/>
      <color rgb="FFFF0000"/>
      <name val="Corbel"/>
      <family val="2"/>
    </font>
    <font>
      <sz val="18"/>
      <color rgb="FFFF0000"/>
      <name val="Corbel"/>
      <family val="2"/>
    </font>
    <font>
      <sz val="10"/>
      <color rgb="FF2C2C2C"/>
      <name val="Gill Sans MT"/>
      <family val="2"/>
    </font>
    <font>
      <b/>
      <sz val="10"/>
      <color rgb="FF2C2C2C"/>
      <name val="Gill Sans MT"/>
      <family val="2"/>
    </font>
    <font>
      <sz val="11"/>
      <color theme="0"/>
      <name val="Calibri"/>
      <family val="2"/>
    </font>
    <font>
      <sz val="8"/>
      <color theme="1"/>
      <name val="Corbel"/>
      <family val="2"/>
    </font>
    <font>
      <b/>
      <sz val="10"/>
      <name val="Calibri"/>
      <family val="2"/>
      <scheme val="minor"/>
    </font>
    <font>
      <sz val="12"/>
      <color theme="1"/>
      <name val="Calibri"/>
      <family val="2"/>
      <scheme val="minor"/>
    </font>
    <font>
      <sz val="10"/>
      <color rgb="FF2C2C2C"/>
      <name val="Corbel"/>
      <family val="2"/>
    </font>
    <font>
      <b/>
      <sz val="12"/>
      <color theme="1"/>
      <name val="Calibri"/>
      <family val="2"/>
      <scheme val="minor"/>
    </font>
    <font>
      <sz val="10"/>
      <color rgb="FF2C2C2C"/>
      <name val="Corbel"/>
      <family val="2"/>
    </font>
    <font>
      <sz val="10"/>
      <color theme="0"/>
      <name val="Calibri"/>
      <family val="2"/>
      <scheme val="minor"/>
    </font>
    <font>
      <b/>
      <sz val="15"/>
      <color theme="3"/>
      <name val="Calibri"/>
      <family val="2"/>
      <scheme val="minor"/>
    </font>
    <font>
      <b/>
      <sz val="10"/>
      <color theme="1"/>
      <name val="Calibri"/>
      <family val="2"/>
      <scheme val="minor"/>
    </font>
    <font>
      <sz val="16"/>
      <color theme="1"/>
      <name val="Calibri"/>
      <family val="2"/>
      <scheme val="minor"/>
    </font>
    <font>
      <sz val="14"/>
      <color theme="1"/>
      <name val="Calibri"/>
      <family val="2"/>
      <scheme val="minor"/>
    </font>
    <font>
      <sz val="10"/>
      <color rgb="FF2C2C2C"/>
      <name val="Corbel"/>
      <family val="2"/>
    </font>
    <font>
      <sz val="9"/>
      <color theme="1"/>
      <name val="Calibri"/>
      <family val="2"/>
      <scheme val="minor"/>
    </font>
    <font>
      <sz val="10"/>
      <color theme="1"/>
      <name val="Times New Roman"/>
      <family val="2"/>
    </font>
    <font>
      <b/>
      <sz val="9"/>
      <color theme="0"/>
      <name val="Calibri"/>
      <family val="2"/>
      <scheme val="minor"/>
    </font>
    <font>
      <b/>
      <sz val="20"/>
      <color theme="0"/>
      <name val="Corbel"/>
      <family val="2"/>
    </font>
    <font>
      <sz val="10"/>
      <name val="Calibri"/>
      <family val="2"/>
      <scheme val="minor"/>
    </font>
    <font>
      <sz val="10"/>
      <color rgb="FF2C2C2C"/>
      <name val="Corbel"/>
      <family val="2"/>
    </font>
    <font>
      <sz val="10"/>
      <color theme="1"/>
      <name val="Calibri"/>
      <family val="2"/>
      <scheme val="minor"/>
    </font>
    <font>
      <sz val="10"/>
      <color theme="0"/>
      <name val="Calibri"/>
      <family val="2"/>
      <scheme val="minor"/>
    </font>
    <font>
      <sz val="12"/>
      <color theme="0"/>
      <name val="Calibri"/>
      <family val="2"/>
      <scheme val="minor"/>
    </font>
    <font>
      <sz val="12"/>
      <color rgb="FF2C2C2C"/>
      <name val="Calibri"/>
      <family val="2"/>
      <scheme val="minor"/>
    </font>
    <font>
      <b/>
      <sz val="12"/>
      <color rgb="FF000000"/>
      <name val="Calibri"/>
      <family val="2"/>
      <scheme val="minor"/>
    </font>
    <font>
      <b/>
      <sz val="12"/>
      <color rgb="FFFF0000"/>
      <name val="Calibri"/>
      <family val="2"/>
      <scheme val="minor"/>
    </font>
    <font>
      <sz val="10"/>
      <color theme="4" tint="-0.249977111117893"/>
      <name val="Calibri"/>
      <family val="2"/>
      <scheme val="minor"/>
    </font>
    <font>
      <b/>
      <sz val="14"/>
      <color theme="1"/>
      <name val="Calibri"/>
      <family val="2"/>
      <scheme val="minor"/>
    </font>
    <font>
      <sz val="10"/>
      <color theme="5" tint="-0.249977111117893"/>
      <name val="Calibri"/>
      <family val="2"/>
      <scheme val="minor"/>
    </font>
    <font>
      <sz val="10"/>
      <color theme="1"/>
      <name val="Calibri"/>
      <family val="2"/>
      <scheme val="minor"/>
    </font>
    <font>
      <sz val="12"/>
      <color theme="1"/>
      <name val="Calibri"/>
      <family val="2"/>
      <scheme val="minor"/>
    </font>
    <font>
      <sz val="12"/>
      <color theme="0"/>
      <name val="Calibri"/>
      <family val="2"/>
      <scheme val="minor"/>
    </font>
    <font>
      <sz val="9"/>
      <color theme="1"/>
      <name val="Calibri"/>
      <family val="2"/>
      <scheme val="minor"/>
    </font>
    <font>
      <sz val="10"/>
      <color theme="5" tint="-0.249977111117893"/>
      <name val="Calibri"/>
      <family val="2"/>
      <scheme val="minor"/>
    </font>
    <font>
      <sz val="12"/>
      <color theme="1"/>
      <name val="Calibri"/>
      <scheme val="minor"/>
    </font>
    <font>
      <sz val="12"/>
      <color theme="0"/>
      <name val="Calibri"/>
      <scheme val="minor"/>
    </font>
    <font>
      <b/>
      <sz val="20"/>
      <color theme="0"/>
      <name val="Calibri"/>
      <family val="2"/>
      <scheme val="minor"/>
    </font>
  </fonts>
  <fills count="49">
    <fill>
      <patternFill patternType="none"/>
    </fill>
    <fill>
      <patternFill patternType="gray125"/>
    </fill>
    <fill>
      <patternFill patternType="solid">
        <fgColor rgb="FFFFC000"/>
        <bgColor indexed="64"/>
      </patternFill>
    </fill>
    <fill>
      <patternFill patternType="solid">
        <fgColor theme="7" tint="0.59999389629810485"/>
        <bgColor indexed="64"/>
      </patternFill>
    </fill>
    <fill>
      <patternFill patternType="solid">
        <fgColor rgb="FFFFE8CB"/>
        <bgColor indexed="64"/>
      </patternFill>
    </fill>
    <fill>
      <patternFill patternType="solid">
        <fgColor rgb="FFFFF4E7"/>
        <bgColor indexed="64"/>
      </patternFill>
    </fill>
    <fill>
      <patternFill patternType="solid">
        <fgColor theme="4" tint="-0.249977111117893"/>
        <bgColor indexed="64"/>
      </patternFill>
    </fill>
    <fill>
      <patternFill patternType="solid">
        <fgColor theme="5" tint="0.39997558519241921"/>
        <bgColor indexed="64"/>
      </patternFill>
    </fill>
    <fill>
      <patternFill patternType="solid">
        <fgColor theme="5" tint="0.59999389629810485"/>
        <bgColor indexed="64"/>
      </patternFill>
    </fill>
    <fill>
      <patternFill patternType="solid">
        <fgColor theme="5" tint="-0.249977111117893"/>
        <bgColor indexed="64"/>
      </patternFill>
    </fill>
    <fill>
      <patternFill patternType="solid">
        <fgColor theme="9" tint="-0.249977111117893"/>
        <bgColor indexed="64"/>
      </patternFill>
    </fill>
    <fill>
      <patternFill patternType="solid">
        <fgColor theme="4" tint="0.59999389629810485"/>
        <bgColor indexed="64"/>
      </patternFill>
    </fill>
    <fill>
      <patternFill patternType="solid">
        <fgColor theme="9" tint="0.59999389629810485"/>
        <bgColor indexed="64"/>
      </patternFill>
    </fill>
    <fill>
      <patternFill patternType="solid">
        <fgColor theme="0" tint="-0.249977111117893"/>
        <bgColor indexed="64"/>
      </patternFill>
    </fill>
    <fill>
      <patternFill patternType="solid">
        <fgColor theme="0"/>
        <bgColor indexed="64"/>
      </patternFill>
    </fill>
    <fill>
      <patternFill patternType="solid">
        <fgColor rgb="FF0070C0"/>
        <bgColor indexed="64"/>
      </patternFill>
    </fill>
    <fill>
      <patternFill patternType="solid">
        <fgColor theme="8" tint="-0.249977111117893"/>
        <bgColor indexed="64"/>
      </patternFill>
    </fill>
    <fill>
      <patternFill patternType="solid">
        <fgColor theme="7" tint="-0.249977111117893"/>
        <bgColor indexed="64"/>
      </patternFill>
    </fill>
    <fill>
      <patternFill patternType="solid">
        <fgColor theme="7" tint="0.79998168889431442"/>
        <bgColor indexed="64"/>
      </patternFill>
    </fill>
    <fill>
      <patternFill patternType="solid">
        <fgColor theme="4" tint="0.39997558519241921"/>
        <bgColor indexed="64"/>
      </patternFill>
    </fill>
    <fill>
      <patternFill patternType="solid">
        <fgColor theme="4" tint="-0.499984740745262"/>
        <bgColor indexed="64"/>
      </patternFill>
    </fill>
    <fill>
      <patternFill patternType="solid">
        <fgColor theme="9" tint="0.39997558519241921"/>
        <bgColor indexed="64"/>
      </patternFill>
    </fill>
    <fill>
      <patternFill patternType="solid">
        <fgColor theme="8" tint="0.79998168889431442"/>
        <bgColor indexed="64"/>
      </patternFill>
    </fill>
    <fill>
      <patternFill patternType="solid">
        <fgColor theme="6"/>
        <bgColor indexed="64"/>
      </patternFill>
    </fill>
    <fill>
      <patternFill patternType="solid">
        <fgColor theme="2" tint="-0.249977111117893"/>
        <bgColor indexed="64"/>
      </patternFill>
    </fill>
    <fill>
      <patternFill patternType="solid">
        <fgColor theme="8"/>
        <bgColor indexed="64"/>
      </patternFill>
    </fill>
    <fill>
      <patternFill patternType="solid">
        <fgColor rgb="FFC6EFCE"/>
      </patternFill>
    </fill>
    <fill>
      <patternFill patternType="solid">
        <fgColor rgb="FFFFC7CE"/>
      </patternFill>
    </fill>
    <fill>
      <patternFill patternType="solid">
        <fgColor theme="1"/>
        <bgColor indexed="64"/>
      </patternFill>
    </fill>
    <fill>
      <patternFill patternType="solid">
        <fgColor theme="0" tint="-0.14999847407452621"/>
        <bgColor indexed="64"/>
      </patternFill>
    </fill>
    <fill>
      <patternFill patternType="solid">
        <fgColor rgb="FF00B0F0"/>
        <bgColor indexed="64"/>
      </patternFill>
    </fill>
    <fill>
      <patternFill patternType="solid">
        <fgColor theme="5" tint="0.79998168889431442"/>
        <bgColor indexed="64"/>
      </patternFill>
    </fill>
    <fill>
      <patternFill patternType="solid">
        <fgColor theme="3" tint="-0.499984740745262"/>
        <bgColor indexed="64"/>
      </patternFill>
    </fill>
    <fill>
      <patternFill patternType="solid">
        <fgColor rgb="FFD4E8C6"/>
        <bgColor indexed="64"/>
      </patternFill>
    </fill>
    <fill>
      <patternFill patternType="solid">
        <fgColor theme="4" tint="0.79998168889431442"/>
        <bgColor theme="4" tint="0.79998168889431442"/>
      </patternFill>
    </fill>
    <fill>
      <patternFill patternType="solid">
        <fgColor rgb="FFFF0000"/>
        <bgColor indexed="64"/>
      </patternFill>
    </fill>
    <fill>
      <patternFill patternType="solid">
        <fgColor rgb="FF85C2FF"/>
        <bgColor indexed="64"/>
      </patternFill>
    </fill>
    <fill>
      <patternFill patternType="solid">
        <fgColor theme="1" tint="4.9989318521683403E-2"/>
        <bgColor indexed="64"/>
      </patternFill>
    </fill>
    <fill>
      <patternFill patternType="solid">
        <fgColor rgb="FF92D050"/>
        <bgColor indexed="64"/>
      </patternFill>
    </fill>
    <fill>
      <patternFill patternType="solid">
        <fgColor rgb="FF92D050"/>
        <bgColor theme="4" tint="0.79998168889431442"/>
      </patternFill>
    </fill>
    <fill>
      <patternFill patternType="solid">
        <fgColor theme="4"/>
        <bgColor indexed="64"/>
      </patternFill>
    </fill>
    <fill>
      <patternFill patternType="solid">
        <fgColor theme="4" tint="0.79998168889431442"/>
        <bgColor indexed="64"/>
      </patternFill>
    </fill>
    <fill>
      <patternFill patternType="solid">
        <fgColor theme="7" tint="0.39997558519241921"/>
        <bgColor indexed="64"/>
      </patternFill>
    </fill>
    <fill>
      <patternFill patternType="solid">
        <fgColor theme="4"/>
        <bgColor theme="4"/>
      </patternFill>
    </fill>
    <fill>
      <patternFill patternType="solid">
        <fgColor rgb="FFEAFFC1"/>
        <bgColor indexed="64"/>
      </patternFill>
    </fill>
    <fill>
      <patternFill patternType="solid">
        <fgColor theme="4" tint="0.59996337778862885"/>
        <bgColor indexed="64"/>
      </patternFill>
    </fill>
    <fill>
      <patternFill patternType="solid">
        <fgColor theme="7"/>
        <bgColor indexed="64"/>
      </patternFill>
    </fill>
    <fill>
      <patternFill patternType="solid">
        <fgColor theme="9" tint="-0.499984740745262"/>
        <bgColor indexed="64"/>
      </patternFill>
    </fill>
    <fill>
      <patternFill patternType="solid">
        <fgColor theme="0" tint="-0.34998626667073579"/>
        <bgColor indexed="64"/>
      </patternFill>
    </fill>
  </fills>
  <borders count="92">
    <border>
      <left/>
      <right/>
      <top/>
      <bottom/>
      <diagonal/>
    </border>
    <border>
      <left style="medium">
        <color rgb="FFFFFFFF"/>
      </left>
      <right style="medium">
        <color rgb="FFFFFFFF"/>
      </right>
      <top style="thick">
        <color rgb="FFFFFFFF"/>
      </top>
      <bottom style="medium">
        <color rgb="FFFFFFFF"/>
      </bottom>
      <diagonal/>
    </border>
    <border>
      <left style="medium">
        <color rgb="FFFFFFFF"/>
      </left>
      <right style="medium">
        <color rgb="FFFFFFFF"/>
      </right>
      <top style="medium">
        <color rgb="FFFFFFFF"/>
      </top>
      <bottom style="medium">
        <color rgb="FFFFFFFF"/>
      </bottom>
      <diagonal/>
    </border>
    <border>
      <left style="medium">
        <color rgb="FFFFFFFF"/>
      </left>
      <right style="medium">
        <color rgb="FFFFFFFF"/>
      </right>
      <top style="medium">
        <color rgb="FFFFFFFF"/>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ck">
        <color indexed="64"/>
      </left>
      <right/>
      <top style="thick">
        <color indexed="64"/>
      </top>
      <bottom style="thick">
        <color indexed="64"/>
      </bottom>
      <diagonal/>
    </border>
    <border>
      <left/>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top/>
      <bottom/>
      <diagonal/>
    </border>
    <border>
      <left/>
      <right style="thick">
        <color indexed="64"/>
      </right>
      <top/>
      <bottom/>
      <diagonal/>
    </border>
    <border>
      <left style="thick">
        <color indexed="64"/>
      </left>
      <right/>
      <top/>
      <bottom style="thick">
        <color indexed="64"/>
      </bottom>
      <diagonal/>
    </border>
    <border>
      <left/>
      <right/>
      <top/>
      <bottom style="thick">
        <color indexed="64"/>
      </bottom>
      <diagonal/>
    </border>
    <border>
      <left/>
      <right style="thick">
        <color indexed="64"/>
      </right>
      <top/>
      <bottom style="thick">
        <color indexed="64"/>
      </bottom>
      <diagonal/>
    </border>
    <border>
      <left/>
      <right style="medium">
        <color rgb="FFFFFFFF"/>
      </right>
      <top style="medium">
        <color rgb="FFFFFFFF"/>
      </top>
      <bottom/>
      <diagonal/>
    </border>
    <border>
      <left/>
      <right style="medium">
        <color rgb="FFFFFFFF"/>
      </right>
      <top style="medium">
        <color rgb="FFFFFFFF"/>
      </top>
      <bottom style="medium">
        <color rgb="FFFFFFFF"/>
      </bottom>
      <diagonal/>
    </border>
    <border>
      <left style="medium">
        <color theme="0"/>
      </left>
      <right style="medium">
        <color theme="0"/>
      </right>
      <top style="medium">
        <color theme="0"/>
      </top>
      <bottom style="medium">
        <color theme="0"/>
      </bottom>
      <diagonal/>
    </border>
    <border>
      <left style="medium">
        <color rgb="FFFFFFFF"/>
      </left>
      <right/>
      <top style="medium">
        <color rgb="FFFFFFFF"/>
      </top>
      <bottom style="medium">
        <color rgb="FFFFFFFF"/>
      </bottom>
      <diagonal/>
    </border>
    <border>
      <left style="medium">
        <color rgb="FFFFFFFF"/>
      </left>
      <right style="medium">
        <color rgb="FFFFFFFF"/>
      </right>
      <top style="thick">
        <color rgb="FFFFFFFF"/>
      </top>
      <bottom/>
      <diagonal/>
    </border>
    <border>
      <left style="thin">
        <color indexed="22"/>
      </left>
      <right style="thin">
        <color indexed="22"/>
      </right>
      <top style="thin">
        <color indexed="22"/>
      </top>
      <bottom style="thin">
        <color indexed="22"/>
      </bottom>
      <diagonal/>
    </border>
    <border>
      <left style="medium">
        <color rgb="FFFFFFFF"/>
      </left>
      <right style="medium">
        <color rgb="FFFFFFFF"/>
      </right>
      <top/>
      <bottom/>
      <diagonal/>
    </border>
    <border>
      <left style="medium">
        <color theme="0"/>
      </left>
      <right style="medium">
        <color theme="0"/>
      </right>
      <top style="medium">
        <color theme="0"/>
      </top>
      <bottom/>
      <diagonal/>
    </border>
    <border>
      <left style="medium">
        <color theme="0"/>
      </left>
      <right/>
      <top style="medium">
        <color theme="0"/>
      </top>
      <bottom/>
      <diagonal/>
    </border>
    <border>
      <left/>
      <right style="medium">
        <color theme="0"/>
      </right>
      <top style="medium">
        <color theme="0"/>
      </top>
      <bottom/>
      <diagonal/>
    </border>
    <border>
      <left/>
      <right/>
      <top style="thick">
        <color rgb="FFFFFFFF"/>
      </top>
      <bottom/>
      <diagonal/>
    </border>
    <border>
      <left/>
      <right style="medium">
        <color rgb="FFFFFFFF"/>
      </right>
      <top style="thick">
        <color rgb="FFFFFFFF"/>
      </top>
      <bottom/>
      <diagonal/>
    </border>
    <border>
      <left style="medium">
        <color rgb="FFFF0000"/>
      </left>
      <right style="medium">
        <color theme="0"/>
      </right>
      <top style="medium">
        <color rgb="FFFF0000"/>
      </top>
      <bottom style="medium">
        <color rgb="FFFF0000"/>
      </bottom>
      <diagonal/>
    </border>
    <border>
      <left style="medium">
        <color theme="0"/>
      </left>
      <right style="medium">
        <color rgb="FFFF0000"/>
      </right>
      <top style="medium">
        <color rgb="FFFF0000"/>
      </top>
      <bottom style="medium">
        <color rgb="FFFF0000"/>
      </bottom>
      <diagonal/>
    </border>
    <border>
      <left style="medium">
        <color theme="0"/>
      </left>
      <right/>
      <top style="medium">
        <color theme="0"/>
      </top>
      <bottom style="medium">
        <color theme="0"/>
      </bottom>
      <diagonal/>
    </border>
    <border>
      <left/>
      <right style="medium">
        <color theme="0"/>
      </right>
      <top style="medium">
        <color theme="0"/>
      </top>
      <bottom style="medium">
        <color theme="0"/>
      </bottom>
      <diagonal/>
    </border>
    <border>
      <left style="medium">
        <color theme="0"/>
      </left>
      <right style="medium">
        <color theme="0"/>
      </right>
      <top/>
      <bottom/>
      <diagonal/>
    </border>
    <border>
      <left style="medium">
        <color theme="0"/>
      </left>
      <right style="medium">
        <color theme="0"/>
      </right>
      <top/>
      <bottom style="medium">
        <color theme="0"/>
      </bottom>
      <diagonal/>
    </border>
    <border>
      <left style="medium">
        <color theme="0" tint="-0.249977111117893"/>
      </left>
      <right/>
      <top style="medium">
        <color theme="0" tint="-0.249977111117893"/>
      </top>
      <bottom style="medium">
        <color theme="0" tint="-0.249977111117893"/>
      </bottom>
      <diagonal/>
    </border>
    <border>
      <left/>
      <right/>
      <top style="medium">
        <color theme="0" tint="-0.249977111117893"/>
      </top>
      <bottom style="medium">
        <color theme="0" tint="-0.249977111117893"/>
      </bottom>
      <diagonal/>
    </border>
    <border>
      <left/>
      <right style="medium">
        <color theme="0" tint="-0.249977111117893"/>
      </right>
      <top style="medium">
        <color theme="0" tint="-0.249977111117893"/>
      </top>
      <bottom style="medium">
        <color theme="0" tint="-0.249977111117893"/>
      </bottom>
      <diagonal/>
    </border>
    <border>
      <left/>
      <right/>
      <top style="medium">
        <color theme="0"/>
      </top>
      <bottom/>
      <diagonal/>
    </border>
    <border>
      <left style="medium">
        <color rgb="FFFF0000"/>
      </left>
      <right/>
      <top style="medium">
        <color rgb="FFFF0000"/>
      </top>
      <bottom/>
      <diagonal/>
    </border>
    <border>
      <left/>
      <right/>
      <top style="medium">
        <color rgb="FFFF0000"/>
      </top>
      <bottom/>
      <diagonal/>
    </border>
    <border>
      <left/>
      <right style="medium">
        <color rgb="FFFF0000"/>
      </right>
      <top style="medium">
        <color rgb="FFFF0000"/>
      </top>
      <bottom/>
      <diagonal/>
    </border>
    <border>
      <left/>
      <right style="medium">
        <color theme="0"/>
      </right>
      <top/>
      <bottom/>
      <diagonal/>
    </border>
    <border>
      <left style="medium">
        <color rgb="FF009900"/>
      </left>
      <right style="medium">
        <color rgb="FF009900"/>
      </right>
      <top style="medium">
        <color rgb="FF009900"/>
      </top>
      <bottom style="medium">
        <color rgb="FF009900"/>
      </bottom>
      <diagonal/>
    </border>
    <border>
      <left style="medium">
        <color theme="0"/>
      </left>
      <right style="medium">
        <color rgb="FFFF0000"/>
      </right>
      <top/>
      <bottom style="medium">
        <color rgb="FFFF0000"/>
      </bottom>
      <diagonal/>
    </border>
    <border>
      <left style="thin">
        <color theme="0"/>
      </left>
      <right/>
      <top/>
      <bottom/>
      <diagonal/>
    </border>
    <border>
      <left style="thin">
        <color theme="6" tint="-0.249977111117893"/>
      </left>
      <right style="thin">
        <color theme="6" tint="-0.249977111117893"/>
      </right>
      <top style="thin">
        <color theme="6" tint="-0.249977111117893"/>
      </top>
      <bottom style="thin">
        <color theme="6" tint="-0.249977111117893"/>
      </bottom>
      <diagonal/>
    </border>
    <border>
      <left/>
      <right/>
      <top style="thin">
        <color theme="4" tint="0.39997558519241921"/>
      </top>
      <bottom style="thin">
        <color theme="4" tint="0.39997558519241921"/>
      </bottom>
      <diagonal/>
    </border>
    <border>
      <left/>
      <right style="thin">
        <color theme="4" tint="0.39997558519241921"/>
      </right>
      <top style="thin">
        <color theme="4" tint="0.39997558519241921"/>
      </top>
      <bottom style="thin">
        <color theme="4" tint="0.39997558519241921"/>
      </bottom>
      <diagonal/>
    </border>
    <border>
      <left style="medium">
        <color theme="0"/>
      </left>
      <right style="medium">
        <color theme="0"/>
      </right>
      <top style="medium">
        <color theme="0"/>
      </top>
      <bottom style="thin">
        <color theme="8" tint="0.39997558519241921"/>
      </bottom>
      <diagonal/>
    </border>
    <border>
      <left style="thin">
        <color theme="8" tint="0.39997558519241921"/>
      </left>
      <right style="thin">
        <color theme="8" tint="0.39997558519241921"/>
      </right>
      <top style="thin">
        <color theme="8" tint="0.39997558519241921"/>
      </top>
      <bottom style="thin">
        <color theme="8" tint="0.39997558519241921"/>
      </bottom>
      <diagonal/>
    </border>
    <border>
      <left style="thin">
        <color theme="8" tint="0.39997558519241921"/>
      </left>
      <right style="medium">
        <color theme="0"/>
      </right>
      <top style="medium">
        <color theme="0"/>
      </top>
      <bottom style="thin">
        <color theme="8" tint="0.39997558519241921"/>
      </bottom>
      <diagonal/>
    </border>
    <border>
      <left style="medium">
        <color theme="0"/>
      </left>
      <right style="thin">
        <color theme="8" tint="0.39997558519241921"/>
      </right>
      <top style="medium">
        <color theme="0"/>
      </top>
      <bottom style="thin">
        <color theme="8" tint="0.39997558519241921"/>
      </bottom>
      <diagonal/>
    </border>
    <border>
      <left style="thin">
        <color theme="8" tint="0.39997558519241921"/>
      </left>
      <right style="medium">
        <color theme="0"/>
      </right>
      <top style="thin">
        <color theme="8" tint="0.39997558519241921"/>
      </top>
      <bottom style="thin">
        <color theme="8" tint="0.39997558519241921"/>
      </bottom>
      <diagonal/>
    </border>
    <border>
      <left style="medium">
        <color theme="0"/>
      </left>
      <right style="medium">
        <color theme="0"/>
      </right>
      <top style="thin">
        <color theme="8" tint="0.39997558519241921"/>
      </top>
      <bottom style="thin">
        <color theme="8" tint="0.39997558519241921"/>
      </bottom>
      <diagonal/>
    </border>
    <border>
      <left style="thin">
        <color theme="4"/>
      </left>
      <right style="thin">
        <color theme="4"/>
      </right>
      <top style="thin">
        <color theme="4"/>
      </top>
      <bottom style="thin">
        <color theme="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theme="7" tint="-0.249977111117893"/>
      </left>
      <right style="thin">
        <color theme="7" tint="-0.249977111117893"/>
      </right>
      <top style="thin">
        <color theme="7" tint="-0.249977111117893"/>
      </top>
      <bottom style="thin">
        <color theme="7" tint="-0.249977111117893"/>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theme="4" tint="0.39997558519241921"/>
      </top>
      <bottom/>
      <diagonal/>
    </border>
    <border>
      <left/>
      <right style="thin">
        <color theme="4" tint="0.39997558519241921"/>
      </right>
      <top style="thin">
        <color theme="4" tint="0.39997558519241921"/>
      </top>
      <bottom/>
      <diagonal/>
    </border>
    <border>
      <left/>
      <right/>
      <top/>
      <bottom style="thin">
        <color theme="4" tint="0.39997558519241921"/>
      </bottom>
      <diagonal/>
    </border>
    <border>
      <left/>
      <right/>
      <top/>
      <bottom style="thick">
        <color theme="4"/>
      </bottom>
      <diagonal/>
    </border>
    <border>
      <left style="medium">
        <color rgb="FFFF0000"/>
      </left>
      <right style="medium">
        <color theme="0"/>
      </right>
      <top/>
      <bottom style="medium">
        <color rgb="FFFF0000"/>
      </bottom>
      <diagonal/>
    </border>
    <border>
      <left style="medium">
        <color theme="0"/>
      </left>
      <right style="thin">
        <color theme="8" tint="0.39997558519241921"/>
      </right>
      <top/>
      <bottom style="thin">
        <color theme="8" tint="0.39997558519241921"/>
      </bottom>
      <diagonal/>
    </border>
    <border>
      <left style="thin">
        <color theme="8"/>
      </left>
      <right style="thin">
        <color theme="8"/>
      </right>
      <top style="thin">
        <color theme="8"/>
      </top>
      <bottom style="thin">
        <color theme="8"/>
      </bottom>
      <diagonal/>
    </border>
    <border>
      <left style="thin">
        <color indexed="64"/>
      </left>
      <right/>
      <top style="thin">
        <color indexed="64"/>
      </top>
      <bottom/>
      <diagonal/>
    </border>
    <border>
      <left style="medium">
        <color rgb="FFFF0000"/>
      </left>
      <right style="medium">
        <color rgb="FFFF0000"/>
      </right>
      <top style="medium">
        <color theme="0"/>
      </top>
      <bottom style="medium">
        <color theme="0"/>
      </bottom>
      <diagonal/>
    </border>
    <border>
      <left style="medium">
        <color rgb="FFFF0000"/>
      </left>
      <right style="medium">
        <color theme="0"/>
      </right>
      <top style="medium">
        <color theme="0"/>
      </top>
      <bottom style="medium">
        <color theme="0"/>
      </bottom>
      <diagonal/>
    </border>
    <border>
      <left style="thin">
        <color rgb="FF0070C0"/>
      </left>
      <right style="thin">
        <color rgb="FF0070C0"/>
      </right>
      <top style="thin">
        <color rgb="FF0070C0"/>
      </top>
      <bottom style="thin">
        <color rgb="FF0070C0"/>
      </bottom>
      <diagonal/>
    </border>
    <border>
      <left style="medium">
        <color rgb="FF0070C0"/>
      </left>
      <right style="thin">
        <color rgb="FF0070C0"/>
      </right>
      <top style="medium">
        <color rgb="FF0070C0"/>
      </top>
      <bottom style="thin">
        <color rgb="FF0070C0"/>
      </bottom>
      <diagonal/>
    </border>
    <border>
      <left style="thin">
        <color rgb="FF0070C0"/>
      </left>
      <right style="thin">
        <color rgb="FF0070C0"/>
      </right>
      <top style="medium">
        <color rgb="FF0070C0"/>
      </top>
      <bottom style="thin">
        <color rgb="FF0070C0"/>
      </bottom>
      <diagonal/>
    </border>
    <border>
      <left style="thin">
        <color rgb="FF0070C0"/>
      </left>
      <right style="medium">
        <color rgb="FF0070C0"/>
      </right>
      <top style="medium">
        <color rgb="FF0070C0"/>
      </top>
      <bottom style="thin">
        <color rgb="FF0070C0"/>
      </bottom>
      <diagonal/>
    </border>
    <border>
      <left style="medium">
        <color rgb="FF0070C0"/>
      </left>
      <right style="thin">
        <color rgb="FF0070C0"/>
      </right>
      <top style="thin">
        <color rgb="FF0070C0"/>
      </top>
      <bottom style="thin">
        <color rgb="FF0070C0"/>
      </bottom>
      <diagonal/>
    </border>
    <border>
      <left style="thin">
        <color rgb="FF0070C0"/>
      </left>
      <right style="medium">
        <color rgb="FF0070C0"/>
      </right>
      <top style="thin">
        <color rgb="FF0070C0"/>
      </top>
      <bottom style="thin">
        <color rgb="FF0070C0"/>
      </bottom>
      <diagonal/>
    </border>
    <border>
      <left style="medium">
        <color rgb="FF0070C0"/>
      </left>
      <right style="thin">
        <color rgb="FF0070C0"/>
      </right>
      <top style="thin">
        <color rgb="FF0070C0"/>
      </top>
      <bottom style="medium">
        <color rgb="FF0070C0"/>
      </bottom>
      <diagonal/>
    </border>
    <border>
      <left style="thin">
        <color rgb="FF0070C0"/>
      </left>
      <right style="thin">
        <color rgb="FF0070C0"/>
      </right>
      <top style="thin">
        <color rgb="FF0070C0"/>
      </top>
      <bottom style="medium">
        <color rgb="FF0070C0"/>
      </bottom>
      <diagonal/>
    </border>
    <border>
      <left style="thin">
        <color rgb="FF0070C0"/>
      </left>
      <right style="medium">
        <color rgb="FF0070C0"/>
      </right>
      <top style="thin">
        <color rgb="FF0070C0"/>
      </top>
      <bottom style="medium">
        <color rgb="FF0070C0"/>
      </bottom>
      <diagonal/>
    </border>
    <border>
      <left/>
      <right/>
      <top/>
      <bottom style="thin">
        <color theme="4"/>
      </bottom>
      <diagonal/>
    </border>
    <border>
      <left style="medium">
        <color theme="4"/>
      </left>
      <right style="thin">
        <color theme="4"/>
      </right>
      <top style="medium">
        <color theme="4"/>
      </top>
      <bottom style="medium">
        <color theme="4"/>
      </bottom>
      <diagonal/>
    </border>
    <border>
      <left style="thin">
        <color theme="4"/>
      </left>
      <right style="thin">
        <color theme="4"/>
      </right>
      <top/>
      <bottom/>
      <diagonal/>
    </border>
    <border>
      <left style="thin">
        <color theme="4"/>
      </left>
      <right style="thin">
        <color theme="4"/>
      </right>
      <top style="medium">
        <color theme="4"/>
      </top>
      <bottom style="medium">
        <color theme="4"/>
      </bottom>
      <diagonal/>
    </border>
    <border>
      <left style="thin">
        <color theme="4"/>
      </left>
      <right style="medium">
        <color theme="4"/>
      </right>
      <top style="medium">
        <color theme="4"/>
      </top>
      <bottom style="medium">
        <color theme="4"/>
      </bottom>
      <diagonal/>
    </border>
    <border>
      <left style="thin">
        <color theme="4" tint="0.59999389629810485"/>
      </left>
      <right style="thin">
        <color theme="4"/>
      </right>
      <top style="thin">
        <color theme="4" tint="0.59999389629810485"/>
      </top>
      <bottom style="thin">
        <color theme="4" tint="0.59999389629810485"/>
      </bottom>
      <diagonal/>
    </border>
    <border>
      <left style="thin">
        <color theme="4" tint="0.59999389629810485"/>
      </left>
      <right style="thin">
        <color theme="4" tint="0.59999389629810485"/>
      </right>
      <top style="thin">
        <color theme="4" tint="0.59999389629810485"/>
      </top>
      <bottom style="thin">
        <color theme="4" tint="0.59999389629810485"/>
      </bottom>
      <diagonal/>
    </border>
    <border>
      <left style="thin">
        <color theme="4" tint="0.39994506668294322"/>
      </left>
      <right style="thin">
        <color theme="4" tint="0.39994506668294322"/>
      </right>
      <top/>
      <bottom/>
      <diagonal/>
    </border>
    <border>
      <left style="thin">
        <color theme="4" tint="0.39994506668294322"/>
      </left>
      <right style="thin">
        <color theme="4"/>
      </right>
      <top/>
      <bottom/>
      <diagonal/>
    </border>
    <border>
      <left/>
      <right style="thin">
        <color theme="5"/>
      </right>
      <top style="thin">
        <color theme="5" tint="0.59996337778862885"/>
      </top>
      <bottom style="thin">
        <color theme="5" tint="0.59996337778862885"/>
      </bottom>
      <diagonal/>
    </border>
    <border>
      <left style="thin">
        <color theme="5" tint="0.59996337778862885"/>
      </left>
      <right style="thin">
        <color theme="5" tint="0.59996337778862885"/>
      </right>
      <top style="thin">
        <color theme="0"/>
      </top>
      <bottom style="medium">
        <color theme="5"/>
      </bottom>
      <diagonal/>
    </border>
    <border>
      <left style="thin">
        <color theme="5" tint="0.59996337778862885"/>
      </left>
      <right style="medium">
        <color theme="5"/>
      </right>
      <top style="thin">
        <color theme="0"/>
      </top>
      <bottom style="medium">
        <color theme="5"/>
      </bottom>
      <diagonal/>
    </border>
    <border>
      <left style="thin">
        <color theme="5" tint="0.59996337778862885"/>
      </left>
      <right style="thin">
        <color theme="5" tint="0.59996337778862885"/>
      </right>
      <top style="thin">
        <color theme="5" tint="0.59996337778862885"/>
      </top>
      <bottom style="thin">
        <color theme="5" tint="0.59996337778862885"/>
      </bottom>
      <diagonal/>
    </border>
    <border>
      <left style="thin">
        <color theme="5" tint="0.59996337778862885"/>
      </left>
      <right/>
      <top style="thin">
        <color theme="5" tint="0.59996337778862885"/>
      </top>
      <bottom style="thin">
        <color theme="5" tint="0.59996337778862885"/>
      </bottom>
      <diagonal/>
    </border>
  </borders>
  <cellStyleXfs count="21">
    <xf numFmtId="0" fontId="0" fillId="0" borderId="0"/>
    <xf numFmtId="9" fontId="4" fillId="0" borderId="0" applyFont="0" applyFill="0" applyBorder="0" applyAlignment="0" applyProtection="0"/>
    <xf numFmtId="0" fontId="5" fillId="0" borderId="0"/>
    <xf numFmtId="9"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43" fontId="5" fillId="0" borderId="0" applyFont="0" applyFill="0" applyBorder="0" applyAlignment="0" applyProtection="0"/>
    <xf numFmtId="166" fontId="5" fillId="0" borderId="0"/>
    <xf numFmtId="0" fontId="41" fillId="0" borderId="0"/>
    <xf numFmtId="0" fontId="41" fillId="0" borderId="0"/>
    <xf numFmtId="0" fontId="46" fillId="26" borderId="0" applyNumberFormat="0" applyBorder="0" applyAlignment="0" applyProtection="0"/>
    <xf numFmtId="0" fontId="47" fillId="27" borderId="0" applyNumberFormat="0" applyBorder="0" applyAlignment="0" applyProtection="0"/>
    <xf numFmtId="0" fontId="3" fillId="0" borderId="0"/>
    <xf numFmtId="9" fontId="3" fillId="0" borderId="0" applyFont="0" applyFill="0" applyBorder="0" applyAlignment="0" applyProtection="0"/>
    <xf numFmtId="0" fontId="78" fillId="0" borderId="62" applyNumberFormat="0" applyFill="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166" fontId="1" fillId="0" borderId="0"/>
  </cellStyleXfs>
  <cellXfs count="892">
    <xf numFmtId="0" fontId="0" fillId="0" borderId="0" xfId="0"/>
    <xf numFmtId="0" fontId="8" fillId="2" borderId="1" xfId="0" applyFont="1" applyFill="1" applyBorder="1" applyAlignment="1">
      <alignment horizontal="left" vertical="center" readingOrder="1"/>
    </xf>
    <xf numFmtId="0" fontId="8" fillId="6" borderId="2" xfId="0" applyFont="1" applyFill="1" applyBorder="1" applyAlignment="1">
      <alignment horizontal="left" vertical="center" readingOrder="1"/>
    </xf>
    <xf numFmtId="0" fontId="8" fillId="9" borderId="2" xfId="0" applyFont="1" applyFill="1" applyBorder="1" applyAlignment="1">
      <alignment horizontal="left" vertical="center" readingOrder="1"/>
    </xf>
    <xf numFmtId="0" fontId="8" fillId="9" borderId="3" xfId="0" applyFont="1" applyFill="1" applyBorder="1" applyAlignment="1">
      <alignment horizontal="left" vertical="center" readingOrder="1"/>
    </xf>
    <xf numFmtId="0" fontId="8" fillId="10" borderId="2" xfId="0" applyFont="1" applyFill="1" applyBorder="1" applyAlignment="1">
      <alignment horizontal="left" vertical="center" readingOrder="1"/>
    </xf>
    <xf numFmtId="0" fontId="9" fillId="4" borderId="1" xfId="0" applyFont="1" applyFill="1" applyBorder="1" applyAlignment="1">
      <alignment horizontal="left" vertical="center" readingOrder="1"/>
    </xf>
    <xf numFmtId="0" fontId="9" fillId="5" borderId="2" xfId="0" applyFont="1" applyFill="1" applyBorder="1" applyAlignment="1">
      <alignment horizontal="left" vertical="center" readingOrder="1"/>
    </xf>
    <xf numFmtId="0" fontId="9" fillId="4" borderId="2" xfId="0" applyFont="1" applyFill="1" applyBorder="1" applyAlignment="1">
      <alignment horizontal="left" vertical="center" readingOrder="1"/>
    </xf>
    <xf numFmtId="0" fontId="9" fillId="4" borderId="3" xfId="0" applyFont="1" applyFill="1" applyBorder="1" applyAlignment="1">
      <alignment horizontal="left" vertical="center" readingOrder="1"/>
    </xf>
    <xf numFmtId="14" fontId="9" fillId="4" borderId="2" xfId="0" applyNumberFormat="1" applyFont="1" applyFill="1" applyBorder="1" applyAlignment="1">
      <alignment horizontal="left" vertical="center" readingOrder="1"/>
    </xf>
    <xf numFmtId="14" fontId="9" fillId="7" borderId="2" xfId="0" applyNumberFormat="1" applyFont="1" applyFill="1" applyBorder="1" applyAlignment="1">
      <alignment horizontal="left" vertical="center" readingOrder="1"/>
    </xf>
    <xf numFmtId="0" fontId="9" fillId="8" borderId="2" xfId="0" applyFont="1" applyFill="1" applyBorder="1" applyAlignment="1">
      <alignment horizontal="left" vertical="center" readingOrder="1"/>
    </xf>
    <xf numFmtId="0" fontId="12" fillId="8" borderId="2" xfId="0" applyFont="1" applyFill="1" applyBorder="1" applyAlignment="1">
      <alignment horizontal="left" vertical="top" wrapText="1" readingOrder="1"/>
    </xf>
    <xf numFmtId="14" fontId="12" fillId="7" borderId="1" xfId="0" applyNumberFormat="1" applyFont="1" applyFill="1" applyBorder="1" applyAlignment="1">
      <alignment horizontal="left" vertical="top" wrapText="1" readingOrder="1"/>
    </xf>
    <xf numFmtId="9" fontId="9" fillId="4" borderId="2" xfId="1" applyFont="1" applyFill="1" applyBorder="1" applyAlignment="1">
      <alignment horizontal="left" vertical="center" readingOrder="1"/>
    </xf>
    <xf numFmtId="0" fontId="11" fillId="12" borderId="4" xfId="0" applyFont="1" applyFill="1" applyBorder="1" applyAlignment="1">
      <alignment wrapText="1"/>
    </xf>
    <xf numFmtId="9" fontId="11" fillId="12" borderId="4" xfId="1" applyFont="1" applyFill="1" applyBorder="1" applyAlignment="1">
      <alignment wrapText="1"/>
    </xf>
    <xf numFmtId="0" fontId="10" fillId="13" borderId="4" xfId="0" applyFont="1" applyFill="1" applyBorder="1" applyAlignment="1">
      <alignment wrapText="1"/>
    </xf>
    <xf numFmtId="9" fontId="9" fillId="7" borderId="1" xfId="1" applyFont="1" applyFill="1" applyBorder="1" applyAlignment="1">
      <alignment horizontal="left" vertical="top" wrapText="1" readingOrder="1"/>
    </xf>
    <xf numFmtId="0" fontId="0" fillId="0" borderId="0" xfId="0" applyAlignment="1">
      <alignment wrapText="1"/>
    </xf>
    <xf numFmtId="0" fontId="21" fillId="0" borderId="0" xfId="0" applyFont="1"/>
    <xf numFmtId="0" fontId="16" fillId="0" borderId="0" xfId="0" applyFont="1"/>
    <xf numFmtId="0" fontId="26" fillId="0" borderId="0" xfId="0" applyFont="1" applyAlignment="1"/>
    <xf numFmtId="0" fontId="26" fillId="0" borderId="0" xfId="0" applyFont="1" applyFill="1" applyAlignment="1"/>
    <xf numFmtId="0" fontId="10" fillId="13" borderId="4" xfId="0" applyFont="1" applyFill="1" applyBorder="1" applyAlignment="1">
      <alignment vertical="top" wrapText="1"/>
    </xf>
    <xf numFmtId="0" fontId="13" fillId="11" borderId="4" xfId="0" applyFont="1" applyFill="1" applyBorder="1" applyAlignment="1">
      <alignment horizontal="left" vertical="top" wrapText="1"/>
    </xf>
    <xf numFmtId="0" fontId="11" fillId="8" borderId="4" xfId="0" applyFont="1" applyFill="1" applyBorder="1" applyAlignment="1">
      <alignment vertical="top" wrapText="1"/>
    </xf>
    <xf numFmtId="0" fontId="11" fillId="12" borderId="4" xfId="0" applyFont="1" applyFill="1" applyBorder="1" applyAlignment="1">
      <alignment vertical="top" wrapText="1"/>
    </xf>
    <xf numFmtId="9" fontId="0" fillId="0" borderId="0" xfId="0" applyNumberFormat="1" applyAlignment="1">
      <alignment vertical="top" wrapText="1"/>
    </xf>
    <xf numFmtId="0" fontId="0" fillId="0" borderId="0" xfId="0" applyAlignment="1">
      <alignment vertical="top" wrapText="1"/>
    </xf>
    <xf numFmtId="166" fontId="5" fillId="14" borderId="0" xfId="8" applyFill="1"/>
    <xf numFmtId="166" fontId="5" fillId="14" borderId="0" xfId="8" applyFill="1" applyAlignment="1">
      <alignment horizontal="center" vertical="center"/>
    </xf>
    <xf numFmtId="166" fontId="5" fillId="22" borderId="9" xfId="8" applyFill="1" applyBorder="1"/>
    <xf numFmtId="166" fontId="5" fillId="22" borderId="0" xfId="8" applyFill="1" applyBorder="1"/>
    <xf numFmtId="166" fontId="5" fillId="22" borderId="10" xfId="8" applyFill="1" applyBorder="1"/>
    <xf numFmtId="166" fontId="15" fillId="22" borderId="0" xfId="8" applyFont="1" applyFill="1" applyBorder="1"/>
    <xf numFmtId="166" fontId="5" fillId="22" borderId="11" xfId="8" applyFill="1" applyBorder="1"/>
    <xf numFmtId="166" fontId="5" fillId="22" borderId="12" xfId="8" applyFill="1" applyBorder="1"/>
    <xf numFmtId="166" fontId="5" fillId="22" borderId="13" xfId="8" applyFill="1" applyBorder="1"/>
    <xf numFmtId="0" fontId="20" fillId="17" borderId="0" xfId="0" applyFont="1" applyFill="1" applyAlignment="1">
      <alignment horizontal="center" vertical="center" wrapText="1"/>
    </xf>
    <xf numFmtId="0" fontId="9" fillId="0" borderId="0" xfId="0" applyFont="1" applyFill="1" applyBorder="1" applyAlignment="1">
      <alignment horizontal="left" vertical="center" readingOrder="1"/>
    </xf>
    <xf numFmtId="9" fontId="9" fillId="0" borderId="0" xfId="0" applyNumberFormat="1" applyFont="1" applyFill="1" applyBorder="1" applyAlignment="1">
      <alignment horizontal="left" vertical="center" readingOrder="1"/>
    </xf>
    <xf numFmtId="1" fontId="9" fillId="0" borderId="0" xfId="0" applyNumberFormat="1" applyFont="1" applyFill="1" applyBorder="1" applyAlignment="1">
      <alignment horizontal="left" vertical="center" readingOrder="1"/>
    </xf>
    <xf numFmtId="9" fontId="26" fillId="0" borderId="0" xfId="0" applyNumberFormat="1" applyFont="1" applyFill="1" applyAlignment="1"/>
    <xf numFmtId="9" fontId="26" fillId="0" borderId="0" xfId="1" applyFont="1" applyFill="1" applyAlignment="1"/>
    <xf numFmtId="1" fontId="26" fillId="0" borderId="0" xfId="0" applyNumberFormat="1" applyFont="1" applyFill="1" applyAlignment="1"/>
    <xf numFmtId="9" fontId="24" fillId="7" borderId="16" xfId="0" applyNumberFormat="1" applyFont="1" applyFill="1" applyBorder="1" applyAlignment="1">
      <alignment horizontal="left" vertical="center" readingOrder="1"/>
    </xf>
    <xf numFmtId="0" fontId="22" fillId="24" borderId="2" xfId="0" applyFont="1" applyFill="1" applyBorder="1" applyAlignment="1">
      <alignment horizontal="left" vertical="center" readingOrder="1"/>
    </xf>
    <xf numFmtId="0" fontId="17" fillId="24" borderId="2" xfId="0" applyFont="1" applyFill="1" applyBorder="1" applyAlignment="1">
      <alignment horizontal="left" vertical="center" readingOrder="1"/>
    </xf>
    <xf numFmtId="167" fontId="22" fillId="24" borderId="2" xfId="0" applyNumberFormat="1" applyFont="1" applyFill="1" applyBorder="1" applyAlignment="1">
      <alignment horizontal="left" vertical="center" readingOrder="1"/>
    </xf>
    <xf numFmtId="167" fontId="17" fillId="24" borderId="2" xfId="0" applyNumberFormat="1" applyFont="1" applyFill="1" applyBorder="1" applyAlignment="1">
      <alignment horizontal="left" vertical="center" readingOrder="1"/>
    </xf>
    <xf numFmtId="1" fontId="32" fillId="10" borderId="16" xfId="4" applyNumberFormat="1" applyFont="1" applyFill="1" applyBorder="1"/>
    <xf numFmtId="1" fontId="34" fillId="19" borderId="16" xfId="0" applyNumberFormat="1" applyFont="1" applyFill="1" applyBorder="1" applyAlignment="1">
      <alignment vertical="top" wrapText="1"/>
    </xf>
    <xf numFmtId="1" fontId="34" fillId="6" borderId="16" xfId="0" applyNumberFormat="1" applyFont="1" applyFill="1" applyBorder="1" applyAlignment="1">
      <alignment vertical="top" wrapText="1"/>
    </xf>
    <xf numFmtId="0" fontId="22" fillId="24" borderId="2" xfId="0" applyNumberFormat="1" applyFont="1" applyFill="1" applyBorder="1" applyAlignment="1">
      <alignment horizontal="left" vertical="center" readingOrder="1"/>
    </xf>
    <xf numFmtId="0" fontId="17" fillId="24" borderId="2" xfId="0" applyNumberFormat="1" applyFont="1" applyFill="1" applyBorder="1" applyAlignment="1">
      <alignment horizontal="left" vertical="center" readingOrder="1"/>
    </xf>
    <xf numFmtId="14" fontId="26" fillId="0" borderId="0" xfId="0" applyNumberFormat="1" applyFont="1" applyFill="1" applyAlignment="1"/>
    <xf numFmtId="0" fontId="26" fillId="0" borderId="0" xfId="0" applyFont="1" applyFill="1" applyAlignment="1">
      <alignment horizontal="left"/>
    </xf>
    <xf numFmtId="1" fontId="26" fillId="0" borderId="0" xfId="1" applyNumberFormat="1" applyFont="1" applyFill="1" applyAlignment="1"/>
    <xf numFmtId="0" fontId="26" fillId="0" borderId="0" xfId="1" applyNumberFormat="1" applyFont="1" applyFill="1" applyAlignment="1"/>
    <xf numFmtId="0" fontId="26" fillId="0" borderId="0" xfId="0" applyNumberFormat="1" applyFont="1" applyFill="1" applyAlignment="1"/>
    <xf numFmtId="165" fontId="26" fillId="0" borderId="0" xfId="0" applyNumberFormat="1" applyFont="1" applyFill="1" applyAlignment="1"/>
    <xf numFmtId="1" fontId="26" fillId="0" borderId="0" xfId="0" applyNumberFormat="1" applyFont="1" applyFill="1" applyAlignment="1">
      <alignment horizontal="left"/>
    </xf>
    <xf numFmtId="9" fontId="30" fillId="23" borderId="0" xfId="0" applyNumberFormat="1" applyFont="1" applyFill="1" applyBorder="1" applyAlignment="1">
      <alignment horizontal="center"/>
    </xf>
    <xf numFmtId="0" fontId="38" fillId="0" borderId="0" xfId="0" applyFont="1" applyAlignment="1">
      <alignment vertical="top" wrapText="1"/>
    </xf>
    <xf numFmtId="9" fontId="30" fillId="23" borderId="0" xfId="1" applyFont="1" applyFill="1" applyBorder="1" applyAlignment="1">
      <alignment horizontal="center"/>
    </xf>
    <xf numFmtId="0" fontId="22" fillId="24" borderId="15" xfId="0" applyNumberFormat="1" applyFont="1" applyFill="1" applyBorder="1" applyAlignment="1">
      <alignment horizontal="left" vertical="center" readingOrder="1"/>
    </xf>
    <xf numFmtId="0" fontId="17" fillId="24" borderId="15" xfId="0" applyNumberFormat="1" applyFont="1" applyFill="1" applyBorder="1" applyAlignment="1">
      <alignment horizontal="left" vertical="center" readingOrder="1"/>
    </xf>
    <xf numFmtId="9" fontId="32" fillId="10" borderId="16" xfId="1" applyFont="1" applyFill="1" applyBorder="1"/>
    <xf numFmtId="0" fontId="9" fillId="4" borderId="0" xfId="0" applyFont="1" applyFill="1" applyBorder="1" applyAlignment="1">
      <alignment horizontal="left" vertical="center" readingOrder="1"/>
    </xf>
    <xf numFmtId="0" fontId="9" fillId="0" borderId="1" xfId="0" applyFont="1" applyFill="1" applyBorder="1" applyAlignment="1">
      <alignment horizontal="left" vertical="center" readingOrder="1"/>
    </xf>
    <xf numFmtId="14" fontId="9" fillId="4" borderId="20" xfId="0" applyNumberFormat="1" applyFont="1" applyFill="1" applyBorder="1" applyAlignment="1">
      <alignment horizontal="left" vertical="center" readingOrder="1"/>
    </xf>
    <xf numFmtId="0" fontId="42" fillId="0" borderId="0" xfId="0" applyNumberFormat="1" applyFont="1" applyBorder="1" applyAlignment="1">
      <alignment horizontal="left" vertical="center" readingOrder="1"/>
    </xf>
    <xf numFmtId="0" fontId="21" fillId="11" borderId="0" xfId="0" applyFont="1" applyFill="1"/>
    <xf numFmtId="0" fontId="21" fillId="0" borderId="0" xfId="0" applyNumberFormat="1" applyFont="1"/>
    <xf numFmtId="1" fontId="21" fillId="0" borderId="0" xfId="0" applyNumberFormat="1" applyFont="1"/>
    <xf numFmtId="0" fontId="21" fillId="0" borderId="0" xfId="0" applyFont="1" applyAlignment="1">
      <alignment wrapText="1" readingOrder="1"/>
    </xf>
    <xf numFmtId="0" fontId="43" fillId="0" borderId="0" xfId="9" applyFont="1" applyAlignment="1"/>
    <xf numFmtId="0" fontId="43" fillId="0" borderId="0" xfId="0" applyNumberFormat="1" applyFont="1" applyBorder="1" applyAlignment="1"/>
    <xf numFmtId="0" fontId="9" fillId="8" borderId="0" xfId="0" applyFont="1" applyFill="1" applyBorder="1" applyAlignment="1">
      <alignment horizontal="left" vertical="center" readingOrder="1"/>
    </xf>
    <xf numFmtId="0" fontId="8" fillId="10" borderId="17" xfId="0" applyFont="1" applyFill="1" applyBorder="1" applyAlignment="1">
      <alignment horizontal="left" vertical="center" readingOrder="1"/>
    </xf>
    <xf numFmtId="0" fontId="9" fillId="8" borderId="17" xfId="0" applyFont="1" applyFill="1" applyBorder="1" applyAlignment="1">
      <alignment horizontal="left" vertical="center" readingOrder="1"/>
    </xf>
    <xf numFmtId="0" fontId="44" fillId="2" borderId="1" xfId="0" applyFont="1" applyFill="1" applyBorder="1" applyAlignment="1">
      <alignment horizontal="left" vertical="center" readingOrder="1"/>
    </xf>
    <xf numFmtId="14" fontId="45" fillId="7" borderId="2" xfId="0" applyNumberFormat="1" applyFont="1" applyFill="1" applyBorder="1" applyAlignment="1">
      <alignment horizontal="left" vertical="center" readingOrder="1"/>
    </xf>
    <xf numFmtId="14" fontId="44" fillId="7" borderId="1" xfId="0" applyNumberFormat="1" applyFont="1" applyFill="1" applyBorder="1" applyAlignment="1">
      <alignment horizontal="left" vertical="top" wrapText="1" readingOrder="1"/>
    </xf>
    <xf numFmtId="0" fontId="45" fillId="4" borderId="2" xfId="0" applyFont="1" applyFill="1" applyBorder="1" applyAlignment="1">
      <alignment horizontal="left" vertical="center" readingOrder="1"/>
    </xf>
    <xf numFmtId="0" fontId="45" fillId="8" borderId="2" xfId="0" applyFont="1" applyFill="1" applyBorder="1" applyAlignment="1">
      <alignment horizontal="left" vertical="center" readingOrder="1"/>
    </xf>
    <xf numFmtId="0" fontId="45" fillId="8" borderId="2" xfId="0" applyFont="1" applyFill="1" applyBorder="1" applyAlignment="1">
      <alignment horizontal="left" vertical="top" wrapText="1" readingOrder="1"/>
    </xf>
    <xf numFmtId="0" fontId="9" fillId="4" borderId="18" xfId="0" applyFont="1" applyFill="1" applyBorder="1" applyAlignment="1">
      <alignment horizontal="left" vertical="center" readingOrder="1"/>
    </xf>
    <xf numFmtId="1" fontId="34" fillId="19" borderId="21" xfId="0" applyNumberFormat="1" applyFont="1" applyFill="1" applyBorder="1" applyAlignment="1">
      <alignment vertical="top" wrapText="1"/>
    </xf>
    <xf numFmtId="0" fontId="3" fillId="0" borderId="0" xfId="13"/>
    <xf numFmtId="0" fontId="20" fillId="17" borderId="0" xfId="13" applyFont="1" applyFill="1" applyAlignment="1">
      <alignment horizontal="center" vertical="center" wrapText="1"/>
    </xf>
    <xf numFmtId="0" fontId="46" fillId="26" borderId="4" xfId="11" applyBorder="1"/>
    <xf numFmtId="0" fontId="47" fillId="27" borderId="4" xfId="12" applyBorder="1"/>
    <xf numFmtId="0" fontId="16" fillId="0" borderId="0" xfId="13" applyFont="1"/>
    <xf numFmtId="0" fontId="54" fillId="29" borderId="4" xfId="12" applyFont="1" applyFill="1" applyBorder="1"/>
    <xf numFmtId="1" fontId="9" fillId="0" borderId="0" xfId="1" applyNumberFormat="1" applyFont="1" applyFill="1" applyBorder="1" applyAlignment="1">
      <alignment horizontal="left" vertical="center" readingOrder="1"/>
    </xf>
    <xf numFmtId="0" fontId="47" fillId="8" borderId="4" xfId="12" applyFill="1" applyBorder="1"/>
    <xf numFmtId="0" fontId="33" fillId="8" borderId="4" xfId="13" applyFont="1" applyFill="1" applyBorder="1" applyAlignment="1">
      <alignment horizontal="left" vertical="top" wrapText="1" readingOrder="1"/>
    </xf>
    <xf numFmtId="1" fontId="33" fillId="8" borderId="4" xfId="13" applyNumberFormat="1" applyFont="1" applyFill="1" applyBorder="1" applyAlignment="1">
      <alignment horizontal="left" vertical="top" wrapText="1" readingOrder="1"/>
    </xf>
    <xf numFmtId="1" fontId="22" fillId="8" borderId="4" xfId="13" applyNumberFormat="1" applyFont="1" applyFill="1" applyBorder="1" applyAlignment="1">
      <alignment horizontal="left" vertical="top" wrapText="1" readingOrder="1"/>
    </xf>
    <xf numFmtId="1" fontId="33" fillId="8" borderId="4" xfId="14" applyNumberFormat="1" applyFont="1" applyFill="1" applyBorder="1" applyAlignment="1">
      <alignment horizontal="left" vertical="top" wrapText="1" readingOrder="1"/>
    </xf>
    <xf numFmtId="1" fontId="22" fillId="8" borderId="4" xfId="14" applyNumberFormat="1" applyFont="1" applyFill="1" applyBorder="1" applyAlignment="1">
      <alignment horizontal="left" vertical="top" wrapText="1" readingOrder="1"/>
    </xf>
    <xf numFmtId="14" fontId="12" fillId="8" borderId="4" xfId="13" applyNumberFormat="1" applyFont="1" applyFill="1" applyBorder="1" applyAlignment="1">
      <alignment horizontal="left" vertical="top" wrapText="1" readingOrder="1"/>
    </xf>
    <xf numFmtId="0" fontId="12" fillId="8" borderId="4" xfId="13" applyFont="1" applyFill="1" applyBorder="1" applyAlignment="1">
      <alignment horizontal="left" vertical="top" wrapText="1" readingOrder="1"/>
    </xf>
    <xf numFmtId="1" fontId="22" fillId="8" borderId="4" xfId="0" applyNumberFormat="1" applyFont="1" applyFill="1" applyBorder="1" applyAlignment="1">
      <alignment horizontal="left" vertical="center" readingOrder="1"/>
    </xf>
    <xf numFmtId="1" fontId="22" fillId="8" borderId="4" xfId="1" applyNumberFormat="1" applyFont="1" applyFill="1" applyBorder="1" applyAlignment="1">
      <alignment horizontal="left" vertical="center" readingOrder="1"/>
    </xf>
    <xf numFmtId="0" fontId="22" fillId="8" borderId="4" xfId="0" applyFont="1" applyFill="1" applyBorder="1" applyAlignment="1">
      <alignment horizontal="left" vertical="center" readingOrder="1"/>
    </xf>
    <xf numFmtId="0" fontId="12" fillId="12" borderId="4" xfId="14" applyNumberFormat="1" applyFont="1" applyFill="1" applyBorder="1" applyAlignment="1">
      <alignment horizontal="left" vertical="top" wrapText="1" readingOrder="1"/>
    </xf>
    <xf numFmtId="0" fontId="16" fillId="12" borderId="4" xfId="13" applyFont="1" applyFill="1" applyBorder="1" applyAlignment="1">
      <alignment horizontal="left" vertical="top" wrapText="1"/>
    </xf>
    <xf numFmtId="1" fontId="12" fillId="12" borderId="4" xfId="13" applyNumberFormat="1" applyFont="1" applyFill="1" applyBorder="1" applyAlignment="1">
      <alignment horizontal="left" vertical="top" wrapText="1" readingOrder="1"/>
    </xf>
    <xf numFmtId="1" fontId="33" fillId="12" borderId="4" xfId="13" applyNumberFormat="1" applyFont="1" applyFill="1" applyBorder="1" applyAlignment="1">
      <alignment horizontal="left" vertical="top" wrapText="1" readingOrder="1"/>
    </xf>
    <xf numFmtId="9" fontId="12" fillId="12" borderId="4" xfId="13" applyNumberFormat="1" applyFont="1" applyFill="1" applyBorder="1" applyAlignment="1">
      <alignment horizontal="left" vertical="top" wrapText="1" readingOrder="1"/>
    </xf>
    <xf numFmtId="9" fontId="22" fillId="12" borderId="4" xfId="13" applyNumberFormat="1" applyFont="1" applyFill="1" applyBorder="1" applyAlignment="1">
      <alignment horizontal="left" vertical="top" wrapText="1" readingOrder="1"/>
    </xf>
    <xf numFmtId="9" fontId="33" fillId="12" borderId="4" xfId="13" applyNumberFormat="1" applyFont="1" applyFill="1" applyBorder="1" applyAlignment="1">
      <alignment horizontal="left" vertical="top" wrapText="1" readingOrder="1"/>
    </xf>
    <xf numFmtId="0" fontId="48" fillId="26" borderId="5" xfId="11" applyFont="1" applyBorder="1" applyAlignment="1">
      <alignment vertical="center" wrapText="1"/>
    </xf>
    <xf numFmtId="0" fontId="49" fillId="27" borderId="5" xfId="12" applyFont="1" applyBorder="1" applyAlignment="1">
      <alignment vertical="center" wrapText="1"/>
    </xf>
    <xf numFmtId="14" fontId="8" fillId="2" borderId="4" xfId="0" applyNumberFormat="1" applyFont="1" applyFill="1" applyBorder="1" applyAlignment="1">
      <alignment horizontal="left" vertical="center" readingOrder="1"/>
    </xf>
    <xf numFmtId="14" fontId="12" fillId="18" borderId="4" xfId="13" applyNumberFormat="1" applyFont="1" applyFill="1" applyBorder="1" applyAlignment="1">
      <alignment horizontal="left" vertical="top" wrapText="1" readingOrder="1"/>
    </xf>
    <xf numFmtId="0" fontId="16" fillId="0" borderId="4" xfId="13" applyFont="1" applyFill="1" applyBorder="1" applyAlignment="1">
      <alignment horizontal="left" vertical="top" wrapText="1"/>
    </xf>
    <xf numFmtId="0" fontId="8" fillId="2" borderId="4" xfId="0" applyFont="1" applyFill="1" applyBorder="1" applyAlignment="1">
      <alignment horizontal="left" vertical="center" readingOrder="1"/>
    </xf>
    <xf numFmtId="165" fontId="8" fillId="2" borderId="4" xfId="0" applyNumberFormat="1" applyFont="1" applyFill="1" applyBorder="1" applyAlignment="1">
      <alignment horizontal="left" vertical="center" readingOrder="1"/>
    </xf>
    <xf numFmtId="9" fontId="8" fillId="2" borderId="4" xfId="0" applyNumberFormat="1" applyFont="1" applyFill="1" applyBorder="1" applyAlignment="1">
      <alignment horizontal="left" vertical="center" readingOrder="1"/>
    </xf>
    <xf numFmtId="0" fontId="8" fillId="6" borderId="4" xfId="0" applyFont="1" applyFill="1" applyBorder="1" applyAlignment="1">
      <alignment horizontal="left" vertical="center" readingOrder="1"/>
    </xf>
    <xf numFmtId="0" fontId="22" fillId="19" borderId="4" xfId="13" applyFont="1" applyFill="1" applyBorder="1" applyAlignment="1">
      <alignment horizontal="left" vertical="top" wrapText="1" readingOrder="1"/>
    </xf>
    <xf numFmtId="1" fontId="8" fillId="6" borderId="4" xfId="0" applyNumberFormat="1" applyFont="1" applyFill="1" applyBorder="1" applyAlignment="1">
      <alignment horizontal="left" vertical="center" readingOrder="1"/>
    </xf>
    <xf numFmtId="1" fontId="22" fillId="19" borderId="4" xfId="13" applyNumberFormat="1" applyFont="1" applyFill="1" applyBorder="1" applyAlignment="1">
      <alignment horizontal="left" vertical="top" wrapText="1" readingOrder="1"/>
    </xf>
    <xf numFmtId="1" fontId="33" fillId="19" borderId="4" xfId="13" applyNumberFormat="1" applyFont="1" applyFill="1" applyBorder="1" applyAlignment="1">
      <alignment horizontal="left" vertical="top" wrapText="1" readingOrder="1"/>
    </xf>
    <xf numFmtId="14" fontId="12" fillId="19" borderId="4" xfId="13" applyNumberFormat="1" applyFont="1" applyFill="1" applyBorder="1" applyAlignment="1">
      <alignment horizontal="left" vertical="top" wrapText="1" readingOrder="1"/>
    </xf>
    <xf numFmtId="1" fontId="22" fillId="19" borderId="4" xfId="14" applyNumberFormat="1" applyFont="1" applyFill="1" applyBorder="1" applyAlignment="1">
      <alignment horizontal="left" vertical="top" wrapText="1" readingOrder="1"/>
    </xf>
    <xf numFmtId="1" fontId="8" fillId="6" borderId="4" xfId="1" applyNumberFormat="1" applyFont="1" applyFill="1" applyBorder="1" applyAlignment="1">
      <alignment horizontal="left" vertical="center" readingOrder="1"/>
    </xf>
    <xf numFmtId="9" fontId="8" fillId="6" borderId="4" xfId="1" applyFont="1" applyFill="1" applyBorder="1" applyAlignment="1">
      <alignment horizontal="left" vertical="center" readingOrder="1"/>
    </xf>
    <xf numFmtId="1" fontId="12" fillId="19" borderId="4" xfId="13" applyNumberFormat="1" applyFont="1" applyFill="1" applyBorder="1" applyAlignment="1">
      <alignment horizontal="left" vertical="top" wrapText="1" readingOrder="1"/>
    </xf>
    <xf numFmtId="9" fontId="55" fillId="19" borderId="4" xfId="13" applyNumberFormat="1" applyFont="1" applyFill="1" applyBorder="1" applyAlignment="1">
      <alignment horizontal="left" vertical="top" wrapText="1" readingOrder="1"/>
    </xf>
    <xf numFmtId="9" fontId="22" fillId="19" borderId="4" xfId="13" applyNumberFormat="1" applyFont="1" applyFill="1" applyBorder="1" applyAlignment="1">
      <alignment horizontal="left" vertical="top" wrapText="1" readingOrder="1"/>
    </xf>
    <xf numFmtId="9" fontId="22" fillId="19" borderId="4" xfId="14" applyNumberFormat="1" applyFont="1" applyFill="1" applyBorder="1" applyAlignment="1">
      <alignment horizontal="left" vertical="top" wrapText="1" readingOrder="1"/>
    </xf>
    <xf numFmtId="14" fontId="33" fillId="19" borderId="4" xfId="13" applyNumberFormat="1" applyFont="1" applyFill="1" applyBorder="1" applyAlignment="1">
      <alignment horizontal="left" vertical="top" wrapText="1" readingOrder="1"/>
    </xf>
    <xf numFmtId="1" fontId="34" fillId="6" borderId="27" xfId="0" applyNumberFormat="1" applyFont="1" applyFill="1" applyBorder="1" applyAlignment="1">
      <alignment vertical="top" wrapText="1"/>
    </xf>
    <xf numFmtId="1" fontId="34" fillId="19" borderId="30" xfId="0" applyNumberFormat="1" applyFont="1" applyFill="1" applyBorder="1" applyAlignment="1">
      <alignment vertical="top" wrapText="1"/>
    </xf>
    <xf numFmtId="0" fontId="34" fillId="19" borderId="31" xfId="0" applyFont="1" applyFill="1" applyBorder="1" applyAlignment="1">
      <alignment vertical="top" wrapText="1"/>
    </xf>
    <xf numFmtId="0" fontId="34" fillId="19" borderId="30" xfId="0" applyFont="1" applyFill="1" applyBorder="1" applyAlignment="1">
      <alignment vertical="top" wrapText="1"/>
    </xf>
    <xf numFmtId="0" fontId="58" fillId="19" borderId="30" xfId="0" applyFont="1" applyFill="1" applyBorder="1" applyAlignment="1">
      <alignment vertical="top" wrapText="1"/>
    </xf>
    <xf numFmtId="0" fontId="34" fillId="19" borderId="21" xfId="0" applyFont="1" applyFill="1" applyBorder="1" applyAlignment="1">
      <alignment vertical="top"/>
    </xf>
    <xf numFmtId="0" fontId="34" fillId="19" borderId="26" xfId="0" applyFont="1" applyFill="1" applyBorder="1" applyAlignment="1">
      <alignment vertical="top" wrapText="1"/>
    </xf>
    <xf numFmtId="0" fontId="34" fillId="19" borderId="27" xfId="0" applyFont="1" applyFill="1" applyBorder="1" applyAlignment="1">
      <alignment vertical="top" wrapText="1"/>
    </xf>
    <xf numFmtId="1" fontId="34" fillId="19" borderId="27" xfId="0" applyNumberFormat="1" applyFont="1" applyFill="1" applyBorder="1" applyAlignment="1">
      <alignment vertical="top" wrapText="1"/>
    </xf>
    <xf numFmtId="0" fontId="56" fillId="9" borderId="4" xfId="12" applyFont="1" applyFill="1" applyBorder="1"/>
    <xf numFmtId="0" fontId="16" fillId="0" borderId="0" xfId="0" applyFont="1" applyAlignment="1">
      <alignment vertical="center" wrapText="1"/>
    </xf>
    <xf numFmtId="0" fontId="50" fillId="28" borderId="0" xfId="0" applyFont="1" applyFill="1"/>
    <xf numFmtId="0" fontId="51" fillId="28" borderId="0" xfId="0" applyFont="1" applyFill="1" applyAlignment="1">
      <alignment wrapText="1"/>
    </xf>
    <xf numFmtId="0" fontId="52" fillId="28" borderId="0" xfId="0" applyFont="1" applyFill="1" applyAlignment="1">
      <alignment wrapText="1"/>
    </xf>
    <xf numFmtId="0" fontId="53" fillId="28" borderId="0" xfId="0" applyFont="1" applyFill="1"/>
    <xf numFmtId="14" fontId="60" fillId="18" borderId="4" xfId="13" applyNumberFormat="1" applyFont="1" applyFill="1" applyBorder="1" applyAlignment="1">
      <alignment horizontal="left" vertical="top" wrapText="1" readingOrder="1"/>
    </xf>
    <xf numFmtId="0" fontId="61" fillId="0" borderId="4" xfId="13" applyFont="1" applyFill="1" applyBorder="1" applyAlignment="1">
      <alignment horizontal="left" vertical="top" wrapText="1"/>
    </xf>
    <xf numFmtId="14" fontId="62" fillId="18" borderId="4" xfId="13" applyNumberFormat="1" applyFont="1" applyFill="1" applyBorder="1" applyAlignment="1">
      <alignment horizontal="left" vertical="top" wrapText="1" readingOrder="1"/>
    </xf>
    <xf numFmtId="0" fontId="63" fillId="19" borderId="4" xfId="13" applyFont="1" applyFill="1" applyBorder="1" applyAlignment="1">
      <alignment horizontal="left" vertical="top" wrapText="1" readingOrder="1"/>
    </xf>
    <xf numFmtId="1" fontId="63" fillId="19" borderId="4" xfId="13" applyNumberFormat="1" applyFont="1" applyFill="1" applyBorder="1" applyAlignment="1">
      <alignment horizontal="left" vertical="top" wrapText="1" readingOrder="1"/>
    </xf>
    <xf numFmtId="1" fontId="63" fillId="19" borderId="4" xfId="14" applyNumberFormat="1" applyFont="1" applyFill="1" applyBorder="1" applyAlignment="1">
      <alignment horizontal="left" vertical="top" wrapText="1" readingOrder="1"/>
    </xf>
    <xf numFmtId="1" fontId="62" fillId="19" borderId="4" xfId="13" applyNumberFormat="1" applyFont="1" applyFill="1" applyBorder="1" applyAlignment="1">
      <alignment horizontal="left" vertical="top" wrapText="1" readingOrder="1"/>
    </xf>
    <xf numFmtId="14" fontId="60" fillId="19" borderId="4" xfId="13" applyNumberFormat="1" applyFont="1" applyFill="1" applyBorder="1" applyAlignment="1">
      <alignment horizontal="left" vertical="top" wrapText="1" readingOrder="1"/>
    </xf>
    <xf numFmtId="0" fontId="60" fillId="8" borderId="4" xfId="13" applyFont="1" applyFill="1" applyBorder="1" applyAlignment="1">
      <alignment horizontal="left" vertical="top" wrapText="1" readingOrder="1"/>
    </xf>
    <xf numFmtId="0" fontId="62" fillId="12" borderId="4" xfId="14" applyNumberFormat="1" applyFont="1" applyFill="1" applyBorder="1" applyAlignment="1">
      <alignment horizontal="left" vertical="top" wrapText="1" readingOrder="1"/>
    </xf>
    <xf numFmtId="1" fontId="62" fillId="12" borderId="4" xfId="13" applyNumberFormat="1" applyFont="1" applyFill="1" applyBorder="1" applyAlignment="1">
      <alignment horizontal="left" vertical="top" wrapText="1" readingOrder="1"/>
    </xf>
    <xf numFmtId="9" fontId="62" fillId="12" borderId="4" xfId="13" applyNumberFormat="1" applyFont="1" applyFill="1" applyBorder="1" applyAlignment="1">
      <alignment horizontal="left" vertical="top" wrapText="1" readingOrder="1"/>
    </xf>
    <xf numFmtId="9" fontId="63" fillId="12" borderId="4" xfId="13" applyNumberFormat="1" applyFont="1" applyFill="1" applyBorder="1" applyAlignment="1">
      <alignment horizontal="left" vertical="top" wrapText="1" readingOrder="1"/>
    </xf>
    <xf numFmtId="0" fontId="61" fillId="0" borderId="0" xfId="13" applyFont="1"/>
    <xf numFmtId="1" fontId="24" fillId="7" borderId="28" xfId="0" applyNumberFormat="1" applyFont="1" applyFill="1" applyBorder="1" applyAlignment="1">
      <alignment horizontal="left" vertical="center" readingOrder="1"/>
    </xf>
    <xf numFmtId="14" fontId="65" fillId="0" borderId="0" xfId="0" applyNumberFormat="1" applyFont="1" applyFill="1" applyBorder="1" applyAlignment="1">
      <alignment horizontal="left" vertical="center" readingOrder="1"/>
    </xf>
    <xf numFmtId="0" fontId="65" fillId="0" borderId="0" xfId="0" applyFont="1" applyFill="1" applyBorder="1" applyAlignment="1">
      <alignment horizontal="left" vertical="center" readingOrder="1"/>
    </xf>
    <xf numFmtId="165" fontId="65" fillId="0" borderId="0" xfId="0" applyNumberFormat="1" applyFont="1" applyFill="1" applyBorder="1" applyAlignment="1">
      <alignment horizontal="left" vertical="center" readingOrder="1"/>
    </xf>
    <xf numFmtId="9" fontId="65" fillId="0" borderId="0" xfId="0" applyNumberFormat="1" applyFont="1" applyFill="1" applyBorder="1" applyAlignment="1">
      <alignment horizontal="left" vertical="center" readingOrder="1"/>
    </xf>
    <xf numFmtId="0" fontId="51" fillId="28" borderId="0" xfId="0" applyFont="1" applyFill="1" applyBorder="1" applyAlignment="1">
      <alignment horizontal="left" wrapText="1"/>
    </xf>
    <xf numFmtId="0" fontId="52" fillId="28" borderId="0" xfId="0" applyFont="1" applyFill="1" applyBorder="1" applyAlignment="1">
      <alignment horizontal="left" vertical="top" wrapText="1"/>
    </xf>
    <xf numFmtId="0" fontId="53" fillId="28" borderId="0" xfId="0" applyFont="1" applyFill="1" applyBorder="1" applyAlignment="1">
      <alignment horizontal="left" wrapText="1"/>
    </xf>
    <xf numFmtId="14" fontId="9" fillId="18" borderId="4" xfId="0" applyNumberFormat="1" applyFont="1" applyFill="1" applyBorder="1" applyAlignment="1">
      <alignment horizontal="left" vertical="top" wrapText="1" readingOrder="1"/>
    </xf>
    <xf numFmtId="0" fontId="54" fillId="6" borderId="4" xfId="11" applyFont="1" applyFill="1" applyBorder="1"/>
    <xf numFmtId="0" fontId="54" fillId="6" borderId="4" xfId="12" applyFont="1" applyFill="1" applyBorder="1"/>
    <xf numFmtId="0" fontId="54" fillId="29" borderId="4" xfId="11" applyFont="1" applyFill="1" applyBorder="1"/>
    <xf numFmtId="0" fontId="56" fillId="9" borderId="4" xfId="11" applyFont="1" applyFill="1" applyBorder="1"/>
    <xf numFmtId="0" fontId="46" fillId="8" borderId="4" xfId="11" applyFill="1" applyBorder="1"/>
    <xf numFmtId="0" fontId="57" fillId="28" borderId="4" xfId="11" applyFont="1" applyFill="1" applyBorder="1"/>
    <xf numFmtId="0" fontId="57" fillId="28" borderId="4" xfId="12" applyFont="1" applyFill="1" applyBorder="1"/>
    <xf numFmtId="0" fontId="57" fillId="28" borderId="4" xfId="11" applyFont="1" applyFill="1" applyBorder="1" applyAlignment="1">
      <alignment wrapText="1"/>
    </xf>
    <xf numFmtId="0" fontId="2" fillId="0" borderId="0" xfId="13" applyFont="1"/>
    <xf numFmtId="0" fontId="68" fillId="11" borderId="4" xfId="0" applyFont="1" applyFill="1" applyBorder="1" applyAlignment="1">
      <alignment horizontal="left" vertical="top" wrapText="1"/>
    </xf>
    <xf numFmtId="1" fontId="59" fillId="19" borderId="4" xfId="13" applyNumberFormat="1" applyFont="1" applyFill="1" applyBorder="1" applyAlignment="1">
      <alignment horizontal="left" vertical="top" wrapText="1" readingOrder="1"/>
    </xf>
    <xf numFmtId="9" fontId="59" fillId="19" borderId="4" xfId="13" applyNumberFormat="1" applyFont="1" applyFill="1" applyBorder="1" applyAlignment="1">
      <alignment horizontal="left" vertical="top" wrapText="1" readingOrder="1"/>
    </xf>
    <xf numFmtId="9" fontId="59" fillId="19" borderId="4" xfId="14" applyNumberFormat="1" applyFont="1" applyFill="1" applyBorder="1" applyAlignment="1">
      <alignment horizontal="left" vertical="top" wrapText="1" readingOrder="1"/>
    </xf>
    <xf numFmtId="9" fontId="59" fillId="12" borderId="4" xfId="14" applyNumberFormat="1" applyFont="1" applyFill="1" applyBorder="1" applyAlignment="1">
      <alignment horizontal="left" vertical="top" wrapText="1" readingOrder="1"/>
    </xf>
    <xf numFmtId="1" fontId="59" fillId="12" borderId="4" xfId="13" applyNumberFormat="1" applyFont="1" applyFill="1" applyBorder="1" applyAlignment="1">
      <alignment horizontal="left" vertical="top" wrapText="1" readingOrder="1"/>
    </xf>
    <xf numFmtId="0" fontId="20" fillId="17" borderId="4" xfId="0" applyFont="1" applyFill="1" applyBorder="1" applyAlignment="1">
      <alignment horizontal="center" vertical="center" wrapText="1"/>
    </xf>
    <xf numFmtId="0" fontId="20" fillId="17" borderId="4" xfId="13" applyFont="1" applyFill="1" applyBorder="1" applyAlignment="1">
      <alignment horizontal="center" vertical="center" wrapText="1"/>
    </xf>
    <xf numFmtId="0" fontId="48" fillId="26" borderId="4" xfId="11" applyFont="1" applyBorder="1" applyAlignment="1">
      <alignment vertical="center" wrapText="1"/>
    </xf>
    <xf numFmtId="0" fontId="49" fillId="27" borderId="4" xfId="12" applyFont="1" applyBorder="1" applyAlignment="1">
      <alignment vertical="center" wrapText="1"/>
    </xf>
    <xf numFmtId="0" fontId="55" fillId="31" borderId="4" xfId="13" applyFont="1" applyFill="1" applyBorder="1" applyAlignment="1">
      <alignment horizontal="left" vertical="top" wrapText="1"/>
    </xf>
    <xf numFmtId="0" fontId="16" fillId="31" borderId="4" xfId="13" applyFont="1" applyFill="1" applyBorder="1" applyAlignment="1">
      <alignment horizontal="left" vertical="top" wrapText="1"/>
    </xf>
    <xf numFmtId="0" fontId="18" fillId="31" borderId="4" xfId="13" applyFont="1" applyFill="1" applyBorder="1" applyAlignment="1">
      <alignment horizontal="left" vertical="top" wrapText="1"/>
    </xf>
    <xf numFmtId="0" fontId="3" fillId="0" borderId="4" xfId="13" applyFill="1" applyBorder="1"/>
    <xf numFmtId="0" fontId="61" fillId="11" borderId="4" xfId="13" applyFont="1" applyFill="1" applyBorder="1" applyAlignment="1">
      <alignment horizontal="left" vertical="top" wrapText="1"/>
    </xf>
    <xf numFmtId="0" fontId="59" fillId="11" borderId="4" xfId="13" applyFont="1" applyFill="1" applyBorder="1" applyAlignment="1">
      <alignment horizontal="left" vertical="top" wrapText="1"/>
    </xf>
    <xf numFmtId="1" fontId="62" fillId="11" borderId="4" xfId="13" applyNumberFormat="1" applyFont="1" applyFill="1" applyBorder="1" applyAlignment="1">
      <alignment horizontal="left" vertical="top" wrapText="1" readingOrder="1"/>
    </xf>
    <xf numFmtId="0" fontId="59" fillId="31" borderId="4" xfId="13" applyFont="1" applyFill="1" applyBorder="1" applyAlignment="1">
      <alignment horizontal="left" vertical="top" wrapText="1"/>
    </xf>
    <xf numFmtId="1" fontId="59" fillId="31" borderId="4" xfId="14" applyNumberFormat="1" applyFont="1" applyFill="1" applyBorder="1" applyAlignment="1">
      <alignment horizontal="left" vertical="top" wrapText="1" readingOrder="1"/>
    </xf>
    <xf numFmtId="1" fontId="63" fillId="31" borderId="4" xfId="13" applyNumberFormat="1" applyFont="1" applyFill="1" applyBorder="1" applyAlignment="1">
      <alignment horizontal="left" vertical="top" wrapText="1" readingOrder="1"/>
    </xf>
    <xf numFmtId="14" fontId="62" fillId="31" borderId="4" xfId="13" applyNumberFormat="1" applyFont="1" applyFill="1" applyBorder="1" applyAlignment="1">
      <alignment horizontal="left" vertical="top" wrapText="1" readingOrder="1"/>
    </xf>
    <xf numFmtId="0" fontId="64" fillId="31" borderId="4" xfId="13" applyFont="1" applyFill="1" applyBorder="1" applyAlignment="1">
      <alignment horizontal="left" vertical="top" wrapText="1"/>
    </xf>
    <xf numFmtId="0" fontId="61" fillId="31" borderId="4" xfId="13" applyFont="1" applyFill="1" applyBorder="1" applyAlignment="1">
      <alignment horizontal="left" vertical="top" wrapText="1"/>
    </xf>
    <xf numFmtId="9" fontId="62" fillId="33" borderId="4" xfId="14" applyNumberFormat="1" applyFont="1" applyFill="1" applyBorder="1" applyAlignment="1">
      <alignment horizontal="left" vertical="top" wrapText="1" readingOrder="1"/>
    </xf>
    <xf numFmtId="0" fontId="61" fillId="33" borderId="4" xfId="13" applyFont="1" applyFill="1" applyBorder="1" applyAlignment="1">
      <alignment horizontal="left" vertical="top" wrapText="1"/>
    </xf>
    <xf numFmtId="0" fontId="63" fillId="33" borderId="4" xfId="13" applyFont="1" applyFill="1" applyBorder="1" applyAlignment="1">
      <alignment horizontal="left" vertical="center" wrapText="1"/>
    </xf>
    <xf numFmtId="0" fontId="59" fillId="33" borderId="4" xfId="13" applyFont="1" applyFill="1" applyBorder="1" applyAlignment="1">
      <alignment horizontal="left" vertical="top" wrapText="1"/>
    </xf>
    <xf numFmtId="0" fontId="63" fillId="33" borderId="4" xfId="13" applyFont="1" applyFill="1" applyBorder="1" applyAlignment="1">
      <alignment horizontal="left" vertical="top" wrapText="1"/>
    </xf>
    <xf numFmtId="0" fontId="12" fillId="33" borderId="4" xfId="14" applyNumberFormat="1" applyFont="1" applyFill="1" applyBorder="1" applyAlignment="1">
      <alignment horizontal="left" vertical="top" wrapText="1" readingOrder="1"/>
    </xf>
    <xf numFmtId="0" fontId="16" fillId="33" borderId="4" xfId="13" applyFont="1" applyFill="1" applyBorder="1" applyAlignment="1">
      <alignment horizontal="left" vertical="top" wrapText="1"/>
    </xf>
    <xf numFmtId="0" fontId="16" fillId="11" borderId="4" xfId="13" applyFont="1" applyFill="1" applyBorder="1" applyAlignment="1">
      <alignment horizontal="left" vertical="top" wrapText="1"/>
    </xf>
    <xf numFmtId="0" fontId="55" fillId="11" borderId="4" xfId="13" applyFont="1" applyFill="1" applyBorder="1" applyAlignment="1">
      <alignment horizontal="left" vertical="top" wrapText="1"/>
    </xf>
    <xf numFmtId="0" fontId="46" fillId="0" borderId="4" xfId="11" applyFill="1" applyBorder="1"/>
    <xf numFmtId="0" fontId="47" fillId="0" borderId="4" xfId="12" applyFill="1" applyBorder="1"/>
    <xf numFmtId="0" fontId="16" fillId="0" borderId="0" xfId="0" applyFont="1" applyFill="1"/>
    <xf numFmtId="0" fontId="54" fillId="0" borderId="4" xfId="11" applyFont="1" applyFill="1" applyBorder="1"/>
    <xf numFmtId="0" fontId="54" fillId="0" borderId="4" xfId="12" applyFont="1" applyFill="1" applyBorder="1"/>
    <xf numFmtId="9" fontId="59" fillId="12" borderId="4" xfId="13" applyNumberFormat="1" applyFont="1" applyFill="1" applyBorder="1" applyAlignment="1">
      <alignment horizontal="left" vertical="top" wrapText="1" readingOrder="1"/>
    </xf>
    <xf numFmtId="1" fontId="59" fillId="8" borderId="43" xfId="0" applyNumberFormat="1" applyFont="1" applyFill="1" applyBorder="1" applyAlignment="1">
      <alignment horizontal="left" vertical="top" wrapText="1" readingOrder="1"/>
    </xf>
    <xf numFmtId="1" fontId="59" fillId="8" borderId="43" xfId="1" applyNumberFormat="1" applyFont="1" applyFill="1" applyBorder="1" applyAlignment="1">
      <alignment horizontal="left" vertical="top" wrapText="1" readingOrder="1"/>
    </xf>
    <xf numFmtId="1" fontId="63" fillId="8" borderId="43" xfId="0" applyNumberFormat="1" applyFont="1" applyFill="1" applyBorder="1" applyAlignment="1">
      <alignment horizontal="left" vertical="top" wrapText="1" readingOrder="1"/>
    </xf>
    <xf numFmtId="14" fontId="62" fillId="8" borderId="43" xfId="0" applyNumberFormat="1" applyFont="1" applyFill="1" applyBorder="1" applyAlignment="1">
      <alignment horizontal="left" vertical="top" wrapText="1" readingOrder="1"/>
    </xf>
    <xf numFmtId="0" fontId="62" fillId="8" borderId="43" xfId="0" applyFont="1" applyFill="1" applyBorder="1" applyAlignment="1">
      <alignment horizontal="left" vertical="top" wrapText="1" readingOrder="1"/>
    </xf>
    <xf numFmtId="0" fontId="59" fillId="8" borderId="4" xfId="13" applyFont="1" applyFill="1" applyBorder="1" applyAlignment="1">
      <alignment horizontal="left" vertical="top" wrapText="1" readingOrder="1"/>
    </xf>
    <xf numFmtId="14" fontId="59" fillId="19" borderId="4" xfId="13" applyNumberFormat="1" applyFont="1" applyFill="1" applyBorder="1" applyAlignment="1">
      <alignment horizontal="left" vertical="top" wrapText="1" readingOrder="1"/>
    </xf>
    <xf numFmtId="14" fontId="62" fillId="18" borderId="4" xfId="13" applyNumberFormat="1" applyFont="1" applyFill="1" applyBorder="1" applyAlignment="1">
      <alignment horizontal="left" vertical="center" wrapText="1" readingOrder="1"/>
    </xf>
    <xf numFmtId="14" fontId="9" fillId="18" borderId="4" xfId="0" applyNumberFormat="1" applyFont="1" applyFill="1" applyBorder="1" applyAlignment="1">
      <alignment horizontal="left" vertical="center" wrapText="1" readingOrder="1"/>
    </xf>
    <xf numFmtId="14" fontId="9" fillId="0" borderId="0" xfId="0" applyNumberFormat="1" applyFont="1" applyFill="1" applyAlignment="1">
      <alignment horizontal="left" vertical="center" readingOrder="1"/>
    </xf>
    <xf numFmtId="0" fontId="9" fillId="0" borderId="0" xfId="0" applyFont="1" applyFill="1" applyAlignment="1">
      <alignment horizontal="left" vertical="center" readingOrder="1"/>
    </xf>
    <xf numFmtId="165" fontId="9" fillId="0" borderId="0" xfId="0" applyNumberFormat="1" applyFont="1" applyFill="1" applyAlignment="1">
      <alignment horizontal="left" vertical="center" readingOrder="1"/>
    </xf>
    <xf numFmtId="9" fontId="9" fillId="0" borderId="0" xfId="0" applyNumberFormat="1" applyFont="1" applyFill="1" applyAlignment="1">
      <alignment horizontal="left" vertical="center" readingOrder="1"/>
    </xf>
    <xf numFmtId="1" fontId="9" fillId="0" borderId="0" xfId="0" applyNumberFormat="1" applyFont="1" applyFill="1" applyAlignment="1">
      <alignment horizontal="left" vertical="center" readingOrder="1"/>
    </xf>
    <xf numFmtId="9" fontId="9" fillId="0" borderId="0" xfId="1" applyFont="1" applyFill="1" applyAlignment="1">
      <alignment horizontal="left" vertical="center" readingOrder="1"/>
    </xf>
    <xf numFmtId="1" fontId="9" fillId="0" borderId="0" xfId="1" applyNumberFormat="1" applyFont="1" applyFill="1" applyAlignment="1">
      <alignment horizontal="left" vertical="center" readingOrder="1"/>
    </xf>
    <xf numFmtId="9" fontId="9" fillId="0" borderId="0" xfId="1" applyNumberFormat="1" applyFont="1" applyFill="1" applyAlignment="1">
      <alignment horizontal="left" vertical="center" readingOrder="1"/>
    </xf>
    <xf numFmtId="0" fontId="9" fillId="0" borderId="0" xfId="1" applyNumberFormat="1" applyFont="1" applyFill="1" applyAlignment="1">
      <alignment horizontal="left" vertical="center" readingOrder="1"/>
    </xf>
    <xf numFmtId="0" fontId="12" fillId="8" borderId="17" xfId="0" applyFont="1" applyFill="1" applyBorder="1" applyAlignment="1">
      <alignment horizontal="left" vertical="top" wrapText="1" readingOrder="1"/>
    </xf>
    <xf numFmtId="0" fontId="9" fillId="4" borderId="17" xfId="0" applyFont="1" applyFill="1" applyBorder="1" applyAlignment="1">
      <alignment horizontal="left" vertical="center" readingOrder="1"/>
    </xf>
    <xf numFmtId="0" fontId="21" fillId="34" borderId="0" xfId="0" applyFont="1" applyFill="1" applyBorder="1"/>
    <xf numFmtId="0" fontId="21" fillId="0" borderId="0" xfId="0" applyFont="1" applyBorder="1"/>
    <xf numFmtId="0" fontId="43" fillId="0" borderId="0" xfId="9" applyFont="1" applyFill="1" applyBorder="1" applyAlignment="1">
      <alignment horizontal="right"/>
    </xf>
    <xf numFmtId="0" fontId="21" fillId="7" borderId="0" xfId="0" applyFont="1" applyFill="1"/>
    <xf numFmtId="1" fontId="34" fillId="10" borderId="46" xfId="0" applyNumberFormat="1" applyFont="1" applyFill="1" applyBorder="1" applyAlignment="1">
      <alignment vertical="top" wrapText="1"/>
    </xf>
    <xf numFmtId="0" fontId="34" fillId="19" borderId="48" xfId="0" applyFont="1" applyFill="1" applyBorder="1" applyAlignment="1">
      <alignment vertical="top" wrapText="1"/>
    </xf>
    <xf numFmtId="9" fontId="34" fillId="10" borderId="46" xfId="1" applyNumberFormat="1" applyFont="1" applyFill="1" applyBorder="1" applyAlignment="1">
      <alignment vertical="top" wrapText="1"/>
    </xf>
    <xf numFmtId="0" fontId="34" fillId="19" borderId="46" xfId="0" applyFont="1" applyFill="1" applyBorder="1" applyAlignment="1">
      <alignment vertical="top" wrapText="1"/>
    </xf>
    <xf numFmtId="1" fontId="34" fillId="19" borderId="49" xfId="0" applyNumberFormat="1" applyFont="1" applyFill="1" applyBorder="1" applyAlignment="1">
      <alignment vertical="top" wrapText="1"/>
    </xf>
    <xf numFmtId="9" fontId="34" fillId="19" borderId="26" xfId="1" applyNumberFormat="1" applyFont="1" applyFill="1" applyBorder="1" applyAlignment="1">
      <alignment vertical="top" wrapText="1"/>
    </xf>
    <xf numFmtId="0" fontId="34" fillId="7" borderId="46" xfId="0" applyFont="1" applyFill="1" applyBorder="1" applyAlignment="1">
      <alignment vertical="top" wrapText="1"/>
    </xf>
    <xf numFmtId="0" fontId="34" fillId="7" borderId="50" xfId="0" applyFont="1" applyFill="1" applyBorder="1" applyAlignment="1">
      <alignment vertical="top" wrapText="1"/>
    </xf>
    <xf numFmtId="1" fontId="34" fillId="7" borderId="51" xfId="0" applyNumberFormat="1" applyFont="1" applyFill="1" applyBorder="1" applyAlignment="1">
      <alignment vertical="top" wrapText="1"/>
    </xf>
    <xf numFmtId="0" fontId="55" fillId="33" borderId="53" xfId="13" applyFont="1" applyFill="1" applyBorder="1" applyAlignment="1">
      <alignment horizontal="left" vertical="top" wrapText="1"/>
    </xf>
    <xf numFmtId="0" fontId="46" fillId="26" borderId="5" xfId="11" applyBorder="1"/>
    <xf numFmtId="0" fontId="47" fillId="27" borderId="5" xfId="12" applyBorder="1"/>
    <xf numFmtId="0" fontId="57" fillId="28" borderId="52" xfId="11" applyFont="1" applyFill="1" applyBorder="1"/>
    <xf numFmtId="0" fontId="57" fillId="28" borderId="52" xfId="12" applyFont="1" applyFill="1" applyBorder="1"/>
    <xf numFmtId="0" fontId="53" fillId="28" borderId="52" xfId="0" applyFont="1" applyFill="1" applyBorder="1" applyAlignment="1">
      <alignment horizontal="left" wrapText="1"/>
    </xf>
    <xf numFmtId="0" fontId="57" fillId="28" borderId="52" xfId="11" applyFont="1" applyFill="1" applyBorder="1" applyAlignment="1">
      <alignment wrapText="1"/>
    </xf>
    <xf numFmtId="0" fontId="53" fillId="28" borderId="52" xfId="0" applyFont="1" applyFill="1" applyBorder="1"/>
    <xf numFmtId="0" fontId="46" fillId="26" borderId="54" xfId="11" applyBorder="1"/>
    <xf numFmtId="0" fontId="47" fillId="27" borderId="54" xfId="12" applyBorder="1"/>
    <xf numFmtId="0" fontId="55" fillId="31" borderId="53" xfId="13" applyFont="1" applyFill="1" applyBorder="1" applyAlignment="1">
      <alignment horizontal="left" vertical="top" wrapText="1"/>
    </xf>
    <xf numFmtId="0" fontId="46" fillId="8" borderId="54" xfId="11" applyFill="1" applyBorder="1"/>
    <xf numFmtId="0" fontId="47" fillId="8" borderId="54" xfId="12" applyFill="1" applyBorder="1"/>
    <xf numFmtId="0" fontId="56" fillId="9" borderId="52" xfId="11" applyFont="1" applyFill="1" applyBorder="1"/>
    <xf numFmtId="0" fontId="56" fillId="9" borderId="52" xfId="12" applyFont="1" applyFill="1" applyBorder="1"/>
    <xf numFmtId="0" fontId="52" fillId="28" borderId="52" xfId="0" applyFont="1" applyFill="1" applyBorder="1" applyAlignment="1">
      <alignment horizontal="left" vertical="top" wrapText="1"/>
    </xf>
    <xf numFmtId="0" fontId="70" fillId="32" borderId="52" xfId="13" applyFont="1" applyFill="1" applyBorder="1"/>
    <xf numFmtId="0" fontId="46" fillId="8" borderId="55" xfId="11" applyFill="1" applyBorder="1"/>
    <xf numFmtId="0" fontId="47" fillId="8" borderId="55" xfId="12" applyFill="1" applyBorder="1"/>
    <xf numFmtId="0" fontId="52" fillId="28" borderId="52" xfId="0" applyFont="1" applyFill="1" applyBorder="1" applyAlignment="1">
      <alignment wrapText="1"/>
    </xf>
    <xf numFmtId="0" fontId="54" fillId="6" borderId="53" xfId="12" applyFont="1" applyFill="1" applyBorder="1"/>
    <xf numFmtId="0" fontId="51" fillId="28" borderId="52" xfId="0" applyFont="1" applyFill="1" applyBorder="1" applyAlignment="1">
      <alignment horizontal="left" wrapText="1"/>
    </xf>
    <xf numFmtId="0" fontId="16" fillId="0" borderId="52" xfId="0" applyFont="1" applyBorder="1"/>
    <xf numFmtId="0" fontId="51" fillId="28" borderId="52" xfId="0" applyFont="1" applyFill="1" applyBorder="1" applyAlignment="1">
      <alignment wrapText="1"/>
    </xf>
    <xf numFmtId="1" fontId="32" fillId="35" borderId="16" xfId="4" applyNumberFormat="1" applyFont="1" applyFill="1" applyBorder="1"/>
    <xf numFmtId="1" fontId="24" fillId="35" borderId="0" xfId="0" applyNumberFormat="1" applyFont="1" applyFill="1" applyBorder="1" applyAlignment="1">
      <alignment horizontal="left" vertical="center" readingOrder="1"/>
    </xf>
    <xf numFmtId="1" fontId="34" fillId="10" borderId="21" xfId="0" applyNumberFormat="1" applyFont="1" applyFill="1" applyBorder="1" applyAlignment="1">
      <alignment vertical="top"/>
    </xf>
    <xf numFmtId="0" fontId="34" fillId="19" borderId="26" xfId="0" applyFont="1" applyFill="1" applyBorder="1" applyAlignment="1">
      <alignment vertical="top"/>
    </xf>
    <xf numFmtId="0" fontId="34" fillId="19" borderId="23" xfId="0" applyFont="1" applyFill="1" applyBorder="1" applyAlignment="1">
      <alignment vertical="top"/>
    </xf>
    <xf numFmtId="1" fontId="34" fillId="19" borderId="22" xfId="0" applyNumberFormat="1" applyFont="1" applyFill="1" applyBorder="1" applyAlignment="1">
      <alignment vertical="top"/>
    </xf>
    <xf numFmtId="1" fontId="34" fillId="19" borderId="27" xfId="0" applyNumberFormat="1" applyFont="1" applyFill="1" applyBorder="1" applyAlignment="1">
      <alignment vertical="top"/>
    </xf>
    <xf numFmtId="1" fontId="34" fillId="6" borderId="27" xfId="0" applyNumberFormat="1" applyFont="1" applyFill="1" applyBorder="1" applyAlignment="1">
      <alignment vertical="top"/>
    </xf>
    <xf numFmtId="1" fontId="34" fillId="6" borderId="35" xfId="0" applyNumberFormat="1" applyFont="1" applyFill="1" applyBorder="1" applyAlignment="1">
      <alignment vertical="top"/>
    </xf>
    <xf numFmtId="0" fontId="23" fillId="19" borderId="26" xfId="0" applyFont="1" applyFill="1" applyBorder="1" applyAlignment="1">
      <alignment vertical="top"/>
    </xf>
    <xf numFmtId="1" fontId="23" fillId="19" borderId="27" xfId="0" applyNumberFormat="1" applyFont="1" applyFill="1" applyBorder="1" applyAlignment="1">
      <alignment vertical="top"/>
    </xf>
    <xf numFmtId="1" fontId="34" fillId="19" borderId="23" xfId="0" applyNumberFormat="1" applyFont="1" applyFill="1" applyBorder="1" applyAlignment="1">
      <alignment vertical="top"/>
    </xf>
    <xf numFmtId="1" fontId="34" fillId="19" borderId="21" xfId="0" applyNumberFormat="1" applyFont="1" applyFill="1" applyBorder="1" applyAlignment="1">
      <alignment vertical="top"/>
    </xf>
    <xf numFmtId="0" fontId="34" fillId="7" borderId="22" xfId="0" applyFont="1" applyFill="1" applyBorder="1" applyAlignment="1">
      <alignment vertical="top"/>
    </xf>
    <xf numFmtId="0" fontId="34" fillId="7" borderId="26" xfId="0" applyFont="1" applyFill="1" applyBorder="1" applyAlignment="1">
      <alignment vertical="top"/>
    </xf>
    <xf numFmtId="0" fontId="34" fillId="7" borderId="39" xfId="0" applyFont="1" applyFill="1" applyBorder="1" applyAlignment="1">
      <alignment vertical="top"/>
    </xf>
    <xf numFmtId="1" fontId="34" fillId="7" borderId="30" xfId="0" applyNumberFormat="1" applyFont="1" applyFill="1" applyBorder="1" applyAlignment="1">
      <alignment vertical="top"/>
    </xf>
    <xf numFmtId="0" fontId="34" fillId="7" borderId="21" xfId="0" applyFont="1" applyFill="1" applyBorder="1" applyAlignment="1">
      <alignment vertical="top"/>
    </xf>
    <xf numFmtId="0" fontId="22" fillId="24" borderId="24" xfId="0" applyNumberFormat="1" applyFont="1" applyFill="1" applyBorder="1" applyAlignment="1">
      <alignment horizontal="left" vertical="top" readingOrder="1"/>
    </xf>
    <xf numFmtId="14" fontId="22" fillId="24" borderId="24" xfId="0" applyNumberFormat="1" applyFont="1" applyFill="1" applyBorder="1" applyAlignment="1">
      <alignment horizontal="left" vertical="top" readingOrder="1"/>
    </xf>
    <xf numFmtId="167" fontId="22" fillId="24" borderId="24" xfId="0" applyNumberFormat="1" applyFont="1" applyFill="1" applyBorder="1" applyAlignment="1">
      <alignment horizontal="left" vertical="top" readingOrder="1"/>
    </xf>
    <xf numFmtId="14" fontId="22" fillId="24" borderId="25" xfId="0" applyNumberFormat="1" applyFont="1" applyFill="1" applyBorder="1" applyAlignment="1">
      <alignment horizontal="left" vertical="top" readingOrder="1"/>
    </xf>
    <xf numFmtId="0" fontId="16" fillId="0" borderId="0" xfId="0" applyFont="1" applyAlignment="1">
      <alignment vertical="top"/>
    </xf>
    <xf numFmtId="0" fontId="73" fillId="0" borderId="0" xfId="0" applyFont="1"/>
    <xf numFmtId="0" fontId="73" fillId="0" borderId="0" xfId="0" applyFont="1" applyAlignment="1">
      <alignment wrapText="1"/>
    </xf>
    <xf numFmtId="164" fontId="73" fillId="0" borderId="56" xfId="4" applyNumberFormat="1" applyFont="1" applyBorder="1"/>
    <xf numFmtId="9" fontId="74" fillId="0" borderId="0" xfId="0" applyNumberFormat="1" applyFont="1" applyFill="1" applyBorder="1" applyAlignment="1">
      <alignment horizontal="left" vertical="center" readingOrder="1"/>
    </xf>
    <xf numFmtId="9" fontId="74" fillId="0" borderId="0" xfId="0" applyNumberFormat="1" applyFont="1" applyFill="1" applyAlignment="1">
      <alignment horizontal="left" vertical="center" readingOrder="1"/>
    </xf>
    <xf numFmtId="164" fontId="73" fillId="0" borderId="0" xfId="0" applyNumberFormat="1" applyFont="1"/>
    <xf numFmtId="0" fontId="74" fillId="0" borderId="0" xfId="0" applyFont="1" applyFill="1" applyBorder="1" applyAlignment="1">
      <alignment horizontal="left" vertical="center" readingOrder="1"/>
    </xf>
    <xf numFmtId="165" fontId="74" fillId="0" borderId="0" xfId="0" applyNumberFormat="1" applyFont="1" applyFill="1" applyBorder="1" applyAlignment="1">
      <alignment horizontal="left" vertical="center" readingOrder="1"/>
    </xf>
    <xf numFmtId="0" fontId="74" fillId="0" borderId="0" xfId="0" applyFont="1" applyFill="1" applyAlignment="1">
      <alignment horizontal="left" vertical="center" readingOrder="1"/>
    </xf>
    <xf numFmtId="165" fontId="74" fillId="0" borderId="0" xfId="0" applyNumberFormat="1" applyFont="1" applyFill="1" applyAlignment="1">
      <alignment horizontal="left" vertical="center" readingOrder="1"/>
    </xf>
    <xf numFmtId="14" fontId="76" fillId="0" borderId="0" xfId="0" applyNumberFormat="1" applyFont="1" applyFill="1" applyBorder="1" applyAlignment="1">
      <alignment horizontal="left" vertical="center" readingOrder="1"/>
    </xf>
    <xf numFmtId="0" fontId="76" fillId="0" borderId="0" xfId="0" applyFont="1" applyFill="1" applyBorder="1" applyAlignment="1">
      <alignment horizontal="left" vertical="center" readingOrder="1"/>
    </xf>
    <xf numFmtId="165" fontId="76" fillId="0" borderId="0" xfId="0" applyNumberFormat="1" applyFont="1" applyFill="1" applyBorder="1" applyAlignment="1">
      <alignment horizontal="left" vertical="center" readingOrder="1"/>
    </xf>
    <xf numFmtId="9" fontId="76" fillId="0" borderId="0" xfId="0" applyNumberFormat="1" applyFont="1" applyFill="1" applyBorder="1" applyAlignment="1">
      <alignment horizontal="left" vertical="center" readingOrder="1"/>
    </xf>
    <xf numFmtId="0" fontId="75" fillId="2" borderId="54" xfId="0" applyFont="1" applyFill="1" applyBorder="1"/>
    <xf numFmtId="0" fontId="21" fillId="0" borderId="44" xfId="0" applyFont="1" applyBorder="1"/>
    <xf numFmtId="0" fontId="21" fillId="9" borderId="0" xfId="0" applyFont="1" applyFill="1"/>
    <xf numFmtId="0" fontId="21" fillId="0" borderId="0" xfId="0" applyNumberFormat="1" applyFont="1" applyBorder="1"/>
    <xf numFmtId="1" fontId="21" fillId="0" borderId="0" xfId="0" applyNumberFormat="1" applyFont="1" applyBorder="1"/>
    <xf numFmtId="0" fontId="21" fillId="0" borderId="0" xfId="0" applyFont="1" applyBorder="1" applyAlignment="1">
      <alignment wrapText="1" readingOrder="1"/>
    </xf>
    <xf numFmtId="0" fontId="42" fillId="4" borderId="0" xfId="0" applyFont="1" applyFill="1" applyBorder="1" applyAlignment="1">
      <alignment horizontal="left" vertical="center" readingOrder="1"/>
    </xf>
    <xf numFmtId="0" fontId="42" fillId="9" borderId="0" xfId="0" applyFont="1" applyFill="1" applyBorder="1" applyAlignment="1">
      <alignment horizontal="left" vertical="center" readingOrder="1"/>
    </xf>
    <xf numFmtId="0" fontId="42" fillId="4" borderId="0" xfId="0" applyNumberFormat="1" applyFont="1" applyFill="1" applyBorder="1" applyAlignment="1">
      <alignment horizontal="left" vertical="center" readingOrder="1"/>
    </xf>
    <xf numFmtId="1" fontId="42" fillId="4" borderId="0" xfId="0" applyNumberFormat="1" applyFont="1" applyFill="1" applyBorder="1" applyAlignment="1">
      <alignment horizontal="left" vertical="center" readingOrder="1"/>
    </xf>
    <xf numFmtId="0" fontId="42" fillId="4" borderId="0" xfId="0" applyFont="1" applyFill="1" applyBorder="1" applyAlignment="1">
      <alignment horizontal="left" vertical="center" wrapText="1" readingOrder="1"/>
    </xf>
    <xf numFmtId="0" fontId="77" fillId="37" borderId="0" xfId="0" applyFont="1" applyFill="1"/>
    <xf numFmtId="0" fontId="77" fillId="37" borderId="0" xfId="0" applyNumberFormat="1" applyFont="1" applyFill="1"/>
    <xf numFmtId="0" fontId="21" fillId="0" borderId="0" xfId="0" applyNumberFormat="1" applyFont="1" applyAlignment="1">
      <alignment wrapText="1" readingOrder="1"/>
    </xf>
    <xf numFmtId="0" fontId="21" fillId="9" borderId="0" xfId="0" applyFont="1" applyFill="1" applyBorder="1"/>
    <xf numFmtId="0" fontId="21" fillId="0" borderId="0" xfId="0" applyNumberFormat="1" applyFont="1" applyBorder="1" applyAlignment="1">
      <alignment wrapText="1" readingOrder="1"/>
    </xf>
    <xf numFmtId="0" fontId="21" fillId="0" borderId="45" xfId="0" applyFont="1" applyBorder="1"/>
    <xf numFmtId="14" fontId="76" fillId="0" borderId="0" xfId="0" applyNumberFormat="1" applyFont="1" applyFill="1" applyAlignment="1">
      <alignment horizontal="left" vertical="center" readingOrder="1"/>
    </xf>
    <xf numFmtId="0" fontId="21" fillId="0" borderId="44" xfId="0" applyNumberFormat="1" applyFont="1" applyBorder="1"/>
    <xf numFmtId="1" fontId="21" fillId="0" borderId="44" xfId="0" applyNumberFormat="1" applyFont="1" applyBorder="1"/>
    <xf numFmtId="0" fontId="16" fillId="0" borderId="44" xfId="0" applyFont="1" applyFill="1" applyBorder="1"/>
    <xf numFmtId="0" fontId="16" fillId="0" borderId="61" xfId="0" applyFont="1" applyFill="1" applyBorder="1"/>
    <xf numFmtId="0" fontId="16" fillId="0" borderId="59" xfId="0" applyFont="1" applyFill="1" applyBorder="1"/>
    <xf numFmtId="0" fontId="16" fillId="0" borderId="0" xfId="0" applyFont="1" applyBorder="1"/>
    <xf numFmtId="0" fontId="45" fillId="0" borderId="0" xfId="0" applyFont="1"/>
    <xf numFmtId="0" fontId="45" fillId="0" borderId="0" xfId="0" applyFont="1" applyAlignment="1"/>
    <xf numFmtId="0" fontId="21" fillId="38" borderId="0" xfId="0" applyFont="1" applyFill="1" applyBorder="1"/>
    <xf numFmtId="0" fontId="21" fillId="39" borderId="0" xfId="0" applyFont="1" applyFill="1" applyBorder="1"/>
    <xf numFmtId="0" fontId="21" fillId="0" borderId="2" xfId="0" applyFont="1" applyBorder="1"/>
    <xf numFmtId="9" fontId="9" fillId="29" borderId="0" xfId="1" applyFont="1" applyFill="1" applyAlignment="1">
      <alignment horizontal="left" vertical="center" readingOrder="1"/>
    </xf>
    <xf numFmtId="0" fontId="21" fillId="0" borderId="0" xfId="0" applyFont="1" applyAlignment="1">
      <alignment horizontal="left"/>
    </xf>
    <xf numFmtId="9" fontId="21" fillId="0" borderId="0" xfId="0" applyNumberFormat="1" applyFont="1"/>
    <xf numFmtId="0" fontId="21" fillId="0" borderId="0" xfId="0" applyFont="1" applyAlignment="1">
      <alignment wrapText="1"/>
    </xf>
    <xf numFmtId="9" fontId="73" fillId="0" borderId="0" xfId="1" applyFont="1"/>
    <xf numFmtId="0" fontId="79" fillId="0" borderId="0" xfId="0" applyFont="1"/>
    <xf numFmtId="0" fontId="21" fillId="7" borderId="0" xfId="0" applyFont="1" applyFill="1" applyAlignment="1">
      <alignment horizontal="left"/>
    </xf>
    <xf numFmtId="9" fontId="21" fillId="7" borderId="0" xfId="0" applyNumberFormat="1" applyFont="1" applyFill="1"/>
    <xf numFmtId="0" fontId="21" fillId="7" borderId="0" xfId="0" applyNumberFormat="1" applyFont="1" applyFill="1"/>
    <xf numFmtId="0" fontId="80" fillId="7" borderId="0" xfId="0" applyFont="1" applyFill="1"/>
    <xf numFmtId="0" fontId="80" fillId="29" borderId="0" xfId="0" applyFont="1" applyFill="1"/>
    <xf numFmtId="0" fontId="34" fillId="7" borderId="64" xfId="0" applyFont="1" applyFill="1" applyBorder="1" applyAlignment="1">
      <alignment vertical="top" wrapText="1"/>
    </xf>
    <xf numFmtId="0" fontId="34" fillId="7" borderId="63" xfId="0" applyFont="1" applyFill="1" applyBorder="1" applyAlignment="1">
      <alignment vertical="top" wrapText="1"/>
    </xf>
    <xf numFmtId="0" fontId="21" fillId="40" borderId="0" xfId="0" applyFont="1" applyFill="1"/>
    <xf numFmtId="0" fontId="81" fillId="40" borderId="0" xfId="0" applyFont="1" applyFill="1"/>
    <xf numFmtId="0" fontId="81" fillId="7" borderId="0" xfId="0" applyFont="1" applyFill="1"/>
    <xf numFmtId="9" fontId="24" fillId="7" borderId="0" xfId="0" applyNumberFormat="1" applyFont="1" applyFill="1" applyBorder="1" applyAlignment="1">
      <alignment horizontal="left" vertical="center" readingOrder="1"/>
    </xf>
    <xf numFmtId="1" fontId="24" fillId="7" borderId="0" xfId="0" applyNumberFormat="1" applyFont="1" applyFill="1" applyBorder="1" applyAlignment="1">
      <alignment horizontal="left" vertical="center" readingOrder="1"/>
    </xf>
    <xf numFmtId="0" fontId="82" fillId="0" borderId="0" xfId="0" applyFont="1" applyFill="1" applyAlignment="1">
      <alignment horizontal="left" vertical="center" readingOrder="1"/>
    </xf>
    <xf numFmtId="165" fontId="82" fillId="0" borderId="0" xfId="0" applyNumberFormat="1" applyFont="1" applyFill="1" applyAlignment="1">
      <alignment horizontal="left" vertical="center" readingOrder="1"/>
    </xf>
    <xf numFmtId="9" fontId="82" fillId="0" borderId="0" xfId="0" applyNumberFormat="1" applyFont="1" applyFill="1" applyAlignment="1">
      <alignment horizontal="left" vertical="center" readingOrder="1"/>
    </xf>
    <xf numFmtId="1" fontId="82" fillId="0" borderId="0" xfId="0" applyNumberFormat="1" applyFont="1" applyFill="1" applyAlignment="1">
      <alignment horizontal="left" vertical="center" readingOrder="1"/>
    </xf>
    <xf numFmtId="1" fontId="82" fillId="0" borderId="0" xfId="1" applyNumberFormat="1" applyFont="1" applyFill="1" applyAlignment="1">
      <alignment horizontal="left" vertical="center" readingOrder="1"/>
    </xf>
    <xf numFmtId="9" fontId="82" fillId="0" borderId="0" xfId="1" applyNumberFormat="1" applyFont="1" applyFill="1" applyAlignment="1">
      <alignment horizontal="left" vertical="center" readingOrder="1"/>
    </xf>
    <xf numFmtId="9" fontId="83" fillId="0" borderId="0" xfId="0" applyNumberFormat="1" applyFont="1"/>
    <xf numFmtId="9" fontId="21" fillId="0" borderId="0" xfId="1" applyFont="1"/>
    <xf numFmtId="0" fontId="83" fillId="0" borderId="0" xfId="1" applyNumberFormat="1" applyFont="1"/>
    <xf numFmtId="9" fontId="83" fillId="41" borderId="65" xfId="0" applyNumberFormat="1" applyFont="1" applyFill="1" applyBorder="1"/>
    <xf numFmtId="0" fontId="83" fillId="41" borderId="65" xfId="0" applyNumberFormat="1" applyFont="1" applyFill="1" applyBorder="1"/>
    <xf numFmtId="0" fontId="21" fillId="18" borderId="65" xfId="0" applyFont="1" applyFill="1" applyBorder="1"/>
    <xf numFmtId="0" fontId="84" fillId="0" borderId="0" xfId="0" applyFont="1"/>
    <xf numFmtId="0" fontId="81" fillId="21" borderId="0" xfId="0" applyFont="1" applyFill="1"/>
    <xf numFmtId="0" fontId="21" fillId="21" borderId="0" xfId="0" applyFont="1" applyFill="1"/>
    <xf numFmtId="0" fontId="80" fillId="21" borderId="0" xfId="0" applyFont="1" applyFill="1"/>
    <xf numFmtId="0" fontId="21" fillId="42" borderId="0" xfId="0" applyFont="1" applyFill="1"/>
    <xf numFmtId="0" fontId="81" fillId="42" borderId="0" xfId="0" applyFont="1" applyFill="1"/>
    <xf numFmtId="0" fontId="21" fillId="7" borderId="45" xfId="0" applyFont="1" applyFill="1" applyBorder="1"/>
    <xf numFmtId="0" fontId="21" fillId="0" borderId="60" xfId="0" applyFont="1" applyBorder="1"/>
    <xf numFmtId="0" fontId="21" fillId="0" borderId="59" xfId="0" applyFont="1" applyBorder="1"/>
    <xf numFmtId="0" fontId="21" fillId="0" borderId="0" xfId="0" applyNumberFormat="1" applyFont="1" applyAlignment="1">
      <alignment wrapText="1"/>
    </xf>
    <xf numFmtId="1" fontId="21" fillId="0" borderId="0" xfId="0" applyNumberFormat="1" applyFont="1" applyAlignment="1">
      <alignment wrapText="1"/>
    </xf>
    <xf numFmtId="0" fontId="9" fillId="0" borderId="47" xfId="0" applyFont="1" applyFill="1" applyBorder="1" applyAlignment="1">
      <alignment horizontal="left" vertical="center" readingOrder="1"/>
    </xf>
    <xf numFmtId="165" fontId="9" fillId="0" borderId="0" xfId="0" applyNumberFormat="1" applyFont="1" applyFill="1" applyBorder="1" applyAlignment="1">
      <alignment horizontal="left" vertical="center" readingOrder="1"/>
    </xf>
    <xf numFmtId="9" fontId="9" fillId="0" borderId="0" xfId="1" applyFont="1" applyFill="1" applyBorder="1" applyAlignment="1">
      <alignment horizontal="left" vertical="center" readingOrder="1"/>
    </xf>
    <xf numFmtId="9" fontId="9" fillId="0" borderId="0" xfId="1" applyNumberFormat="1" applyFont="1" applyFill="1" applyBorder="1" applyAlignment="1">
      <alignment horizontal="left" vertical="center" readingOrder="1"/>
    </xf>
    <xf numFmtId="9" fontId="9" fillId="29" borderId="0" xfId="1" applyFont="1" applyFill="1" applyBorder="1" applyAlignment="1">
      <alignment horizontal="left" vertical="center" readingOrder="1"/>
    </xf>
    <xf numFmtId="0" fontId="0" fillId="0" borderId="0" xfId="0" pivotButton="1"/>
    <xf numFmtId="0" fontId="21" fillId="18" borderId="65" xfId="0" applyFont="1" applyFill="1" applyBorder="1" applyAlignment="1">
      <alignment wrapText="1"/>
    </xf>
    <xf numFmtId="0" fontId="21" fillId="44" borderId="65" xfId="0" applyFont="1" applyFill="1" applyBorder="1" applyAlignment="1">
      <alignment horizontal="left"/>
    </xf>
    <xf numFmtId="0" fontId="21" fillId="41" borderId="65" xfId="0" applyNumberFormat="1" applyFont="1" applyFill="1" applyBorder="1"/>
    <xf numFmtId="0" fontId="21" fillId="0" borderId="0" xfId="0" applyFont="1" applyFill="1"/>
    <xf numFmtId="0" fontId="21" fillId="45" borderId="65" xfId="0" applyFont="1" applyFill="1" applyBorder="1" applyAlignment="1">
      <alignment horizontal="left"/>
    </xf>
    <xf numFmtId="0" fontId="21" fillId="45" borderId="65" xfId="0" applyNumberFormat="1" applyFont="1" applyFill="1" applyBorder="1"/>
    <xf numFmtId="0" fontId="21" fillId="44" borderId="65" xfId="0" applyFont="1" applyFill="1" applyBorder="1" applyAlignment="1">
      <alignment horizontal="left" indent="1"/>
    </xf>
    <xf numFmtId="9" fontId="82" fillId="0" borderId="0" xfId="1" applyFont="1" applyFill="1" applyAlignment="1">
      <alignment horizontal="left" vertical="center" readingOrder="1"/>
    </xf>
    <xf numFmtId="0" fontId="26" fillId="0" borderId="0" xfId="0" applyFont="1" applyAlignment="1"/>
    <xf numFmtId="0" fontId="9" fillId="0" borderId="0" xfId="0" applyFont="1" applyFill="1" applyBorder="1" applyAlignment="1">
      <alignment horizontal="left" vertical="center" readingOrder="1"/>
    </xf>
    <xf numFmtId="165" fontId="9" fillId="0" borderId="0" xfId="0" applyNumberFormat="1" applyFont="1" applyFill="1" applyBorder="1" applyAlignment="1">
      <alignment horizontal="left" vertical="center" readingOrder="1"/>
    </xf>
    <xf numFmtId="9" fontId="9" fillId="0" borderId="0" xfId="0" applyNumberFormat="1" applyFont="1" applyFill="1" applyBorder="1" applyAlignment="1">
      <alignment horizontal="left" vertical="center" readingOrder="1"/>
    </xf>
    <xf numFmtId="1" fontId="9" fillId="0" borderId="0" xfId="0" applyNumberFormat="1" applyFont="1" applyFill="1" applyBorder="1" applyAlignment="1">
      <alignment horizontal="left" vertical="center" readingOrder="1"/>
    </xf>
    <xf numFmtId="1" fontId="9" fillId="0" borderId="0" xfId="1" applyNumberFormat="1" applyFont="1" applyFill="1" applyBorder="1" applyAlignment="1">
      <alignment horizontal="left" vertical="center" readingOrder="1"/>
    </xf>
    <xf numFmtId="9" fontId="9" fillId="0" borderId="0" xfId="1" applyFont="1" applyFill="1" applyBorder="1" applyAlignment="1">
      <alignment horizontal="left" vertical="center" readingOrder="1"/>
    </xf>
    <xf numFmtId="9" fontId="9" fillId="0" borderId="0" xfId="1" applyNumberFormat="1" applyFont="1" applyFill="1" applyBorder="1" applyAlignment="1">
      <alignment horizontal="left" vertical="center" readingOrder="1"/>
    </xf>
    <xf numFmtId="0" fontId="22" fillId="24" borderId="2" xfId="0" applyFont="1" applyFill="1" applyBorder="1" applyAlignment="1">
      <alignment horizontal="left" vertical="center" readingOrder="1"/>
    </xf>
    <xf numFmtId="0" fontId="17" fillId="24" borderId="2" xfId="0" applyFont="1" applyFill="1" applyBorder="1" applyAlignment="1">
      <alignment horizontal="left" vertical="center" readingOrder="1"/>
    </xf>
    <xf numFmtId="1" fontId="34" fillId="10" borderId="16" xfId="0" applyNumberFormat="1" applyFont="1" applyFill="1" applyBorder="1" applyAlignment="1">
      <alignment vertical="top" wrapText="1"/>
    </xf>
    <xf numFmtId="1" fontId="34" fillId="19" borderId="16" xfId="0" applyNumberFormat="1" applyFont="1" applyFill="1" applyBorder="1" applyAlignment="1">
      <alignment vertical="top" wrapText="1"/>
    </xf>
    <xf numFmtId="9" fontId="30" fillId="23" borderId="0" xfId="0" applyNumberFormat="1" applyFont="1" applyFill="1" applyBorder="1" applyAlignment="1">
      <alignment horizontal="center"/>
    </xf>
    <xf numFmtId="1" fontId="9" fillId="0" borderId="0" xfId="0" applyNumberFormat="1" applyFont="1" applyFill="1" applyAlignment="1">
      <alignment horizontal="left" vertical="center" readingOrder="1"/>
    </xf>
    <xf numFmtId="0" fontId="22" fillId="24" borderId="15" xfId="0" applyNumberFormat="1" applyFont="1" applyFill="1" applyBorder="1" applyAlignment="1">
      <alignment horizontal="left" vertical="center" wrapText="1" readingOrder="1"/>
    </xf>
    <xf numFmtId="0" fontId="22" fillId="24" borderId="2" xfId="0" applyNumberFormat="1" applyFont="1" applyFill="1" applyBorder="1" applyAlignment="1">
      <alignment horizontal="left" vertical="center" wrapText="1" readingOrder="1"/>
    </xf>
    <xf numFmtId="0" fontId="22" fillId="24" borderId="2" xfId="0" applyFont="1" applyFill="1" applyBorder="1" applyAlignment="1">
      <alignment horizontal="left" vertical="center" wrapText="1" readingOrder="1"/>
    </xf>
    <xf numFmtId="167" fontId="22" fillId="24" borderId="2" xfId="0" applyNumberFormat="1" applyFont="1" applyFill="1" applyBorder="1" applyAlignment="1">
      <alignment horizontal="left" vertical="center" wrapText="1" readingOrder="1"/>
    </xf>
    <xf numFmtId="0" fontId="34" fillId="19" borderId="39" xfId="0" applyFont="1" applyFill="1" applyBorder="1" applyAlignment="1">
      <alignment vertical="top" wrapText="1"/>
    </xf>
    <xf numFmtId="14" fontId="30" fillId="17" borderId="0" xfId="0" applyNumberFormat="1" applyFont="1" applyFill="1" applyBorder="1" applyAlignment="1">
      <alignment horizontal="left"/>
    </xf>
    <xf numFmtId="14" fontId="72" fillId="18" borderId="4" xfId="0" applyNumberFormat="1" applyFont="1" applyFill="1" applyBorder="1" applyAlignment="1">
      <alignment horizontal="center" vertical="center" wrapText="1"/>
    </xf>
    <xf numFmtId="14" fontId="12" fillId="18" borderId="5" xfId="0" applyNumberFormat="1" applyFont="1" applyFill="1" applyBorder="1" applyAlignment="1">
      <alignment horizontal="left" vertical="top" wrapText="1" readingOrder="1"/>
    </xf>
    <xf numFmtId="14" fontId="8" fillId="2" borderId="16" xfId="0" applyNumberFormat="1" applyFont="1" applyFill="1" applyBorder="1" applyAlignment="1">
      <alignment horizontal="left" vertical="center" readingOrder="1"/>
    </xf>
    <xf numFmtId="0" fontId="8" fillId="2" borderId="16" xfId="0" applyFont="1" applyFill="1" applyBorder="1" applyAlignment="1">
      <alignment horizontal="left" vertical="center" readingOrder="1"/>
    </xf>
    <xf numFmtId="165" fontId="8" fillId="2" borderId="16" xfId="0" applyNumberFormat="1" applyFont="1" applyFill="1" applyBorder="1" applyAlignment="1">
      <alignment horizontal="left" vertical="center" readingOrder="1"/>
    </xf>
    <xf numFmtId="9" fontId="8" fillId="2" borderId="16" xfId="0" applyNumberFormat="1" applyFont="1" applyFill="1" applyBorder="1" applyAlignment="1">
      <alignment horizontal="left" vertical="center" readingOrder="1"/>
    </xf>
    <xf numFmtId="14" fontId="9" fillId="3" borderId="16" xfId="0" applyNumberFormat="1" applyFont="1" applyFill="1" applyBorder="1" applyAlignment="1">
      <alignment horizontal="left" vertical="center" readingOrder="1"/>
    </xf>
    <xf numFmtId="0" fontId="9" fillId="18" borderId="16" xfId="0" applyFont="1" applyFill="1" applyBorder="1" applyAlignment="1">
      <alignment horizontal="left" vertical="center" readingOrder="1"/>
    </xf>
    <xf numFmtId="14" fontId="9" fillId="18" borderId="16" xfId="0" applyNumberFormat="1" applyFont="1" applyFill="1" applyBorder="1" applyAlignment="1">
      <alignment horizontal="left" vertical="center" readingOrder="1"/>
    </xf>
    <xf numFmtId="165" fontId="9" fillId="18" borderId="16" xfId="0" applyNumberFormat="1" applyFont="1" applyFill="1" applyBorder="1" applyAlignment="1">
      <alignment horizontal="left" vertical="center" readingOrder="1"/>
    </xf>
    <xf numFmtId="9" fontId="9" fillId="18" borderId="16" xfId="0" applyNumberFormat="1" applyFont="1" applyFill="1" applyBorder="1" applyAlignment="1">
      <alignment horizontal="left" vertical="center" readingOrder="1"/>
    </xf>
    <xf numFmtId="14" fontId="9" fillId="18" borderId="16" xfId="0" applyNumberFormat="1" applyFont="1" applyFill="1" applyBorder="1" applyAlignment="1">
      <alignment horizontal="left" vertical="top" readingOrder="1"/>
    </xf>
    <xf numFmtId="14" fontId="62" fillId="18" borderId="53" xfId="13" applyNumberFormat="1" applyFont="1" applyFill="1" applyBorder="1" applyAlignment="1">
      <alignment horizontal="left" vertical="center" wrapText="1" readingOrder="1"/>
    </xf>
    <xf numFmtId="14" fontId="12" fillId="18" borderId="66" xfId="0" applyNumberFormat="1" applyFont="1" applyFill="1" applyBorder="1" applyAlignment="1">
      <alignment horizontal="left" vertical="top" wrapText="1" readingOrder="1"/>
    </xf>
    <xf numFmtId="9" fontId="8" fillId="2" borderId="28" xfId="0" applyNumberFormat="1" applyFont="1" applyFill="1" applyBorder="1" applyAlignment="1">
      <alignment horizontal="left" vertical="center" readingOrder="1"/>
    </xf>
    <xf numFmtId="9" fontId="17" fillId="18" borderId="28" xfId="0" applyNumberFormat="1" applyFont="1" applyFill="1" applyBorder="1" applyAlignment="1">
      <alignment horizontal="left" vertical="center" readingOrder="1"/>
    </xf>
    <xf numFmtId="14" fontId="9" fillId="18" borderId="28" xfId="0" applyNumberFormat="1" applyFont="1" applyFill="1" applyBorder="1" applyAlignment="1">
      <alignment horizontal="left" vertical="top" readingOrder="1"/>
    </xf>
    <xf numFmtId="0" fontId="63" fillId="19" borderId="16" xfId="13" applyFont="1" applyFill="1" applyBorder="1" applyAlignment="1">
      <alignment horizontal="left" vertical="center" wrapText="1" readingOrder="1"/>
    </xf>
    <xf numFmtId="1" fontId="63" fillId="19" borderId="16" xfId="13" applyNumberFormat="1" applyFont="1" applyFill="1" applyBorder="1" applyAlignment="1">
      <alignment horizontal="left" vertical="center" wrapText="1" readingOrder="1"/>
    </xf>
    <xf numFmtId="1" fontId="59" fillId="19" borderId="16" xfId="13" applyNumberFormat="1" applyFont="1" applyFill="1" applyBorder="1" applyAlignment="1">
      <alignment horizontal="left" vertical="center" wrapText="1" readingOrder="1"/>
    </xf>
    <xf numFmtId="1" fontId="63" fillId="19" borderId="16" xfId="14" applyNumberFormat="1" applyFont="1" applyFill="1" applyBorder="1" applyAlignment="1">
      <alignment horizontal="left" vertical="center" wrapText="1" readingOrder="1"/>
    </xf>
    <xf numFmtId="1" fontId="62" fillId="19" borderId="16" xfId="13" applyNumberFormat="1" applyFont="1" applyFill="1" applyBorder="1" applyAlignment="1">
      <alignment horizontal="left" vertical="center" wrapText="1" readingOrder="1"/>
    </xf>
    <xf numFmtId="9" fontId="59" fillId="19" borderId="16" xfId="13" applyNumberFormat="1" applyFont="1" applyFill="1" applyBorder="1" applyAlignment="1">
      <alignment horizontal="left" vertical="center" wrapText="1" readingOrder="1"/>
    </xf>
    <xf numFmtId="9" fontId="59" fillId="19" borderId="16" xfId="14" applyNumberFormat="1" applyFont="1" applyFill="1" applyBorder="1" applyAlignment="1">
      <alignment horizontal="left" vertical="center" wrapText="1" readingOrder="1"/>
    </xf>
    <xf numFmtId="14" fontId="59" fillId="19" borderId="16" xfId="13" applyNumberFormat="1" applyFont="1" applyFill="1" applyBorder="1" applyAlignment="1">
      <alignment horizontal="left" vertical="center" wrapText="1" readingOrder="1"/>
    </xf>
    <xf numFmtId="14" fontId="60" fillId="19" borderId="16" xfId="13" applyNumberFormat="1" applyFont="1" applyFill="1" applyBorder="1" applyAlignment="1">
      <alignment horizontal="left" vertical="center" wrapText="1" readingOrder="1"/>
    </xf>
    <xf numFmtId="1" fontId="59" fillId="8" borderId="16" xfId="0" applyNumberFormat="1" applyFont="1" applyFill="1" applyBorder="1" applyAlignment="1">
      <alignment horizontal="left" vertical="top" wrapText="1" readingOrder="1"/>
    </xf>
    <xf numFmtId="1" fontId="59" fillId="8" borderId="16" xfId="0" applyNumberFormat="1" applyFont="1" applyFill="1" applyBorder="1" applyAlignment="1">
      <alignment horizontal="left" vertical="center" wrapText="1" readingOrder="1"/>
    </xf>
    <xf numFmtId="1" fontId="59" fillId="8" borderId="16" xfId="1" applyNumberFormat="1" applyFont="1" applyFill="1" applyBorder="1" applyAlignment="1">
      <alignment horizontal="left" vertical="center" wrapText="1" readingOrder="1"/>
    </xf>
    <xf numFmtId="1" fontId="63" fillId="8" borderId="16" xfId="0" applyNumberFormat="1" applyFont="1" applyFill="1" applyBorder="1" applyAlignment="1">
      <alignment horizontal="left" vertical="center" wrapText="1" readingOrder="1"/>
    </xf>
    <xf numFmtId="14" fontId="62" fillId="8" borderId="16" xfId="0" applyNumberFormat="1" applyFont="1" applyFill="1" applyBorder="1" applyAlignment="1">
      <alignment horizontal="left" vertical="center" wrapText="1" readingOrder="1"/>
    </xf>
    <xf numFmtId="0" fontId="62" fillId="8" borderId="16" xfId="0" applyFont="1" applyFill="1" applyBorder="1" applyAlignment="1">
      <alignment horizontal="left" vertical="center" wrapText="1" readingOrder="1"/>
    </xf>
    <xf numFmtId="0" fontId="59" fillId="8" borderId="16" xfId="13" applyFont="1" applyFill="1" applyBorder="1" applyAlignment="1">
      <alignment horizontal="left" vertical="center" wrapText="1" readingOrder="1"/>
    </xf>
    <xf numFmtId="0" fontId="60" fillId="8" borderId="16" xfId="13" applyFont="1" applyFill="1" applyBorder="1" applyAlignment="1">
      <alignment horizontal="left" vertical="center" wrapText="1" readingOrder="1"/>
    </xf>
    <xf numFmtId="9" fontId="59" fillId="12" borderId="16" xfId="14" applyNumberFormat="1" applyFont="1" applyFill="1" applyBorder="1" applyAlignment="1">
      <alignment horizontal="left" vertical="center" wrapText="1" readingOrder="1"/>
    </xf>
    <xf numFmtId="0" fontId="62" fillId="12" borderId="16" xfId="14" applyNumberFormat="1" applyFont="1" applyFill="1" applyBorder="1" applyAlignment="1">
      <alignment horizontal="left" vertical="center" wrapText="1" readingOrder="1"/>
    </xf>
    <xf numFmtId="1" fontId="62" fillId="12" borderId="16" xfId="13" applyNumberFormat="1" applyFont="1" applyFill="1" applyBorder="1" applyAlignment="1">
      <alignment horizontal="left" vertical="center" wrapText="1" readingOrder="1"/>
    </xf>
    <xf numFmtId="1" fontId="59" fillId="12" borderId="16" xfId="13" applyNumberFormat="1" applyFont="1" applyFill="1" applyBorder="1" applyAlignment="1">
      <alignment horizontal="left" vertical="center" wrapText="1" readingOrder="1"/>
    </xf>
    <xf numFmtId="9" fontId="62" fillId="12" borderId="16" xfId="13" applyNumberFormat="1" applyFont="1" applyFill="1" applyBorder="1" applyAlignment="1">
      <alignment horizontal="left" vertical="center" wrapText="1" readingOrder="1"/>
    </xf>
    <xf numFmtId="9" fontId="63" fillId="12" borderId="16" xfId="13" applyNumberFormat="1" applyFont="1" applyFill="1" applyBorder="1" applyAlignment="1">
      <alignment horizontal="left" vertical="center" wrapText="1" readingOrder="1"/>
    </xf>
    <xf numFmtId="9" fontId="59" fillId="12" borderId="16" xfId="13" applyNumberFormat="1" applyFont="1" applyFill="1" applyBorder="1" applyAlignment="1">
      <alignment horizontal="left" vertical="center" wrapText="1" readingOrder="1"/>
    </xf>
    <xf numFmtId="0" fontId="22" fillId="19" borderId="16" xfId="0" applyFont="1" applyFill="1" applyBorder="1" applyAlignment="1">
      <alignment horizontal="left" vertical="top" wrapText="1" readingOrder="1"/>
    </xf>
    <xf numFmtId="1" fontId="22" fillId="19" borderId="16" xfId="0" applyNumberFormat="1" applyFont="1" applyFill="1" applyBorder="1" applyAlignment="1">
      <alignment horizontal="left" vertical="top" wrapText="1" readingOrder="1"/>
    </xf>
    <xf numFmtId="1" fontId="22" fillId="19" borderId="16" xfId="1" applyNumberFormat="1" applyFont="1" applyFill="1" applyBorder="1" applyAlignment="1">
      <alignment horizontal="left" vertical="top" wrapText="1" readingOrder="1"/>
    </xf>
    <xf numFmtId="1" fontId="33" fillId="19" borderId="16" xfId="0" applyNumberFormat="1" applyFont="1" applyFill="1" applyBorder="1" applyAlignment="1">
      <alignment horizontal="left" vertical="top" wrapText="1" readingOrder="1"/>
    </xf>
    <xf numFmtId="14" fontId="12" fillId="19" borderId="16" xfId="0" applyNumberFormat="1" applyFont="1" applyFill="1" applyBorder="1" applyAlignment="1">
      <alignment horizontal="left" vertical="top" wrapText="1" readingOrder="1"/>
    </xf>
    <xf numFmtId="1" fontId="33" fillId="8" borderId="16" xfId="0" applyNumberFormat="1" applyFont="1" applyFill="1" applyBorder="1" applyAlignment="1">
      <alignment horizontal="left" vertical="top" wrapText="1" readingOrder="1"/>
    </xf>
    <xf numFmtId="1" fontId="22" fillId="8" borderId="16" xfId="0" applyNumberFormat="1" applyFont="1" applyFill="1" applyBorder="1" applyAlignment="1">
      <alignment horizontal="left" vertical="top" wrapText="1" readingOrder="1"/>
    </xf>
    <xf numFmtId="1" fontId="33" fillId="8" borderId="16" xfId="1" applyNumberFormat="1" applyFont="1" applyFill="1" applyBorder="1" applyAlignment="1">
      <alignment horizontal="left" vertical="top" wrapText="1" readingOrder="1"/>
    </xf>
    <xf numFmtId="14" fontId="12" fillId="8" borderId="16" xfId="0" applyNumberFormat="1" applyFont="1" applyFill="1" applyBorder="1" applyAlignment="1">
      <alignment horizontal="left" vertical="top" wrapText="1" readingOrder="1"/>
    </xf>
    <xf numFmtId="0" fontId="12" fillId="8" borderId="16" xfId="0" applyFont="1" applyFill="1" applyBorder="1" applyAlignment="1">
      <alignment horizontal="left" vertical="top" wrapText="1" readingOrder="1"/>
    </xf>
    <xf numFmtId="0" fontId="33" fillId="8" borderId="16" xfId="0" applyFont="1" applyFill="1" applyBorder="1" applyAlignment="1">
      <alignment horizontal="left" vertical="top" wrapText="1" readingOrder="1"/>
    </xf>
    <xf numFmtId="9" fontId="12" fillId="12" borderId="16" xfId="1" applyNumberFormat="1" applyFont="1" applyFill="1" applyBorder="1" applyAlignment="1">
      <alignment horizontal="left" vertical="top" wrapText="1" readingOrder="1"/>
    </xf>
    <xf numFmtId="0" fontId="12" fillId="12" borderId="16" xfId="1" applyNumberFormat="1" applyFont="1" applyFill="1" applyBorder="1" applyAlignment="1">
      <alignment horizontal="left" vertical="top" wrapText="1" readingOrder="1"/>
    </xf>
    <xf numFmtId="1" fontId="12" fillId="12" borderId="16" xfId="0" applyNumberFormat="1" applyFont="1" applyFill="1" applyBorder="1" applyAlignment="1">
      <alignment horizontal="left" vertical="top" wrapText="1" readingOrder="1"/>
    </xf>
    <xf numFmtId="9" fontId="22" fillId="12" borderId="16" xfId="0" applyNumberFormat="1" applyFont="1" applyFill="1" applyBorder="1" applyAlignment="1">
      <alignment horizontal="left" vertical="top" wrapText="1" readingOrder="1"/>
    </xf>
    <xf numFmtId="0" fontId="8" fillId="6" borderId="16" xfId="0" applyFont="1" applyFill="1" applyBorder="1" applyAlignment="1">
      <alignment horizontal="left" vertical="center" readingOrder="1"/>
    </xf>
    <xf numFmtId="1" fontId="8" fillId="6" borderId="16" xfId="0" applyNumberFormat="1" applyFont="1" applyFill="1" applyBorder="1" applyAlignment="1">
      <alignment horizontal="left" vertical="center" readingOrder="1"/>
    </xf>
    <xf numFmtId="1" fontId="8" fillId="6" borderId="16" xfId="1" applyNumberFormat="1" applyFont="1" applyFill="1" applyBorder="1" applyAlignment="1">
      <alignment horizontal="left" vertical="center" readingOrder="1"/>
    </xf>
    <xf numFmtId="1" fontId="8" fillId="9" borderId="16" xfId="0" applyNumberFormat="1" applyFont="1" applyFill="1" applyBorder="1" applyAlignment="1">
      <alignment horizontal="left" vertical="center" readingOrder="1"/>
    </xf>
    <xf numFmtId="1" fontId="8" fillId="9" borderId="16" xfId="1" applyNumberFormat="1" applyFont="1" applyFill="1" applyBorder="1" applyAlignment="1">
      <alignment horizontal="left" vertical="center" readingOrder="1"/>
    </xf>
    <xf numFmtId="0" fontId="8" fillId="9" borderId="16" xfId="0" applyFont="1" applyFill="1" applyBorder="1" applyAlignment="1">
      <alignment horizontal="left" vertical="center" readingOrder="1"/>
    </xf>
    <xf numFmtId="0" fontId="17" fillId="19" borderId="16" xfId="0" applyFont="1" applyFill="1" applyBorder="1" applyAlignment="1">
      <alignment horizontal="left" vertical="center" readingOrder="1"/>
    </xf>
    <xf numFmtId="1" fontId="17" fillId="19" borderId="16" xfId="0" applyNumberFormat="1" applyFont="1" applyFill="1" applyBorder="1" applyAlignment="1">
      <alignment horizontal="left" vertical="center" readingOrder="1"/>
    </xf>
    <xf numFmtId="1" fontId="17" fillId="19" borderId="16" xfId="1" applyNumberFormat="1" applyFont="1" applyFill="1" applyBorder="1" applyAlignment="1">
      <alignment horizontal="left" vertical="center" readingOrder="1"/>
    </xf>
    <xf numFmtId="1" fontId="9" fillId="19" borderId="16" xfId="0" applyNumberFormat="1" applyFont="1" applyFill="1" applyBorder="1" applyAlignment="1">
      <alignment horizontal="left" vertical="center" readingOrder="1"/>
    </xf>
    <xf numFmtId="14" fontId="9" fillId="19" borderId="16" xfId="0" applyNumberFormat="1" applyFont="1" applyFill="1" applyBorder="1" applyAlignment="1">
      <alignment horizontal="left" vertical="center" readingOrder="1"/>
    </xf>
    <xf numFmtId="1" fontId="17" fillId="8" borderId="16" xfId="0" applyNumberFormat="1" applyFont="1" applyFill="1" applyBorder="1" applyAlignment="1">
      <alignment horizontal="left" vertical="center" readingOrder="1"/>
    </xf>
    <xf numFmtId="1" fontId="22" fillId="8" borderId="16" xfId="1" applyNumberFormat="1" applyFont="1" applyFill="1" applyBorder="1" applyAlignment="1">
      <alignment horizontal="center" vertical="center" readingOrder="1"/>
    </xf>
    <xf numFmtId="14" fontId="9" fillId="8" borderId="16" xfId="0" applyNumberFormat="1" applyFont="1" applyFill="1" applyBorder="1" applyAlignment="1">
      <alignment horizontal="left" vertical="center" readingOrder="1"/>
    </xf>
    <xf numFmtId="0" fontId="9" fillId="8" borderId="16" xfId="0" applyFont="1" applyFill="1" applyBorder="1" applyAlignment="1">
      <alignment horizontal="left" vertical="center" readingOrder="1"/>
    </xf>
    <xf numFmtId="9" fontId="9" fillId="12" borderId="16" xfId="1" applyFont="1" applyFill="1" applyBorder="1" applyAlignment="1">
      <alignment horizontal="left" vertical="center" readingOrder="1"/>
    </xf>
    <xf numFmtId="0" fontId="9" fillId="12" borderId="16" xfId="1" applyNumberFormat="1" applyFont="1" applyFill="1" applyBorder="1" applyAlignment="1">
      <alignment horizontal="left" vertical="center" readingOrder="1"/>
    </xf>
    <xf numFmtId="1" fontId="9" fillId="12" borderId="16" xfId="0" applyNumberFormat="1" applyFont="1" applyFill="1" applyBorder="1" applyAlignment="1">
      <alignment horizontal="left" vertical="center" readingOrder="1"/>
    </xf>
    <xf numFmtId="9" fontId="17" fillId="12" borderId="16" xfId="0" applyNumberFormat="1" applyFont="1" applyFill="1" applyBorder="1" applyAlignment="1">
      <alignment horizontal="left" vertical="center" readingOrder="1"/>
    </xf>
    <xf numFmtId="0" fontId="17" fillId="19" borderId="16" xfId="0" applyFont="1" applyFill="1" applyBorder="1" applyAlignment="1">
      <alignment horizontal="left" vertical="top" readingOrder="1"/>
    </xf>
    <xf numFmtId="1" fontId="17" fillId="19" borderId="16" xfId="0" applyNumberFormat="1" applyFont="1" applyFill="1" applyBorder="1" applyAlignment="1">
      <alignment horizontal="left" vertical="top" readingOrder="1"/>
    </xf>
    <xf numFmtId="1" fontId="9" fillId="19" borderId="16" xfId="0" applyNumberFormat="1" applyFont="1" applyFill="1" applyBorder="1" applyAlignment="1">
      <alignment horizontal="left" vertical="top" readingOrder="1"/>
    </xf>
    <xf numFmtId="1" fontId="55" fillId="19" borderId="16" xfId="0" applyNumberFormat="1" applyFont="1" applyFill="1" applyBorder="1" applyAlignment="1">
      <alignment horizontal="left" vertical="top" readingOrder="1"/>
    </xf>
    <xf numFmtId="14" fontId="9" fillId="19" borderId="16" xfId="0" applyNumberFormat="1" applyFont="1" applyFill="1" applyBorder="1" applyAlignment="1">
      <alignment horizontal="left" vertical="top" readingOrder="1"/>
    </xf>
    <xf numFmtId="1" fontId="55" fillId="8" borderId="16" xfId="0" applyNumberFormat="1" applyFont="1" applyFill="1" applyBorder="1" applyAlignment="1">
      <alignment horizontal="left" vertical="top" readingOrder="1"/>
    </xf>
    <xf numFmtId="1" fontId="17" fillId="8" borderId="16" xfId="0" applyNumberFormat="1" applyFont="1" applyFill="1" applyBorder="1" applyAlignment="1">
      <alignment horizontal="left" vertical="top" readingOrder="1"/>
    </xf>
    <xf numFmtId="14" fontId="9" fillId="8" borderId="16" xfId="0" applyNumberFormat="1" applyFont="1" applyFill="1" applyBorder="1" applyAlignment="1">
      <alignment horizontal="left" vertical="top" readingOrder="1"/>
    </xf>
    <xf numFmtId="0" fontId="9" fillId="8" borderId="16" xfId="0" applyFont="1" applyFill="1" applyBorder="1" applyAlignment="1">
      <alignment horizontal="left" vertical="top" readingOrder="1"/>
    </xf>
    <xf numFmtId="0" fontId="55" fillId="8" borderId="16" xfId="0" applyFont="1" applyFill="1" applyBorder="1" applyAlignment="1">
      <alignment horizontal="left" vertical="top" readingOrder="1"/>
    </xf>
    <xf numFmtId="1" fontId="9" fillId="12" borderId="16" xfId="0" applyNumberFormat="1" applyFont="1" applyFill="1" applyBorder="1" applyAlignment="1">
      <alignment horizontal="left" vertical="top" readingOrder="1"/>
    </xf>
    <xf numFmtId="1" fontId="34" fillId="10" borderId="16" xfId="0" applyNumberFormat="1" applyFont="1" applyFill="1" applyBorder="1" applyAlignment="1">
      <alignment vertical="top"/>
    </xf>
    <xf numFmtId="9" fontId="17" fillId="12" borderId="16" xfId="0" applyNumberFormat="1" applyFont="1" applyFill="1" applyBorder="1" applyAlignment="1">
      <alignment horizontal="left" vertical="top" readingOrder="1"/>
    </xf>
    <xf numFmtId="0" fontId="25" fillId="6" borderId="33" xfId="0" applyFont="1" applyFill="1" applyBorder="1" applyAlignment="1">
      <alignment vertical="center" wrapText="1"/>
    </xf>
    <xf numFmtId="1" fontId="25" fillId="6" borderId="34" xfId="0" applyNumberFormat="1" applyFont="1" applyFill="1" applyBorder="1" applyAlignment="1">
      <alignment vertical="center" wrapText="1"/>
    </xf>
    <xf numFmtId="0" fontId="25" fillId="30" borderId="32" xfId="0" applyFont="1" applyFill="1" applyBorder="1" applyAlignment="1">
      <alignment vertical="center" wrapText="1"/>
    </xf>
    <xf numFmtId="1" fontId="25" fillId="30" borderId="33" xfId="0" applyNumberFormat="1" applyFont="1" applyFill="1" applyBorder="1" applyAlignment="1">
      <alignment vertical="center" wrapText="1"/>
    </xf>
    <xf numFmtId="9" fontId="25" fillId="20" borderId="32" xfId="1" applyFont="1" applyFill="1" applyBorder="1" applyAlignment="1">
      <alignment vertical="center" wrapText="1"/>
    </xf>
    <xf numFmtId="1" fontId="25" fillId="6" borderId="29" xfId="0" applyNumberFormat="1" applyFont="1" applyFill="1" applyBorder="1" applyAlignment="1">
      <alignment vertical="center" wrapText="1"/>
    </xf>
    <xf numFmtId="1" fontId="25" fillId="19" borderId="16" xfId="0" applyNumberFormat="1" applyFont="1" applyFill="1" applyBorder="1" applyAlignment="1">
      <alignment vertical="center" wrapText="1"/>
    </xf>
    <xf numFmtId="0" fontId="25" fillId="7" borderId="16" xfId="0" applyFont="1" applyFill="1" applyBorder="1" applyAlignment="1">
      <alignment vertical="center" wrapText="1"/>
    </xf>
    <xf numFmtId="0" fontId="25" fillId="7" borderId="36" xfId="0" applyFont="1" applyFill="1" applyBorder="1" applyAlignment="1">
      <alignment vertical="center" wrapText="1"/>
    </xf>
    <xf numFmtId="0" fontId="25" fillId="7" borderId="37" xfId="0" applyFont="1" applyFill="1" applyBorder="1" applyAlignment="1">
      <alignment vertical="center" wrapText="1"/>
    </xf>
    <xf numFmtId="0" fontId="25" fillId="7" borderId="38" xfId="0" applyFont="1" applyFill="1" applyBorder="1" applyAlignment="1">
      <alignment vertical="center" wrapText="1"/>
    </xf>
    <xf numFmtId="9" fontId="25" fillId="10" borderId="16" xfId="1" applyFont="1" applyFill="1" applyBorder="1" applyAlignment="1">
      <alignment vertical="center" wrapText="1"/>
    </xf>
    <xf numFmtId="1" fontId="25" fillId="10" borderId="16" xfId="0" applyNumberFormat="1" applyFont="1" applyFill="1" applyBorder="1" applyAlignment="1">
      <alignment vertical="center" wrapText="1"/>
    </xf>
    <xf numFmtId="0" fontId="25" fillId="6" borderId="32" xfId="0" applyFont="1" applyFill="1" applyBorder="1" applyAlignment="1">
      <alignment vertical="center" wrapText="1"/>
    </xf>
    <xf numFmtId="9" fontId="86" fillId="25" borderId="0" xfId="0" applyNumberFormat="1" applyFont="1" applyFill="1" applyBorder="1" applyAlignment="1">
      <alignment vertical="center"/>
    </xf>
    <xf numFmtId="0" fontId="23" fillId="19" borderId="26" xfId="0" applyFont="1" applyFill="1" applyBorder="1" applyAlignment="1">
      <alignment vertical="top" wrapText="1"/>
    </xf>
    <xf numFmtId="1" fontId="23" fillId="19" borderId="27" xfId="0" applyNumberFormat="1" applyFont="1" applyFill="1" applyBorder="1" applyAlignment="1">
      <alignment vertical="top" wrapText="1"/>
    </xf>
    <xf numFmtId="1" fontId="34" fillId="6" borderId="67" xfId="0" applyNumberFormat="1" applyFont="1" applyFill="1" applyBorder="1" applyAlignment="1">
      <alignment vertical="top" wrapText="1"/>
    </xf>
    <xf numFmtId="1" fontId="34" fillId="19" borderId="68" xfId="0" applyNumberFormat="1" applyFont="1" applyFill="1" applyBorder="1" applyAlignment="1">
      <alignment vertical="top" wrapText="1"/>
    </xf>
    <xf numFmtId="14" fontId="9" fillId="0" borderId="15" xfId="0" applyNumberFormat="1" applyFont="1" applyFill="1" applyBorder="1" applyAlignment="1">
      <alignment horizontal="left" vertical="center" readingOrder="1"/>
    </xf>
    <xf numFmtId="14" fontId="9" fillId="0" borderId="14" xfId="0" applyNumberFormat="1" applyFont="1" applyFill="1" applyBorder="1" applyAlignment="1">
      <alignment horizontal="left" vertical="center" readingOrder="1"/>
    </xf>
    <xf numFmtId="0" fontId="9" fillId="10" borderId="0" xfId="0" applyFont="1" applyFill="1" applyBorder="1" applyAlignment="1">
      <alignment horizontal="left" vertical="center" readingOrder="1"/>
    </xf>
    <xf numFmtId="0" fontId="76" fillId="10" borderId="0" xfId="0" applyFont="1" applyFill="1" applyBorder="1" applyAlignment="1">
      <alignment horizontal="left" vertical="center" readingOrder="1"/>
    </xf>
    <xf numFmtId="14" fontId="9" fillId="0" borderId="0" xfId="0" applyNumberFormat="1" applyFont="1" applyFill="1" applyAlignment="1">
      <alignment horizontal="left" vertical="center" readingOrder="1"/>
    </xf>
    <xf numFmtId="0" fontId="9" fillId="10" borderId="0" xfId="0" applyFont="1" applyFill="1" applyAlignment="1">
      <alignment horizontal="left" vertical="center" readingOrder="1"/>
    </xf>
    <xf numFmtId="0" fontId="21" fillId="9" borderId="0" xfId="0" applyNumberFormat="1" applyFont="1" applyFill="1"/>
    <xf numFmtId="1" fontId="21" fillId="9" borderId="0" xfId="0" applyNumberFormat="1" applyFont="1" applyFill="1"/>
    <xf numFmtId="0" fontId="21" fillId="9" borderId="0" xfId="0" applyFont="1" applyFill="1" applyAlignment="1">
      <alignment wrapText="1" readingOrder="1"/>
    </xf>
    <xf numFmtId="0" fontId="21" fillId="9" borderId="19" xfId="0" applyFont="1" applyFill="1" applyBorder="1"/>
    <xf numFmtId="0" fontId="21" fillId="9" borderId="0" xfId="0" applyNumberFormat="1" applyFont="1" applyFill="1" applyBorder="1"/>
    <xf numFmtId="1" fontId="21" fillId="9" borderId="0" xfId="0" applyNumberFormat="1" applyFont="1" applyFill="1" applyBorder="1"/>
    <xf numFmtId="0" fontId="21" fillId="9" borderId="0" xfId="0" applyFont="1" applyFill="1" applyBorder="1" applyAlignment="1">
      <alignment wrapText="1" readingOrder="1"/>
    </xf>
    <xf numFmtId="0" fontId="65" fillId="10" borderId="0" xfId="0" applyFont="1" applyFill="1" applyBorder="1" applyAlignment="1">
      <alignment horizontal="left" vertical="center" readingOrder="1"/>
    </xf>
    <xf numFmtId="0" fontId="77" fillId="37" borderId="0" xfId="0" applyNumberFormat="1" applyFont="1" applyFill="1" applyBorder="1"/>
    <xf numFmtId="0" fontId="21" fillId="0" borderId="59" xfId="0" applyNumberFormat="1" applyFont="1" applyBorder="1"/>
    <xf numFmtId="1" fontId="21" fillId="0" borderId="59" xfId="0" applyNumberFormat="1" applyFont="1" applyBorder="1"/>
    <xf numFmtId="14" fontId="21" fillId="0" borderId="0" xfId="0" applyNumberFormat="1" applyFont="1" applyBorder="1"/>
    <xf numFmtId="0" fontId="42" fillId="0" borderId="60" xfId="0" applyFont="1" applyFill="1" applyBorder="1" applyAlignment="1">
      <alignment horizontal="left" vertical="center" readingOrder="1"/>
    </xf>
    <xf numFmtId="14" fontId="9" fillId="0" borderId="0" xfId="0" applyNumberFormat="1" applyFont="1" applyFill="1" applyBorder="1" applyAlignment="1">
      <alignment horizontal="left" vertical="center" readingOrder="1"/>
    </xf>
    <xf numFmtId="14" fontId="9" fillId="0" borderId="0" xfId="0" applyNumberFormat="1" applyFont="1" applyFill="1" applyBorder="1" applyAlignment="1">
      <alignment horizontal="left" vertical="center" readingOrder="1"/>
    </xf>
    <xf numFmtId="0" fontId="21" fillId="35" borderId="0" xfId="0" applyFont="1" applyFill="1"/>
    <xf numFmtId="14" fontId="21" fillId="0" borderId="0" xfId="0" applyNumberFormat="1" applyFont="1"/>
    <xf numFmtId="0" fontId="21" fillId="0" borderId="0" xfId="0" applyFont="1" applyFill="1" applyBorder="1"/>
    <xf numFmtId="0" fontId="87" fillId="0" borderId="0" xfId="0" applyFont="1" applyFill="1"/>
    <xf numFmtId="0" fontId="87" fillId="0" borderId="0" xfId="0" applyNumberFormat="1" applyFont="1" applyFill="1"/>
    <xf numFmtId="14" fontId="88" fillId="0" borderId="0" xfId="0" applyNumberFormat="1" applyFont="1" applyFill="1" applyAlignment="1">
      <alignment horizontal="left" vertical="center" readingOrder="1"/>
    </xf>
    <xf numFmtId="0" fontId="88" fillId="0" borderId="0" xfId="0" applyFont="1" applyFill="1" applyBorder="1" applyAlignment="1">
      <alignment horizontal="left" vertical="center" readingOrder="1"/>
    </xf>
    <xf numFmtId="165" fontId="88" fillId="0" borderId="0" xfId="0" applyNumberFormat="1" applyFont="1" applyFill="1" applyBorder="1" applyAlignment="1">
      <alignment horizontal="left" vertical="center" readingOrder="1"/>
    </xf>
    <xf numFmtId="9" fontId="88" fillId="0" borderId="0" xfId="0" applyNumberFormat="1" applyFont="1" applyFill="1" applyBorder="1" applyAlignment="1">
      <alignment horizontal="left" vertical="center" readingOrder="1"/>
    </xf>
    <xf numFmtId="1" fontId="88" fillId="0" borderId="0" xfId="0" applyNumberFormat="1" applyFont="1" applyFill="1" applyBorder="1" applyAlignment="1">
      <alignment horizontal="left" vertical="center" readingOrder="1"/>
    </xf>
    <xf numFmtId="1" fontId="88" fillId="0" borderId="0" xfId="1" applyNumberFormat="1" applyFont="1" applyFill="1" applyBorder="1" applyAlignment="1">
      <alignment horizontal="left" vertical="center" readingOrder="1"/>
    </xf>
    <xf numFmtId="9" fontId="88" fillId="0" borderId="0" xfId="1" applyFont="1" applyFill="1" applyBorder="1" applyAlignment="1">
      <alignment horizontal="left" vertical="center" readingOrder="1"/>
    </xf>
    <xf numFmtId="1" fontId="88" fillId="0" borderId="0" xfId="1" applyNumberFormat="1" applyFont="1" applyFill="1" applyAlignment="1">
      <alignment horizontal="left" vertical="center" readingOrder="1"/>
    </xf>
    <xf numFmtId="9" fontId="88" fillId="0" borderId="0" xfId="1" applyNumberFormat="1" applyFont="1" applyFill="1" applyBorder="1" applyAlignment="1">
      <alignment horizontal="left" vertical="center" readingOrder="1"/>
    </xf>
    <xf numFmtId="9" fontId="88" fillId="29" borderId="0" xfId="1" applyFont="1" applyFill="1" applyBorder="1" applyAlignment="1">
      <alignment horizontal="left" vertical="center" readingOrder="1"/>
    </xf>
    <xf numFmtId="9" fontId="88" fillId="0" borderId="0" xfId="1" applyFont="1" applyFill="1" applyAlignment="1">
      <alignment horizontal="left" vertical="center" readingOrder="1"/>
    </xf>
    <xf numFmtId="0" fontId="88" fillId="10" borderId="0" xfId="0" applyFont="1" applyFill="1" applyBorder="1" applyAlignment="1">
      <alignment horizontal="left" vertical="center" readingOrder="1"/>
    </xf>
    <xf numFmtId="0" fontId="88" fillId="0" borderId="0" xfId="0" applyFont="1" applyFill="1" applyAlignment="1">
      <alignment horizontal="left" vertical="center" readingOrder="1"/>
    </xf>
    <xf numFmtId="165" fontId="88" fillId="0" borderId="0" xfId="0" applyNumberFormat="1" applyFont="1" applyFill="1" applyAlignment="1">
      <alignment horizontal="left" vertical="center" readingOrder="1"/>
    </xf>
    <xf numFmtId="1" fontId="88" fillId="0" borderId="0" xfId="0" applyNumberFormat="1" applyFont="1" applyFill="1" applyAlignment="1">
      <alignment horizontal="left" vertical="center" readingOrder="1"/>
    </xf>
    <xf numFmtId="9" fontId="88" fillId="0" borderId="0" xfId="0" applyNumberFormat="1" applyFont="1" applyFill="1" applyAlignment="1">
      <alignment horizontal="left" vertical="center" readingOrder="1"/>
    </xf>
    <xf numFmtId="9" fontId="88" fillId="0" borderId="0" xfId="1" applyNumberFormat="1" applyFont="1" applyFill="1" applyAlignment="1">
      <alignment horizontal="left" vertical="center" readingOrder="1"/>
    </xf>
    <xf numFmtId="9" fontId="88" fillId="29" borderId="0" xfId="1" applyFont="1" applyFill="1" applyAlignment="1">
      <alignment horizontal="left" vertical="center" readingOrder="1"/>
    </xf>
    <xf numFmtId="0" fontId="89" fillId="0" borderId="45" xfId="0" applyFont="1" applyBorder="1"/>
    <xf numFmtId="0" fontId="90" fillId="37" borderId="0" xfId="0" applyNumberFormat="1" applyFont="1" applyFill="1"/>
    <xf numFmtId="0" fontId="89" fillId="0" borderId="0" xfId="0" applyFont="1"/>
    <xf numFmtId="0" fontId="89" fillId="9" borderId="0" xfId="0" applyFont="1" applyFill="1"/>
    <xf numFmtId="0" fontId="89" fillId="0" borderId="44" xfId="0" applyNumberFormat="1" applyFont="1" applyBorder="1"/>
    <xf numFmtId="0" fontId="89" fillId="0" borderId="0" xfId="0" applyNumberFormat="1" applyFont="1" applyAlignment="1">
      <alignment wrapText="1" readingOrder="1"/>
    </xf>
    <xf numFmtId="1" fontId="89" fillId="0" borderId="0" xfId="0" applyNumberFormat="1" applyFont="1"/>
    <xf numFmtId="0" fontId="89" fillId="0" borderId="0" xfId="0" applyFont="1" applyAlignment="1">
      <alignment wrapText="1" readingOrder="1"/>
    </xf>
    <xf numFmtId="0" fontId="89" fillId="0" borderId="60" xfId="0" applyFont="1" applyBorder="1"/>
    <xf numFmtId="0" fontId="90" fillId="37" borderId="0" xfId="0" applyNumberFormat="1" applyFont="1" applyFill="1" applyBorder="1"/>
    <xf numFmtId="0" fontId="89" fillId="0" borderId="0" xfId="0" applyFont="1" applyBorder="1"/>
    <xf numFmtId="0" fontId="89" fillId="9" borderId="0" xfId="0" applyFont="1" applyFill="1" applyBorder="1"/>
    <xf numFmtId="0" fontId="89" fillId="0" borderId="59" xfId="0" applyNumberFormat="1" applyFont="1" applyBorder="1"/>
    <xf numFmtId="1" fontId="89" fillId="0" borderId="59" xfId="0" applyNumberFormat="1" applyFont="1" applyBorder="1"/>
    <xf numFmtId="0" fontId="89" fillId="0" borderId="0" xfId="0" applyNumberFormat="1" applyFont="1" applyBorder="1" applyAlignment="1">
      <alignment wrapText="1" readingOrder="1"/>
    </xf>
    <xf numFmtId="1" fontId="89" fillId="0" borderId="0" xfId="0" applyNumberFormat="1" applyFont="1" applyBorder="1"/>
    <xf numFmtId="0" fontId="89" fillId="0" borderId="0" xfId="0" applyFont="1" applyBorder="1" applyAlignment="1">
      <alignment wrapText="1" readingOrder="1"/>
    </xf>
    <xf numFmtId="0" fontId="89" fillId="0" borderId="44" xfId="0" applyFont="1" applyBorder="1"/>
    <xf numFmtId="0" fontId="89" fillId="0" borderId="0" xfId="0" applyNumberFormat="1" applyFont="1"/>
    <xf numFmtId="0" fontId="89" fillId="0" borderId="59" xfId="0" applyFont="1" applyBorder="1"/>
    <xf numFmtId="0" fontId="89" fillId="0" borderId="0" xfId="0" applyNumberFormat="1" applyFont="1" applyBorder="1"/>
    <xf numFmtId="0" fontId="74" fillId="10" borderId="0" xfId="0" applyFont="1" applyFill="1" applyBorder="1" applyAlignment="1">
      <alignment horizontal="left" vertical="center" readingOrder="1"/>
    </xf>
    <xf numFmtId="14" fontId="9" fillId="0" borderId="15" xfId="0" applyNumberFormat="1" applyFont="1" applyFill="1" applyBorder="1" applyAlignment="1">
      <alignment horizontal="left" vertical="center" readingOrder="1"/>
    </xf>
    <xf numFmtId="0" fontId="9" fillId="46" borderId="0" xfId="0" applyFont="1" applyFill="1" applyBorder="1" applyAlignment="1">
      <alignment horizontal="left" vertical="center" readingOrder="1"/>
    </xf>
    <xf numFmtId="0" fontId="76" fillId="46" borderId="0" xfId="0" applyFont="1" applyFill="1" applyBorder="1" applyAlignment="1">
      <alignment horizontal="left" vertical="center" readingOrder="1"/>
    </xf>
    <xf numFmtId="0" fontId="65" fillId="46" borderId="0" xfId="0" applyFont="1" applyFill="1" applyBorder="1" applyAlignment="1">
      <alignment horizontal="left" vertical="center" readingOrder="1"/>
    </xf>
    <xf numFmtId="1" fontId="9" fillId="8" borderId="0" xfId="0" applyNumberFormat="1" applyFont="1" applyFill="1" applyBorder="1" applyAlignment="1">
      <alignment horizontal="left" vertical="center" readingOrder="1"/>
    </xf>
    <xf numFmtId="1" fontId="9" fillId="8" borderId="0" xfId="1" applyNumberFormat="1" applyFont="1" applyFill="1" applyBorder="1" applyAlignment="1">
      <alignment horizontal="left" vertical="center" readingOrder="1"/>
    </xf>
    <xf numFmtId="0" fontId="9" fillId="12" borderId="0" xfId="0" applyNumberFormat="1" applyFont="1" applyFill="1" applyBorder="1" applyAlignment="1">
      <alignment horizontal="left" vertical="center" readingOrder="1"/>
    </xf>
    <xf numFmtId="0" fontId="82" fillId="11" borderId="0" xfId="0" applyNumberFormat="1" applyFont="1" applyFill="1" applyAlignment="1">
      <alignment horizontal="left" vertical="center" readingOrder="1"/>
    </xf>
    <xf numFmtId="1" fontId="82" fillId="11" borderId="0" xfId="0" applyNumberFormat="1" applyFont="1" applyFill="1" applyAlignment="1">
      <alignment horizontal="left" vertical="center" readingOrder="1"/>
    </xf>
    <xf numFmtId="1" fontId="82" fillId="11" borderId="0" xfId="1" applyNumberFormat="1" applyFont="1" applyFill="1" applyAlignment="1">
      <alignment horizontal="left" vertical="center" readingOrder="1"/>
    </xf>
    <xf numFmtId="1" fontId="9" fillId="11" borderId="0" xfId="1" applyNumberFormat="1" applyFont="1" applyFill="1" applyAlignment="1">
      <alignment horizontal="left" vertical="center" readingOrder="1"/>
    </xf>
    <xf numFmtId="0" fontId="9" fillId="11" borderId="0" xfId="0" applyFont="1" applyFill="1" applyBorder="1" applyAlignment="1">
      <alignment horizontal="left" vertical="center" readingOrder="1"/>
    </xf>
    <xf numFmtId="1" fontId="9" fillId="11" borderId="0" xfId="0" applyNumberFormat="1" applyFont="1" applyFill="1" applyBorder="1" applyAlignment="1">
      <alignment horizontal="left" vertical="center" readingOrder="1"/>
    </xf>
    <xf numFmtId="1" fontId="9" fillId="11" borderId="0" xfId="1" applyNumberFormat="1" applyFont="1" applyFill="1" applyBorder="1" applyAlignment="1">
      <alignment horizontal="left" vertical="center" readingOrder="1"/>
    </xf>
    <xf numFmtId="0" fontId="9" fillId="11" borderId="0" xfId="0" applyNumberFormat="1" applyFont="1" applyFill="1" applyAlignment="1">
      <alignment horizontal="left" vertical="center" readingOrder="1"/>
    </xf>
    <xf numFmtId="0" fontId="9" fillId="11" borderId="0" xfId="0" applyFont="1" applyFill="1" applyAlignment="1">
      <alignment horizontal="left" vertical="center" readingOrder="1"/>
    </xf>
    <xf numFmtId="1" fontId="65" fillId="11" borderId="0" xfId="0" applyNumberFormat="1" applyFont="1" applyFill="1" applyBorder="1" applyAlignment="1">
      <alignment horizontal="left" vertical="center" readingOrder="1"/>
    </xf>
    <xf numFmtId="1" fontId="65" fillId="11" borderId="0" xfId="1" applyNumberFormat="1" applyFont="1" applyFill="1" applyBorder="1" applyAlignment="1">
      <alignment horizontal="left" vertical="center" readingOrder="1"/>
    </xf>
    <xf numFmtId="0" fontId="9" fillId="11" borderId="0" xfId="0" applyNumberFormat="1" applyFont="1" applyFill="1" applyBorder="1" applyAlignment="1">
      <alignment horizontal="left" vertical="center" readingOrder="1"/>
    </xf>
    <xf numFmtId="1" fontId="76" fillId="11" borderId="0" xfId="0" applyNumberFormat="1" applyFont="1" applyFill="1" applyAlignment="1">
      <alignment horizontal="left" vertical="center" readingOrder="1"/>
    </xf>
    <xf numFmtId="1" fontId="76" fillId="11" borderId="0" xfId="1" applyNumberFormat="1" applyFont="1" applyFill="1" applyAlignment="1">
      <alignment horizontal="left" vertical="center" readingOrder="1"/>
    </xf>
    <xf numFmtId="1" fontId="9" fillId="11" borderId="0" xfId="0" applyNumberFormat="1" applyFont="1" applyFill="1" applyAlignment="1">
      <alignment horizontal="left" vertical="center" readingOrder="1"/>
    </xf>
    <xf numFmtId="1" fontId="74" fillId="11" borderId="0" xfId="0" applyNumberFormat="1" applyFont="1" applyFill="1" applyBorder="1" applyAlignment="1">
      <alignment horizontal="left" vertical="center" readingOrder="1"/>
    </xf>
    <xf numFmtId="1" fontId="74" fillId="11" borderId="0" xfId="1" applyNumberFormat="1" applyFont="1" applyFill="1" applyBorder="1" applyAlignment="1">
      <alignment horizontal="left" vertical="center" readingOrder="1"/>
    </xf>
    <xf numFmtId="0" fontId="76" fillId="11" borderId="0" xfId="0" applyFont="1" applyFill="1" applyAlignment="1">
      <alignment horizontal="left" vertical="center" readingOrder="1"/>
    </xf>
    <xf numFmtId="0" fontId="88" fillId="11" borderId="0" xfId="0" applyFont="1" applyFill="1" applyBorder="1" applyAlignment="1">
      <alignment horizontal="left" vertical="center" readingOrder="1"/>
    </xf>
    <xf numFmtId="1" fontId="88" fillId="11" borderId="0" xfId="0" applyNumberFormat="1" applyFont="1" applyFill="1" applyBorder="1" applyAlignment="1">
      <alignment horizontal="left" vertical="center" readingOrder="1"/>
    </xf>
    <xf numFmtId="1" fontId="88" fillId="11" borderId="0" xfId="1" applyNumberFormat="1" applyFont="1" applyFill="1" applyBorder="1" applyAlignment="1">
      <alignment horizontal="left" vertical="center" readingOrder="1"/>
    </xf>
    <xf numFmtId="1" fontId="74" fillId="11" borderId="0" xfId="0" applyNumberFormat="1" applyFont="1" applyFill="1" applyAlignment="1">
      <alignment horizontal="left" vertical="center" readingOrder="1"/>
    </xf>
    <xf numFmtId="1" fontId="74" fillId="11" borderId="0" xfId="1" applyNumberFormat="1" applyFont="1" applyFill="1" applyAlignment="1">
      <alignment horizontal="left" vertical="center" readingOrder="1"/>
    </xf>
    <xf numFmtId="0" fontId="88" fillId="11" borderId="0" xfId="0" applyNumberFormat="1" applyFont="1" applyFill="1" applyBorder="1" applyAlignment="1">
      <alignment horizontal="left" vertical="center" readingOrder="1"/>
    </xf>
    <xf numFmtId="0" fontId="88" fillId="11" borderId="0" xfId="0" applyNumberFormat="1" applyFont="1" applyFill="1" applyAlignment="1">
      <alignment horizontal="left" vertical="center" readingOrder="1"/>
    </xf>
    <xf numFmtId="1" fontId="88" fillId="11" borderId="0" xfId="0" applyNumberFormat="1" applyFont="1" applyFill="1" applyAlignment="1">
      <alignment horizontal="left" vertical="center" readingOrder="1"/>
    </xf>
    <xf numFmtId="1" fontId="88" fillId="11" borderId="0" xfId="1" applyNumberFormat="1" applyFont="1" applyFill="1" applyAlignment="1">
      <alignment horizontal="left" vertical="center" readingOrder="1"/>
    </xf>
    <xf numFmtId="1" fontId="9" fillId="8" borderId="0" xfId="0" applyNumberFormat="1" applyFont="1" applyFill="1" applyAlignment="1">
      <alignment horizontal="left" vertical="center" readingOrder="1"/>
    </xf>
    <xf numFmtId="0" fontId="9" fillId="8" borderId="0" xfId="0" applyFont="1" applyFill="1" applyAlignment="1">
      <alignment horizontal="left" vertical="center" readingOrder="1"/>
    </xf>
    <xf numFmtId="1" fontId="82" fillId="8" borderId="0" xfId="0" applyNumberFormat="1" applyFont="1" applyFill="1" applyAlignment="1">
      <alignment horizontal="left" vertical="center" readingOrder="1"/>
    </xf>
    <xf numFmtId="1" fontId="9" fillId="8" borderId="0" xfId="1" applyNumberFormat="1" applyFont="1" applyFill="1" applyAlignment="1">
      <alignment horizontal="left" vertical="center" readingOrder="1"/>
    </xf>
    <xf numFmtId="1" fontId="65" fillId="8" borderId="0" xfId="0" applyNumberFormat="1" applyFont="1" applyFill="1" applyBorder="1" applyAlignment="1">
      <alignment horizontal="left" vertical="center" readingOrder="1"/>
    </xf>
    <xf numFmtId="1" fontId="65" fillId="8" borderId="0" xfId="1" applyNumberFormat="1" applyFont="1" applyFill="1" applyBorder="1" applyAlignment="1">
      <alignment horizontal="left" vertical="center" readingOrder="1"/>
    </xf>
    <xf numFmtId="1" fontId="76" fillId="8" borderId="0" xfId="0" applyNumberFormat="1" applyFont="1" applyFill="1" applyAlignment="1">
      <alignment horizontal="left" vertical="center" readingOrder="1"/>
    </xf>
    <xf numFmtId="1" fontId="74" fillId="8" borderId="0" xfId="0" applyNumberFormat="1" applyFont="1" applyFill="1" applyBorder="1" applyAlignment="1">
      <alignment horizontal="left" vertical="center" readingOrder="1"/>
    </xf>
    <xf numFmtId="1" fontId="74" fillId="8" borderId="0" xfId="1" applyNumberFormat="1" applyFont="1" applyFill="1" applyBorder="1" applyAlignment="1">
      <alignment horizontal="left" vertical="center" readingOrder="1"/>
    </xf>
    <xf numFmtId="1" fontId="88" fillId="8" borderId="0" xfId="0" applyNumberFormat="1" applyFont="1" applyFill="1" applyBorder="1" applyAlignment="1">
      <alignment horizontal="left" vertical="center" readingOrder="1"/>
    </xf>
    <xf numFmtId="0" fontId="88" fillId="8" borderId="0" xfId="0" applyFont="1" applyFill="1" applyBorder="1" applyAlignment="1">
      <alignment horizontal="left" vertical="center" readingOrder="1"/>
    </xf>
    <xf numFmtId="1" fontId="88" fillId="8" borderId="0" xfId="1" applyNumberFormat="1" applyFont="1" applyFill="1" applyBorder="1" applyAlignment="1">
      <alignment horizontal="left" vertical="center" readingOrder="1"/>
    </xf>
    <xf numFmtId="1" fontId="74" fillId="8" borderId="0" xfId="0" applyNumberFormat="1" applyFont="1" applyFill="1" applyAlignment="1">
      <alignment horizontal="left" vertical="center" readingOrder="1"/>
    </xf>
    <xf numFmtId="0" fontId="88" fillId="8" borderId="0" xfId="0" applyFont="1" applyFill="1" applyAlignment="1">
      <alignment horizontal="left" vertical="center" readingOrder="1"/>
    </xf>
    <xf numFmtId="9" fontId="82" fillId="12" borderId="0" xfId="1" applyFont="1" applyFill="1" applyAlignment="1">
      <alignment horizontal="left" vertical="center" readingOrder="1"/>
    </xf>
    <xf numFmtId="0" fontId="82" fillId="12" borderId="0" xfId="0" applyFont="1" applyFill="1" applyAlignment="1">
      <alignment horizontal="left" vertical="center" readingOrder="1"/>
    </xf>
    <xf numFmtId="0" fontId="9" fillId="12" borderId="0" xfId="0" applyFont="1" applyFill="1" applyAlignment="1">
      <alignment horizontal="left" vertical="center" readingOrder="1"/>
    </xf>
    <xf numFmtId="1" fontId="82" fillId="12" borderId="0" xfId="1" applyNumberFormat="1" applyFont="1" applyFill="1" applyAlignment="1">
      <alignment horizontal="left" vertical="center" readingOrder="1"/>
    </xf>
    <xf numFmtId="0" fontId="9" fillId="12" borderId="42" xfId="0" applyNumberFormat="1" applyFont="1" applyFill="1" applyBorder="1" applyAlignment="1">
      <alignment horizontal="left" vertical="center" readingOrder="1"/>
    </xf>
    <xf numFmtId="0" fontId="9" fillId="12" borderId="0" xfId="0" applyNumberFormat="1" applyFont="1" applyFill="1" applyAlignment="1">
      <alignment horizontal="left" vertical="center" readingOrder="1"/>
    </xf>
    <xf numFmtId="1" fontId="82" fillId="12" borderId="0" xfId="0" applyNumberFormat="1" applyFont="1" applyFill="1" applyAlignment="1">
      <alignment horizontal="left" vertical="center" readingOrder="1"/>
    </xf>
    <xf numFmtId="9" fontId="9" fillId="12" borderId="0" xfId="1" applyFont="1" applyFill="1" applyBorder="1" applyAlignment="1">
      <alignment horizontal="left" vertical="center" readingOrder="1"/>
    </xf>
    <xf numFmtId="0" fontId="9" fillId="12" borderId="0" xfId="0" applyFont="1" applyFill="1" applyBorder="1" applyAlignment="1">
      <alignment horizontal="left" vertical="center" readingOrder="1"/>
    </xf>
    <xf numFmtId="1" fontId="9" fillId="12" borderId="0" xfId="0" applyNumberFormat="1" applyFont="1" applyFill="1" applyBorder="1" applyAlignment="1">
      <alignment horizontal="left" vertical="center" readingOrder="1"/>
    </xf>
    <xf numFmtId="9" fontId="65" fillId="12" borderId="0" xfId="1" applyFont="1" applyFill="1" applyBorder="1" applyAlignment="1">
      <alignment horizontal="left" vertical="center" readingOrder="1"/>
    </xf>
    <xf numFmtId="0" fontId="9" fillId="12" borderId="0" xfId="1" applyNumberFormat="1" applyFont="1" applyFill="1" applyBorder="1" applyAlignment="1">
      <alignment horizontal="left" vertical="center" readingOrder="1"/>
    </xf>
    <xf numFmtId="1" fontId="65" fillId="12" borderId="0" xfId="0" applyNumberFormat="1" applyFont="1" applyFill="1" applyBorder="1" applyAlignment="1">
      <alignment horizontal="left" vertical="center" readingOrder="1"/>
    </xf>
    <xf numFmtId="9" fontId="76" fillId="12" borderId="0" xfId="1" applyFont="1" applyFill="1" applyAlignment="1">
      <alignment horizontal="left" vertical="center" readingOrder="1"/>
    </xf>
    <xf numFmtId="0" fontId="76" fillId="12" borderId="0" xfId="0" applyFont="1" applyFill="1" applyAlignment="1">
      <alignment horizontal="left" vertical="center" readingOrder="1"/>
    </xf>
    <xf numFmtId="1" fontId="76" fillId="12" borderId="0" xfId="0" applyNumberFormat="1" applyFont="1" applyFill="1" applyAlignment="1">
      <alignment horizontal="left" vertical="center" readingOrder="1"/>
    </xf>
    <xf numFmtId="1" fontId="9" fillId="12" borderId="0" xfId="0" applyNumberFormat="1" applyFont="1" applyFill="1" applyAlignment="1">
      <alignment horizontal="left" vertical="center" readingOrder="1"/>
    </xf>
    <xf numFmtId="9" fontId="9" fillId="12" borderId="0" xfId="1" applyFont="1" applyFill="1" applyAlignment="1">
      <alignment horizontal="left" vertical="center" readingOrder="1"/>
    </xf>
    <xf numFmtId="9" fontId="74" fillId="12" borderId="0" xfId="1" applyFont="1" applyFill="1" applyBorder="1" applyAlignment="1">
      <alignment horizontal="left" vertical="center" readingOrder="1"/>
    </xf>
    <xf numFmtId="0" fontId="74" fillId="12" borderId="0" xfId="1" applyNumberFormat="1" applyFont="1" applyFill="1" applyBorder="1" applyAlignment="1">
      <alignment horizontal="left" vertical="center" readingOrder="1"/>
    </xf>
    <xf numFmtId="1" fontId="74" fillId="12" borderId="0" xfId="0" applyNumberFormat="1" applyFont="1" applyFill="1" applyBorder="1" applyAlignment="1">
      <alignment horizontal="left" vertical="center" readingOrder="1"/>
    </xf>
    <xf numFmtId="0" fontId="88" fillId="12" borderId="0" xfId="0" applyNumberFormat="1" applyFont="1" applyFill="1" applyBorder="1" applyAlignment="1">
      <alignment horizontal="left" vertical="center" readingOrder="1"/>
    </xf>
    <xf numFmtId="1" fontId="88" fillId="12" borderId="0" xfId="0" applyNumberFormat="1" applyFont="1" applyFill="1" applyBorder="1" applyAlignment="1">
      <alignment horizontal="left" vertical="center" readingOrder="1"/>
    </xf>
    <xf numFmtId="9" fontId="74" fillId="12" borderId="0" xfId="1" applyFont="1" applyFill="1" applyAlignment="1">
      <alignment horizontal="left" vertical="center" readingOrder="1"/>
    </xf>
    <xf numFmtId="0" fontId="74" fillId="12" borderId="0" xfId="0" applyFont="1" applyFill="1" applyAlignment="1">
      <alignment horizontal="left" vertical="center" readingOrder="1"/>
    </xf>
    <xf numFmtId="1" fontId="74" fillId="12" borderId="0" xfId="0" applyNumberFormat="1" applyFont="1" applyFill="1" applyAlignment="1">
      <alignment horizontal="left" vertical="center" readingOrder="1"/>
    </xf>
    <xf numFmtId="1" fontId="88" fillId="12" borderId="0" xfId="0" applyNumberFormat="1" applyFont="1" applyFill="1" applyAlignment="1">
      <alignment horizontal="left" vertical="center" readingOrder="1"/>
    </xf>
    <xf numFmtId="1" fontId="9" fillId="12" borderId="0" xfId="1" applyNumberFormat="1" applyFont="1" applyFill="1" applyAlignment="1">
      <alignment horizontal="left" vertical="center" readingOrder="1"/>
    </xf>
    <xf numFmtId="1" fontId="86" fillId="25" borderId="0" xfId="0" applyNumberFormat="1" applyFont="1" applyFill="1" applyBorder="1" applyAlignment="1">
      <alignment vertical="center"/>
    </xf>
    <xf numFmtId="1" fontId="34" fillId="7" borderId="41" xfId="0" applyNumberFormat="1" applyFont="1" applyFill="1" applyBorder="1" applyAlignment="1">
      <alignment vertical="top" wrapText="1"/>
    </xf>
    <xf numFmtId="1" fontId="24" fillId="9" borderId="40" xfId="0" applyNumberFormat="1" applyFont="1" applyFill="1" applyBorder="1" applyAlignment="1">
      <alignment horizontal="left" vertical="center" wrapText="1" readingOrder="1"/>
    </xf>
    <xf numFmtId="1" fontId="24" fillId="35" borderId="22" xfId="0" applyNumberFormat="1" applyFont="1" applyFill="1" applyBorder="1" applyAlignment="1">
      <alignment horizontal="left" vertical="center" readingOrder="1"/>
    </xf>
    <xf numFmtId="1" fontId="34" fillId="7" borderId="41" xfId="0" applyNumberFormat="1" applyFont="1" applyFill="1" applyBorder="1" applyAlignment="1">
      <alignment vertical="top"/>
    </xf>
    <xf numFmtId="1" fontId="9" fillId="0" borderId="0" xfId="4" applyNumberFormat="1" applyFont="1" applyFill="1" applyAlignment="1">
      <alignment horizontal="left" vertical="center" readingOrder="1"/>
    </xf>
    <xf numFmtId="1" fontId="9" fillId="0" borderId="0" xfId="4" applyNumberFormat="1" applyFont="1" applyFill="1" applyBorder="1" applyAlignment="1">
      <alignment horizontal="left" vertical="center" readingOrder="1"/>
    </xf>
    <xf numFmtId="1" fontId="88" fillId="0" borderId="0" xfId="4" applyNumberFormat="1" applyFont="1" applyFill="1" applyBorder="1" applyAlignment="1">
      <alignment horizontal="left" vertical="center" readingOrder="1"/>
    </xf>
    <xf numFmtId="1" fontId="88" fillId="0" borderId="0" xfId="4" applyNumberFormat="1" applyFont="1" applyFill="1" applyAlignment="1">
      <alignment horizontal="left" vertical="center" readingOrder="1"/>
    </xf>
    <xf numFmtId="1" fontId="34" fillId="35" borderId="31" xfId="0" applyNumberFormat="1" applyFont="1" applyFill="1" applyBorder="1" applyAlignment="1">
      <alignment vertical="top" wrapText="1"/>
    </xf>
    <xf numFmtId="1" fontId="34" fillId="20" borderId="34" xfId="1" applyNumberFormat="1" applyFont="1" applyFill="1" applyBorder="1" applyAlignment="1">
      <alignment vertical="center" wrapText="1"/>
    </xf>
    <xf numFmtId="1" fontId="34" fillId="35" borderId="30" xfId="1" applyNumberFormat="1" applyFont="1" applyFill="1" applyBorder="1" applyAlignment="1">
      <alignment vertical="top" wrapText="1"/>
    </xf>
    <xf numFmtId="1" fontId="25" fillId="7" borderId="21" xfId="0" applyNumberFormat="1" applyFont="1" applyFill="1" applyBorder="1" applyAlignment="1">
      <alignment vertical="center" wrapText="1"/>
    </xf>
    <xf numFmtId="1" fontId="32" fillId="10" borderId="16" xfId="1" applyNumberFormat="1" applyFont="1" applyFill="1" applyBorder="1" applyAlignment="1">
      <alignment vertical="center"/>
    </xf>
    <xf numFmtId="0" fontId="92" fillId="11" borderId="56" xfId="0" applyFont="1" applyFill="1" applyBorder="1" applyAlignment="1">
      <alignment horizontal="center" vertical="top" wrapText="1"/>
    </xf>
    <xf numFmtId="0" fontId="73" fillId="8" borderId="56" xfId="0" applyFont="1" applyFill="1" applyBorder="1" applyAlignment="1">
      <alignment horizontal="center" vertical="top" wrapText="1"/>
    </xf>
    <xf numFmtId="0" fontId="73" fillId="12" borderId="56" xfId="0" applyFont="1" applyFill="1" applyBorder="1" applyAlignment="1">
      <alignment horizontal="center" vertical="top" wrapText="1"/>
    </xf>
    <xf numFmtId="164" fontId="73" fillId="0" borderId="56" xfId="4" applyNumberFormat="1" applyFont="1" applyBorder="1" applyAlignment="1">
      <alignment vertical="top" wrapText="1"/>
    </xf>
    <xf numFmtId="0" fontId="73" fillId="19" borderId="53" xfId="0" applyFont="1" applyFill="1" applyBorder="1" applyAlignment="1">
      <alignment horizontal="center"/>
    </xf>
    <xf numFmtId="0" fontId="73" fillId="19" borderId="57" xfId="0" applyFont="1" applyFill="1" applyBorder="1" applyAlignment="1">
      <alignment horizontal="center"/>
    </xf>
    <xf numFmtId="0" fontId="73" fillId="19" borderId="58" xfId="0" applyFont="1" applyFill="1" applyBorder="1" applyAlignment="1">
      <alignment horizontal="center"/>
    </xf>
    <xf numFmtId="164" fontId="73" fillId="11" borderId="69" xfId="4" applyNumberFormat="1" applyFont="1" applyFill="1" applyBorder="1" applyAlignment="1">
      <alignment vertical="top" wrapText="1"/>
    </xf>
    <xf numFmtId="164" fontId="73" fillId="11" borderId="69" xfId="4" applyNumberFormat="1" applyFont="1" applyFill="1" applyBorder="1"/>
    <xf numFmtId="164" fontId="73" fillId="8" borderId="69" xfId="4" applyNumberFormat="1" applyFont="1" applyFill="1" applyBorder="1" applyAlignment="1">
      <alignment vertical="top" wrapText="1"/>
    </xf>
    <xf numFmtId="164" fontId="73" fillId="8" borderId="69" xfId="4" applyNumberFormat="1" applyFont="1" applyFill="1" applyBorder="1"/>
    <xf numFmtId="164" fontId="73" fillId="12" borderId="69" xfId="4" applyNumberFormat="1" applyFont="1" applyFill="1" applyBorder="1" applyAlignment="1">
      <alignment vertical="top" wrapText="1"/>
    </xf>
    <xf numFmtId="164" fontId="73" fillId="12" borderId="69" xfId="4" applyNumberFormat="1" applyFont="1" applyFill="1" applyBorder="1"/>
    <xf numFmtId="0" fontId="93" fillId="36" borderId="73" xfId="0" applyFont="1" applyFill="1" applyBorder="1" applyAlignment="1">
      <alignment horizontal="center" vertical="center" wrapText="1"/>
    </xf>
    <xf numFmtId="0" fontId="93" fillId="36" borderId="69" xfId="0" applyFont="1" applyFill="1" applyBorder="1" applyAlignment="1">
      <alignment horizontal="center" vertical="center" wrapText="1"/>
    </xf>
    <xf numFmtId="0" fontId="93" fillId="36" borderId="74" xfId="0" applyFont="1" applyFill="1" applyBorder="1" applyAlignment="1">
      <alignment horizontal="center" vertical="center" wrapText="1"/>
    </xf>
    <xf numFmtId="164" fontId="73" fillId="11" borderId="73" xfId="4" applyNumberFormat="1" applyFont="1" applyFill="1" applyBorder="1"/>
    <xf numFmtId="164" fontId="73" fillId="11" borderId="74" xfId="4" applyNumberFormat="1" applyFont="1" applyFill="1" applyBorder="1"/>
    <xf numFmtId="164" fontId="73" fillId="8" borderId="73" xfId="4" applyNumberFormat="1" applyFont="1" applyFill="1" applyBorder="1"/>
    <xf numFmtId="164" fontId="73" fillId="8" borderId="74" xfId="4" applyNumberFormat="1" applyFont="1" applyFill="1" applyBorder="1"/>
    <xf numFmtId="164" fontId="73" fillId="12" borderId="73" xfId="4" applyNumberFormat="1" applyFont="1" applyFill="1" applyBorder="1"/>
    <xf numFmtId="164" fontId="73" fillId="12" borderId="74" xfId="4" applyNumberFormat="1" applyFont="1" applyFill="1" applyBorder="1"/>
    <xf numFmtId="164" fontId="73" fillId="12" borderId="75" xfId="4" applyNumberFormat="1" applyFont="1" applyFill="1" applyBorder="1"/>
    <xf numFmtId="164" fontId="73" fillId="12" borderId="76" xfId="4" applyNumberFormat="1" applyFont="1" applyFill="1" applyBorder="1"/>
    <xf numFmtId="164" fontId="73" fillId="12" borderId="77" xfId="4" applyNumberFormat="1" applyFont="1" applyFill="1" applyBorder="1"/>
    <xf numFmtId="0" fontId="75" fillId="0" borderId="70" xfId="0" applyFont="1" applyBorder="1" applyAlignment="1">
      <alignment horizontal="center" vertical="center"/>
    </xf>
    <xf numFmtId="0" fontId="93" fillId="0" borderId="71" xfId="0" applyFont="1" applyBorder="1" applyAlignment="1">
      <alignment horizontal="center" vertical="center" wrapText="1"/>
    </xf>
    <xf numFmtId="0" fontId="93" fillId="14" borderId="71" xfId="0" applyFont="1" applyFill="1" applyBorder="1" applyAlignment="1">
      <alignment horizontal="center" vertical="center" wrapText="1"/>
    </xf>
    <xf numFmtId="0" fontId="94" fillId="14" borderId="72" xfId="0" applyFont="1" applyFill="1" applyBorder="1" applyAlignment="1">
      <alignment horizontal="center" vertical="center" wrapText="1"/>
    </xf>
    <xf numFmtId="164" fontId="73" fillId="12" borderId="76" xfId="4" applyNumberFormat="1" applyFont="1" applyFill="1" applyBorder="1" applyAlignment="1">
      <alignment vertical="top" wrapText="1"/>
    </xf>
    <xf numFmtId="9" fontId="73" fillId="0" borderId="56" xfId="1" applyFont="1" applyBorder="1"/>
    <xf numFmtId="0" fontId="75" fillId="2" borderId="55" xfId="0" applyFont="1" applyFill="1" applyBorder="1"/>
    <xf numFmtId="0" fontId="21" fillId="0" borderId="0" xfId="0" applyFont="1" applyFill="1" applyBorder="1" applyAlignment="1">
      <alignment horizontal="left"/>
    </xf>
    <xf numFmtId="9" fontId="21" fillId="0" borderId="0" xfId="0" applyNumberFormat="1" applyFont="1" applyFill="1" applyBorder="1"/>
    <xf numFmtId="1" fontId="21" fillId="0" borderId="0" xfId="4" applyNumberFormat="1" applyFont="1"/>
    <xf numFmtId="1" fontId="34" fillId="10" borderId="46" xfId="0" applyNumberFormat="1" applyFont="1" applyFill="1" applyBorder="1" applyAlignment="1">
      <alignment vertical="top"/>
    </xf>
    <xf numFmtId="1" fontId="9" fillId="29" borderId="0" xfId="1" applyNumberFormat="1" applyFont="1" applyFill="1" applyAlignment="1">
      <alignment horizontal="left" vertical="center" readingOrder="1"/>
    </xf>
    <xf numFmtId="1" fontId="9" fillId="29" borderId="0" xfId="1" applyNumberFormat="1" applyFont="1" applyFill="1" applyBorder="1" applyAlignment="1">
      <alignment horizontal="left" vertical="center" readingOrder="1"/>
    </xf>
    <xf numFmtId="1" fontId="88" fillId="29" borderId="0" xfId="1" applyNumberFormat="1" applyFont="1" applyFill="1" applyBorder="1" applyAlignment="1">
      <alignment horizontal="left" vertical="center" readingOrder="1"/>
    </xf>
    <xf numFmtId="1" fontId="88" fillId="29" borderId="0" xfId="1" applyNumberFormat="1" applyFont="1" applyFill="1" applyAlignment="1">
      <alignment horizontal="left" vertical="center" readingOrder="1"/>
    </xf>
    <xf numFmtId="1" fontId="34" fillId="12" borderId="21" xfId="0" applyNumberFormat="1" applyFont="1" applyFill="1" applyBorder="1" applyAlignment="1">
      <alignment vertical="top"/>
    </xf>
    <xf numFmtId="1" fontId="30" fillId="17" borderId="0" xfId="0" applyNumberFormat="1" applyFont="1" applyFill="1" applyBorder="1" applyAlignment="1">
      <alignment horizontal="left"/>
    </xf>
    <xf numFmtId="1" fontId="72" fillId="18" borderId="4" xfId="0" applyNumberFormat="1" applyFont="1" applyFill="1" applyBorder="1" applyAlignment="1">
      <alignment horizontal="center" vertical="center" wrapText="1"/>
    </xf>
    <xf numFmtId="1" fontId="12" fillId="18" borderId="5" xfId="0" applyNumberFormat="1" applyFont="1" applyFill="1" applyBorder="1" applyAlignment="1">
      <alignment horizontal="left" vertical="top" wrapText="1" readingOrder="1"/>
    </xf>
    <xf numFmtId="1" fontId="8" fillId="2" borderId="16" xfId="0" applyNumberFormat="1" applyFont="1" applyFill="1" applyBorder="1" applyAlignment="1">
      <alignment horizontal="left" vertical="center" readingOrder="1"/>
    </xf>
    <xf numFmtId="1" fontId="9" fillId="18" borderId="16" xfId="0" applyNumberFormat="1" applyFont="1" applyFill="1" applyBorder="1" applyAlignment="1">
      <alignment horizontal="left" vertical="center" readingOrder="1"/>
    </xf>
    <xf numFmtId="1" fontId="9" fillId="18" borderId="16" xfId="0" applyNumberFormat="1" applyFont="1" applyFill="1" applyBorder="1" applyAlignment="1">
      <alignment horizontal="left" vertical="top" readingOrder="1"/>
    </xf>
    <xf numFmtId="1" fontId="76" fillId="0" borderId="0" xfId="0" applyNumberFormat="1" applyFont="1" applyFill="1" applyBorder="1" applyAlignment="1">
      <alignment horizontal="left" vertical="center" readingOrder="1"/>
    </xf>
    <xf numFmtId="1" fontId="65" fillId="0" borderId="0" xfId="0" applyNumberFormat="1" applyFont="1" applyFill="1" applyBorder="1" applyAlignment="1">
      <alignment horizontal="left" vertical="center" readingOrder="1"/>
    </xf>
    <xf numFmtId="1" fontId="74" fillId="0" borderId="0" xfId="0" applyNumberFormat="1" applyFont="1" applyFill="1" applyBorder="1" applyAlignment="1">
      <alignment horizontal="left" vertical="center" readingOrder="1"/>
    </xf>
    <xf numFmtId="1" fontId="9" fillId="0" borderId="2" xfId="0" applyNumberFormat="1" applyFont="1" applyFill="1" applyBorder="1" applyAlignment="1">
      <alignment horizontal="left" vertical="center" readingOrder="1"/>
    </xf>
    <xf numFmtId="1" fontId="76" fillId="0" borderId="2" xfId="0" applyNumberFormat="1" applyFont="1" applyFill="1" applyBorder="1" applyAlignment="1">
      <alignment horizontal="left" vertical="center" readingOrder="1"/>
    </xf>
    <xf numFmtId="0" fontId="88" fillId="0" borderId="0" xfId="0" applyNumberFormat="1" applyFont="1" applyFill="1" applyAlignment="1">
      <alignment horizontal="left" vertical="center" readingOrder="1"/>
    </xf>
    <xf numFmtId="0" fontId="88" fillId="0" borderId="0" xfId="1" applyNumberFormat="1" applyFont="1" applyFill="1" applyAlignment="1">
      <alignment horizontal="left" vertical="center" readingOrder="1"/>
    </xf>
    <xf numFmtId="0" fontId="91" fillId="9" borderId="52" xfId="0" applyFont="1" applyFill="1" applyBorder="1" applyAlignment="1">
      <alignment horizontal="center" vertical="center" wrapText="1"/>
    </xf>
    <xf numFmtId="0" fontId="91" fillId="47" borderId="52" xfId="0" applyFont="1" applyFill="1" applyBorder="1" applyAlignment="1">
      <alignment horizontal="center" vertical="center" wrapText="1"/>
    </xf>
    <xf numFmtId="0" fontId="0" fillId="0" borderId="52" xfId="0" applyBorder="1"/>
    <xf numFmtId="0" fontId="73" fillId="0" borderId="52" xfId="0" applyFont="1" applyBorder="1"/>
    <xf numFmtId="0" fontId="91" fillId="15" borderId="52" xfId="0" applyFont="1" applyFill="1" applyBorder="1" applyAlignment="1">
      <alignment horizontal="center" vertical="center" wrapText="1"/>
    </xf>
    <xf numFmtId="0" fontId="0" fillId="48" borderId="52" xfId="0" applyFill="1" applyBorder="1"/>
    <xf numFmtId="164" fontId="91" fillId="15" borderId="52" xfId="4" applyNumberFormat="1" applyFont="1" applyFill="1" applyBorder="1" applyAlignment="1">
      <alignment horizontal="right" vertical="center"/>
    </xf>
    <xf numFmtId="164" fontId="91" fillId="9" borderId="52" xfId="4" applyNumberFormat="1" applyFont="1" applyFill="1" applyBorder="1" applyAlignment="1">
      <alignment horizontal="right" vertical="center"/>
    </xf>
    <xf numFmtId="164" fontId="91" fillId="47" borderId="52" xfId="4" applyNumberFormat="1" applyFont="1" applyFill="1" applyBorder="1" applyAlignment="1">
      <alignment horizontal="right" vertical="center"/>
    </xf>
    <xf numFmtId="164" fontId="91" fillId="47" borderId="52" xfId="4" applyNumberFormat="1" applyFont="1" applyFill="1" applyBorder="1" applyAlignment="1">
      <alignment horizontal="right" vertical="center" wrapText="1"/>
    </xf>
    <xf numFmtId="164" fontId="91" fillId="15" borderId="52" xfId="4" applyNumberFormat="1" applyFont="1" applyFill="1" applyBorder="1" applyAlignment="1">
      <alignment horizontal="center" vertical="center" wrapText="1"/>
    </xf>
    <xf numFmtId="164" fontId="91" fillId="47" borderId="52" xfId="4" applyNumberFormat="1" applyFont="1" applyFill="1" applyBorder="1" applyAlignment="1">
      <alignment horizontal="center" vertical="center" wrapText="1"/>
    </xf>
    <xf numFmtId="164" fontId="91" fillId="15" borderId="52" xfId="4" applyNumberFormat="1" applyFont="1" applyFill="1" applyBorder="1"/>
    <xf numFmtId="164" fontId="91" fillId="9" borderId="52" xfId="4" applyNumberFormat="1" applyFont="1" applyFill="1" applyBorder="1"/>
    <xf numFmtId="164" fontId="91" fillId="47" borderId="52" xfId="4" applyNumberFormat="1" applyFont="1" applyFill="1" applyBorder="1"/>
    <xf numFmtId="0" fontId="85" fillId="43" borderId="0" xfId="0" applyFont="1" applyFill="1" applyBorder="1" applyAlignment="1">
      <alignment horizontal="center" vertical="center" wrapText="1"/>
    </xf>
    <xf numFmtId="0" fontId="85" fillId="43" borderId="0" xfId="0" applyFont="1" applyFill="1" applyBorder="1" applyAlignment="1">
      <alignment horizontal="center" vertical="center"/>
    </xf>
    <xf numFmtId="9" fontId="21" fillId="34" borderId="0" xfId="0" applyNumberFormat="1" applyFont="1" applyFill="1" applyBorder="1" applyAlignment="1">
      <alignment horizontal="center" vertical="center"/>
    </xf>
    <xf numFmtId="9" fontId="21" fillId="0" borderId="0" xfId="0" applyNumberFormat="1" applyFont="1" applyBorder="1" applyAlignment="1">
      <alignment horizontal="center" vertical="center"/>
    </xf>
    <xf numFmtId="164" fontId="21" fillId="0" borderId="0" xfId="4" applyNumberFormat="1" applyFont="1"/>
    <xf numFmtId="0" fontId="83" fillId="18" borderId="65" xfId="0" applyFont="1" applyFill="1" applyBorder="1" applyAlignment="1">
      <alignment wrapText="1"/>
    </xf>
    <xf numFmtId="0" fontId="83" fillId="44" borderId="65" xfId="0" applyFont="1" applyFill="1" applyBorder="1" applyAlignment="1">
      <alignment horizontal="left"/>
    </xf>
    <xf numFmtId="0" fontId="83" fillId="18" borderId="65" xfId="0" applyFont="1" applyFill="1" applyBorder="1"/>
    <xf numFmtId="9" fontId="83" fillId="41" borderId="65" xfId="1" applyFont="1" applyFill="1" applyBorder="1"/>
    <xf numFmtId="0" fontId="21" fillId="0" borderId="0" xfId="0" applyFont="1" applyBorder="1" applyAlignment="1">
      <alignment vertical="center"/>
    </xf>
    <xf numFmtId="0" fontId="21" fillId="34" borderId="0" xfId="0" applyFont="1" applyFill="1" applyBorder="1" applyAlignment="1">
      <alignment horizontal="left" vertical="center"/>
    </xf>
    <xf numFmtId="0" fontId="21" fillId="34" borderId="0" xfId="0" applyFont="1" applyFill="1" applyBorder="1" applyAlignment="1">
      <alignment vertical="center"/>
    </xf>
    <xf numFmtId="164" fontId="21" fillId="34" borderId="0" xfId="4" applyNumberFormat="1" applyFont="1" applyFill="1" applyBorder="1" applyAlignment="1">
      <alignment vertical="center"/>
    </xf>
    <xf numFmtId="0" fontId="21" fillId="0" borderId="0" xfId="0" applyFont="1" applyBorder="1" applyAlignment="1">
      <alignment horizontal="left" vertical="center"/>
    </xf>
    <xf numFmtId="164" fontId="21" fillId="0" borderId="0" xfId="4" applyNumberFormat="1" applyFont="1" applyBorder="1" applyAlignment="1">
      <alignment vertical="center"/>
    </xf>
    <xf numFmtId="164" fontId="21" fillId="0" borderId="0" xfId="0" applyNumberFormat="1" applyFont="1" applyBorder="1" applyAlignment="1">
      <alignment vertical="center"/>
    </xf>
    <xf numFmtId="0" fontId="95" fillId="0" borderId="80" xfId="0" applyFont="1" applyBorder="1" applyAlignment="1">
      <alignment horizontal="left"/>
    </xf>
    <xf numFmtId="0" fontId="95" fillId="0" borderId="83" xfId="0" applyFont="1" applyBorder="1" applyAlignment="1">
      <alignment horizontal="left"/>
    </xf>
    <xf numFmtId="0" fontId="95" fillId="0" borderId="84" xfId="0" applyNumberFormat="1" applyFont="1" applyBorder="1"/>
    <xf numFmtId="0" fontId="95" fillId="0" borderId="86" xfId="0" applyNumberFormat="1" applyFont="1" applyBorder="1"/>
    <xf numFmtId="0" fontId="95" fillId="0" borderId="85" xfId="0" applyNumberFormat="1" applyFont="1" applyBorder="1"/>
    <xf numFmtId="0" fontId="96" fillId="11" borderId="0" xfId="0" applyFont="1" applyFill="1"/>
    <xf numFmtId="0" fontId="79" fillId="11" borderId="0" xfId="0" applyFont="1" applyFill="1"/>
    <xf numFmtId="0" fontId="79" fillId="0" borderId="82" xfId="0" applyFont="1" applyBorder="1"/>
    <xf numFmtId="0" fontId="79" fillId="0" borderId="81" xfId="0" applyFont="1" applyBorder="1"/>
    <xf numFmtId="0" fontId="79" fillId="0" borderId="79" xfId="0" applyFont="1" applyBorder="1"/>
    <xf numFmtId="0" fontId="98" fillId="0" borderId="0" xfId="0" pivotButton="1" applyFont="1"/>
    <xf numFmtId="0" fontId="98" fillId="0" borderId="0" xfId="0" applyFont="1"/>
    <xf numFmtId="0" fontId="98" fillId="0" borderId="0" xfId="0" pivotButton="1" applyFont="1" applyAlignment="1">
      <alignment wrapText="1"/>
    </xf>
    <xf numFmtId="0" fontId="98" fillId="0" borderId="0" xfId="0" applyFont="1" applyAlignment="1">
      <alignment horizontal="left"/>
    </xf>
    <xf numFmtId="0" fontId="98" fillId="0" borderId="0" xfId="0" applyNumberFormat="1" applyFont="1"/>
    <xf numFmtId="0" fontId="98" fillId="0" borderId="0" xfId="0" applyFont="1" applyAlignment="1">
      <alignment horizontal="left" wrapText="1"/>
    </xf>
    <xf numFmtId="164" fontId="0" fillId="0" borderId="0" xfId="4" applyNumberFormat="1" applyFont="1"/>
    <xf numFmtId="164" fontId="79" fillId="0" borderId="88" xfId="4" applyNumberFormat="1" applyFont="1" applyBorder="1"/>
    <xf numFmtId="164" fontId="79" fillId="0" borderId="89" xfId="4" applyNumberFormat="1" applyFont="1" applyBorder="1"/>
    <xf numFmtId="164" fontId="97" fillId="0" borderId="87" xfId="4" applyNumberFormat="1" applyFont="1" applyBorder="1" applyAlignment="1">
      <alignment horizontal="left" wrapText="1"/>
    </xf>
    <xf numFmtId="0" fontId="98" fillId="18" borderId="65" xfId="0" applyFont="1" applyFill="1" applyBorder="1"/>
    <xf numFmtId="0" fontId="21" fillId="29" borderId="0" xfId="0" applyFont="1" applyFill="1"/>
    <xf numFmtId="0" fontId="83" fillId="0" borderId="0" xfId="0" applyFont="1" applyBorder="1" applyAlignment="1">
      <alignment vertical="center"/>
    </xf>
    <xf numFmtId="9" fontId="9" fillId="12" borderId="16" xfId="0" applyNumberFormat="1" applyFont="1" applyFill="1" applyBorder="1" applyAlignment="1">
      <alignment horizontal="left" vertical="top" readingOrder="1"/>
    </xf>
    <xf numFmtId="0" fontId="9" fillId="12" borderId="16" xfId="0" applyNumberFormat="1" applyFont="1" applyFill="1" applyBorder="1" applyAlignment="1">
      <alignment horizontal="left" vertical="top" readingOrder="1"/>
    </xf>
    <xf numFmtId="9" fontId="34" fillId="19" borderId="26" xfId="0" applyNumberFormat="1" applyFont="1" applyFill="1" applyBorder="1" applyAlignment="1">
      <alignment vertical="top"/>
    </xf>
    <xf numFmtId="9" fontId="34" fillId="10" borderId="21" xfId="0" applyNumberFormat="1" applyFont="1" applyFill="1" applyBorder="1" applyAlignment="1">
      <alignment vertical="top"/>
    </xf>
    <xf numFmtId="14" fontId="88" fillId="0" borderId="15" xfId="0" applyNumberFormat="1" applyFont="1" applyFill="1" applyBorder="1" applyAlignment="1">
      <alignment horizontal="left" vertical="center" readingOrder="1"/>
    </xf>
    <xf numFmtId="1" fontId="65" fillId="0" borderId="2" xfId="0" applyNumberFormat="1" applyFont="1" applyFill="1" applyBorder="1" applyAlignment="1">
      <alignment horizontal="left" vertical="center" readingOrder="1"/>
    </xf>
    <xf numFmtId="1" fontId="76" fillId="0" borderId="3" xfId="0" applyNumberFormat="1" applyFont="1" applyFill="1" applyBorder="1" applyAlignment="1">
      <alignment horizontal="left" vertical="center" readingOrder="1"/>
    </xf>
    <xf numFmtId="1" fontId="88" fillId="0" borderId="2" xfId="0" applyNumberFormat="1" applyFont="1" applyFill="1" applyBorder="1" applyAlignment="1">
      <alignment horizontal="left" vertical="center" readingOrder="1"/>
    </xf>
    <xf numFmtId="1" fontId="74" fillId="0" borderId="2" xfId="0" applyNumberFormat="1" applyFont="1" applyFill="1" applyBorder="1" applyAlignment="1">
      <alignment horizontal="left" vertical="center" readingOrder="1"/>
    </xf>
    <xf numFmtId="1" fontId="9" fillId="12" borderId="0" xfId="1" applyNumberFormat="1" applyFont="1" applyFill="1" applyBorder="1" applyAlignment="1">
      <alignment horizontal="left" vertical="center" readingOrder="1"/>
    </xf>
    <xf numFmtId="0" fontId="88" fillId="0" borderId="0" xfId="0" applyNumberFormat="1" applyFont="1" applyFill="1" applyBorder="1" applyAlignment="1">
      <alignment horizontal="left" vertical="center" readingOrder="1"/>
    </xf>
    <xf numFmtId="0" fontId="99" fillId="0" borderId="0" xfId="0" pivotButton="1" applyFont="1"/>
    <xf numFmtId="0" fontId="99" fillId="0" borderId="0" xfId="0" applyFont="1"/>
    <xf numFmtId="0" fontId="99" fillId="0" borderId="0" xfId="0" applyFont="1" applyAlignment="1">
      <alignment horizontal="left"/>
    </xf>
    <xf numFmtId="3" fontId="99" fillId="0" borderId="0" xfId="0" applyNumberFormat="1" applyFont="1"/>
    <xf numFmtId="0" fontId="99" fillId="0" borderId="0" xfId="0" applyFont="1" applyAlignment="1">
      <alignment horizontal="left" wrapText="1"/>
    </xf>
    <xf numFmtId="3" fontId="100" fillId="15" borderId="0" xfId="0" applyNumberFormat="1" applyFont="1" applyFill="1"/>
    <xf numFmtId="3" fontId="100" fillId="9" borderId="0" xfId="0" applyNumberFormat="1" applyFont="1" applyFill="1"/>
    <xf numFmtId="164" fontId="100" fillId="9" borderId="0" xfId="0" applyNumberFormat="1" applyFont="1" applyFill="1"/>
    <xf numFmtId="164" fontId="100" fillId="47" borderId="0" xfId="0" applyNumberFormat="1" applyFont="1" applyFill="1"/>
    <xf numFmtId="0" fontId="100" fillId="15" borderId="56" xfId="0" applyFont="1" applyFill="1" applyBorder="1" applyAlignment="1">
      <alignment horizontal="center" vertical="center" wrapText="1"/>
    </xf>
    <xf numFmtId="0" fontId="100" fillId="9" borderId="56" xfId="0" applyFont="1" applyFill="1" applyBorder="1" applyAlignment="1">
      <alignment horizontal="center" vertical="center" wrapText="1"/>
    </xf>
    <xf numFmtId="0" fontId="100" fillId="9" borderId="0" xfId="0" applyFont="1" applyFill="1" applyAlignment="1">
      <alignment horizontal="center" vertical="center" wrapText="1"/>
    </xf>
    <xf numFmtId="0" fontId="100" fillId="47" borderId="0" xfId="0" applyFont="1" applyFill="1" applyAlignment="1">
      <alignment horizontal="center" vertical="center" wrapText="1"/>
    </xf>
    <xf numFmtId="0" fontId="100" fillId="47" borderId="0" xfId="0" applyNumberFormat="1" applyFont="1" applyFill="1" applyAlignment="1">
      <alignment horizontal="center" vertical="center" wrapText="1"/>
    </xf>
    <xf numFmtId="164" fontId="100" fillId="15" borderId="0" xfId="0" applyNumberFormat="1" applyFont="1" applyFill="1"/>
    <xf numFmtId="164" fontId="100" fillId="47" borderId="0" xfId="0" applyNumberFormat="1" applyFont="1" applyFill="1" applyAlignment="1">
      <alignment horizontal="center" vertical="center" wrapText="1"/>
    </xf>
    <xf numFmtId="0" fontId="99" fillId="0" borderId="0" xfId="0" pivotButton="1" applyFont="1" applyAlignment="1">
      <alignment wrapText="1"/>
    </xf>
    <xf numFmtId="0" fontId="99" fillId="0" borderId="0" xfId="0" applyFont="1" applyAlignment="1">
      <alignment wrapText="1"/>
    </xf>
    <xf numFmtId="0" fontId="98" fillId="0" borderId="0" xfId="0" applyFont="1" applyAlignment="1">
      <alignment wrapText="1"/>
    </xf>
    <xf numFmtId="0" fontId="98" fillId="0" borderId="0" xfId="0" applyFont="1" applyAlignment="1">
      <alignment horizontal="left" indent="1"/>
    </xf>
    <xf numFmtId="1" fontId="98" fillId="0" borderId="0" xfId="0" applyNumberFormat="1" applyFont="1"/>
    <xf numFmtId="9" fontId="98" fillId="0" borderId="0" xfId="0" applyNumberFormat="1" applyFont="1"/>
    <xf numFmtId="0" fontId="101" fillId="0" borderId="0" xfId="0" pivotButton="1" applyFont="1"/>
    <xf numFmtId="0" fontId="101" fillId="0" borderId="0" xfId="0" applyFont="1"/>
    <xf numFmtId="0" fontId="101" fillId="0" borderId="0" xfId="0" pivotButton="1" applyFont="1" applyAlignment="1">
      <alignment wrapText="1"/>
    </xf>
    <xf numFmtId="0" fontId="101" fillId="0" borderId="0" xfId="0" applyFont="1" applyAlignment="1">
      <alignment horizontal="left"/>
    </xf>
    <xf numFmtId="0" fontId="101" fillId="0" borderId="0" xfId="0" applyNumberFormat="1" applyFont="1"/>
    <xf numFmtId="0" fontId="101" fillId="0" borderId="0" xfId="0" applyFont="1" applyAlignment="1">
      <alignment wrapText="1"/>
    </xf>
    <xf numFmtId="9" fontId="101" fillId="0" borderId="0" xfId="0" applyNumberFormat="1" applyFont="1"/>
    <xf numFmtId="164" fontId="98" fillId="0" borderId="0" xfId="0" applyNumberFormat="1" applyFont="1"/>
    <xf numFmtId="3" fontId="98" fillId="0" borderId="0" xfId="0" applyNumberFormat="1" applyFont="1"/>
    <xf numFmtId="0" fontId="102" fillId="0" borderId="87" xfId="0" applyFont="1" applyBorder="1" applyAlignment="1">
      <alignment horizontal="left"/>
    </xf>
    <xf numFmtId="0" fontId="102" fillId="0" borderId="90" xfId="0" applyNumberFormat="1" applyFont="1" applyBorder="1"/>
    <xf numFmtId="0" fontId="102" fillId="0" borderId="91" xfId="0" applyNumberFormat="1" applyFont="1" applyBorder="1"/>
    <xf numFmtId="164" fontId="0" fillId="0" borderId="0" xfId="0" applyNumberFormat="1"/>
    <xf numFmtId="164" fontId="21" fillId="0" borderId="0" xfId="0" applyNumberFormat="1" applyFont="1"/>
    <xf numFmtId="0" fontId="21" fillId="0" borderId="0" xfId="0" pivotButton="1" applyFont="1"/>
    <xf numFmtId="0" fontId="79" fillId="0" borderId="0" xfId="0" applyFont="1" applyFill="1" applyBorder="1"/>
    <xf numFmtId="0" fontId="103" fillId="0" borderId="0" xfId="0" pivotButton="1" applyFont="1"/>
    <xf numFmtId="0" fontId="103" fillId="0" borderId="0" xfId="0" applyFont="1"/>
    <xf numFmtId="3" fontId="103" fillId="0" borderId="0" xfId="0" applyNumberFormat="1" applyFont="1"/>
    <xf numFmtId="0" fontId="103" fillId="0" borderId="0" xfId="0" applyFont="1" applyAlignment="1">
      <alignment horizontal="left" wrapText="1"/>
    </xf>
    <xf numFmtId="3" fontId="104" fillId="15" borderId="0" xfId="0" applyNumberFormat="1" applyFont="1" applyFill="1"/>
    <xf numFmtId="3" fontId="104" fillId="9" borderId="0" xfId="0" applyNumberFormat="1" applyFont="1" applyFill="1"/>
    <xf numFmtId="164" fontId="104" fillId="9" borderId="0" xfId="0" applyNumberFormat="1" applyFont="1" applyFill="1"/>
    <xf numFmtId="164" fontId="104" fillId="47" borderId="0" xfId="0" applyNumberFormat="1" applyFont="1" applyFill="1"/>
    <xf numFmtId="0" fontId="104" fillId="15" borderId="56" xfId="0" applyFont="1" applyFill="1" applyBorder="1" applyAlignment="1">
      <alignment horizontal="center" vertical="center" wrapText="1"/>
    </xf>
    <xf numFmtId="0" fontId="104" fillId="9" borderId="56" xfId="0" applyFont="1" applyFill="1" applyBorder="1" applyAlignment="1">
      <alignment horizontal="center" vertical="center" wrapText="1"/>
    </xf>
    <xf numFmtId="0" fontId="104" fillId="9" borderId="0" xfId="0" applyFont="1" applyFill="1" applyAlignment="1">
      <alignment horizontal="center" vertical="center" wrapText="1"/>
    </xf>
    <xf numFmtId="0" fontId="104" fillId="47" borderId="0" xfId="0" applyFont="1" applyFill="1" applyAlignment="1">
      <alignment horizontal="center" vertical="center" wrapText="1"/>
    </xf>
    <xf numFmtId="0" fontId="104" fillId="47" borderId="0" xfId="0" applyNumberFormat="1" applyFont="1" applyFill="1" applyAlignment="1">
      <alignment horizontal="center" vertical="center" wrapText="1"/>
    </xf>
    <xf numFmtId="166" fontId="1" fillId="22" borderId="0" xfId="8" applyFont="1" applyFill="1" applyBorder="1"/>
    <xf numFmtId="1" fontId="23" fillId="10" borderId="16" xfId="0" applyNumberFormat="1" applyFont="1" applyFill="1" applyBorder="1" applyAlignment="1">
      <alignment horizontal="left" vertical="center" readingOrder="1"/>
    </xf>
    <xf numFmtId="0" fontId="73" fillId="0" borderId="0" xfId="0" pivotButton="1" applyFont="1"/>
    <xf numFmtId="0" fontId="73" fillId="0" borderId="0" xfId="0" pivotButton="1" applyFont="1" applyAlignment="1">
      <alignment horizontal="center" vertical="center" wrapText="1"/>
    </xf>
    <xf numFmtId="0" fontId="91" fillId="28" borderId="0" xfId="0" applyFont="1" applyFill="1" applyAlignment="1">
      <alignment horizontal="center" vertical="center" wrapText="1"/>
    </xf>
    <xf numFmtId="0" fontId="91" fillId="10" borderId="0" xfId="0" applyFont="1" applyFill="1" applyAlignment="1">
      <alignment horizontal="center" vertical="center" wrapText="1"/>
    </xf>
    <xf numFmtId="0" fontId="91" fillId="9" borderId="0" xfId="0" applyFont="1" applyFill="1" applyAlignment="1">
      <alignment horizontal="center" vertical="center" wrapText="1"/>
    </xf>
    <xf numFmtId="0" fontId="91" fillId="15" borderId="0" xfId="0" applyFont="1" applyFill="1" applyAlignment="1">
      <alignment horizontal="center" vertical="center" wrapText="1"/>
    </xf>
    <xf numFmtId="0" fontId="73" fillId="0" borderId="0" xfId="0" applyFont="1" applyAlignment="1">
      <alignment horizontal="center" vertical="center" wrapText="1"/>
    </xf>
    <xf numFmtId="0" fontId="73" fillId="0" borderId="0" xfId="0" applyNumberFormat="1" applyFont="1"/>
    <xf numFmtId="166" fontId="27" fillId="16" borderId="6" xfId="8" applyFont="1" applyFill="1" applyBorder="1" applyAlignment="1">
      <alignment horizontal="center" vertical="center"/>
    </xf>
    <xf numFmtId="166" fontId="27" fillId="16" borderId="7" xfId="8" applyFont="1" applyFill="1" applyBorder="1" applyAlignment="1">
      <alignment horizontal="center" vertical="center"/>
    </xf>
    <xf numFmtId="166" fontId="27" fillId="16" borderId="8" xfId="8" applyFont="1" applyFill="1" applyBorder="1" applyAlignment="1">
      <alignment horizontal="center" vertical="center"/>
    </xf>
    <xf numFmtId="166" fontId="1" fillId="22" borderId="0" xfId="8" applyFont="1" applyFill="1" applyBorder="1" applyAlignment="1">
      <alignment horizontal="left" wrapText="1"/>
    </xf>
    <xf numFmtId="166" fontId="5" fillId="22" borderId="0" xfId="8" applyFill="1" applyBorder="1" applyAlignment="1">
      <alignment horizontal="left" wrapText="1"/>
    </xf>
    <xf numFmtId="166" fontId="5" fillId="22" borderId="10" xfId="8" applyFill="1" applyBorder="1" applyAlignment="1">
      <alignment horizontal="left" wrapText="1"/>
    </xf>
    <xf numFmtId="0" fontId="73" fillId="0" borderId="0" xfId="0" applyFont="1" applyAlignment="1">
      <alignment horizontal="center"/>
    </xf>
    <xf numFmtId="0" fontId="73" fillId="0" borderId="78" xfId="0" applyFont="1" applyBorder="1" applyAlignment="1">
      <alignment horizontal="center"/>
    </xf>
    <xf numFmtId="0" fontId="93" fillId="0" borderId="70" xfId="0" applyFont="1" applyBorder="1" applyAlignment="1">
      <alignment horizontal="center" vertical="center" wrapText="1"/>
    </xf>
    <xf numFmtId="0" fontId="93" fillId="0" borderId="71" xfId="0" applyFont="1" applyBorder="1" applyAlignment="1">
      <alignment horizontal="center" vertical="center" wrapText="1"/>
    </xf>
    <xf numFmtId="0" fontId="93" fillId="0" borderId="72" xfId="0" applyFont="1" applyBorder="1" applyAlignment="1">
      <alignment horizontal="center" vertical="center" wrapText="1"/>
    </xf>
    <xf numFmtId="0" fontId="91" fillId="9" borderId="73" xfId="0" applyFont="1" applyFill="1" applyBorder="1" applyAlignment="1">
      <alignment horizontal="center" vertical="top" wrapText="1"/>
    </xf>
    <xf numFmtId="0" fontId="91" fillId="47" borderId="73" xfId="0" applyFont="1" applyFill="1" applyBorder="1" applyAlignment="1">
      <alignment horizontal="center" vertical="top" wrapText="1"/>
    </xf>
    <xf numFmtId="0" fontId="91" fillId="47" borderId="75" xfId="0" applyFont="1" applyFill="1" applyBorder="1" applyAlignment="1">
      <alignment horizontal="center" vertical="top" wrapText="1"/>
    </xf>
    <xf numFmtId="0" fontId="91" fillId="15" borderId="73" xfId="0" applyFont="1" applyFill="1" applyBorder="1" applyAlignment="1">
      <alignment horizontal="center" vertical="center" wrapText="1"/>
    </xf>
    <xf numFmtId="0" fontId="91" fillId="15" borderId="73" xfId="0" applyFont="1" applyFill="1" applyBorder="1" applyAlignment="1">
      <alignment horizontal="center" vertical="top" wrapText="1"/>
    </xf>
    <xf numFmtId="0" fontId="30" fillId="15" borderId="0" xfId="0" applyFont="1" applyFill="1" applyBorder="1" applyAlignment="1">
      <alignment horizontal="center"/>
    </xf>
    <xf numFmtId="1" fontId="30" fillId="9" borderId="0" xfId="0" applyNumberFormat="1" applyFont="1" applyFill="1" applyBorder="1" applyAlignment="1">
      <alignment horizontal="center"/>
    </xf>
    <xf numFmtId="9" fontId="30" fillId="10" borderId="0" xfId="1" applyFont="1" applyFill="1" applyBorder="1" applyAlignment="1">
      <alignment horizontal="center"/>
    </xf>
    <xf numFmtId="0" fontId="17" fillId="33" borderId="4" xfId="13" applyFont="1" applyFill="1" applyBorder="1" applyAlignment="1">
      <alignment horizontal="center" vertical="center" wrapText="1"/>
    </xf>
    <xf numFmtId="0" fontId="67" fillId="0" borderId="0" xfId="13" applyFont="1" applyAlignment="1">
      <alignment horizontal="center"/>
    </xf>
    <xf numFmtId="0" fontId="66" fillId="0" borderId="0" xfId="13" applyFont="1" applyAlignment="1">
      <alignment horizontal="center" vertical="center"/>
    </xf>
    <xf numFmtId="164" fontId="105" fillId="16" borderId="0" xfId="4" applyNumberFormat="1" applyFont="1" applyFill="1" applyAlignment="1">
      <alignment horizontal="center" vertical="center" wrapText="1"/>
    </xf>
    <xf numFmtId="0" fontId="103" fillId="0" borderId="0" xfId="0" pivotButton="1" applyFont="1" applyAlignment="1">
      <alignment horizontal="center" vertical="center" wrapText="1"/>
    </xf>
    <xf numFmtId="0" fontId="104" fillId="28" borderId="0" xfId="0" applyFont="1" applyFill="1" applyAlignment="1">
      <alignment horizontal="center" vertical="center" wrapText="1"/>
    </xf>
    <xf numFmtId="0" fontId="104" fillId="10" borderId="0" xfId="0" applyFont="1" applyFill="1" applyAlignment="1">
      <alignment horizontal="center" vertical="center" wrapText="1"/>
    </xf>
    <xf numFmtId="0" fontId="104" fillId="15" borderId="0" xfId="0" applyFont="1" applyFill="1" applyAlignment="1">
      <alignment horizontal="center" vertical="center" wrapText="1"/>
    </xf>
    <xf numFmtId="0" fontId="103" fillId="0" borderId="0" xfId="0" applyNumberFormat="1" applyFont="1"/>
  </cellXfs>
  <cellStyles count="21">
    <cellStyle name="Bad" xfId="12" builtinId="27"/>
    <cellStyle name="Comma" xfId="4" builtinId="3"/>
    <cellStyle name="Comma 2" xfId="7"/>
    <cellStyle name="Comma 2 2" xfId="19"/>
    <cellStyle name="Comma 4" xfId="5"/>
    <cellStyle name="Good" xfId="11" builtinId="26"/>
    <cellStyle name="Heading 1 2" xfId="15"/>
    <cellStyle name="Normal" xfId="0" builtinId="0"/>
    <cellStyle name="Normal 2" xfId="8"/>
    <cellStyle name="Normal 2 2" xfId="16"/>
    <cellStyle name="Normal 2 3" xfId="20"/>
    <cellStyle name="Normal 3" xfId="13"/>
    <cellStyle name="Normal 4" xfId="2"/>
    <cellStyle name="Normal 4 2" xfId="17"/>
    <cellStyle name="Normal_Sheet1" xfId="9"/>
    <cellStyle name="Normal_Township" xfId="10"/>
    <cellStyle name="Percent" xfId="1" builtinId="5"/>
    <cellStyle name="Percent 2" xfId="3"/>
    <cellStyle name="Percent 2 2" xfId="6"/>
    <cellStyle name="Percent 2 3" xfId="18"/>
    <cellStyle name="Percent 3" xfId="14"/>
  </cellStyles>
  <dxfs count="1261">
    <dxf>
      <alignment wrapText="1" readingOrder="0"/>
    </dxf>
    <dxf>
      <alignment wrapText="1" readingOrder="0"/>
    </dxf>
    <dxf>
      <alignment wrapText="1" readingOrder="0"/>
    </dxf>
    <dxf>
      <alignment wrapText="1" readingOrder="0"/>
    </dxf>
    <dxf>
      <alignment vertical="center" readingOrder="0"/>
    </dxf>
    <dxf>
      <alignment vertical="center" readingOrder="0"/>
    </dxf>
    <dxf>
      <alignment vertical="center" readingOrder="0"/>
    </dxf>
    <dxf>
      <alignment vertical="center" readingOrder="0"/>
    </dxf>
    <dxf>
      <alignment horizontal="center" readingOrder="0"/>
    </dxf>
    <dxf>
      <alignment horizontal="center" readingOrder="0"/>
    </dxf>
    <dxf>
      <alignment horizontal="center" readingOrder="0"/>
    </dxf>
    <dxf>
      <alignment horizontal="center" readingOrder="0"/>
    </dxf>
    <dxf>
      <fill>
        <patternFill patternType="solid">
          <bgColor rgb="FF0070C0"/>
        </patternFill>
      </fill>
    </dxf>
    <dxf>
      <font>
        <color theme="0"/>
      </font>
    </dxf>
    <dxf>
      <fill>
        <patternFill patternType="solid">
          <bgColor theme="5" tint="-0.249977111117893"/>
        </patternFill>
      </fill>
    </dxf>
    <dxf>
      <font>
        <color theme="0"/>
      </font>
    </dxf>
    <dxf>
      <fill>
        <patternFill patternType="solid">
          <bgColor theme="9" tint="-0.249977111117893"/>
        </patternFill>
      </fill>
    </dxf>
    <dxf>
      <font>
        <color theme="0"/>
      </font>
    </dxf>
    <dxf>
      <fill>
        <patternFill patternType="solid">
          <bgColor theme="1"/>
        </patternFill>
      </fill>
    </dxf>
    <dxf>
      <font>
        <color theme="0"/>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alignment wrapText="1" readingOrder="0"/>
    </dxf>
    <dxf>
      <alignment wrapText="1" readingOrder="0"/>
    </dxf>
    <dxf>
      <alignment wrapText="1" readingOrder="0"/>
    </dxf>
    <dxf>
      <alignment wrapText="1" readingOrder="0"/>
    </dxf>
    <dxf>
      <alignment vertical="center" readingOrder="0"/>
    </dxf>
    <dxf>
      <alignment vertical="center" readingOrder="0"/>
    </dxf>
    <dxf>
      <alignment vertical="center" readingOrder="0"/>
    </dxf>
    <dxf>
      <alignment vertical="center" readingOrder="0"/>
    </dxf>
    <dxf>
      <alignment horizontal="center" readingOrder="0"/>
    </dxf>
    <dxf>
      <alignment horizontal="center" readingOrder="0"/>
    </dxf>
    <dxf>
      <alignment horizontal="center" readingOrder="0"/>
    </dxf>
    <dxf>
      <alignment horizontal="center" readingOrder="0"/>
    </dxf>
    <dxf>
      <fill>
        <patternFill patternType="solid">
          <bgColor rgb="FF0070C0"/>
        </patternFill>
      </fill>
    </dxf>
    <dxf>
      <font>
        <color theme="0"/>
      </font>
    </dxf>
    <dxf>
      <fill>
        <patternFill patternType="solid">
          <bgColor theme="5" tint="-0.249977111117893"/>
        </patternFill>
      </fill>
    </dxf>
    <dxf>
      <font>
        <color theme="0"/>
      </font>
    </dxf>
    <dxf>
      <fill>
        <patternFill patternType="solid">
          <bgColor theme="9" tint="-0.249977111117893"/>
        </patternFill>
      </fill>
    </dxf>
    <dxf>
      <font>
        <color theme="0"/>
      </font>
    </dxf>
    <dxf>
      <fill>
        <patternFill patternType="solid">
          <bgColor theme="1"/>
        </patternFill>
      </fill>
    </dxf>
    <dxf>
      <font>
        <color theme="0"/>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b val="0"/>
        <i val="0"/>
        <strike val="0"/>
        <condense val="0"/>
        <extend val="0"/>
        <outline val="0"/>
        <shadow val="0"/>
        <u val="none"/>
        <vertAlign val="baseline"/>
        <sz val="10"/>
        <color theme="1"/>
        <name val="Corbel"/>
        <scheme val="none"/>
      </font>
      <fill>
        <patternFill patternType="none">
          <fgColor indexed="64"/>
          <bgColor auto="1"/>
        </patternFill>
      </fill>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0"/>
        <color theme="1"/>
        <name val="Corbel"/>
        <scheme val="none"/>
      </font>
      <fill>
        <patternFill patternType="none">
          <fgColor indexed="64"/>
          <bgColor auto="1"/>
        </patternFill>
      </fill>
      <border diagonalUp="0" diagonalDown="0" outline="0">
        <left/>
        <right/>
        <top style="thin">
          <color theme="4" tint="0.39997558519241921"/>
        </top>
        <bottom style="thin">
          <color theme="4" tint="0.39997558519241921"/>
        </bottom>
      </border>
    </dxf>
    <dxf>
      <border outline="0">
        <top style="thin">
          <color theme="4" tint="0.39997558519241921"/>
        </top>
        <bottom style="thin">
          <color theme="4" tint="0.39997558519241921"/>
        </bottom>
      </border>
    </dxf>
    <dxf>
      <font>
        <b val="0"/>
        <i val="0"/>
        <strike val="0"/>
        <condense val="0"/>
        <extend val="0"/>
        <outline val="0"/>
        <shadow val="0"/>
        <u val="none"/>
        <vertAlign val="baseline"/>
        <sz val="10"/>
        <color theme="1"/>
        <name val="Corbel"/>
        <scheme val="none"/>
      </font>
      <fill>
        <patternFill patternType="none">
          <fgColor indexed="64"/>
          <bgColor auto="1"/>
        </patternFill>
      </fill>
    </dxf>
    <dxf>
      <border outline="0">
        <bottom style="thin">
          <color theme="4" tint="0.39997558519241921"/>
        </bottom>
      </border>
    </dxf>
    <dxf>
      <font>
        <b val="0"/>
        <i val="0"/>
        <strike val="0"/>
        <condense val="0"/>
        <extend val="0"/>
        <outline val="0"/>
        <shadow val="0"/>
        <u val="none"/>
        <vertAlign val="baseline"/>
        <sz val="10"/>
        <color theme="1"/>
        <name val="Corbel"/>
        <scheme val="none"/>
      </font>
      <fill>
        <patternFill patternType="none">
          <fgColor indexed="64"/>
          <bgColor auto="1"/>
        </patternFill>
      </fill>
    </dxf>
    <dxf>
      <font>
        <b val="0"/>
        <i val="0"/>
        <strike val="0"/>
        <condense val="0"/>
        <extend val="0"/>
        <outline val="0"/>
        <shadow val="0"/>
        <u val="none"/>
        <vertAlign val="baseline"/>
        <sz val="10"/>
        <color indexed="8"/>
        <name val="Corbel"/>
        <scheme val="none"/>
      </font>
      <fill>
        <patternFill patternType="none">
          <fgColor indexed="64"/>
          <bgColor indexed="65"/>
        </patternFill>
      </fill>
      <alignment horizontal="general" vertical="center" textRotation="0" wrapText="0" indent="0" justifyLastLine="0" shrinkToFit="0" readingOrder="0"/>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0"/>
        <color indexed="8"/>
        <name val="Corbel"/>
        <scheme val="none"/>
      </font>
      <fill>
        <patternFill patternType="none">
          <fgColor indexed="64"/>
          <bgColor indexed="65"/>
        </patternFill>
      </fill>
      <alignment horizontal="general" vertical="center" textRotation="0" wrapText="0" indent="0" justifyLastLine="0" shrinkToFit="0" readingOrder="0"/>
      <border diagonalUp="0" diagonalDown="0" outline="0">
        <left/>
        <right/>
        <top style="thin">
          <color theme="4" tint="0.39997558519241921"/>
        </top>
        <bottom style="thin">
          <color theme="4" tint="0.39997558519241921"/>
        </bottom>
      </border>
    </dxf>
    <dxf>
      <border outline="0">
        <top style="thin">
          <color theme="4" tint="0.39997558519241921"/>
        </top>
        <bottom style="thin">
          <color theme="4" tint="0.39997558519241921"/>
        </bottom>
      </border>
    </dxf>
    <dxf>
      <font>
        <b val="0"/>
        <i val="0"/>
        <strike val="0"/>
        <condense val="0"/>
        <extend val="0"/>
        <outline val="0"/>
        <shadow val="0"/>
        <u val="none"/>
        <vertAlign val="baseline"/>
        <sz val="10"/>
        <color indexed="8"/>
        <name val="Corbel"/>
        <scheme val="none"/>
      </font>
      <fill>
        <patternFill patternType="none">
          <fgColor indexed="64"/>
          <bgColor indexed="65"/>
        </patternFill>
      </fill>
      <alignment horizontal="general" vertical="center" textRotation="0" wrapText="0" indent="0" justifyLastLine="0" shrinkToFit="0" readingOrder="0"/>
    </dxf>
    <dxf>
      <border outline="0">
        <bottom style="thin">
          <color theme="4" tint="0.39997558519241921"/>
        </bottom>
      </border>
    </dxf>
    <dxf>
      <font>
        <b val="0"/>
        <i val="0"/>
        <strike val="0"/>
        <condense val="0"/>
        <extend val="0"/>
        <outline val="0"/>
        <shadow val="0"/>
        <u val="none"/>
        <vertAlign val="baseline"/>
        <sz val="10"/>
        <color theme="1"/>
        <name val="Corbel"/>
        <scheme val="none"/>
      </font>
      <fill>
        <patternFill patternType="none">
          <fgColor indexed="64"/>
          <bgColor indexed="65"/>
        </patternFill>
      </fill>
    </dxf>
    <dxf>
      <font>
        <color rgb="FF9C0006"/>
      </font>
      <fill>
        <patternFill>
          <bgColor rgb="FFFFC7CE"/>
        </patternFill>
      </fill>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color theme="0"/>
      </font>
    </dxf>
    <dxf>
      <fill>
        <patternFill patternType="solid">
          <bgColor theme="1"/>
        </patternFill>
      </fill>
    </dxf>
    <dxf>
      <font>
        <color theme="0"/>
      </font>
    </dxf>
    <dxf>
      <fill>
        <patternFill patternType="solid">
          <bgColor theme="9" tint="-0.249977111117893"/>
        </patternFill>
      </fill>
    </dxf>
    <dxf>
      <font>
        <color theme="0"/>
      </font>
    </dxf>
    <dxf>
      <fill>
        <patternFill patternType="solid">
          <bgColor theme="5" tint="-0.249977111117893"/>
        </patternFill>
      </fill>
    </dxf>
    <dxf>
      <font>
        <color theme="0"/>
      </font>
    </dxf>
    <dxf>
      <fill>
        <patternFill patternType="solid">
          <bgColor rgb="FF0070C0"/>
        </patternFill>
      </fill>
    </dxf>
    <dxf>
      <alignment horizontal="center" readingOrder="0"/>
    </dxf>
    <dxf>
      <alignment horizontal="center" readingOrder="0"/>
    </dxf>
    <dxf>
      <alignment horizontal="center" readingOrder="0"/>
    </dxf>
    <dxf>
      <alignment horizontal="center" readingOrder="0"/>
    </dxf>
    <dxf>
      <alignment vertical="center" readingOrder="0"/>
    </dxf>
    <dxf>
      <alignment vertical="center" readingOrder="0"/>
    </dxf>
    <dxf>
      <alignment vertical="center" readingOrder="0"/>
    </dxf>
    <dxf>
      <alignment vertical="center" readingOrder="0"/>
    </dxf>
    <dxf>
      <alignment wrapText="1" readingOrder="0"/>
    </dxf>
    <dxf>
      <alignment wrapText="1" readingOrder="0"/>
    </dxf>
    <dxf>
      <alignment wrapText="1" readingOrder="0"/>
    </dxf>
    <dxf>
      <alignment wrapText="1" readingOrder="0"/>
    </dxf>
    <dxf>
      <font>
        <b val="0"/>
        <i val="0"/>
        <strike val="0"/>
        <condense val="0"/>
        <extend val="0"/>
        <outline val="0"/>
        <shadow val="0"/>
        <u val="none"/>
        <vertAlign val="baseline"/>
        <sz val="10"/>
        <color theme="1"/>
        <name val="Calibri"/>
        <scheme val="minor"/>
      </font>
      <numFmt numFmtId="13" formatCode="0%"/>
      <alignment horizontal="center" vertical="center" textRotation="0" wrapText="0" indent="0" justifyLastLine="0" shrinkToFit="0" readingOrder="0"/>
    </dxf>
    <dxf>
      <font>
        <b val="0"/>
        <i val="0"/>
        <strike val="0"/>
        <condense val="0"/>
        <extend val="0"/>
        <outline val="0"/>
        <shadow val="0"/>
        <u val="none"/>
        <vertAlign val="baseline"/>
        <sz val="10"/>
        <color theme="1"/>
        <name val="Calibri"/>
        <scheme val="minor"/>
      </font>
      <numFmt numFmtId="13" formatCode="0%"/>
      <alignment horizontal="center" vertical="center" textRotation="0" wrapText="0" indent="0" justifyLastLine="0" shrinkToFit="0" readingOrder="0"/>
    </dxf>
    <dxf>
      <font>
        <b val="0"/>
        <i val="0"/>
        <strike val="0"/>
        <condense val="0"/>
        <extend val="0"/>
        <outline val="0"/>
        <shadow val="0"/>
        <u val="none"/>
        <vertAlign val="baseline"/>
        <sz val="10"/>
        <color theme="1"/>
        <name val="Calibri"/>
        <scheme val="minor"/>
      </font>
      <numFmt numFmtId="13" formatCode="0%"/>
      <alignment horizontal="center" vertical="center" textRotation="0" wrapText="0" indent="0" justifyLastLine="0" shrinkToFit="0" readingOrder="0"/>
    </dxf>
    <dxf>
      <font>
        <b val="0"/>
        <i val="0"/>
        <strike val="0"/>
        <condense val="0"/>
        <extend val="0"/>
        <outline val="0"/>
        <shadow val="0"/>
        <u val="none"/>
        <vertAlign val="baseline"/>
        <sz val="10"/>
        <color theme="1"/>
        <name val="Calibri"/>
        <scheme val="minor"/>
      </font>
      <numFmt numFmtId="13" formatCode="0%"/>
      <alignment horizontal="center" vertical="center" textRotation="0" wrapText="0" indent="0" justifyLastLine="0" shrinkToFit="0" readingOrder="0"/>
    </dxf>
    <dxf>
      <font>
        <b val="0"/>
        <i val="0"/>
        <strike val="0"/>
        <condense val="0"/>
        <extend val="0"/>
        <outline val="0"/>
        <shadow val="0"/>
        <u val="none"/>
        <vertAlign val="baseline"/>
        <sz val="10"/>
        <color theme="1"/>
        <name val="Calibri"/>
        <scheme val="minor"/>
      </font>
      <numFmt numFmtId="13" formatCode="0%"/>
      <alignment horizontal="center" vertical="center" textRotation="0" wrapText="0" indent="0" justifyLastLine="0" shrinkToFit="0" readingOrder="0"/>
    </dxf>
    <dxf>
      <font>
        <b val="0"/>
        <i val="0"/>
        <strike val="0"/>
        <condense val="0"/>
        <extend val="0"/>
        <outline val="0"/>
        <shadow val="0"/>
        <u val="none"/>
        <vertAlign val="baseline"/>
        <sz val="10"/>
        <color theme="1"/>
        <name val="Calibri"/>
        <scheme val="minor"/>
      </font>
      <numFmt numFmtId="13" formatCode="0%"/>
      <alignment horizontal="center" vertical="center" textRotation="0" wrapText="0" indent="0" justifyLastLine="0" shrinkToFit="0" readingOrder="0"/>
    </dxf>
    <dxf>
      <font>
        <b val="0"/>
        <i val="0"/>
        <strike val="0"/>
        <condense val="0"/>
        <extend val="0"/>
        <outline val="0"/>
        <shadow val="0"/>
        <u val="none"/>
        <vertAlign val="baseline"/>
        <sz val="10"/>
        <color theme="1"/>
        <name val="Calibri"/>
        <scheme val="minor"/>
      </font>
      <numFmt numFmtId="164" formatCode="_(* #,##0_);_(* \(#,##0\);_(* &quot;-&quot;??_);_(@_)"/>
      <alignment vertical="center" textRotation="0" wrapText="0" indent="0" justifyLastLine="0" shrinkToFit="0" readingOrder="0"/>
    </dxf>
    <dxf>
      <font>
        <b val="0"/>
        <i val="0"/>
        <strike val="0"/>
        <condense val="0"/>
        <extend val="0"/>
        <outline val="0"/>
        <shadow val="0"/>
        <u val="none"/>
        <vertAlign val="baseline"/>
        <sz val="10"/>
        <color theme="1"/>
        <name val="Calibri"/>
        <scheme val="minor"/>
      </font>
      <numFmt numFmtId="164" formatCode="_(* #,##0_);_(* \(#,##0\);_(* &quot;-&quot;??_);_(@_)"/>
      <alignment vertical="center" textRotation="0" wrapText="0" indent="0" justifyLastLine="0" shrinkToFit="0" readingOrder="0"/>
    </dxf>
    <dxf>
      <font>
        <b val="0"/>
        <i val="0"/>
        <strike val="0"/>
        <condense val="0"/>
        <extend val="0"/>
        <outline val="0"/>
        <shadow val="0"/>
        <u val="none"/>
        <vertAlign val="baseline"/>
        <sz val="10"/>
        <color theme="1"/>
        <name val="Calibri"/>
        <scheme val="minor"/>
      </font>
      <alignment vertical="center" textRotation="0" wrapText="0" indent="0" justifyLastLine="0" shrinkToFit="0" readingOrder="0"/>
    </dxf>
    <dxf>
      <font>
        <b val="0"/>
        <i val="0"/>
        <strike val="0"/>
        <condense val="0"/>
        <extend val="0"/>
        <outline val="0"/>
        <shadow val="0"/>
        <u val="none"/>
        <vertAlign val="baseline"/>
        <sz val="10"/>
        <color theme="1"/>
        <name val="Calibri"/>
        <scheme val="minor"/>
      </font>
      <alignment vertical="center" textRotation="0" wrapText="0" indent="0" justifyLastLine="0" shrinkToFit="0" readingOrder="0"/>
    </dxf>
    <dxf>
      <font>
        <b val="0"/>
        <i val="0"/>
        <strike val="0"/>
        <condense val="0"/>
        <extend val="0"/>
        <outline val="0"/>
        <shadow val="0"/>
        <u val="none"/>
        <vertAlign val="baseline"/>
        <sz val="10"/>
        <color theme="1"/>
        <name val="Calibri"/>
        <scheme val="minor"/>
      </font>
      <alignment horizontal="left" vertical="center" textRotation="0" wrapText="0" indent="0" justifyLastLine="0" shrinkToFit="0" readingOrder="0"/>
    </dxf>
    <dxf>
      <font>
        <b val="0"/>
        <i val="0"/>
        <strike val="0"/>
        <condense val="0"/>
        <extend val="0"/>
        <outline val="0"/>
        <shadow val="0"/>
        <u val="none"/>
        <vertAlign val="baseline"/>
        <sz val="10"/>
        <color theme="1"/>
        <name val="Calibri"/>
        <scheme val="minor"/>
      </font>
      <alignment horizontal="left" vertical="center" textRotation="0" wrapText="0" indent="0" justifyLastLine="0" shrinkToFit="0" readingOrder="0"/>
    </dxf>
    <dxf>
      <font>
        <b val="0"/>
        <i val="0"/>
        <strike val="0"/>
        <condense val="0"/>
        <extend val="0"/>
        <outline val="0"/>
        <shadow val="0"/>
        <u val="none"/>
        <vertAlign val="baseline"/>
        <sz val="10"/>
        <color rgb="FF000000"/>
        <name val="Calibri"/>
        <scheme val="none"/>
      </font>
    </dxf>
    <dxf>
      <font>
        <b/>
        <i val="0"/>
        <strike val="0"/>
        <condense val="0"/>
        <extend val="0"/>
        <outline val="0"/>
        <shadow val="0"/>
        <u val="none"/>
        <vertAlign val="baseline"/>
        <sz val="9"/>
        <color theme="0"/>
        <name val="Calibri"/>
        <scheme val="minor"/>
      </font>
      <fill>
        <patternFill patternType="solid">
          <fgColor theme="4"/>
          <bgColor theme="4"/>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0"/>
        <color theme="1"/>
        <name val="Calibri"/>
        <scheme val="minor"/>
      </font>
      <numFmt numFmtId="13" formatCode="0%"/>
      <alignment horizontal="center" vertical="center" textRotation="0" wrapText="0" indent="0" justifyLastLine="0" shrinkToFit="0" readingOrder="0"/>
    </dxf>
    <dxf>
      <font>
        <b val="0"/>
        <i val="0"/>
        <strike val="0"/>
        <condense val="0"/>
        <extend val="0"/>
        <outline val="0"/>
        <shadow val="0"/>
        <u val="none"/>
        <vertAlign val="baseline"/>
        <sz val="10"/>
        <color theme="1"/>
        <name val="Calibri"/>
        <scheme val="minor"/>
      </font>
      <numFmt numFmtId="13" formatCode="0%"/>
      <alignment horizontal="center" vertical="center" textRotation="0" wrapText="0" indent="0" justifyLastLine="0" shrinkToFit="0" readingOrder="0"/>
    </dxf>
    <dxf>
      <font>
        <b val="0"/>
        <i val="0"/>
        <strike val="0"/>
        <condense val="0"/>
        <extend val="0"/>
        <outline val="0"/>
        <shadow val="0"/>
        <u val="none"/>
        <vertAlign val="baseline"/>
        <sz val="10"/>
        <color theme="1"/>
        <name val="Calibri"/>
        <scheme val="minor"/>
      </font>
      <numFmt numFmtId="13" formatCode="0%"/>
      <alignment horizontal="center" vertical="center" textRotation="0" wrapText="0" indent="0" justifyLastLine="0" shrinkToFit="0" readingOrder="0"/>
    </dxf>
    <dxf>
      <font>
        <b val="0"/>
        <i val="0"/>
        <strike val="0"/>
        <condense val="0"/>
        <extend val="0"/>
        <outline val="0"/>
        <shadow val="0"/>
        <u val="none"/>
        <vertAlign val="baseline"/>
        <sz val="10"/>
        <color theme="1"/>
        <name val="Calibri"/>
        <scheme val="minor"/>
      </font>
      <numFmt numFmtId="13" formatCode="0%"/>
      <alignment horizontal="center" vertical="center" textRotation="0" wrapText="0" indent="0" justifyLastLine="0" shrinkToFit="0" readingOrder="0"/>
    </dxf>
    <dxf>
      <font>
        <b val="0"/>
        <i val="0"/>
        <strike val="0"/>
        <condense val="0"/>
        <extend val="0"/>
        <outline val="0"/>
        <shadow val="0"/>
        <u val="none"/>
        <vertAlign val="baseline"/>
        <sz val="10"/>
        <color theme="1"/>
        <name val="Calibri"/>
        <scheme val="minor"/>
      </font>
      <numFmt numFmtId="13" formatCode="0%"/>
      <alignment horizontal="center" vertical="center" textRotation="0" wrapText="0" indent="0" justifyLastLine="0" shrinkToFit="0" readingOrder="0"/>
    </dxf>
    <dxf>
      <font>
        <b val="0"/>
        <i val="0"/>
        <strike val="0"/>
        <condense val="0"/>
        <extend val="0"/>
        <outline val="0"/>
        <shadow val="0"/>
        <u val="none"/>
        <vertAlign val="baseline"/>
        <sz val="10"/>
        <color theme="1"/>
        <name val="Calibri"/>
        <scheme val="minor"/>
      </font>
      <numFmt numFmtId="13" formatCode="0%"/>
      <alignment horizontal="center" vertical="center" textRotation="0" wrapText="0" indent="0" justifyLastLine="0" shrinkToFit="0" readingOrder="0"/>
    </dxf>
    <dxf>
      <font>
        <b val="0"/>
        <i val="0"/>
        <strike val="0"/>
        <condense val="0"/>
        <extend val="0"/>
        <outline val="0"/>
        <shadow val="0"/>
        <u val="none"/>
        <vertAlign val="baseline"/>
        <sz val="10"/>
        <color theme="1"/>
        <name val="Calibri"/>
        <scheme val="minor"/>
      </font>
      <numFmt numFmtId="164" formatCode="_(* #,##0_);_(* \(#,##0\);_(* &quot;-&quot;??_);_(@_)"/>
      <alignment vertical="center" textRotation="0" wrapText="0" indent="0" justifyLastLine="0" shrinkToFit="0" readingOrder="0"/>
    </dxf>
    <dxf>
      <font>
        <b val="0"/>
        <i val="0"/>
        <strike val="0"/>
        <condense val="0"/>
        <extend val="0"/>
        <outline val="0"/>
        <shadow val="0"/>
        <u val="none"/>
        <vertAlign val="baseline"/>
        <sz val="10"/>
        <color theme="1"/>
        <name val="Calibri"/>
        <scheme val="minor"/>
      </font>
      <numFmt numFmtId="164" formatCode="_(* #,##0_);_(* \(#,##0\);_(* &quot;-&quot;??_);_(@_)"/>
      <alignment vertical="center" textRotation="0" wrapText="0" indent="0" justifyLastLine="0" shrinkToFit="0" readingOrder="0"/>
    </dxf>
    <dxf>
      <font>
        <b val="0"/>
        <i val="0"/>
        <strike val="0"/>
        <condense val="0"/>
        <extend val="0"/>
        <outline val="0"/>
        <shadow val="0"/>
        <u val="none"/>
        <vertAlign val="baseline"/>
        <sz val="10"/>
        <color theme="1"/>
        <name val="Calibri"/>
        <scheme val="minor"/>
      </font>
      <alignment vertical="center" textRotation="0" wrapText="0" indent="0" justifyLastLine="0" shrinkToFit="0" readingOrder="0"/>
    </dxf>
    <dxf>
      <font>
        <b val="0"/>
        <i val="0"/>
        <strike val="0"/>
        <condense val="0"/>
        <extend val="0"/>
        <outline val="0"/>
        <shadow val="0"/>
        <u val="none"/>
        <vertAlign val="baseline"/>
        <sz val="10"/>
        <color theme="1"/>
        <name val="Calibri"/>
        <scheme val="minor"/>
      </font>
      <alignment vertical="center" textRotation="0" wrapText="0" indent="0" justifyLastLine="0" shrinkToFit="0" readingOrder="0"/>
    </dxf>
    <dxf>
      <font>
        <b val="0"/>
        <i val="0"/>
        <strike val="0"/>
        <condense val="0"/>
        <extend val="0"/>
        <outline val="0"/>
        <shadow val="0"/>
        <u val="none"/>
        <vertAlign val="baseline"/>
        <sz val="10"/>
        <color theme="1"/>
        <name val="Calibri"/>
        <scheme val="minor"/>
      </font>
      <alignment horizontal="left" vertical="center" textRotation="0" wrapText="0" indent="0" justifyLastLine="0" shrinkToFit="0" readingOrder="0"/>
    </dxf>
    <dxf>
      <font>
        <b val="0"/>
        <i val="0"/>
        <strike val="0"/>
        <condense val="0"/>
        <extend val="0"/>
        <outline val="0"/>
        <shadow val="0"/>
        <u val="none"/>
        <vertAlign val="baseline"/>
        <sz val="10"/>
        <color theme="1"/>
        <name val="Calibri"/>
        <scheme val="minor"/>
      </font>
      <fill>
        <patternFill patternType="solid">
          <fgColor theme="4" tint="0.79998168889431442"/>
          <bgColor theme="4" tint="0.79998168889431442"/>
        </patternFill>
      </fill>
      <alignment horizontal="left" vertical="center" textRotation="0" wrapText="0" indent="0" justifyLastLine="0" shrinkToFit="0" readingOrder="0"/>
    </dxf>
    <dxf>
      <font>
        <b val="0"/>
        <i val="0"/>
        <strike val="0"/>
        <condense val="0"/>
        <extend val="0"/>
        <outline val="0"/>
        <shadow val="0"/>
        <u val="none"/>
        <vertAlign val="baseline"/>
        <sz val="10"/>
        <color rgb="FF000000"/>
        <name val="Calibri"/>
        <scheme val="none"/>
      </font>
    </dxf>
    <dxf>
      <font>
        <b/>
        <i val="0"/>
        <strike val="0"/>
        <condense val="0"/>
        <extend val="0"/>
        <outline val="0"/>
        <shadow val="0"/>
        <u val="none"/>
        <vertAlign val="baseline"/>
        <sz val="9"/>
        <color theme="0"/>
        <name val="Calibri"/>
        <scheme val="minor"/>
      </font>
      <fill>
        <patternFill patternType="solid">
          <fgColor theme="4"/>
          <bgColor theme="4"/>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0"/>
        <color theme="1"/>
        <name val="Calibri"/>
        <scheme val="minor"/>
      </font>
      <numFmt numFmtId="13" formatCode="0%"/>
      <alignment horizontal="center" vertical="center" textRotation="0" wrapText="0" indent="0" justifyLastLine="0" shrinkToFit="0" readingOrder="0"/>
    </dxf>
    <dxf>
      <font>
        <b val="0"/>
        <i val="0"/>
        <strike val="0"/>
        <condense val="0"/>
        <extend val="0"/>
        <outline val="0"/>
        <shadow val="0"/>
        <u val="none"/>
        <vertAlign val="baseline"/>
        <sz val="10"/>
        <color theme="1"/>
        <name val="Calibri"/>
        <scheme val="minor"/>
      </font>
      <numFmt numFmtId="13" formatCode="0%"/>
      <alignment horizontal="center" vertical="center" textRotation="0" wrapText="0" indent="0" justifyLastLine="0" shrinkToFit="0" readingOrder="0"/>
    </dxf>
    <dxf>
      <font>
        <b val="0"/>
        <i val="0"/>
        <strike val="0"/>
        <condense val="0"/>
        <extend val="0"/>
        <outline val="0"/>
        <shadow val="0"/>
        <u val="none"/>
        <vertAlign val="baseline"/>
        <sz val="10"/>
        <color theme="1"/>
        <name val="Calibri"/>
        <scheme val="minor"/>
      </font>
      <numFmt numFmtId="13" formatCode="0%"/>
      <alignment horizontal="center" vertical="center" textRotation="0" wrapText="0" indent="0" justifyLastLine="0" shrinkToFit="0" readingOrder="0"/>
    </dxf>
    <dxf>
      <font>
        <b val="0"/>
        <i val="0"/>
        <strike val="0"/>
        <condense val="0"/>
        <extend val="0"/>
        <outline val="0"/>
        <shadow val="0"/>
        <u val="none"/>
        <vertAlign val="baseline"/>
        <sz val="10"/>
        <color theme="1"/>
        <name val="Calibri"/>
        <scheme val="minor"/>
      </font>
      <numFmt numFmtId="13" formatCode="0%"/>
      <alignment horizontal="center" vertical="center" textRotation="0" wrapText="0" indent="0" justifyLastLine="0" shrinkToFit="0" readingOrder="0"/>
    </dxf>
    <dxf>
      <font>
        <b val="0"/>
        <i val="0"/>
        <strike val="0"/>
        <condense val="0"/>
        <extend val="0"/>
        <outline val="0"/>
        <shadow val="0"/>
        <u val="none"/>
        <vertAlign val="baseline"/>
        <sz val="10"/>
        <color theme="1"/>
        <name val="Calibri"/>
        <scheme val="minor"/>
      </font>
      <numFmt numFmtId="13" formatCode="0%"/>
      <alignment horizontal="center" vertical="center" textRotation="0" wrapText="0" indent="0" justifyLastLine="0" shrinkToFit="0" readingOrder="0"/>
    </dxf>
    <dxf>
      <font>
        <b val="0"/>
        <i val="0"/>
        <strike val="0"/>
        <condense val="0"/>
        <extend val="0"/>
        <outline val="0"/>
        <shadow val="0"/>
        <u val="none"/>
        <vertAlign val="baseline"/>
        <sz val="10"/>
        <color theme="1"/>
        <name val="Calibri"/>
        <scheme val="minor"/>
      </font>
      <numFmt numFmtId="13" formatCode="0%"/>
      <alignment horizontal="center" vertical="center" textRotation="0" wrapText="0" indent="0" justifyLastLine="0" shrinkToFit="0" readingOrder="0"/>
    </dxf>
    <dxf>
      <font>
        <b val="0"/>
        <i val="0"/>
        <strike val="0"/>
        <condense val="0"/>
        <extend val="0"/>
        <outline val="0"/>
        <shadow val="0"/>
        <u val="none"/>
        <vertAlign val="baseline"/>
        <sz val="10"/>
        <color theme="1"/>
        <name val="Calibri"/>
        <scheme val="minor"/>
      </font>
      <numFmt numFmtId="164" formatCode="_(* #,##0_);_(* \(#,##0\);_(* &quot;-&quot;??_);_(@_)"/>
    </dxf>
    <dxf>
      <font>
        <b val="0"/>
        <i val="0"/>
        <strike val="0"/>
        <condense val="0"/>
        <extend val="0"/>
        <outline val="0"/>
        <shadow val="0"/>
        <u val="none"/>
        <vertAlign val="baseline"/>
        <sz val="10"/>
        <color theme="1"/>
        <name val="Calibri"/>
        <scheme val="minor"/>
      </font>
      <numFmt numFmtId="164" formatCode="_(* #,##0_);_(* \(#,##0\);_(* &quot;-&quot;??_);_(@_)"/>
      <alignment vertical="center" textRotation="0" wrapText="0" indent="0" justifyLastLine="0" shrinkToFit="0" readingOrder="0"/>
    </dxf>
    <dxf>
      <font>
        <b val="0"/>
        <i val="0"/>
        <strike val="0"/>
        <condense val="0"/>
        <extend val="0"/>
        <outline val="0"/>
        <shadow val="0"/>
        <u val="none"/>
        <vertAlign val="baseline"/>
        <sz val="10"/>
        <color theme="1"/>
        <name val="Calibri"/>
        <scheme val="minor"/>
      </font>
    </dxf>
    <dxf>
      <font>
        <b val="0"/>
        <i val="0"/>
        <strike val="0"/>
        <condense val="0"/>
        <extend val="0"/>
        <outline val="0"/>
        <shadow val="0"/>
        <u val="none"/>
        <vertAlign val="baseline"/>
        <sz val="10"/>
        <color theme="1"/>
        <name val="Calibri"/>
        <scheme val="minor"/>
      </font>
      <fill>
        <patternFill patternType="solid">
          <fgColor theme="4" tint="0.79998168889431442"/>
          <bgColor theme="4" tint="0.79998168889431442"/>
        </patternFill>
      </fill>
      <alignment vertical="center" textRotation="0" wrapText="0" indent="0" justifyLastLine="0" shrinkToFit="0" readingOrder="0"/>
    </dxf>
    <dxf>
      <font>
        <b val="0"/>
        <i val="0"/>
        <strike val="0"/>
        <condense val="0"/>
        <extend val="0"/>
        <outline val="0"/>
        <shadow val="0"/>
        <u val="none"/>
        <vertAlign val="baseline"/>
        <sz val="10"/>
        <color theme="1"/>
        <name val="Calibri"/>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scheme val="minor"/>
      </font>
      <alignment horizontal="left" vertical="center" textRotation="0" wrapText="0" indent="0" justifyLastLine="0" shrinkToFit="0" readingOrder="0"/>
    </dxf>
    <dxf>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10"/>
        <color theme="1"/>
        <name val="Calibri"/>
        <scheme val="minor"/>
      </font>
    </dxf>
    <dxf>
      <font>
        <b/>
        <i val="0"/>
        <strike val="0"/>
        <condense val="0"/>
        <extend val="0"/>
        <outline val="0"/>
        <shadow val="0"/>
        <u val="none"/>
        <vertAlign val="baseline"/>
        <sz val="9"/>
        <color theme="0"/>
        <name val="Calibri"/>
        <scheme val="minor"/>
      </font>
      <fill>
        <patternFill patternType="solid">
          <fgColor theme="4"/>
          <bgColor theme="4"/>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color theme="0"/>
      </font>
    </dxf>
    <dxf>
      <fill>
        <patternFill patternType="solid">
          <bgColor theme="1"/>
        </patternFill>
      </fill>
    </dxf>
    <dxf>
      <font>
        <color theme="0"/>
      </font>
    </dxf>
    <dxf>
      <fill>
        <patternFill patternType="solid">
          <bgColor theme="9" tint="-0.249977111117893"/>
        </patternFill>
      </fill>
    </dxf>
    <dxf>
      <font>
        <color theme="0"/>
      </font>
    </dxf>
    <dxf>
      <fill>
        <patternFill patternType="solid">
          <bgColor theme="5" tint="-0.249977111117893"/>
        </patternFill>
      </fill>
    </dxf>
    <dxf>
      <font>
        <color theme="0"/>
      </font>
    </dxf>
    <dxf>
      <fill>
        <patternFill patternType="solid">
          <bgColor rgb="FF0070C0"/>
        </patternFill>
      </fill>
    </dxf>
    <dxf>
      <alignment horizontal="center" readingOrder="0"/>
    </dxf>
    <dxf>
      <alignment horizontal="center" readingOrder="0"/>
    </dxf>
    <dxf>
      <alignment horizontal="center" readingOrder="0"/>
    </dxf>
    <dxf>
      <alignment horizontal="center" readingOrder="0"/>
    </dxf>
    <dxf>
      <alignment vertical="center" readingOrder="0"/>
    </dxf>
    <dxf>
      <alignment vertical="center" readingOrder="0"/>
    </dxf>
    <dxf>
      <alignment vertical="center" readingOrder="0"/>
    </dxf>
    <dxf>
      <alignment vertical="center" readingOrder="0"/>
    </dxf>
    <dxf>
      <alignment wrapText="1" readingOrder="0"/>
    </dxf>
    <dxf>
      <alignment wrapText="1" readingOrder="0"/>
    </dxf>
    <dxf>
      <alignment wrapText="1" readingOrder="0"/>
    </dxf>
    <dxf>
      <alignment wrapText="1" readingOrder="0"/>
    </dxf>
    <dxf>
      <numFmt numFmtId="13" formatCode="0%"/>
    </dxf>
    <dxf>
      <font>
        <sz val="9"/>
      </font>
    </dxf>
    <dxf>
      <font>
        <sz val="9"/>
      </font>
    </dxf>
    <dxf>
      <font>
        <sz val="9"/>
      </font>
    </dxf>
    <dxf>
      <font>
        <sz val="9"/>
      </font>
    </dxf>
    <dxf>
      <font>
        <sz val="9"/>
      </font>
    </dxf>
    <dxf>
      <font>
        <name val="Calibri"/>
        <scheme val="minor"/>
      </font>
    </dxf>
    <dxf>
      <font>
        <name val="Calibri"/>
        <scheme val="minor"/>
      </font>
    </dxf>
    <dxf>
      <font>
        <name val="Calibri"/>
        <scheme val="minor"/>
      </font>
    </dxf>
    <dxf>
      <font>
        <name val="Calibri"/>
        <scheme val="minor"/>
      </font>
    </dxf>
    <dxf>
      <font>
        <name val="Calibri"/>
        <scheme val="minor"/>
      </font>
    </dxf>
    <dxf>
      <alignment wrapText="1"/>
    </dxf>
    <dxf>
      <alignment wrapText="1"/>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sz val="10"/>
      </font>
    </dxf>
    <dxf>
      <font>
        <sz val="10"/>
      </font>
    </dxf>
    <dxf>
      <font>
        <sz val="10"/>
      </font>
    </dxf>
    <dxf>
      <font>
        <sz val="10"/>
      </font>
    </dxf>
    <dxf>
      <font>
        <sz val="10"/>
      </font>
    </dxf>
    <dxf>
      <font>
        <sz val="10"/>
      </font>
    </dxf>
    <dxf>
      <font>
        <sz val="10"/>
      </font>
    </dxf>
    <dxf>
      <alignment wrapText="1"/>
    </dxf>
    <dxf>
      <alignment wrapText="1"/>
    </dxf>
    <dxf>
      <alignment wrapText="1"/>
    </dxf>
    <dxf>
      <numFmt numFmtId="164" formatCode="_(* #,##0_);_(* \(#,##0\);_(* &quot;-&quot;??_);_(@_)"/>
    </dxf>
    <dxf>
      <numFmt numFmtId="13" formatCode="0%"/>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name val="Calibri"/>
        <scheme val="minor"/>
      </font>
    </dxf>
    <dxf>
      <font>
        <name val="Calibri"/>
        <scheme val="minor"/>
      </font>
    </dxf>
    <dxf>
      <font>
        <name val="Calibri"/>
        <scheme val="minor"/>
      </font>
    </dxf>
    <dxf>
      <font>
        <name val="Calibri"/>
        <scheme val="minor"/>
      </font>
    </dxf>
    <dxf>
      <numFmt numFmtId="164" formatCode="_(* #,##0_);_(* \(#,##0\);_(* &quot;-&quot;??_);_(@_)"/>
    </dxf>
    <dxf>
      <alignment wrapText="1"/>
    </dxf>
    <dxf>
      <alignment wrapText="1"/>
    </dxf>
    <dxf>
      <font>
        <name val="Calibri"/>
        <scheme val="minor"/>
      </font>
    </dxf>
    <dxf>
      <font>
        <name val="Calibri"/>
        <scheme val="minor"/>
      </font>
    </dxf>
    <dxf>
      <font>
        <name val="Calibri"/>
        <scheme val="minor"/>
      </font>
    </dxf>
    <dxf>
      <font>
        <name val="Calibri"/>
        <scheme val="minor"/>
      </font>
    </dxf>
    <dxf>
      <font>
        <name val="Calibri"/>
        <scheme val="minor"/>
      </font>
    </dxf>
    <dxf>
      <font>
        <sz val="10"/>
      </font>
    </dxf>
    <dxf>
      <font>
        <sz val="10"/>
      </font>
    </dxf>
    <dxf>
      <font>
        <sz val="10"/>
      </font>
    </dxf>
    <dxf>
      <font>
        <sz val="10"/>
      </font>
    </dxf>
    <dxf>
      <font>
        <sz val="10"/>
      </font>
    </dxf>
    <dxf>
      <numFmt numFmtId="13" formatCode="0%"/>
    </dxf>
    <dxf>
      <numFmt numFmtId="13" formatCode="0%"/>
    </dxf>
    <dxf>
      <numFmt numFmtId="14" formatCode="0.00%"/>
    </dxf>
    <dxf>
      <alignment wrapText="1"/>
    </dxf>
    <dxf>
      <alignment wrapText="1"/>
    </dxf>
    <dxf>
      <numFmt numFmtId="13" formatCode="0%"/>
    </dxf>
    <dxf>
      <font>
        <sz val="10"/>
      </font>
    </dxf>
    <dxf>
      <font>
        <sz val="10"/>
      </font>
    </dxf>
    <dxf>
      <font>
        <sz val="10"/>
      </font>
    </dxf>
    <dxf>
      <font>
        <sz val="10"/>
      </font>
    </dxf>
    <dxf>
      <font>
        <sz val="10"/>
      </font>
    </dxf>
    <dxf>
      <font>
        <sz val="10"/>
      </font>
    </dxf>
    <dxf>
      <font>
        <sz val="10"/>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sz val="10"/>
      </font>
    </dxf>
    <dxf>
      <font>
        <sz val="10"/>
      </font>
    </dxf>
    <dxf>
      <font>
        <sz val="10"/>
      </font>
    </dxf>
    <dxf>
      <font>
        <sz val="10"/>
      </font>
    </dxf>
    <dxf>
      <font>
        <sz val="10"/>
      </font>
    </dxf>
    <dxf>
      <font>
        <sz val="10"/>
      </font>
    </dxf>
    <dxf>
      <font>
        <sz val="10"/>
      </font>
    </dxf>
    <dxf>
      <alignment wrapText="1"/>
    </dxf>
    <dxf>
      <alignment wrapText="1"/>
    </dxf>
    <dxf>
      <alignment wrapText="1"/>
    </dxf>
    <dxf>
      <alignment wrapText="1"/>
    </dxf>
    <dxf>
      <alignment wrapText="1"/>
    </dxf>
    <dxf>
      <font>
        <name val="Calibri"/>
        <scheme val="minor"/>
      </font>
    </dxf>
    <dxf>
      <font>
        <name val="Calibri"/>
        <scheme val="minor"/>
      </font>
    </dxf>
    <dxf>
      <font>
        <name val="Calibri"/>
        <scheme val="minor"/>
      </font>
    </dxf>
    <dxf>
      <font>
        <name val="Calibri"/>
        <scheme val="minor"/>
      </font>
    </dxf>
    <dxf>
      <font>
        <name val="Calibri"/>
        <scheme val="minor"/>
      </font>
    </dxf>
    <dxf>
      <font>
        <sz val="10"/>
      </font>
    </dxf>
    <dxf>
      <font>
        <sz val="10"/>
      </font>
    </dxf>
    <dxf>
      <font>
        <sz val="10"/>
      </font>
    </dxf>
    <dxf>
      <font>
        <sz val="10"/>
      </font>
    </dxf>
    <dxf>
      <font>
        <sz val="10"/>
      </font>
    </dxf>
    <dxf>
      <numFmt numFmtId="13" formatCode="0%"/>
    </dxf>
    <dxf>
      <numFmt numFmtId="13" formatCode="0%"/>
    </dxf>
    <dxf>
      <numFmt numFmtId="14" formatCode="0.00%"/>
    </dxf>
    <dxf>
      <alignment wrapText="1"/>
    </dxf>
    <dxf>
      <alignment wrapText="1"/>
    </dxf>
    <dxf>
      <numFmt numFmtId="13" formatCode="0%"/>
    </dxf>
    <dxf>
      <font>
        <sz val="10"/>
      </font>
    </dxf>
    <dxf>
      <font>
        <sz val="10"/>
      </font>
    </dxf>
    <dxf>
      <font>
        <sz val="10"/>
      </font>
    </dxf>
    <dxf>
      <font>
        <sz val="10"/>
      </font>
    </dxf>
    <dxf>
      <font>
        <sz val="10"/>
      </font>
    </dxf>
    <dxf>
      <font>
        <sz val="10"/>
      </font>
    </dxf>
    <dxf>
      <font>
        <sz val="10"/>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sz val="10"/>
      </font>
    </dxf>
    <dxf>
      <font>
        <sz val="10"/>
      </font>
    </dxf>
    <dxf>
      <font>
        <sz val="10"/>
      </font>
    </dxf>
    <dxf>
      <font>
        <sz val="10"/>
      </font>
    </dxf>
    <dxf>
      <font>
        <sz val="10"/>
      </font>
    </dxf>
    <dxf>
      <font>
        <sz val="10"/>
      </font>
    </dxf>
    <dxf>
      <font>
        <sz val="10"/>
      </font>
    </dxf>
    <dxf>
      <font>
        <sz val="10"/>
      </font>
    </dxf>
    <dxf>
      <alignment wrapText="1"/>
    </dxf>
    <dxf>
      <alignment wrapText="1"/>
    </dxf>
    <dxf>
      <alignment wrapText="1"/>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name val="Calibri"/>
        <scheme val="minor"/>
      </font>
    </dxf>
    <dxf>
      <font>
        <name val="Calibri"/>
        <scheme val="minor"/>
      </font>
    </dxf>
    <dxf>
      <font>
        <name val="Calibri"/>
        <scheme val="minor"/>
      </font>
    </dxf>
    <dxf>
      <font>
        <name val="Calibri"/>
        <scheme val="minor"/>
      </font>
    </dxf>
    <dxf>
      <numFmt numFmtId="1" formatCode="0"/>
    </dxf>
    <dxf>
      <numFmt numFmtId="1" formatCode="0"/>
    </dxf>
    <dxf>
      <alignment wrapText="1"/>
    </dxf>
    <dxf>
      <alignment wrapText="1"/>
    </dxf>
    <dxf>
      <font>
        <sz val="10"/>
      </font>
    </dxf>
    <dxf>
      <font>
        <sz val="10"/>
      </font>
    </dxf>
    <dxf>
      <font>
        <sz val="10"/>
      </font>
    </dxf>
    <dxf>
      <font>
        <sz val="10"/>
      </font>
    </dxf>
    <dxf>
      <font>
        <name val="Calibri"/>
        <scheme val="minor"/>
      </font>
    </dxf>
    <dxf>
      <font>
        <name val="Calibri"/>
        <scheme val="minor"/>
      </font>
    </dxf>
    <dxf>
      <font>
        <name val="Calibri"/>
        <scheme val="minor"/>
      </font>
    </dxf>
    <dxf>
      <font>
        <name val="Calibri"/>
        <scheme val="minor"/>
      </font>
    </dxf>
    <dxf>
      <font>
        <sz val="9"/>
      </font>
    </dxf>
    <dxf>
      <font>
        <sz val="9"/>
      </font>
    </dxf>
    <dxf>
      <font>
        <sz val="9"/>
      </font>
    </dxf>
    <dxf>
      <font>
        <sz val="9"/>
      </font>
    </dxf>
    <dxf>
      <font>
        <name val="Calibri"/>
        <scheme val="minor"/>
      </font>
    </dxf>
    <dxf>
      <font>
        <name val="Calibri"/>
        <scheme val="minor"/>
      </font>
    </dxf>
    <dxf>
      <font>
        <name val="Calibri"/>
        <scheme val="minor"/>
      </font>
    </dxf>
    <dxf>
      <font>
        <name val="Calibri"/>
        <scheme val="minor"/>
      </font>
    </dxf>
    <dxf>
      <alignment wrapText="1"/>
    </dxf>
    <dxf>
      <numFmt numFmtId="1" formatCode="0"/>
    </dxf>
    <dxf>
      <numFmt numFmtId="1" formatCode="0"/>
    </dxf>
    <dxf>
      <alignment wrapText="1"/>
    </dxf>
    <dxf>
      <alignment wrapText="1"/>
    </dxf>
    <dxf>
      <font>
        <sz val="10"/>
      </font>
    </dxf>
    <dxf>
      <font>
        <sz val="10"/>
      </font>
    </dxf>
    <dxf>
      <font>
        <sz val="10"/>
      </font>
    </dxf>
    <dxf>
      <font>
        <sz val="10"/>
      </font>
    </dxf>
    <dxf>
      <font>
        <name val="Calibri"/>
        <scheme val="minor"/>
      </font>
    </dxf>
    <dxf>
      <font>
        <name val="Calibri"/>
        <scheme val="minor"/>
      </font>
    </dxf>
    <dxf>
      <font>
        <name val="Calibri"/>
        <scheme val="minor"/>
      </font>
    </dxf>
    <dxf>
      <font>
        <name val="Calibri"/>
        <scheme val="minor"/>
      </font>
    </dxf>
    <dxf>
      <alignment wrapText="1"/>
    </dxf>
    <dxf>
      <alignment wrapText="1"/>
    </dxf>
    <dxf>
      <font>
        <name val="Calibri"/>
        <scheme val="minor"/>
      </font>
    </dxf>
    <dxf>
      <font>
        <name val="Calibri"/>
        <scheme val="minor"/>
      </font>
    </dxf>
    <dxf>
      <font>
        <name val="Calibri"/>
        <scheme val="minor"/>
      </font>
    </dxf>
    <dxf>
      <font>
        <name val="Calibri"/>
        <scheme val="minor"/>
      </font>
    </dxf>
    <dxf>
      <font>
        <name val="Calibri"/>
        <scheme val="minor"/>
      </font>
    </dxf>
    <dxf>
      <font>
        <sz val="10"/>
      </font>
    </dxf>
    <dxf>
      <font>
        <sz val="10"/>
      </font>
    </dxf>
    <dxf>
      <font>
        <sz val="10"/>
      </font>
    </dxf>
    <dxf>
      <font>
        <sz val="10"/>
      </font>
    </dxf>
    <dxf>
      <font>
        <sz val="10"/>
      </font>
    </dxf>
    <dxf>
      <numFmt numFmtId="13" formatCode="0%"/>
    </dxf>
    <dxf>
      <numFmt numFmtId="13" formatCode="0%"/>
    </dxf>
    <dxf>
      <numFmt numFmtId="14" formatCode="0.00%"/>
    </dxf>
    <dxf>
      <alignment wrapText="1"/>
    </dxf>
    <dxf>
      <alignment wrapText="1"/>
    </dxf>
    <dxf>
      <numFmt numFmtId="13" formatCode="0%"/>
    </dxf>
    <dxf>
      <font>
        <sz val="10"/>
      </font>
    </dxf>
    <dxf>
      <font>
        <sz val="10"/>
      </font>
    </dxf>
    <dxf>
      <font>
        <sz val="10"/>
      </font>
    </dxf>
    <dxf>
      <font>
        <sz val="10"/>
      </font>
    </dxf>
    <dxf>
      <font>
        <sz val="10"/>
      </font>
    </dxf>
    <dxf>
      <font>
        <sz val="10"/>
      </font>
    </dxf>
    <dxf>
      <font>
        <sz val="10"/>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numFmt numFmtId="3" formatCode="#,##0"/>
    </dxf>
    <dxf>
      <numFmt numFmtId="3" formatCode="#,##0"/>
    </dxf>
    <dxf>
      <numFmt numFmtId="3" formatCode="#,##0"/>
    </dxf>
    <dxf>
      <numFmt numFmtId="3" formatCode="#,##0"/>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numFmt numFmtId="1" formatCode="0"/>
    </dxf>
    <dxf>
      <numFmt numFmtId="1" formatCode="0"/>
    </dxf>
    <dxf>
      <alignment wrapText="1"/>
    </dxf>
    <dxf>
      <alignment wrapText="1"/>
    </dxf>
    <dxf>
      <font>
        <sz val="10"/>
      </font>
    </dxf>
    <dxf>
      <font>
        <sz val="10"/>
      </font>
    </dxf>
    <dxf>
      <font>
        <sz val="10"/>
      </font>
    </dxf>
    <dxf>
      <font>
        <sz val="10"/>
      </font>
    </dxf>
    <dxf>
      <font>
        <name val="Calibri"/>
        <scheme val="minor"/>
      </font>
    </dxf>
    <dxf>
      <font>
        <name val="Calibri"/>
        <scheme val="minor"/>
      </font>
    </dxf>
    <dxf>
      <font>
        <name val="Calibri"/>
        <scheme val="minor"/>
      </font>
    </dxf>
    <dxf>
      <font>
        <name val="Calibri"/>
        <scheme val="minor"/>
      </font>
    </dxf>
    <dxf>
      <font>
        <strike val="0"/>
        <outline val="0"/>
        <shadow val="0"/>
        <u val="none"/>
        <vertAlign val="baseline"/>
        <sz val="10"/>
        <name val="Calibri"/>
        <scheme val="minor"/>
      </font>
    </dxf>
    <dxf>
      <font>
        <strike val="0"/>
        <outline val="0"/>
        <shadow val="0"/>
        <u val="none"/>
        <vertAlign val="baseline"/>
        <sz val="10"/>
        <name val="Calibri"/>
        <scheme val="minor"/>
      </font>
      <alignment horizontal="general" vertical="bottom" textRotation="0" wrapText="1" indent="0" justifyLastLine="0" shrinkToFit="0" readingOrder="1"/>
    </dxf>
    <dxf>
      <font>
        <strike val="0"/>
        <outline val="0"/>
        <shadow val="0"/>
        <u val="none"/>
        <vertAlign val="baseline"/>
        <sz val="10"/>
        <name val="Calibri"/>
        <scheme val="minor"/>
      </font>
    </dxf>
    <dxf>
      <font>
        <strike val="0"/>
        <outline val="0"/>
        <shadow val="0"/>
        <u val="none"/>
        <vertAlign val="baseline"/>
        <sz val="10"/>
        <name val="Calibri"/>
        <scheme val="minor"/>
      </font>
      <numFmt numFmtId="1" formatCode="0"/>
    </dxf>
    <dxf>
      <font>
        <strike val="0"/>
        <outline val="0"/>
        <shadow val="0"/>
        <u val="none"/>
        <vertAlign val="baseline"/>
        <sz val="10"/>
        <name val="Calibri"/>
        <scheme val="minor"/>
      </font>
      <numFmt numFmtId="0" formatCode="General"/>
    </dxf>
    <dxf>
      <font>
        <strike val="0"/>
        <outline val="0"/>
        <shadow val="0"/>
        <u val="none"/>
        <vertAlign val="baseline"/>
        <sz val="10"/>
        <name val="Calibri"/>
        <scheme val="minor"/>
      </font>
    </dxf>
    <dxf>
      <font>
        <strike val="0"/>
        <outline val="0"/>
        <shadow val="0"/>
        <u val="none"/>
        <vertAlign val="baseline"/>
        <sz val="10"/>
        <name val="Calibri"/>
        <scheme val="minor"/>
      </font>
      <border diagonalUp="0" diagonalDown="0">
        <left/>
        <right/>
        <top style="thin">
          <color theme="4" tint="0.39997558519241921"/>
        </top>
        <bottom style="thin">
          <color theme="4" tint="0.39997558519241921"/>
        </bottom>
        <vertical/>
        <horizontal/>
      </border>
    </dxf>
    <dxf>
      <font>
        <strike val="0"/>
        <outline val="0"/>
        <shadow val="0"/>
        <u val="none"/>
        <vertAlign val="baseline"/>
        <sz val="10"/>
        <name val="Calibri"/>
        <scheme val="minor"/>
      </font>
      <border diagonalUp="0" diagonalDown="0">
        <left/>
        <right/>
        <top style="thin">
          <color theme="4" tint="0.39997558519241921"/>
        </top>
        <bottom style="thin">
          <color theme="4" tint="0.39997558519241921"/>
        </bottom>
        <vertical/>
        <horizontal/>
      </border>
    </dxf>
    <dxf>
      <font>
        <strike val="0"/>
        <outline val="0"/>
        <shadow val="0"/>
        <u val="none"/>
        <vertAlign val="baseline"/>
        <sz val="10"/>
        <name val="Calibri"/>
        <scheme val="minor"/>
      </font>
    </dxf>
    <dxf>
      <font>
        <strike val="0"/>
        <outline val="0"/>
        <shadow val="0"/>
        <u val="none"/>
        <vertAlign val="baseline"/>
        <sz val="10"/>
        <name val="Calibri"/>
        <scheme val="minor"/>
      </font>
      <fill>
        <patternFill patternType="solid">
          <fgColor indexed="64"/>
          <bgColor theme="5" tint="-0.249977111117893"/>
        </patternFill>
      </fill>
    </dxf>
    <dxf>
      <font>
        <strike val="0"/>
        <outline val="0"/>
        <shadow val="0"/>
        <u val="none"/>
        <vertAlign val="baseline"/>
        <sz val="10"/>
        <name val="Calibri"/>
        <scheme val="minor"/>
      </font>
      <fill>
        <patternFill patternType="solid">
          <fgColor indexed="64"/>
          <bgColor theme="5" tint="-0.249977111117893"/>
        </patternFill>
      </fill>
    </dxf>
    <dxf>
      <font>
        <strike val="0"/>
        <outline val="0"/>
        <shadow val="0"/>
        <u val="none"/>
        <vertAlign val="baseline"/>
        <sz val="10"/>
        <name val="Calibri"/>
        <scheme val="minor"/>
      </font>
    </dxf>
    <dxf>
      <font>
        <strike val="0"/>
        <outline val="0"/>
        <shadow val="0"/>
        <u val="none"/>
        <vertAlign val="baseline"/>
        <sz val="10"/>
        <name val="Calibri"/>
        <scheme val="minor"/>
      </font>
    </dxf>
    <dxf>
      <font>
        <strike val="0"/>
        <outline val="0"/>
        <shadow val="0"/>
        <u val="none"/>
        <vertAlign val="baseline"/>
        <sz val="10"/>
        <name val="Calibri"/>
        <scheme val="minor"/>
      </font>
    </dxf>
    <dxf>
      <font>
        <strike val="0"/>
        <outline val="0"/>
        <shadow val="0"/>
        <u val="none"/>
        <vertAlign val="baseline"/>
        <sz val="10"/>
        <name val="Calibri"/>
        <scheme val="minor"/>
      </font>
    </dxf>
    <dxf>
      <font>
        <strike val="0"/>
        <outline val="0"/>
        <shadow val="0"/>
        <u val="none"/>
        <vertAlign val="baseline"/>
        <sz val="10"/>
        <name val="Calibri"/>
        <scheme val="minor"/>
      </font>
    </dxf>
    <dxf>
      <font>
        <strike val="0"/>
        <outline val="0"/>
        <shadow val="0"/>
        <u val="none"/>
        <vertAlign val="baseline"/>
        <sz val="10"/>
        <name val="Calibri"/>
        <scheme val="minor"/>
      </font>
    </dxf>
    <dxf>
      <font>
        <b val="0"/>
        <i val="0"/>
        <strike val="0"/>
        <condense val="0"/>
        <extend val="0"/>
        <outline val="0"/>
        <shadow val="0"/>
        <u val="none"/>
        <vertAlign val="baseline"/>
        <sz val="10"/>
        <color theme="1"/>
        <name val="Calibri"/>
        <scheme val="minor"/>
      </font>
    </dxf>
    <dxf>
      <font>
        <b val="0"/>
        <i val="0"/>
        <strike val="0"/>
        <condense val="0"/>
        <extend val="0"/>
        <outline val="0"/>
        <shadow val="0"/>
        <u val="none"/>
        <vertAlign val="baseline"/>
        <sz val="10"/>
        <color theme="1"/>
        <name val="Calibri"/>
        <scheme val="minor"/>
      </font>
    </dxf>
    <dxf>
      <font>
        <b val="0"/>
        <i val="0"/>
        <strike val="0"/>
        <condense val="0"/>
        <extend val="0"/>
        <outline val="0"/>
        <shadow val="0"/>
        <u val="none"/>
        <vertAlign val="baseline"/>
        <sz val="10"/>
        <color theme="1"/>
        <name val="Calibri"/>
        <scheme val="minor"/>
      </font>
    </dxf>
    <dxf>
      <font>
        <strike val="0"/>
        <outline val="0"/>
        <shadow val="0"/>
        <u val="none"/>
        <vertAlign val="baseline"/>
        <sz val="10"/>
        <name val="Calibri"/>
        <scheme val="minor"/>
      </font>
    </dxf>
    <dxf>
      <font>
        <b val="0"/>
        <i val="0"/>
        <strike val="0"/>
        <condense val="0"/>
        <extend val="0"/>
        <outline val="0"/>
        <shadow val="0"/>
        <u val="none"/>
        <vertAlign val="baseline"/>
        <sz val="10"/>
        <color theme="0"/>
        <name val="Calibri"/>
        <scheme val="minor"/>
      </font>
      <numFmt numFmtId="0" formatCode="General"/>
      <fill>
        <patternFill patternType="solid">
          <fgColor indexed="64"/>
          <bgColor theme="1" tint="4.9989318521683403E-2"/>
        </patternFill>
      </fill>
    </dxf>
    <dxf>
      <font>
        <b val="0"/>
        <i val="0"/>
        <strike val="0"/>
        <condense val="0"/>
        <extend val="0"/>
        <outline val="0"/>
        <shadow val="0"/>
        <u val="none"/>
        <vertAlign val="baseline"/>
        <sz val="10"/>
        <color theme="0"/>
        <name val="Calibri"/>
        <scheme val="minor"/>
      </font>
      <numFmt numFmtId="0" formatCode="General"/>
      <fill>
        <patternFill patternType="solid">
          <fgColor indexed="64"/>
          <bgColor theme="1" tint="4.9989318521683403E-2"/>
        </patternFill>
      </fill>
    </dxf>
    <dxf>
      <font>
        <strike val="0"/>
        <outline val="0"/>
        <shadow val="0"/>
        <u val="none"/>
        <vertAlign val="baseline"/>
        <sz val="10"/>
        <name val="Calibri"/>
        <scheme val="minor"/>
      </font>
      <border diagonalUp="0" diagonalDown="0">
        <left/>
        <right style="thin">
          <color theme="4" tint="0.39997558519241921"/>
        </right>
        <top style="thin">
          <color theme="4" tint="0.39997558519241921"/>
        </top>
        <bottom style="thin">
          <color theme="4" tint="0.39997558519241921"/>
        </bottom>
        <vertical/>
        <horizontal/>
      </border>
    </dxf>
    <dxf>
      <fill>
        <patternFill patternType="solid">
          <fgColor rgb="FFBF8F00"/>
          <bgColor rgb="FF000000"/>
        </patternFill>
      </fill>
    </dxf>
    <dxf>
      <font>
        <strike val="0"/>
        <outline val="0"/>
        <shadow val="0"/>
        <u val="none"/>
        <vertAlign val="baseline"/>
        <sz val="10"/>
        <name val="Calibri"/>
        <scheme val="minor"/>
      </font>
    </dxf>
    <dxf>
      <font>
        <color rgb="FF9C0006"/>
      </font>
      <fill>
        <patternFill>
          <bgColor rgb="FFFFC7CE"/>
        </patternFill>
      </fill>
    </dxf>
    <dxf>
      <font>
        <b val="0"/>
        <i val="0"/>
        <strike val="0"/>
        <condense val="0"/>
        <extend val="0"/>
        <outline val="0"/>
        <shadow val="0"/>
        <u val="none"/>
        <vertAlign val="baseline"/>
        <sz val="10"/>
        <color rgb="FF2C2C2C"/>
        <name val="Corbel"/>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2" formatCode="0.0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solid">
          <fgColor indexed="64"/>
          <bgColor theme="0" tint="-0.1499984740745262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solid">
          <fgColor indexed="64"/>
          <bgColor theme="0" tint="-0.1499984740745262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solid">
          <fgColor indexed="64"/>
          <bgColor theme="0" tint="-0.1499984740745262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solid">
          <fgColor indexed="64"/>
          <bgColor theme="0" tint="-0.1499984740745262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solid">
          <fgColor indexed="64"/>
          <bgColor theme="0" tint="-0.1499984740745262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solid">
          <fgColor indexed="64"/>
          <bgColor theme="0" tint="-0.1499984740745262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solid">
          <fgColor indexed="64"/>
          <bgColor theme="0" tint="-0.1499984740745262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solid">
          <fgColor indexed="64"/>
          <bgColor theme="0" tint="-0.1499984740745262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solid">
          <fgColor indexed="64"/>
          <bgColor theme="0" tint="-0.1499984740745262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solid">
          <fgColor indexed="64"/>
          <bgColor theme="0" tint="-0.1499984740745262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4" formatCode="_(* #,##0_);_(* \(#,##0\);_(* &quot;-&quot;??_);_(@_)"/>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theme="9"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theme="9"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theme="9"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0" formatCode="General"/>
      <fill>
        <patternFill patternType="none">
          <fgColor indexed="64"/>
          <bgColor theme="9"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theme="9"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theme="9"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theme="9"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theme="9"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theme="9"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theme="5"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theme="5"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theme="5"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theme="5"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theme="5"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theme="5"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theme="5"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theme="5"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theme="5"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solid">
          <fgColor indexed="64"/>
          <bgColor theme="4"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solid">
          <fgColor indexed="64"/>
          <bgColor theme="4"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solid">
          <fgColor indexed="64"/>
          <bgColor theme="4"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solid">
          <fgColor indexed="64"/>
          <bgColor theme="4"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solid">
          <fgColor indexed="64"/>
          <bgColor theme="4"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solid">
          <fgColor indexed="64"/>
          <bgColor theme="4"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solid">
          <fgColor indexed="64"/>
          <bgColor theme="4"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solid">
          <fgColor indexed="64"/>
          <bgColor theme="4"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solid">
          <fgColor indexed="64"/>
          <bgColor theme="4"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solid">
          <fgColor indexed="64"/>
          <bgColor theme="4"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solid">
          <fgColor indexed="64"/>
          <bgColor theme="4"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solid">
          <fgColor indexed="64"/>
          <bgColor theme="4"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solid">
          <fgColor indexed="64"/>
          <bgColor theme="4"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solid">
          <fgColor indexed="64"/>
          <bgColor theme="4"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solid">
          <fgColor indexed="64"/>
          <bgColor theme="4"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solid">
          <fgColor indexed="64"/>
          <bgColor theme="4"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solid">
          <fgColor indexed="64"/>
          <bgColor theme="4"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solid">
          <fgColor indexed="64"/>
          <bgColor theme="4"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solid">
          <fgColor indexed="64"/>
          <bgColor theme="4"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solid">
          <fgColor indexed="64"/>
          <bgColor theme="4"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solid">
          <fgColor indexed="64"/>
          <bgColor theme="4"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solid">
          <fgColor indexed="64"/>
          <bgColor theme="4" tint="0.5999938962981048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3" formatCode="0%"/>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5" formatCode="[$-409]d\-mmm\-yy;@"/>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5" formatCode="[$-409]d\-mmm\-yy;@"/>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 formatCode="0"/>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fill>
        <patternFill patternType="none">
          <fgColor indexed="64"/>
          <bgColor auto="1"/>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8" formatCode="yyyy/mm/dd"/>
      <fill>
        <patternFill patternType="none">
          <fgColor indexed="64"/>
          <bgColor indexed="65"/>
        </patternFill>
      </fill>
      <alignment horizontal="left" vertical="center" textRotation="0" wrapText="0" indent="0" justifyLastLine="0" shrinkToFit="0" readingOrder="1"/>
    </dxf>
    <dxf>
      <font>
        <b val="0"/>
        <i val="0"/>
        <strike val="0"/>
        <condense val="0"/>
        <extend val="0"/>
        <outline val="0"/>
        <shadow val="0"/>
        <u val="none"/>
        <vertAlign val="baseline"/>
        <sz val="10"/>
        <color rgb="FF2C2C2C"/>
        <name val="Corbel"/>
        <scheme val="none"/>
      </font>
      <numFmt numFmtId="168" formatCode="yyyy/mm/dd"/>
      <fill>
        <patternFill patternType="none">
          <fgColor indexed="64"/>
          <bgColor auto="1"/>
        </patternFill>
      </fill>
      <alignment horizontal="left" vertical="center" textRotation="0" wrapText="0" indent="0" justifyLastLine="0" shrinkToFit="0" readingOrder="1"/>
    </dxf>
    <dxf>
      <border outline="0">
        <left style="medium">
          <color rgb="FFFFFFFF"/>
        </left>
      </border>
    </dxf>
    <dxf>
      <font>
        <b val="0"/>
        <i val="0"/>
        <strike val="0"/>
        <condense val="0"/>
        <extend val="0"/>
        <outline val="0"/>
        <shadow val="0"/>
        <u val="none"/>
        <vertAlign val="baseline"/>
        <sz val="10"/>
        <color rgb="FF2C2C2C"/>
        <name val="Corbel"/>
        <scheme val="none"/>
      </font>
      <fill>
        <patternFill patternType="none">
          <fgColor indexed="64"/>
          <bgColor auto="1"/>
        </patternFill>
      </fill>
      <alignment horizontal="left" vertical="center" textRotation="0" wrapText="0" indent="0" justifyLastLine="0" shrinkToFit="0" readingOrder="1"/>
    </dxf>
    <dxf>
      <border outline="0">
        <bottom style="medium">
          <color rgb="FFFFFFFF"/>
        </bottom>
      </border>
    </dxf>
    <dxf>
      <fill>
        <patternFill patternType="none">
          <fgColor indexed="64"/>
          <bgColor auto="1"/>
        </patternFill>
      </fill>
      <alignment textRotation="0" wrapText="0" indent="0" justifyLastLine="0" shrinkToFit="0"/>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alignment wrapText="1"/>
    </dxf>
    <dxf>
      <alignment wrapText="1"/>
    </dxf>
    <dxf>
      <numFmt numFmtId="164" formatCode="_(* #,##0_);_(* \(#,##0\);_(* &quot;-&quot;??_);_(@_)"/>
    </dxf>
    <dxf>
      <font>
        <color theme="0"/>
      </font>
      <fill>
        <patternFill patternType="solid">
          <fgColor indexed="64"/>
          <bgColor theme="9" tint="-0.499984740745262"/>
        </patternFill>
      </fill>
      <alignment horizontal="center" vertical="center" wrapText="1" readingOrder="0"/>
    </dxf>
    <dxf>
      <font>
        <color theme="0"/>
      </font>
      <fill>
        <patternFill patternType="solid">
          <fgColor indexed="64"/>
          <bgColor theme="9" tint="-0.499984740745262"/>
        </patternFill>
      </fill>
      <alignment horizontal="center" vertical="center" wrapText="1" readingOrder="0"/>
    </dxf>
    <dxf>
      <font>
        <sz val="12"/>
      </font>
    </dxf>
    <dxf>
      <font>
        <sz val="12"/>
      </font>
    </dxf>
    <dxf>
      <font>
        <sz val="12"/>
      </font>
    </dxf>
    <dxf>
      <font>
        <sz val="12"/>
      </font>
    </dxf>
    <dxf>
      <font>
        <name val="Calibri"/>
        <scheme val="minor"/>
      </font>
    </dxf>
    <dxf>
      <font>
        <name val="Calibri"/>
        <scheme val="minor"/>
      </font>
    </dxf>
    <dxf>
      <font>
        <name val="Calibri"/>
        <scheme val="minor"/>
      </font>
    </dxf>
    <dxf>
      <font>
        <name val="Calibri"/>
        <scheme val="minor"/>
      </font>
    </dxf>
    <dxf>
      <numFmt numFmtId="164" formatCode="_(* #,##0_);_(* \(#,##0\);_(* &quot;-&quot;??_);_(@_)"/>
    </dxf>
    <dxf>
      <alignment wrapText="1" readingOrder="0"/>
    </dxf>
    <dxf>
      <alignment horizontal="center" readingOrder="0"/>
    </dxf>
    <dxf>
      <alignment vertical="center" readingOrder="0"/>
    </dxf>
    <dxf>
      <font>
        <color theme="0"/>
      </font>
    </dxf>
    <dxf>
      <font>
        <color theme="0"/>
      </font>
    </dxf>
    <dxf>
      <fill>
        <patternFill>
          <bgColor theme="9" tint="-0.499984740745262"/>
        </patternFill>
      </fill>
    </dxf>
    <dxf>
      <fill>
        <patternFill>
          <bgColor theme="9" tint="-0.499984740745262"/>
        </patternFill>
      </fill>
    </dxf>
    <dxf>
      <fill>
        <patternFill patternType="solid">
          <bgColor theme="5"/>
        </patternFill>
      </fill>
    </dxf>
    <dxf>
      <fill>
        <patternFill>
          <bgColor theme="5" tint="-0.249977111117893"/>
        </patternFill>
      </fill>
    </dxf>
    <dxf>
      <fill>
        <patternFill>
          <bgColor theme="5" tint="-0.249977111117893"/>
        </patternFill>
      </fill>
    </dxf>
    <dxf>
      <fill>
        <patternFill patternType="solid">
          <bgColor theme="6" tint="0.59999389629810485"/>
        </patternFill>
      </fill>
    </dxf>
    <dxf>
      <fill>
        <patternFill>
          <bgColor rgb="FF0070C0"/>
        </patternFill>
      </fill>
    </dxf>
    <dxf>
      <fill>
        <patternFill>
          <bgColor rgb="FF0070C0"/>
        </patternFill>
      </fill>
    </dxf>
    <dxf>
      <fill>
        <patternFill patternType="solid">
          <bgColor theme="6" tint="0.39997558519241921"/>
        </patternFill>
      </fill>
    </dxf>
    <dxf>
      <alignment wrapText="1"/>
    </dxf>
    <dxf>
      <numFmt numFmtId="3" formatCode="#,##0"/>
    </dxf>
    <dxf>
      <font>
        <name val="Calibri"/>
        <scheme val="minor"/>
      </font>
    </dxf>
    <dxf>
      <font>
        <name val="Calibri"/>
        <scheme val="minor"/>
      </font>
    </dxf>
    <dxf>
      <font>
        <name val="Calibri"/>
        <scheme val="minor"/>
      </font>
    </dxf>
    <dxf>
      <numFmt numFmtId="3" formatCode="#,##0"/>
    </dxf>
    <dxf>
      <numFmt numFmtId="3" formatCode="#,##0"/>
    </dxf>
    <dxf>
      <numFmt numFmtId="3" formatCode="#,##0"/>
    </dxf>
    <dxf>
      <border>
        <left style="thin">
          <color theme="7" tint="-0.249977111117893"/>
        </left>
        <right style="thin">
          <color theme="7" tint="-0.249977111117893"/>
        </right>
        <top style="thin">
          <color theme="7" tint="-0.249977111117893"/>
        </top>
        <bottom style="thin">
          <color theme="7" tint="-0.249977111117893"/>
        </bottom>
        <vertical style="thin">
          <color theme="7" tint="-0.249977111117893"/>
        </vertical>
        <horizontal style="thin">
          <color theme="7" tint="-0.249977111117893"/>
        </horizontal>
      </border>
    </dxf>
    <dxf>
      <alignment wrapText="1"/>
    </dxf>
    <dxf>
      <alignment wrapText="1"/>
    </dxf>
    <dxf>
      <font>
        <color theme="0"/>
      </font>
      <fill>
        <patternFill patternType="solid">
          <fgColor indexed="64"/>
          <bgColor theme="9" tint="-0.499984740745262"/>
        </patternFill>
      </fill>
      <alignment horizontal="center" vertical="center" wrapText="1" readingOrder="0"/>
    </dxf>
    <dxf>
      <font>
        <color theme="0"/>
      </font>
      <fill>
        <patternFill patternType="solid">
          <fgColor indexed="64"/>
          <bgColor theme="9" tint="-0.499984740745262"/>
        </patternFill>
      </fill>
      <alignment horizontal="center" vertical="center" wrapText="1" readingOrder="0"/>
    </dxf>
    <dxf>
      <font>
        <sz val="12"/>
      </font>
    </dxf>
    <dxf>
      <font>
        <sz val="12"/>
      </font>
    </dxf>
    <dxf>
      <font>
        <sz val="12"/>
      </font>
    </dxf>
    <dxf>
      <font>
        <sz val="12"/>
      </font>
    </dxf>
    <dxf>
      <font>
        <name val="Calibri"/>
        <scheme val="minor"/>
      </font>
    </dxf>
    <dxf>
      <font>
        <name val="Calibri"/>
        <scheme val="minor"/>
      </font>
    </dxf>
    <dxf>
      <font>
        <name val="Calibri"/>
        <scheme val="minor"/>
      </font>
    </dxf>
    <dxf>
      <font>
        <name val="Calibri"/>
        <scheme val="minor"/>
      </font>
    </dxf>
    <dxf>
      <numFmt numFmtId="164" formatCode="_(* #,##0_);_(* \(#,##0\);_(* &quot;-&quot;??_);_(@_)"/>
    </dxf>
    <dxf>
      <alignment wrapText="1" readingOrder="0"/>
    </dxf>
    <dxf>
      <alignment horizontal="center" readingOrder="0"/>
    </dxf>
    <dxf>
      <alignment vertical="center" readingOrder="0"/>
    </dxf>
    <dxf>
      <font>
        <color theme="0"/>
      </font>
    </dxf>
    <dxf>
      <font>
        <color theme="0"/>
      </font>
    </dxf>
    <dxf>
      <fill>
        <patternFill>
          <bgColor theme="9" tint="-0.499984740745262"/>
        </patternFill>
      </fill>
    </dxf>
    <dxf>
      <fill>
        <patternFill>
          <bgColor theme="9" tint="-0.499984740745262"/>
        </patternFill>
      </fill>
    </dxf>
    <dxf>
      <fill>
        <patternFill patternType="solid">
          <bgColor theme="5"/>
        </patternFill>
      </fill>
    </dxf>
    <dxf>
      <fill>
        <patternFill>
          <bgColor theme="5" tint="-0.249977111117893"/>
        </patternFill>
      </fill>
    </dxf>
    <dxf>
      <fill>
        <patternFill>
          <bgColor theme="5" tint="-0.249977111117893"/>
        </patternFill>
      </fill>
    </dxf>
    <dxf>
      <fill>
        <patternFill patternType="solid">
          <bgColor theme="6" tint="0.59999389629810485"/>
        </patternFill>
      </fill>
    </dxf>
    <dxf>
      <fill>
        <patternFill>
          <bgColor rgb="FF0070C0"/>
        </patternFill>
      </fill>
    </dxf>
    <dxf>
      <fill>
        <patternFill>
          <bgColor rgb="FF0070C0"/>
        </patternFill>
      </fill>
    </dxf>
    <dxf>
      <fill>
        <patternFill patternType="solid">
          <bgColor theme="6" tint="0.39997558519241921"/>
        </patternFill>
      </fill>
    </dxf>
    <dxf>
      <alignment wrapText="1"/>
    </dxf>
    <dxf>
      <numFmt numFmtId="3" formatCode="#,##0"/>
    </dxf>
    <dxf>
      <font>
        <name val="Calibri"/>
        <scheme val="minor"/>
      </font>
    </dxf>
    <dxf>
      <font>
        <name val="Calibri"/>
        <scheme val="minor"/>
      </font>
    </dxf>
    <dxf>
      <font>
        <name val="Calibri"/>
        <scheme val="minor"/>
      </font>
    </dxf>
    <dxf>
      <numFmt numFmtId="3" formatCode="#,##0"/>
    </dxf>
    <dxf>
      <numFmt numFmtId="3" formatCode="#,##0"/>
    </dxf>
    <dxf>
      <numFmt numFmtId="3" formatCode="#,##0"/>
    </dxf>
    <dxf>
      <border>
        <left style="thin">
          <color theme="7" tint="-0.249977111117893"/>
        </left>
        <right style="thin">
          <color theme="7" tint="-0.249977111117893"/>
        </right>
        <top style="thin">
          <color theme="7" tint="-0.249977111117893"/>
        </top>
        <bottom style="thin">
          <color theme="7" tint="-0.249977111117893"/>
        </bottom>
        <vertical style="thin">
          <color theme="7" tint="-0.249977111117893"/>
        </vertical>
        <horizontal style="thin">
          <color theme="7" tint="-0.249977111117893"/>
        </horizontal>
      </border>
    </dxf>
    <dxf>
      <alignment wrapText="1"/>
    </dxf>
    <dxf>
      <alignment wrapText="1"/>
    </dxf>
    <dxf>
      <font>
        <color theme="0"/>
      </font>
      <fill>
        <patternFill patternType="solid">
          <fgColor indexed="64"/>
          <bgColor theme="9" tint="-0.499984740745262"/>
        </patternFill>
      </fill>
      <alignment horizontal="center" vertical="center" wrapText="1" readingOrder="0"/>
    </dxf>
    <dxf>
      <font>
        <color theme="0"/>
      </font>
      <fill>
        <patternFill patternType="solid">
          <fgColor indexed="64"/>
          <bgColor theme="9" tint="-0.499984740745262"/>
        </patternFill>
      </fill>
      <alignment horizontal="center" vertical="center" wrapText="1" readingOrder="0"/>
    </dxf>
    <dxf>
      <font>
        <sz val="12"/>
      </font>
    </dxf>
    <dxf>
      <font>
        <sz val="12"/>
      </font>
    </dxf>
    <dxf>
      <font>
        <sz val="12"/>
      </font>
    </dxf>
    <dxf>
      <font>
        <sz val="12"/>
      </font>
    </dxf>
    <dxf>
      <font>
        <sz val="12"/>
      </font>
    </dxf>
    <dxf>
      <font>
        <name val="Calibri"/>
        <scheme val="minor"/>
      </font>
    </dxf>
    <dxf>
      <font>
        <name val="Calibri"/>
        <scheme val="minor"/>
      </font>
    </dxf>
    <dxf>
      <font>
        <name val="Calibri"/>
        <scheme val="minor"/>
      </font>
    </dxf>
    <dxf>
      <font>
        <name val="Calibri"/>
        <scheme val="minor"/>
      </font>
    </dxf>
    <dxf>
      <font>
        <name val="Calibri"/>
        <scheme val="minor"/>
      </font>
    </dxf>
    <dxf>
      <numFmt numFmtId="164" formatCode="_(* #,##0_);_(* \(#,##0\);_(* &quot;-&quot;??_);_(@_)"/>
    </dxf>
    <dxf>
      <alignment wrapText="1" readingOrder="0"/>
    </dxf>
    <dxf>
      <alignment horizontal="center" readingOrder="0"/>
    </dxf>
    <dxf>
      <alignment vertical="center" readingOrder="0"/>
    </dxf>
    <dxf>
      <font>
        <color theme="0"/>
      </font>
    </dxf>
    <dxf>
      <font>
        <color theme="0"/>
      </font>
    </dxf>
    <dxf>
      <fill>
        <patternFill>
          <bgColor theme="9" tint="-0.499984740745262"/>
        </patternFill>
      </fill>
    </dxf>
    <dxf>
      <fill>
        <patternFill>
          <bgColor theme="9" tint="-0.499984740745262"/>
        </patternFill>
      </fill>
    </dxf>
    <dxf>
      <fill>
        <patternFill patternType="solid">
          <bgColor theme="5"/>
        </patternFill>
      </fill>
    </dxf>
    <dxf>
      <fill>
        <patternFill>
          <bgColor theme="5" tint="-0.249977111117893"/>
        </patternFill>
      </fill>
    </dxf>
    <dxf>
      <fill>
        <patternFill>
          <bgColor theme="5" tint="-0.249977111117893"/>
        </patternFill>
      </fill>
    </dxf>
    <dxf>
      <fill>
        <patternFill patternType="solid">
          <bgColor theme="6" tint="0.59999389629810485"/>
        </patternFill>
      </fill>
    </dxf>
    <dxf>
      <fill>
        <patternFill>
          <bgColor rgb="FF0070C0"/>
        </patternFill>
      </fill>
    </dxf>
    <dxf>
      <fill>
        <patternFill>
          <bgColor rgb="FF0070C0"/>
        </patternFill>
      </fill>
    </dxf>
    <dxf>
      <fill>
        <patternFill patternType="solid">
          <bgColor theme="6" tint="0.39997558519241921"/>
        </patternFill>
      </fill>
    </dxf>
    <dxf>
      <alignment wrapText="1"/>
    </dxf>
    <dxf>
      <numFmt numFmtId="3" formatCode="#,##0"/>
    </dxf>
    <dxf>
      <font>
        <name val="Calibri"/>
        <scheme val="minor"/>
      </font>
    </dxf>
    <dxf>
      <font>
        <name val="Calibri"/>
        <scheme val="minor"/>
      </font>
    </dxf>
    <dxf>
      <font>
        <name val="Calibri"/>
        <scheme val="minor"/>
      </font>
    </dxf>
    <dxf>
      <numFmt numFmtId="3" formatCode="#,##0"/>
    </dxf>
    <dxf>
      <numFmt numFmtId="3" formatCode="#,##0"/>
    </dxf>
    <dxf>
      <numFmt numFmtId="3" formatCode="#,##0"/>
    </dxf>
    <dxf>
      <border>
        <left style="thin">
          <color theme="7" tint="-0.249977111117893"/>
        </left>
        <right style="thin">
          <color theme="7" tint="-0.249977111117893"/>
        </right>
        <top style="thin">
          <color theme="7" tint="-0.249977111117893"/>
        </top>
        <bottom style="thin">
          <color theme="7" tint="-0.249977111117893"/>
        </bottom>
        <vertical style="thin">
          <color theme="7" tint="-0.249977111117893"/>
        </vertical>
        <horizontal style="thin">
          <color theme="7" tint="-0.249977111117893"/>
        </horizontal>
      </border>
    </dxf>
    <dxf>
      <alignment wrapText="1"/>
    </dxf>
    <dxf>
      <alignment wrapText="1"/>
    </dxf>
    <dxf>
      <numFmt numFmtId="164" formatCode="_(* #,##0_);_(* \(#,##0\);_(* &quot;-&quot;??_);_(@_)"/>
    </dxf>
    <dxf>
      <font>
        <color theme="0"/>
      </font>
      <fill>
        <patternFill patternType="solid">
          <fgColor indexed="64"/>
          <bgColor theme="9" tint="-0.499984740745262"/>
        </patternFill>
      </fill>
      <alignment horizontal="center" vertical="center" wrapText="1" readingOrder="0"/>
    </dxf>
    <dxf>
      <font>
        <color theme="0"/>
      </font>
      <fill>
        <patternFill patternType="solid">
          <fgColor indexed="64"/>
          <bgColor theme="9" tint="-0.499984740745262"/>
        </patternFill>
      </fill>
      <alignment horizontal="center" vertical="center" wrapText="1" readingOrder="0"/>
    </dxf>
    <dxf>
      <font>
        <sz val="12"/>
      </font>
    </dxf>
    <dxf>
      <font>
        <sz val="12"/>
      </font>
    </dxf>
    <dxf>
      <font>
        <sz val="12"/>
      </font>
    </dxf>
    <dxf>
      <font>
        <sz val="12"/>
      </font>
    </dxf>
    <dxf>
      <font>
        <name val="Calibri"/>
        <scheme val="minor"/>
      </font>
    </dxf>
    <dxf>
      <font>
        <name val="Calibri"/>
        <scheme val="minor"/>
      </font>
    </dxf>
    <dxf>
      <font>
        <name val="Calibri"/>
        <scheme val="minor"/>
      </font>
    </dxf>
    <dxf>
      <font>
        <name val="Calibri"/>
        <scheme val="minor"/>
      </font>
    </dxf>
    <dxf>
      <numFmt numFmtId="164" formatCode="_(* #,##0_);_(* \(#,##0\);_(* &quot;-&quot;??_);_(@_)"/>
    </dxf>
    <dxf>
      <alignment wrapText="1" readingOrder="0"/>
    </dxf>
    <dxf>
      <alignment horizontal="center" readingOrder="0"/>
    </dxf>
    <dxf>
      <alignment vertical="center" readingOrder="0"/>
    </dxf>
    <dxf>
      <font>
        <color theme="0"/>
      </font>
    </dxf>
    <dxf>
      <font>
        <color theme="0"/>
      </font>
    </dxf>
    <dxf>
      <fill>
        <patternFill>
          <bgColor theme="9" tint="-0.499984740745262"/>
        </patternFill>
      </fill>
    </dxf>
    <dxf>
      <fill>
        <patternFill>
          <bgColor theme="9" tint="-0.499984740745262"/>
        </patternFill>
      </fill>
    </dxf>
    <dxf>
      <fill>
        <patternFill patternType="solid">
          <bgColor theme="5"/>
        </patternFill>
      </fill>
    </dxf>
    <dxf>
      <fill>
        <patternFill>
          <bgColor theme="5" tint="-0.249977111117893"/>
        </patternFill>
      </fill>
    </dxf>
    <dxf>
      <fill>
        <patternFill>
          <bgColor theme="5" tint="-0.249977111117893"/>
        </patternFill>
      </fill>
    </dxf>
    <dxf>
      <fill>
        <patternFill patternType="solid">
          <bgColor theme="6" tint="0.59999389629810485"/>
        </patternFill>
      </fill>
    </dxf>
    <dxf>
      <fill>
        <patternFill>
          <bgColor rgb="FF0070C0"/>
        </patternFill>
      </fill>
    </dxf>
    <dxf>
      <fill>
        <patternFill>
          <bgColor rgb="FF0070C0"/>
        </patternFill>
      </fill>
    </dxf>
    <dxf>
      <fill>
        <patternFill patternType="solid">
          <bgColor theme="6" tint="0.39997558519241921"/>
        </patternFill>
      </fill>
    </dxf>
    <dxf>
      <alignment wrapText="1"/>
    </dxf>
    <dxf>
      <numFmt numFmtId="3" formatCode="#,##0"/>
    </dxf>
    <dxf>
      <font>
        <name val="Calibri"/>
        <scheme val="minor"/>
      </font>
    </dxf>
    <dxf>
      <font>
        <name val="Calibri"/>
        <scheme val="minor"/>
      </font>
    </dxf>
    <dxf>
      <font>
        <name val="Calibri"/>
        <scheme val="minor"/>
      </font>
    </dxf>
    <dxf>
      <numFmt numFmtId="3" formatCode="#,##0"/>
    </dxf>
    <dxf>
      <numFmt numFmtId="3" formatCode="#,##0"/>
    </dxf>
    <dxf>
      <numFmt numFmtId="3" formatCode="#,##0"/>
    </dxf>
    <dxf>
      <border>
        <left style="thin">
          <color theme="7" tint="-0.249977111117893"/>
        </left>
        <right style="thin">
          <color theme="7" tint="-0.249977111117893"/>
        </right>
        <top style="thin">
          <color theme="7" tint="-0.249977111117893"/>
        </top>
        <bottom style="thin">
          <color theme="7" tint="-0.249977111117893"/>
        </bottom>
        <vertical style="thin">
          <color theme="7" tint="-0.249977111117893"/>
        </vertical>
        <horizontal style="thin">
          <color theme="7" tint="-0.249977111117893"/>
        </horizontal>
      </border>
    </dxf>
    <dxf>
      <alignment wrapText="1"/>
    </dxf>
    <dxf>
      <alignment wrapText="1"/>
    </dxf>
    <dxf>
      <font>
        <color theme="0"/>
      </font>
      <fill>
        <patternFill patternType="solid">
          <fgColor indexed="64"/>
          <bgColor theme="9" tint="-0.499984740745262"/>
        </patternFill>
      </fill>
      <alignment horizontal="center" vertical="center" wrapText="1" readingOrder="0"/>
    </dxf>
    <dxf>
      <font>
        <color theme="0"/>
      </font>
      <fill>
        <patternFill patternType="solid">
          <fgColor indexed="64"/>
          <bgColor theme="9" tint="-0.499984740745262"/>
        </patternFill>
      </fill>
      <alignment horizontal="center" vertical="center" wrapText="1" readingOrder="0"/>
    </dxf>
    <dxf>
      <font>
        <sz val="12"/>
      </font>
    </dxf>
    <dxf>
      <font>
        <sz val="12"/>
      </font>
    </dxf>
    <dxf>
      <font>
        <sz val="12"/>
      </font>
    </dxf>
    <dxf>
      <font>
        <sz val="12"/>
      </font>
    </dxf>
    <dxf>
      <font>
        <name val="Calibri"/>
        <scheme val="minor"/>
      </font>
    </dxf>
    <dxf>
      <font>
        <name val="Calibri"/>
        <scheme val="minor"/>
      </font>
    </dxf>
    <dxf>
      <font>
        <name val="Calibri"/>
        <scheme val="minor"/>
      </font>
    </dxf>
    <dxf>
      <font>
        <name val="Calibri"/>
        <scheme val="minor"/>
      </font>
    </dxf>
    <dxf>
      <numFmt numFmtId="164" formatCode="_(* #,##0_);_(* \(#,##0\);_(* &quot;-&quot;??_);_(@_)"/>
    </dxf>
    <dxf>
      <alignment wrapText="1" readingOrder="0"/>
    </dxf>
    <dxf>
      <alignment horizontal="center" readingOrder="0"/>
    </dxf>
    <dxf>
      <alignment vertical="center" readingOrder="0"/>
    </dxf>
    <dxf>
      <font>
        <color theme="0"/>
      </font>
    </dxf>
    <dxf>
      <font>
        <color theme="0"/>
      </font>
    </dxf>
    <dxf>
      <fill>
        <patternFill>
          <bgColor theme="9" tint="-0.499984740745262"/>
        </patternFill>
      </fill>
    </dxf>
    <dxf>
      <fill>
        <patternFill>
          <bgColor theme="9" tint="-0.499984740745262"/>
        </patternFill>
      </fill>
    </dxf>
    <dxf>
      <fill>
        <patternFill patternType="solid">
          <bgColor theme="5"/>
        </patternFill>
      </fill>
    </dxf>
    <dxf>
      <fill>
        <patternFill>
          <bgColor theme="5" tint="-0.249977111117893"/>
        </patternFill>
      </fill>
    </dxf>
    <dxf>
      <fill>
        <patternFill>
          <bgColor theme="5" tint="-0.249977111117893"/>
        </patternFill>
      </fill>
    </dxf>
    <dxf>
      <fill>
        <patternFill patternType="solid">
          <bgColor theme="6" tint="0.59999389629810485"/>
        </patternFill>
      </fill>
    </dxf>
    <dxf>
      <fill>
        <patternFill>
          <bgColor rgb="FF0070C0"/>
        </patternFill>
      </fill>
    </dxf>
    <dxf>
      <fill>
        <patternFill>
          <bgColor rgb="FF0070C0"/>
        </patternFill>
      </fill>
    </dxf>
    <dxf>
      <fill>
        <patternFill patternType="solid">
          <bgColor theme="6" tint="0.39997558519241921"/>
        </patternFill>
      </fill>
    </dxf>
    <dxf>
      <alignment wrapText="1"/>
    </dxf>
    <dxf>
      <numFmt numFmtId="3" formatCode="#,##0"/>
    </dxf>
    <dxf>
      <font>
        <name val="Calibri"/>
        <scheme val="minor"/>
      </font>
    </dxf>
    <dxf>
      <font>
        <name val="Calibri"/>
        <scheme val="minor"/>
      </font>
    </dxf>
    <dxf>
      <font>
        <name val="Calibri"/>
        <scheme val="minor"/>
      </font>
    </dxf>
    <dxf>
      <numFmt numFmtId="3" formatCode="#,##0"/>
    </dxf>
    <dxf>
      <numFmt numFmtId="3" formatCode="#,##0"/>
    </dxf>
    <dxf>
      <numFmt numFmtId="3" formatCode="#,##0"/>
    </dxf>
    <dxf>
      <border>
        <left style="thin">
          <color theme="7" tint="-0.249977111117893"/>
        </left>
        <right style="thin">
          <color theme="7" tint="-0.249977111117893"/>
        </right>
        <top style="thin">
          <color theme="7" tint="-0.249977111117893"/>
        </top>
        <bottom style="thin">
          <color theme="7" tint="-0.249977111117893"/>
        </bottom>
        <vertical style="thin">
          <color theme="7" tint="-0.249977111117893"/>
        </vertical>
        <horizontal style="thin">
          <color theme="7" tint="-0.249977111117893"/>
        </horizontal>
      </border>
    </dxf>
    <dxf>
      <alignment wrapText="1"/>
    </dxf>
    <dxf>
      <alignment wrapText="1"/>
    </dxf>
    <dxf>
      <font>
        <color theme="0"/>
      </font>
      <fill>
        <patternFill patternType="solid">
          <fgColor indexed="64"/>
          <bgColor theme="9" tint="-0.499984740745262"/>
        </patternFill>
      </fill>
      <alignment horizontal="center" vertical="center" wrapText="1" readingOrder="0"/>
    </dxf>
    <dxf>
      <font>
        <color theme="0"/>
      </font>
      <fill>
        <patternFill patternType="solid">
          <fgColor indexed="64"/>
          <bgColor theme="9" tint="-0.499984740745262"/>
        </patternFill>
      </fill>
      <alignment horizontal="center" vertical="center" wrapText="1" readingOrder="0"/>
    </dxf>
    <dxf>
      <font>
        <sz val="12"/>
      </font>
    </dxf>
    <dxf>
      <font>
        <sz val="12"/>
      </font>
    </dxf>
    <dxf>
      <font>
        <sz val="12"/>
      </font>
    </dxf>
    <dxf>
      <font>
        <sz val="12"/>
      </font>
    </dxf>
    <dxf>
      <font>
        <sz val="12"/>
      </font>
    </dxf>
    <dxf>
      <font>
        <sz val="12"/>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numFmt numFmtId="164" formatCode="_(* #,##0_);_(* \(#,##0\);_(* &quot;-&quot;??_);_(@_)"/>
    </dxf>
    <dxf>
      <alignment horizontal="center" readingOrder="0"/>
    </dxf>
    <dxf>
      <alignment wrapText="1" readingOrder="0"/>
    </dxf>
    <dxf>
      <alignment vertical="center" readingOrder="0"/>
    </dxf>
    <dxf>
      <font>
        <color theme="0"/>
      </font>
    </dxf>
    <dxf>
      <font>
        <color theme="0"/>
      </font>
    </dxf>
    <dxf>
      <fill>
        <patternFill>
          <bgColor theme="9" tint="-0.499984740745262"/>
        </patternFill>
      </fill>
    </dxf>
    <dxf>
      <fill>
        <patternFill>
          <bgColor theme="9" tint="-0.499984740745262"/>
        </patternFill>
      </fill>
    </dxf>
    <dxf>
      <fill>
        <patternFill patternType="solid">
          <bgColor theme="8" tint="0.59999389629810485"/>
        </patternFill>
      </fill>
    </dxf>
    <dxf>
      <fill>
        <patternFill>
          <bgColor theme="5" tint="-0.249977111117893"/>
        </patternFill>
      </fill>
    </dxf>
    <dxf>
      <fill>
        <patternFill>
          <bgColor theme="5" tint="-0.249977111117893"/>
        </patternFill>
      </fill>
    </dxf>
    <dxf>
      <fill>
        <patternFill patternType="solid">
          <bgColor theme="3" tint="0.59999389629810485"/>
        </patternFill>
      </fill>
    </dxf>
    <dxf>
      <fill>
        <patternFill>
          <bgColor rgb="FF0070C0"/>
        </patternFill>
      </fill>
    </dxf>
    <dxf>
      <fill>
        <patternFill>
          <bgColor rgb="FF0070C0"/>
        </patternFill>
      </fill>
    </dxf>
    <dxf>
      <fill>
        <patternFill patternType="solid">
          <bgColor theme="4" tint="-0.249977111117893"/>
        </patternFill>
      </fill>
    </dxf>
    <dxf>
      <alignment wrapText="1"/>
    </dxf>
    <dxf>
      <numFmt numFmtId="3" formatCode="#,##0"/>
    </dxf>
    <dxf>
      <font>
        <name val="Calibri"/>
        <scheme val="minor"/>
      </font>
    </dxf>
    <dxf>
      <font>
        <name val="Calibri"/>
        <scheme val="minor"/>
      </font>
    </dxf>
    <dxf>
      <numFmt numFmtId="3" formatCode="#,##0"/>
    </dxf>
    <dxf>
      <numFmt numFmtId="3" formatCode="#,##0"/>
    </dxf>
    <dxf>
      <numFmt numFmtId="3" formatCode="#,##0"/>
    </dxf>
    <dxf>
      <border>
        <left style="thin">
          <color theme="7" tint="-0.249977111117893"/>
        </left>
        <right style="thin">
          <color theme="7" tint="-0.249977111117893"/>
        </right>
        <top style="thin">
          <color theme="7" tint="-0.249977111117893"/>
        </top>
        <bottom style="thin">
          <color theme="7" tint="-0.249977111117893"/>
        </bottom>
        <vertical style="thin">
          <color theme="7" tint="-0.249977111117893"/>
        </vertical>
        <horizontal style="thin">
          <color theme="7" tint="-0.249977111117893"/>
        </horizontal>
      </border>
    </dxf>
    <dxf>
      <alignment wrapText="1"/>
    </dxf>
    <dxf>
      <alignment wrapText="1"/>
    </dxf>
    <dxf>
      <numFmt numFmtId="164" formatCode="_(* #,##0_);_(* \(#,##0\);_(* &quot;-&quot;??_);_(@_)"/>
    </dxf>
    <dxf>
      <font>
        <color theme="0"/>
      </font>
      <fill>
        <patternFill patternType="solid">
          <fgColor indexed="64"/>
          <bgColor theme="9" tint="-0.499984740745262"/>
        </patternFill>
      </fill>
      <alignment horizontal="center" vertical="center" wrapText="1" readingOrder="0"/>
    </dxf>
    <dxf>
      <font>
        <color theme="0"/>
      </font>
      <fill>
        <patternFill patternType="solid">
          <fgColor indexed="64"/>
          <bgColor theme="9" tint="-0.499984740745262"/>
        </patternFill>
      </fill>
      <alignment horizontal="center" vertical="center" wrapText="1" readingOrder="0"/>
    </dxf>
    <dxf>
      <font>
        <sz val="12"/>
      </font>
    </dxf>
    <dxf>
      <font>
        <sz val="12"/>
      </font>
    </dxf>
    <dxf>
      <font>
        <sz val="12"/>
      </font>
    </dxf>
    <dxf>
      <font>
        <sz val="12"/>
      </font>
    </dxf>
    <dxf>
      <font>
        <name val="Calibri"/>
        <scheme val="minor"/>
      </font>
    </dxf>
    <dxf>
      <font>
        <name val="Calibri"/>
        <scheme val="minor"/>
      </font>
    </dxf>
    <dxf>
      <font>
        <name val="Calibri"/>
        <scheme val="minor"/>
      </font>
    </dxf>
    <dxf>
      <font>
        <name val="Calibri"/>
        <scheme val="minor"/>
      </font>
    </dxf>
    <dxf>
      <numFmt numFmtId="164" formatCode="_(* #,##0_);_(* \(#,##0\);_(* &quot;-&quot;??_);_(@_)"/>
    </dxf>
    <dxf>
      <alignment wrapText="1" readingOrder="0"/>
    </dxf>
    <dxf>
      <alignment horizontal="center" readingOrder="0"/>
    </dxf>
    <dxf>
      <alignment vertical="center" readingOrder="0"/>
    </dxf>
    <dxf>
      <font>
        <color theme="0"/>
      </font>
    </dxf>
    <dxf>
      <font>
        <color theme="0"/>
      </font>
    </dxf>
    <dxf>
      <fill>
        <patternFill>
          <bgColor theme="9" tint="-0.499984740745262"/>
        </patternFill>
      </fill>
    </dxf>
    <dxf>
      <fill>
        <patternFill>
          <bgColor theme="9" tint="-0.499984740745262"/>
        </patternFill>
      </fill>
    </dxf>
    <dxf>
      <fill>
        <patternFill patternType="solid">
          <bgColor theme="5"/>
        </patternFill>
      </fill>
    </dxf>
    <dxf>
      <fill>
        <patternFill>
          <bgColor theme="5" tint="-0.249977111117893"/>
        </patternFill>
      </fill>
    </dxf>
    <dxf>
      <fill>
        <patternFill>
          <bgColor theme="5" tint="-0.249977111117893"/>
        </patternFill>
      </fill>
    </dxf>
    <dxf>
      <fill>
        <patternFill patternType="solid">
          <bgColor theme="6" tint="0.59999389629810485"/>
        </patternFill>
      </fill>
    </dxf>
    <dxf>
      <fill>
        <patternFill>
          <bgColor rgb="FF0070C0"/>
        </patternFill>
      </fill>
    </dxf>
    <dxf>
      <fill>
        <patternFill>
          <bgColor rgb="FF0070C0"/>
        </patternFill>
      </fill>
    </dxf>
    <dxf>
      <fill>
        <patternFill patternType="solid">
          <bgColor theme="6" tint="0.39997558519241921"/>
        </patternFill>
      </fill>
    </dxf>
    <dxf>
      <alignment wrapText="1"/>
    </dxf>
    <dxf>
      <numFmt numFmtId="3" formatCode="#,##0"/>
    </dxf>
    <dxf>
      <font>
        <name val="Calibri"/>
        <scheme val="minor"/>
      </font>
    </dxf>
    <dxf>
      <font>
        <name val="Calibri"/>
        <scheme val="minor"/>
      </font>
    </dxf>
    <dxf>
      <font>
        <name val="Calibri"/>
        <scheme val="minor"/>
      </font>
    </dxf>
    <dxf>
      <numFmt numFmtId="3" formatCode="#,##0"/>
    </dxf>
    <dxf>
      <numFmt numFmtId="3" formatCode="#,##0"/>
    </dxf>
    <dxf>
      <numFmt numFmtId="3" formatCode="#,##0"/>
    </dxf>
    <dxf>
      <border>
        <left style="thin">
          <color theme="7" tint="-0.249977111117893"/>
        </left>
        <right style="thin">
          <color theme="7" tint="-0.249977111117893"/>
        </right>
        <top style="thin">
          <color theme="7" tint="-0.249977111117893"/>
        </top>
        <bottom style="thin">
          <color theme="7" tint="-0.249977111117893"/>
        </bottom>
        <vertical style="thin">
          <color theme="7" tint="-0.249977111117893"/>
        </vertical>
        <horizontal style="thin">
          <color theme="7" tint="-0.249977111117893"/>
        </horizontal>
      </border>
    </dxf>
    <dxf>
      <alignment wrapText="1"/>
    </dxf>
    <dxf>
      <alignment wrapText="1"/>
    </dxf>
    <dxf>
      <font>
        <color theme="0"/>
      </font>
      <fill>
        <patternFill patternType="solid">
          <fgColor indexed="64"/>
          <bgColor theme="9" tint="-0.499984740745262"/>
        </patternFill>
      </fill>
      <alignment horizontal="center" vertical="center" wrapText="1" readingOrder="0"/>
    </dxf>
    <dxf>
      <font>
        <color theme="0"/>
      </font>
      <fill>
        <patternFill patternType="solid">
          <fgColor indexed="64"/>
          <bgColor theme="9" tint="-0.499984740745262"/>
        </patternFill>
      </fill>
      <alignment horizontal="center" vertical="center" wrapText="1" readingOrder="0"/>
    </dxf>
    <dxf>
      <font>
        <sz val="12"/>
      </font>
    </dxf>
    <dxf>
      <font>
        <sz val="12"/>
      </font>
    </dxf>
    <dxf>
      <font>
        <sz val="12"/>
      </font>
    </dxf>
    <dxf>
      <font>
        <sz val="12"/>
      </font>
    </dxf>
    <dxf>
      <font>
        <name val="Calibri"/>
        <scheme val="minor"/>
      </font>
    </dxf>
    <dxf>
      <font>
        <name val="Calibri"/>
        <scheme val="minor"/>
      </font>
    </dxf>
    <dxf>
      <font>
        <name val="Calibri"/>
        <scheme val="minor"/>
      </font>
    </dxf>
    <dxf>
      <font>
        <name val="Calibri"/>
        <scheme val="minor"/>
      </font>
    </dxf>
    <dxf>
      <numFmt numFmtId="164" formatCode="_(* #,##0_);_(* \(#,##0\);_(* &quot;-&quot;??_);_(@_)"/>
    </dxf>
    <dxf>
      <alignment wrapText="1" readingOrder="0"/>
    </dxf>
    <dxf>
      <alignment horizontal="center" readingOrder="0"/>
    </dxf>
    <dxf>
      <alignment vertical="center" readingOrder="0"/>
    </dxf>
    <dxf>
      <font>
        <color theme="0"/>
      </font>
    </dxf>
    <dxf>
      <font>
        <color theme="0"/>
      </font>
    </dxf>
    <dxf>
      <fill>
        <patternFill>
          <bgColor theme="9" tint="-0.499984740745262"/>
        </patternFill>
      </fill>
    </dxf>
    <dxf>
      <fill>
        <patternFill>
          <bgColor theme="9" tint="-0.499984740745262"/>
        </patternFill>
      </fill>
    </dxf>
    <dxf>
      <fill>
        <patternFill patternType="solid">
          <bgColor theme="5"/>
        </patternFill>
      </fill>
    </dxf>
    <dxf>
      <fill>
        <patternFill>
          <bgColor theme="5" tint="-0.249977111117893"/>
        </patternFill>
      </fill>
    </dxf>
    <dxf>
      <fill>
        <patternFill>
          <bgColor theme="5" tint="-0.249977111117893"/>
        </patternFill>
      </fill>
    </dxf>
    <dxf>
      <fill>
        <patternFill patternType="solid">
          <bgColor theme="6" tint="0.59999389629810485"/>
        </patternFill>
      </fill>
    </dxf>
    <dxf>
      <fill>
        <patternFill>
          <bgColor rgb="FF0070C0"/>
        </patternFill>
      </fill>
    </dxf>
    <dxf>
      <fill>
        <patternFill>
          <bgColor rgb="FF0070C0"/>
        </patternFill>
      </fill>
    </dxf>
    <dxf>
      <fill>
        <patternFill patternType="solid">
          <bgColor theme="6" tint="0.39997558519241921"/>
        </patternFill>
      </fill>
    </dxf>
    <dxf>
      <alignment wrapText="1"/>
    </dxf>
    <dxf>
      <numFmt numFmtId="3" formatCode="#,##0"/>
    </dxf>
    <dxf>
      <font>
        <name val="Calibri"/>
        <scheme val="minor"/>
      </font>
    </dxf>
    <dxf>
      <font>
        <name val="Calibri"/>
        <scheme val="minor"/>
      </font>
    </dxf>
    <dxf>
      <font>
        <name val="Calibri"/>
        <scheme val="minor"/>
      </font>
    </dxf>
    <dxf>
      <numFmt numFmtId="3" formatCode="#,##0"/>
    </dxf>
    <dxf>
      <numFmt numFmtId="3" formatCode="#,##0"/>
    </dxf>
    <dxf>
      <numFmt numFmtId="3" formatCode="#,##0"/>
    </dxf>
    <dxf>
      <border>
        <left style="thin">
          <color theme="7" tint="-0.249977111117893"/>
        </left>
        <right style="thin">
          <color theme="7" tint="-0.249977111117893"/>
        </right>
        <top style="thin">
          <color theme="7" tint="-0.249977111117893"/>
        </top>
        <bottom style="thin">
          <color theme="7" tint="-0.249977111117893"/>
        </bottom>
        <vertical style="thin">
          <color theme="7" tint="-0.249977111117893"/>
        </vertical>
        <horizontal style="thin">
          <color theme="7" tint="-0.249977111117893"/>
        </horizontal>
      </border>
    </dxf>
    <dxf>
      <alignment wrapText="1"/>
    </dxf>
    <dxf>
      <alignment wrapText="1"/>
    </dxf>
    <dxf>
      <numFmt numFmtId="164" formatCode="_(* #,##0_);_(* \(#,##0\);_(* &quot;-&quot;??_);_(@_)"/>
    </dxf>
    <dxf>
      <font>
        <color theme="0"/>
      </font>
      <fill>
        <patternFill patternType="solid">
          <fgColor indexed="64"/>
          <bgColor theme="9" tint="-0.499984740745262"/>
        </patternFill>
      </fill>
      <alignment horizontal="center" vertical="center" wrapText="1" readingOrder="0"/>
    </dxf>
    <dxf>
      <font>
        <color theme="0"/>
      </font>
      <fill>
        <patternFill patternType="solid">
          <fgColor indexed="64"/>
          <bgColor theme="9" tint="-0.499984740745262"/>
        </patternFill>
      </fill>
      <alignment horizontal="center" vertical="center" wrapText="1" readingOrder="0"/>
    </dxf>
    <dxf>
      <font>
        <sz val="12"/>
      </font>
    </dxf>
    <dxf>
      <font>
        <sz val="12"/>
      </font>
    </dxf>
    <dxf>
      <font>
        <sz val="12"/>
      </font>
    </dxf>
    <dxf>
      <font>
        <sz val="12"/>
      </font>
    </dxf>
    <dxf>
      <font>
        <name val="Calibri"/>
        <scheme val="minor"/>
      </font>
    </dxf>
    <dxf>
      <font>
        <name val="Calibri"/>
        <scheme val="minor"/>
      </font>
    </dxf>
    <dxf>
      <font>
        <name val="Calibri"/>
        <scheme val="minor"/>
      </font>
    </dxf>
    <dxf>
      <font>
        <name val="Calibri"/>
        <scheme val="minor"/>
      </font>
    </dxf>
    <dxf>
      <numFmt numFmtId="164" formatCode="_(* #,##0_);_(* \(#,##0\);_(* &quot;-&quot;??_);_(@_)"/>
    </dxf>
    <dxf>
      <alignment wrapText="1" readingOrder="0"/>
    </dxf>
    <dxf>
      <alignment horizontal="center" readingOrder="0"/>
    </dxf>
    <dxf>
      <alignment vertical="center" readingOrder="0"/>
    </dxf>
    <dxf>
      <font>
        <color theme="0"/>
      </font>
    </dxf>
    <dxf>
      <font>
        <color theme="0"/>
      </font>
    </dxf>
    <dxf>
      <fill>
        <patternFill>
          <bgColor theme="9" tint="-0.499984740745262"/>
        </patternFill>
      </fill>
    </dxf>
    <dxf>
      <fill>
        <patternFill>
          <bgColor theme="9" tint="-0.499984740745262"/>
        </patternFill>
      </fill>
    </dxf>
    <dxf>
      <fill>
        <patternFill patternType="solid">
          <bgColor theme="5"/>
        </patternFill>
      </fill>
    </dxf>
    <dxf>
      <fill>
        <patternFill>
          <bgColor theme="5" tint="-0.249977111117893"/>
        </patternFill>
      </fill>
    </dxf>
    <dxf>
      <fill>
        <patternFill>
          <bgColor theme="5" tint="-0.249977111117893"/>
        </patternFill>
      </fill>
    </dxf>
    <dxf>
      <fill>
        <patternFill patternType="solid">
          <bgColor theme="6" tint="0.59999389629810485"/>
        </patternFill>
      </fill>
    </dxf>
    <dxf>
      <fill>
        <patternFill>
          <bgColor rgb="FF0070C0"/>
        </patternFill>
      </fill>
    </dxf>
    <dxf>
      <fill>
        <patternFill>
          <bgColor rgb="FF0070C0"/>
        </patternFill>
      </fill>
    </dxf>
    <dxf>
      <fill>
        <patternFill patternType="solid">
          <bgColor theme="6" tint="0.39997558519241921"/>
        </patternFill>
      </fill>
    </dxf>
    <dxf>
      <alignment wrapText="1"/>
    </dxf>
    <dxf>
      <numFmt numFmtId="3" formatCode="#,##0"/>
    </dxf>
    <dxf>
      <font>
        <name val="Calibri"/>
        <scheme val="minor"/>
      </font>
    </dxf>
    <dxf>
      <font>
        <name val="Calibri"/>
        <scheme val="minor"/>
      </font>
    </dxf>
    <dxf>
      <font>
        <name val="Calibri"/>
        <scheme val="minor"/>
      </font>
    </dxf>
    <dxf>
      <numFmt numFmtId="3" formatCode="#,##0"/>
    </dxf>
    <dxf>
      <numFmt numFmtId="3" formatCode="#,##0"/>
    </dxf>
    <dxf>
      <numFmt numFmtId="3" formatCode="#,##0"/>
    </dxf>
    <dxf>
      <border>
        <left style="thin">
          <color theme="7" tint="-0.249977111117893"/>
        </left>
        <right style="thin">
          <color theme="7" tint="-0.249977111117893"/>
        </right>
        <top style="thin">
          <color theme="7" tint="-0.249977111117893"/>
        </top>
        <bottom style="thin">
          <color theme="7" tint="-0.249977111117893"/>
        </bottom>
        <vertical style="thin">
          <color theme="7" tint="-0.249977111117893"/>
        </vertical>
        <horizontal style="thin">
          <color theme="7" tint="-0.249977111117893"/>
        </horizontal>
      </border>
    </dxf>
    <dxf>
      <alignment wrapText="1"/>
    </dxf>
    <dxf>
      <alignment wrapText="1"/>
    </dxf>
    <dxf>
      <fill>
        <patternFill>
          <bgColor theme="4" tint="-0.24994659260841701"/>
        </patternFill>
      </fill>
    </dxf>
    <dxf>
      <fill>
        <patternFill>
          <bgColor rgb="FFCEFD95"/>
        </patternFill>
      </fill>
    </dxf>
    <dxf>
      <fill>
        <patternFill>
          <bgColor theme="4" tint="0.59996337778862885"/>
        </patternFill>
      </fill>
    </dxf>
    <dxf>
      <fill>
        <patternFill>
          <bgColor rgb="FFE1F3F2"/>
        </patternFill>
      </fill>
    </dxf>
    <dxf>
      <fill>
        <patternFill>
          <bgColor rgb="FFEAFFC1"/>
        </patternFill>
      </fill>
    </dxf>
    <dxf>
      <fill>
        <patternFill>
          <bgColor rgb="FFFCFCD0"/>
        </patternFill>
      </fill>
    </dxf>
    <dxf>
      <fill>
        <patternFill>
          <bgColor theme="7" tint="0.79998168889431442"/>
        </patternFill>
      </fill>
    </dxf>
    <dxf>
      <fill>
        <patternFill>
          <bgColor theme="4" tint="0.79998168889431442"/>
        </patternFill>
      </fill>
      <border>
        <left style="thin">
          <color theme="8"/>
        </left>
        <right style="thin">
          <color theme="8"/>
        </right>
        <top style="thin">
          <color theme="8"/>
        </top>
        <bottom style="thin">
          <color theme="8"/>
        </bottom>
        <vertical style="thin">
          <color theme="8"/>
        </vertical>
        <horizontal style="thin">
          <color theme="8"/>
        </horizontal>
      </border>
    </dxf>
    <dxf>
      <border>
        <vertical style="thin">
          <color auto="1"/>
        </vertical>
        <horizontal style="thin">
          <color auto="1"/>
        </horizontal>
      </border>
    </dxf>
    <dxf>
      <font>
        <b/>
        <color theme="1"/>
      </font>
    </dxf>
    <dxf>
      <font>
        <b/>
        <color theme="1"/>
      </font>
      <fill>
        <patternFill patternType="solid">
          <fgColor theme="4" tint="0.79998168889431442"/>
          <bgColor theme="4" tint="0.79998168889431442"/>
        </patternFill>
      </fill>
      <border>
        <bottom style="thin">
          <color theme="0"/>
        </bottom>
      </border>
    </dxf>
    <dxf>
      <border>
        <top style="thin">
          <color theme="4" tint="0.79998168889431442"/>
        </top>
      </border>
    </dxf>
    <dxf>
      <border>
        <top style="thin">
          <color theme="4" tint="0.79998168889431442"/>
        </top>
      </border>
    </dxf>
    <dxf>
      <font>
        <b/>
        <color theme="1"/>
      </font>
    </dxf>
    <dxf>
      <font>
        <b/>
        <color theme="1"/>
      </font>
      <fill>
        <patternFill patternType="solid">
          <fgColor theme="4" tint="0.79998168889431442"/>
          <bgColor theme="4" tint="0.79998168889431442"/>
        </patternFill>
      </fill>
      <border>
        <top style="thin">
          <color theme="4" tint="0.59999389629810485"/>
        </top>
        <bottom style="thin">
          <color theme="4" tint="0.59999389629810485"/>
        </bottom>
      </border>
    </dxf>
    <dxf>
      <border>
        <left style="thin">
          <color theme="4"/>
        </left>
        <right style="thin">
          <color theme="4"/>
        </right>
        <top style="thin">
          <color theme="4"/>
        </top>
        <bottom style="thin">
          <color theme="4"/>
        </bottom>
        <vertical style="thin">
          <color theme="4"/>
        </vertical>
        <horizontal style="thin">
          <color theme="4"/>
        </horizontal>
      </border>
    </dxf>
    <dxf>
      <border>
        <vertical style="thin">
          <color theme="4" tint="0.39994506668294322"/>
        </vertical>
        <horizontal style="thin">
          <color theme="4" tint="0.39994506668294322"/>
        </horizontal>
      </border>
    </dxf>
    <dxf>
      <border>
        <left style="thin">
          <color theme="4" tint="0.59999389629810485"/>
        </left>
        <right style="thin">
          <color theme="4" tint="0.59999389629810485"/>
        </right>
        <top style="thin">
          <color theme="4" tint="0.59999389629810485"/>
        </top>
        <bottom style="thin">
          <color theme="4" tint="0.59999389629810485"/>
        </bottom>
        <vertical style="thin">
          <color theme="4" tint="0.59999389629810485"/>
        </vertical>
        <horizontal style="thin">
          <color theme="4" tint="0.59999389629810485"/>
        </horizontal>
      </border>
    </dxf>
    <dxf>
      <border>
        <right style="thin">
          <color theme="4"/>
        </right>
      </border>
    </dxf>
    <dxf>
      <font>
        <b/>
        <color theme="1"/>
      </font>
      <border>
        <left style="medium">
          <color theme="4"/>
        </left>
        <right style="medium">
          <color theme="4"/>
        </right>
        <top style="medium">
          <color theme="4"/>
        </top>
        <bottom style="medium">
          <color theme="4"/>
        </bottom>
      </border>
    </dxf>
    <dxf>
      <font>
        <b/>
        <color theme="1"/>
      </font>
      <border>
        <left style="medium">
          <color theme="4"/>
        </left>
        <right style="medium">
          <color theme="4"/>
        </right>
        <top style="medium">
          <color theme="4"/>
        </top>
        <bottom style="medium">
          <color theme="4"/>
        </bottom>
        <horizontal style="thin">
          <color theme="0"/>
        </horizontal>
      </border>
    </dxf>
    <dxf>
      <font>
        <color theme="4" tint="-0.249977111117893"/>
      </font>
      <border>
        <left style="thin">
          <color theme="4"/>
        </left>
        <right style="thin">
          <color theme="4"/>
        </right>
        <top style="thin">
          <color theme="4"/>
        </top>
        <bottom style="thin">
          <color theme="4"/>
        </bottom>
        <vertical style="thin">
          <color theme="4"/>
        </vertical>
        <horizontal/>
      </border>
    </dxf>
    <dxf>
      <font>
        <color theme="4" tint="-0.249977111117893"/>
      </font>
    </dxf>
    <dxf>
      <font>
        <color theme="4" tint="-0.249977111117893"/>
      </font>
    </dxf>
    <dxf>
      <font>
        <color theme="4" tint="-0.249977111117893"/>
      </font>
    </dxf>
    <dxf>
      <font>
        <color theme="4" tint="-0.249977111117893"/>
      </font>
    </dxf>
    <dxf>
      <fill>
        <patternFill patternType="solid">
          <fgColor theme="4" tint="0.79998168889431442"/>
          <bgColor theme="4" tint="0.79998168889431442"/>
        </patternFill>
      </fill>
    </dxf>
    <dxf>
      <fill>
        <patternFill patternType="solid">
          <fgColor theme="4" tint="0.79998168889431442"/>
          <bgColor theme="4" tint="0.79998168889431442"/>
        </patternFill>
      </fill>
      <border>
        <top style="thin">
          <color theme="1" tint="0.499984740745262"/>
        </top>
        <bottom style="thin">
          <color theme="1" tint="0.499984740745262"/>
        </bottom>
      </border>
    </dxf>
    <dxf>
      <font>
        <color theme="4" tint="-0.249977111117893"/>
      </font>
    </dxf>
    <dxf>
      <font>
        <color theme="4" tint="-0.249977111117893"/>
      </font>
      <border>
        <top style="thin">
          <color theme="4"/>
        </top>
      </border>
    </dxf>
    <dxf>
      <font>
        <color theme="4" tint="-0.249977111117893"/>
      </font>
      <border>
        <bottom style="thin">
          <color theme="4"/>
        </bottom>
      </border>
    </dxf>
    <dxf>
      <font>
        <color theme="4" tint="-0.249977111117893"/>
      </font>
      <border>
        <left style="thin">
          <color theme="4"/>
        </left>
        <right style="thin">
          <color theme="4"/>
        </right>
        <top style="thin">
          <color theme="4"/>
        </top>
        <bottom style="thin">
          <color theme="4"/>
        </bottom>
        <vertical style="thin">
          <color theme="4"/>
        </vertical>
      </border>
    </dxf>
    <dxf>
      <font>
        <b/>
        <color theme="1"/>
      </font>
    </dxf>
    <dxf>
      <font>
        <b/>
        <color theme="1"/>
      </font>
      <fill>
        <patternFill patternType="solid">
          <fgColor theme="9" tint="0.79998168889431442"/>
          <bgColor theme="9" tint="0.79998168889431442"/>
        </patternFill>
      </fill>
      <border>
        <bottom style="thin">
          <color theme="0"/>
        </bottom>
      </border>
    </dxf>
    <dxf>
      <border>
        <top style="thin">
          <color theme="9" tint="0.79998168889431442"/>
        </top>
      </border>
    </dxf>
    <dxf>
      <border>
        <top style="thin">
          <color theme="9" tint="0.79998168889431442"/>
        </top>
      </border>
    </dxf>
    <dxf>
      <font>
        <b/>
        <color theme="1"/>
      </font>
    </dxf>
    <dxf>
      <font>
        <b/>
        <color theme="1"/>
      </font>
      <fill>
        <patternFill patternType="solid">
          <fgColor theme="9" tint="0.79998168889431442"/>
          <bgColor theme="9" tint="0.79998168889431442"/>
        </patternFill>
      </fill>
      <border>
        <top style="thin">
          <color theme="9" tint="0.59999389629810485"/>
        </top>
        <bottom style="thin">
          <color theme="9" tint="0.59999389629810485"/>
        </bottom>
      </border>
    </dxf>
    <dxf>
      <border>
        <left style="thin">
          <color theme="9"/>
        </left>
        <right style="thin">
          <color theme="9"/>
        </right>
        <top style="thin">
          <color theme="9"/>
        </top>
        <bottom style="thin">
          <color theme="9"/>
        </bottom>
      </border>
    </dxf>
    <dxf>
      <border>
        <left style="thin">
          <color theme="9" tint="0.59999389629810485"/>
        </left>
        <right style="thin">
          <color theme="9" tint="0.59999389629810485"/>
        </right>
        <top style="thin">
          <color theme="9" tint="0.59999389629810485"/>
        </top>
        <bottom style="thin">
          <color theme="9" tint="0.59999389629810485"/>
        </bottom>
      </border>
    </dxf>
    <dxf>
      <border>
        <right style="thin">
          <color theme="9"/>
        </right>
      </border>
    </dxf>
    <dxf>
      <font>
        <b/>
        <color theme="1"/>
      </font>
      <border>
        <left style="medium">
          <color theme="9"/>
        </left>
        <right style="medium">
          <color theme="9"/>
        </right>
        <top style="medium">
          <color theme="9"/>
        </top>
        <bottom style="medium">
          <color theme="9"/>
        </bottom>
      </border>
    </dxf>
    <dxf>
      <font>
        <b/>
        <color theme="1"/>
      </font>
      <border>
        <left style="medium">
          <color theme="9"/>
        </left>
        <right style="medium">
          <color theme="9"/>
        </right>
        <top style="medium">
          <color theme="9"/>
        </top>
        <bottom style="medium">
          <color theme="9"/>
        </bottom>
        <horizontal style="thin">
          <color theme="0"/>
        </horizontal>
      </border>
    </dxf>
    <dxf>
      <font>
        <color theme="9" tint="-0.249977111117893"/>
      </font>
      <border>
        <vertical style="thin">
          <color theme="9" tint="0.59996337778862885"/>
        </vertical>
        <horizontal style="thin">
          <color theme="9" tint="0.59996337778862885"/>
        </horizontal>
      </border>
    </dxf>
    <dxf>
      <font>
        <b/>
        <color theme="1"/>
      </font>
    </dxf>
    <dxf>
      <font>
        <b/>
        <color theme="1"/>
      </font>
      <fill>
        <patternFill patternType="solid">
          <fgColor theme="5" tint="0.79998168889431442"/>
          <bgColor theme="5" tint="0.79998168889431442"/>
        </patternFill>
      </fill>
      <border>
        <bottom style="thin">
          <color theme="0"/>
        </bottom>
      </border>
    </dxf>
    <dxf>
      <border>
        <top style="thin">
          <color theme="5" tint="0.79998168889431442"/>
        </top>
      </border>
    </dxf>
    <dxf>
      <border>
        <top style="thin">
          <color theme="5" tint="0.79998168889431442"/>
        </top>
      </border>
    </dxf>
    <dxf>
      <font>
        <b/>
        <color theme="1"/>
      </font>
    </dxf>
    <dxf>
      <font>
        <b/>
        <color theme="1"/>
      </font>
      <fill>
        <patternFill patternType="solid">
          <fgColor theme="5" tint="0.79998168889431442"/>
          <bgColor theme="5" tint="0.79998168889431442"/>
        </patternFill>
      </fill>
      <border>
        <top style="thin">
          <color theme="5" tint="0.59999389629810485"/>
        </top>
        <bottom style="thin">
          <color theme="5" tint="0.59999389629810485"/>
        </bottom>
      </border>
    </dxf>
    <dxf>
      <border>
        <left style="thin">
          <color theme="5"/>
        </left>
        <right style="thin">
          <color theme="5"/>
        </right>
        <top style="thin">
          <color theme="5"/>
        </top>
        <bottom style="thin">
          <color theme="5"/>
        </bottom>
      </border>
    </dxf>
    <dxf>
      <border>
        <left style="thin">
          <color theme="5" tint="0.59999389629810485"/>
        </left>
        <right style="thin">
          <color theme="5" tint="0.59999389629810485"/>
        </right>
        <top style="thin">
          <color theme="5" tint="0.59999389629810485"/>
        </top>
        <bottom style="thin">
          <color theme="5" tint="0.59999389629810485"/>
        </bottom>
      </border>
    </dxf>
    <dxf>
      <border>
        <right style="thin">
          <color theme="5"/>
        </right>
      </border>
    </dxf>
    <dxf>
      <font>
        <b/>
        <color theme="1"/>
      </font>
      <border>
        <left style="medium">
          <color theme="5"/>
        </left>
        <right style="medium">
          <color theme="5"/>
        </right>
        <top style="medium">
          <color theme="5"/>
        </top>
        <bottom style="medium">
          <color theme="5"/>
        </bottom>
      </border>
    </dxf>
    <dxf>
      <font>
        <b/>
        <color theme="1"/>
      </font>
      <border>
        <left style="medium">
          <color theme="5"/>
        </left>
        <right style="medium">
          <color theme="5"/>
        </right>
        <top style="medium">
          <color theme="5"/>
        </top>
        <bottom style="medium">
          <color theme="5"/>
        </bottom>
        <horizontal style="thin">
          <color theme="0"/>
        </horizontal>
      </border>
    </dxf>
    <dxf>
      <font>
        <color theme="5" tint="-0.249977111117893"/>
      </font>
      <border>
        <vertical style="thin">
          <color theme="5" tint="0.59996337778862885"/>
        </vertical>
        <horizontal style="thin">
          <color theme="5" tint="0.59996337778862885"/>
        </horizontal>
      </border>
    </dxf>
    <dxf>
      <font>
        <b/>
        <color theme="1"/>
      </font>
    </dxf>
    <dxf>
      <font>
        <b/>
        <color theme="1"/>
      </font>
      <fill>
        <patternFill patternType="solid">
          <fgColor theme="4" tint="0.79998168889431442"/>
          <bgColor theme="4" tint="0.79998168889431442"/>
        </patternFill>
      </fill>
      <border>
        <bottom style="thin">
          <color theme="0"/>
        </bottom>
      </border>
    </dxf>
    <dxf>
      <border>
        <top style="thin">
          <color theme="4" tint="0.79998168889431442"/>
        </top>
      </border>
    </dxf>
    <dxf>
      <border>
        <top style="thin">
          <color theme="4" tint="0.79998168889431442"/>
        </top>
      </border>
    </dxf>
    <dxf>
      <font>
        <b/>
        <color theme="1"/>
      </font>
    </dxf>
    <dxf>
      <font>
        <b/>
        <color theme="1"/>
      </font>
      <fill>
        <patternFill patternType="solid">
          <fgColor theme="4" tint="0.79998168889431442"/>
          <bgColor theme="4" tint="0.79998168889431442"/>
        </patternFill>
      </fill>
      <border>
        <top style="thin">
          <color theme="4" tint="0.59999389629810485"/>
        </top>
        <bottom style="thin">
          <color theme="4" tint="0.59999389629810485"/>
        </bottom>
      </border>
    </dxf>
    <dxf>
      <border>
        <left style="thin">
          <color theme="4"/>
        </left>
        <right style="thin">
          <color theme="4"/>
        </right>
        <top style="thin">
          <color theme="4"/>
        </top>
        <bottom style="thin">
          <color theme="4"/>
        </bottom>
        <vertical style="thin">
          <color theme="4"/>
        </vertical>
        <horizontal style="thin">
          <color theme="4"/>
        </horizontal>
      </border>
    </dxf>
    <dxf>
      <border>
        <vertical style="thin">
          <color theme="4" tint="0.39994506668294322"/>
        </vertical>
        <horizontal style="thin">
          <color theme="4" tint="0.39994506668294322"/>
        </horizontal>
      </border>
    </dxf>
    <dxf>
      <border>
        <left style="thin">
          <color theme="4" tint="0.59999389629810485"/>
        </left>
        <right style="thin">
          <color theme="4" tint="0.59999389629810485"/>
        </right>
        <top style="thin">
          <color theme="4" tint="0.59999389629810485"/>
        </top>
        <bottom style="thin">
          <color theme="4" tint="0.59999389629810485"/>
        </bottom>
        <vertical style="thin">
          <color theme="4" tint="0.59999389629810485"/>
        </vertical>
        <horizontal style="thin">
          <color theme="4" tint="0.59999389629810485"/>
        </horizontal>
      </border>
    </dxf>
    <dxf>
      <border>
        <right style="thin">
          <color theme="4"/>
        </right>
      </border>
    </dxf>
    <dxf>
      <font>
        <b/>
        <color theme="1"/>
      </font>
      <border>
        <left style="medium">
          <color theme="4"/>
        </left>
        <right style="medium">
          <color theme="4"/>
        </right>
        <top style="medium">
          <color theme="4"/>
        </top>
        <bottom style="medium">
          <color theme="4"/>
        </bottom>
      </border>
    </dxf>
    <dxf>
      <font>
        <b/>
        <color theme="1"/>
      </font>
      <border>
        <left style="medium">
          <color theme="4"/>
        </left>
        <right style="medium">
          <color theme="4"/>
        </right>
        <top style="medium">
          <color theme="4"/>
        </top>
        <bottom style="medium">
          <color theme="4"/>
        </bottom>
        <horizontal style="thin">
          <color theme="0"/>
        </horizontal>
      </border>
    </dxf>
    <dxf>
      <font>
        <color theme="4" tint="-0.249977111117893"/>
      </font>
      <border>
        <left style="thin">
          <color theme="4"/>
        </left>
        <right style="thin">
          <color theme="4"/>
        </right>
        <top style="thin">
          <color theme="4"/>
        </top>
        <bottom style="thin">
          <color theme="4"/>
        </bottom>
        <vertical style="thin">
          <color theme="4"/>
        </vertical>
        <horizontal/>
      </border>
    </dxf>
    <dxf>
      <font>
        <sz val="8"/>
        <name val="Gill Sans MT"/>
        <scheme val="none"/>
      </font>
    </dxf>
    <dxf>
      <font>
        <b/>
        <color theme="1"/>
      </font>
      <border>
        <bottom style="thin">
          <color theme="4"/>
        </bottom>
        <vertical/>
        <horizontal/>
      </border>
    </dxf>
    <dxf>
      <font>
        <color theme="1"/>
        <name val="Gill Sans MT"/>
        <scheme val="none"/>
      </font>
      <border>
        <left/>
        <right/>
        <top/>
        <bottom/>
        <vertical/>
        <horizontal/>
      </border>
    </dxf>
  </dxfs>
  <tableStyles count="10" defaultTableStyle="TableStyleMedium2" defaultPivotStyle="PivotStyleLight16">
    <tableStyle name="4W" pivot="0" table="0" count="10">
      <tableStyleElement type="wholeTable" dxfId="1260"/>
      <tableStyleElement type="headerRow" dxfId="1259"/>
    </tableStyle>
    <tableStyle name="4W Style" pivot="0" table="0" count="1">
      <tableStyleElement type="wholeTable" dxfId="1258"/>
    </tableStyle>
    <tableStyle name="CUSTOM" table="0" count="13">
      <tableStyleElement type="wholeTable" dxfId="1257"/>
      <tableStyleElement type="headerRow" dxfId="1256"/>
      <tableStyleElement type="totalRow" dxfId="1255"/>
      <tableStyleElement type="firstColumn" dxfId="1254"/>
      <tableStyleElement type="firstRowStripe" dxfId="1253"/>
      <tableStyleElement type="secondRowStripe" dxfId="1252"/>
      <tableStyleElement type="firstColumnStripe" dxfId="1251"/>
      <tableStyleElement type="firstSubtotalRow" dxfId="1250"/>
      <tableStyleElement type="secondSubtotalRow" dxfId="1249"/>
      <tableStyleElement type="secondColumnSubheading" dxfId="1248"/>
      <tableStyleElement type="thirdColumnSubheading" dxfId="1247"/>
      <tableStyleElement type="firstRowSubheading" dxfId="1246"/>
      <tableStyleElement type="secondRowSubheading" dxfId="1245"/>
    </tableStyle>
    <tableStyle name="PivotStyleLight10 2" table="0" count="12">
      <tableStyleElement type="wholeTable" dxfId="1244"/>
      <tableStyleElement type="headerRow" dxfId="1243"/>
      <tableStyleElement type="totalRow" dxfId="1242"/>
      <tableStyleElement type="firstColumn" dxfId="1241"/>
      <tableStyleElement type="firstRowStripe" dxfId="1240"/>
      <tableStyleElement type="firstColumnStripe" dxfId="1239"/>
      <tableStyleElement type="firstSubtotalRow" dxfId="1238"/>
      <tableStyleElement type="secondSubtotalRow" dxfId="1237"/>
      <tableStyleElement type="secondColumnSubheading" dxfId="1236"/>
      <tableStyleElement type="thirdColumnSubheading" dxfId="1235"/>
      <tableStyleElement type="firstRowSubheading" dxfId="1234"/>
      <tableStyleElement type="secondRowSubheading" dxfId="1233"/>
    </tableStyle>
    <tableStyle name="PivotStyleLight14 2" table="0" count="12">
      <tableStyleElement type="wholeTable" dxfId="1232"/>
      <tableStyleElement type="headerRow" dxfId="1231"/>
      <tableStyleElement type="totalRow" dxfId="1230"/>
      <tableStyleElement type="firstColumn" dxfId="1229"/>
      <tableStyleElement type="firstRowStripe" dxfId="1228"/>
      <tableStyleElement type="firstColumnStripe" dxfId="1227"/>
      <tableStyleElement type="firstSubtotalRow" dxfId="1226"/>
      <tableStyleElement type="secondSubtotalRow" dxfId="1225"/>
      <tableStyleElement type="secondColumnSubheading" dxfId="1224"/>
      <tableStyleElement type="thirdColumnSubheading" dxfId="1223"/>
      <tableStyleElement type="firstRowSubheading" dxfId="1222"/>
      <tableStyleElement type="secondRowSubheading" dxfId="1221"/>
    </tableStyle>
    <tableStyle name="PivotStyleLight23 2" table="0" count="10">
      <tableStyleElement type="wholeTable" dxfId="1220"/>
      <tableStyleElement type="headerRow" dxfId="1219"/>
      <tableStyleElement type="totalRow" dxfId="1218"/>
      <tableStyleElement type="firstColumn" dxfId="1217"/>
      <tableStyleElement type="firstRowStripe" dxfId="1216"/>
      <tableStyleElement type="firstColumnStripe" dxfId="1215"/>
      <tableStyleElement type="firstSubtotalColumn" dxfId="1214"/>
      <tableStyleElement type="firstSubtotalRow" dxfId="1213"/>
      <tableStyleElement type="secondSubtotalRow" dxfId="1212"/>
      <tableStyleElement type="pageFieldLabels" dxfId="1211"/>
    </tableStyle>
    <tableStyle name="PivotStyleLight9 2" table="0" count="13">
      <tableStyleElement type="wholeTable" dxfId="1210"/>
      <tableStyleElement type="headerRow" dxfId="1209"/>
      <tableStyleElement type="totalRow" dxfId="1208"/>
      <tableStyleElement type="firstColumn" dxfId="1207"/>
      <tableStyleElement type="firstRowStripe" dxfId="1206"/>
      <tableStyleElement type="secondRowStripe" dxfId="1205"/>
      <tableStyleElement type="firstColumnStripe" dxfId="1204"/>
      <tableStyleElement type="firstSubtotalRow" dxfId="1203"/>
      <tableStyleElement type="secondSubtotalRow" dxfId="1202"/>
      <tableStyleElement type="secondColumnSubheading" dxfId="1201"/>
      <tableStyleElement type="thirdColumnSubheading" dxfId="1200"/>
      <tableStyleElement type="firstRowSubheading" dxfId="1199"/>
      <tableStyleElement type="secondRowSubheading" dxfId="1198"/>
    </tableStyle>
    <tableStyle name="PivotTable Style 1" table="0" count="1">
      <tableStyleElement type="wholeTable" dxfId="1197"/>
    </tableStyle>
    <tableStyle name="PivotTable Style a" table="0" count="7">
      <tableStyleElement type="wholeTable" dxfId="1196"/>
      <tableStyleElement type="headerRow" dxfId="1195"/>
      <tableStyleElement type="totalRow" dxfId="1194"/>
      <tableStyleElement type="firstColumn" dxfId="1193"/>
      <tableStyleElement type="secondSubtotalRow" dxfId="1192"/>
      <tableStyleElement type="firstRowSubheading" dxfId="1191"/>
      <tableStyleElement type="secondRowSubheading" dxfId="1190"/>
    </tableStyle>
    <tableStyle name="Slicer Style 1" pivot="0" table="0" count="5">
      <tableStyleElement type="wholeTable" dxfId="1189"/>
    </tableStyle>
  </tableStyles>
  <colors>
    <mruColors>
      <color rgb="FF098A9B"/>
      <color rgb="FFCDFF9B"/>
      <color rgb="FFFF898C"/>
      <color rgb="FFD4E8C6"/>
      <color rgb="FF009900"/>
      <color rgb="FF85C2FF"/>
      <color rgb="FF44546A"/>
    </mruColors>
  </colors>
  <extLst>
    <ext xmlns:x14="http://schemas.microsoft.com/office/spreadsheetml/2009/9/main" uri="{46F421CA-312F-682f-3DD2-61675219B42D}">
      <x14:dxfs count="12">
        <dxf>
          <fill>
            <patternFill>
              <bgColor theme="7"/>
            </patternFill>
          </fill>
        </dxf>
        <dxf>
          <fill>
            <patternFill>
              <bgColor theme="7" tint="0.39994506668294322"/>
            </patternFill>
          </fill>
        </dxf>
        <dxf>
          <fill>
            <patternFill>
              <bgColor rgb="FF92D050"/>
            </patternFill>
          </fill>
        </dxf>
        <dxf>
          <fill>
            <patternFill>
              <bgColor theme="4" tint="0.39994506668294322"/>
            </patternFill>
          </fill>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828282"/>
          </font>
          <fill>
            <patternFill patternType="solid">
              <fgColor theme="4" tint="0.79998168889431442"/>
              <bgColor theme="4" tint="0.79998168889431442"/>
            </patternFill>
          </fill>
          <border>
            <left style="thin">
              <color rgb="FFCCCCCC"/>
            </left>
            <right style="thin">
              <color rgb="FFCCCCCC"/>
            </right>
            <top style="thin">
              <color rgb="FFCCCCCC"/>
            </top>
            <bottom style="thin">
              <color rgb="FFCCCCCC"/>
            </bottom>
            <vertical/>
            <horizontal/>
          </border>
        </dxf>
        <dxf>
          <font>
            <color rgb="FF000000"/>
          </font>
          <fill>
            <patternFill patternType="solid">
              <fgColor theme="4" tint="0.59999389629810485"/>
              <bgColor theme="4" tint="0.59999389629810485"/>
            </patternFill>
          </fill>
          <border>
            <left style="thin">
              <color rgb="FF999999"/>
            </left>
            <right style="thin">
              <color rgb="FF999999"/>
            </right>
            <top style="thin">
              <color rgb="FF999999"/>
            </top>
            <bottom style="thin">
              <color rgb="FF999999"/>
            </bottom>
            <vertical/>
            <horizontal/>
          </border>
        </dxf>
        <dxf>
          <font>
            <color rgb="FF828282"/>
          </font>
          <fill>
            <patternFill patternType="solid">
              <fgColor rgb="FFFFFFFF"/>
              <bgColor rgb="FFFFFFFF"/>
            </patternFill>
          </fill>
          <border>
            <left style="thin">
              <color rgb="FFE0E0E0"/>
            </left>
            <right style="thin">
              <color rgb="FFE0E0E0"/>
            </right>
            <top style="thin">
              <color rgb="FFE0E0E0"/>
            </top>
            <bottom style="thin">
              <color rgb="FFE0E0E0"/>
            </bottom>
            <vertical/>
            <horizontal/>
          </border>
        </dxf>
        <dxf>
          <font>
            <color rgb="FF000000"/>
          </font>
          <fill>
            <patternFill patternType="solid">
              <fgColor rgb="FFFFFFFF"/>
              <bgColor rgb="FFFFFFFF"/>
            </patternFill>
          </fill>
          <border>
            <left style="thin">
              <color rgb="FFCCCCCC"/>
            </left>
            <right style="thin">
              <color rgb="FFCCCCCC"/>
            </right>
            <top style="thin">
              <color rgb="FFCCCCCC"/>
            </top>
            <bottom style="thin">
              <color rgb="FFCCCCCC"/>
            </bottom>
            <vertical/>
            <horizontal/>
          </border>
        </dxf>
      </x14:dxfs>
    </ext>
    <ext xmlns:x14="http://schemas.microsoft.com/office/spreadsheetml/2009/9/main" uri="{EB79DEF2-80B8-43e5-95BD-54CBDDF9020C}">
      <x14:slicerStyles defaultSlicerStyle="4W">
        <x14:slicerStyle name="4W">
          <x14:slicerStyleElements>
            <x14:slicerStyleElement type="unselectedItemWithData" dxfId="11"/>
            <x14:slicerStyleElement type="unselectedItemWithNoData" dxfId="10"/>
            <x14:slicerStyleElement type="selectedItemWithData" dxfId="9"/>
            <x14:slicerStyleElement type="selectedItemWithNoData" dxfId="8"/>
            <x14:slicerStyleElement type="hoveredUnselectedItemWithData" dxfId="7"/>
            <x14:slicerStyleElement type="hoveredSelectedItemWithData" dxfId="6"/>
            <x14:slicerStyleElement type="hoveredUnselectedItemWithNoData" dxfId="5"/>
            <x14:slicerStyleElement type="hoveredSelectedItemWithNoData" dxfId="4"/>
          </x14:slicerStyleElements>
        </x14:slicerStyle>
        <x14:slicerStyle name="4W Style"/>
        <x14:slicerStyle name="Slicer Style 1">
          <x14:slicerStyleElements>
            <x14:slicerStyleElement type="unselectedItemWithData" dxfId="3"/>
            <x14:slicerStyleElement type="selectedItemWithData" dxfId="2"/>
            <x14:slicerStyleElement type="hoveredUnselectedItemWithData" dxfId="1"/>
            <x14:slicerStyleElement type="hoveredSelectedItemWithData" dxfId="0"/>
          </x14:slicerStyleElements>
        </x14:slicerStyle>
      </x14:slicerStyles>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26" Type="http://schemas.microsoft.com/office/2007/relationships/slicerCache" Target="slicerCaches/slicerCache1.xml"/><Relationship Id="rId39"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externalLink" Target="externalLinks/externalLink6.xml"/><Relationship Id="rId34" Type="http://schemas.microsoft.com/office/2007/relationships/slicerCache" Target="slicerCaches/slicerCache9.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openxmlformats.org/officeDocument/2006/relationships/pivotCacheDefinition" Target="pivotCache/pivotCacheDefinition1.xml"/><Relationship Id="rId33" Type="http://schemas.microsoft.com/office/2007/relationships/slicerCache" Target="slicerCaches/slicerCache8.xml"/><Relationship Id="rId38"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externalLink" Target="externalLinks/externalLink5.xml"/><Relationship Id="rId29" Type="http://schemas.microsoft.com/office/2007/relationships/slicerCache" Target="slicerCaches/slicerCache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9.xml"/><Relationship Id="rId32" Type="http://schemas.microsoft.com/office/2007/relationships/slicerCache" Target="slicerCaches/slicerCache7.xml"/><Relationship Id="rId37"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8.xml"/><Relationship Id="rId28" Type="http://schemas.microsoft.com/office/2007/relationships/slicerCache" Target="slicerCaches/slicerCache3.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externalLink" Target="externalLinks/externalLink4.xml"/><Relationship Id="rId31" Type="http://schemas.microsoft.com/office/2007/relationships/slicerCache" Target="slicerCaches/slicerCache6.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7.xml"/><Relationship Id="rId27" Type="http://schemas.microsoft.com/office/2007/relationships/slicerCache" Target="slicerCaches/slicerCache2.xml"/><Relationship Id="rId30" Type="http://schemas.microsoft.com/office/2007/relationships/slicerCache" Target="slicerCaches/slicerCache5.xml"/><Relationship Id="rId35" Type="http://schemas.microsoft.com/office/2007/relationships/slicerCache" Target="slicerCaches/slicerCache10.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4.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5.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6.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7.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48.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49.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1.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2.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53.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54.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55.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56.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57.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58.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59.xml.rels><?xml version="1.0" encoding="UTF-8" standalone="yes"?>
<Relationships xmlns="http://schemas.openxmlformats.org/package/2006/relationships"><Relationship Id="rId2" Type="http://schemas.microsoft.com/office/2011/relationships/chartColorStyle" Target="colors59.xml"/><Relationship Id="rId1" Type="http://schemas.microsoft.com/office/2011/relationships/chartStyle" Target="style59.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60.xml.rels><?xml version="1.0" encoding="UTF-8" standalone="yes"?>
<Relationships xmlns="http://schemas.openxmlformats.org/package/2006/relationships"><Relationship Id="rId2" Type="http://schemas.microsoft.com/office/2011/relationships/chartColorStyle" Target="colors60.xml"/><Relationship Id="rId1" Type="http://schemas.microsoft.com/office/2011/relationships/chartStyle" Target="style60.xml"/></Relationships>
</file>

<file path=xl/charts/_rels/chart61.xml.rels><?xml version="1.0" encoding="UTF-8" standalone="yes"?>
<Relationships xmlns="http://schemas.openxmlformats.org/package/2006/relationships"><Relationship Id="rId2" Type="http://schemas.microsoft.com/office/2011/relationships/chartColorStyle" Target="colors61.xml"/><Relationship Id="rId1" Type="http://schemas.microsoft.com/office/2011/relationships/chartStyle" Target="style61.xml"/></Relationships>
</file>

<file path=xl/charts/_rels/chart63.xml.rels><?xml version="1.0" encoding="UTF-8" standalone="yes"?>
<Relationships xmlns="http://schemas.openxmlformats.org/package/2006/relationships"><Relationship Id="rId2" Type="http://schemas.microsoft.com/office/2011/relationships/chartColorStyle" Target="colors62.xml"/><Relationship Id="rId1" Type="http://schemas.microsoft.com/office/2011/relationships/chartStyle" Target="style62.xml"/></Relationships>
</file>

<file path=xl/charts/_rels/chart64.xml.rels><?xml version="1.0" encoding="UTF-8" standalone="yes"?>
<Relationships xmlns="http://schemas.openxmlformats.org/package/2006/relationships"><Relationship Id="rId2" Type="http://schemas.microsoft.com/office/2011/relationships/chartColorStyle" Target="colors63.xml"/><Relationship Id="rId1" Type="http://schemas.microsoft.com/office/2011/relationships/chartStyle" Target="style63.xml"/></Relationships>
</file>

<file path=xl/charts/_rels/chart65.xml.rels><?xml version="1.0" encoding="UTF-8" standalone="yes"?>
<Relationships xmlns="http://schemas.openxmlformats.org/package/2006/relationships"><Relationship Id="rId2" Type="http://schemas.microsoft.com/office/2011/relationships/chartColorStyle" Target="colors64.xml"/><Relationship Id="rId1" Type="http://schemas.microsoft.com/office/2011/relationships/chartStyle" Target="style64.xml"/></Relationships>
</file>

<file path=xl/charts/_rels/chart66.xml.rels><?xml version="1.0" encoding="UTF-8" standalone="yes"?>
<Relationships xmlns="http://schemas.openxmlformats.org/package/2006/relationships"><Relationship Id="rId2" Type="http://schemas.microsoft.com/office/2011/relationships/chartColorStyle" Target="colors65.xml"/><Relationship Id="rId1" Type="http://schemas.microsoft.com/office/2011/relationships/chartStyle" Target="style65.xml"/></Relationships>
</file>

<file path=xl/charts/_rels/chart67.xml.rels><?xml version="1.0" encoding="UTF-8" standalone="yes"?>
<Relationships xmlns="http://schemas.openxmlformats.org/package/2006/relationships"><Relationship Id="rId2" Type="http://schemas.microsoft.com/office/2011/relationships/chartColorStyle" Target="colors66.xml"/><Relationship Id="rId1" Type="http://schemas.microsoft.com/office/2011/relationships/chartStyle" Target="style66.xml"/></Relationships>
</file>

<file path=xl/charts/_rels/chart68.xml.rels><?xml version="1.0" encoding="UTF-8" standalone="yes"?>
<Relationships xmlns="http://schemas.openxmlformats.org/package/2006/relationships"><Relationship Id="rId2" Type="http://schemas.microsoft.com/office/2011/relationships/chartColorStyle" Target="colors67.xml"/><Relationship Id="rId1" Type="http://schemas.microsoft.com/office/2011/relationships/chartStyle" Target="style67.xml"/></Relationships>
</file>

<file path=xl/charts/_rels/chart69.xml.rels><?xml version="1.0" encoding="UTF-8" standalone="yes"?>
<Relationships xmlns="http://schemas.openxmlformats.org/package/2006/relationships"><Relationship Id="rId2" Type="http://schemas.microsoft.com/office/2011/relationships/chartColorStyle" Target="colors68.xml"/><Relationship Id="rId1" Type="http://schemas.microsoft.com/office/2011/relationships/chartStyle" Target="style68.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70.xml.rels><?xml version="1.0" encoding="UTF-8" standalone="yes"?>
<Relationships xmlns="http://schemas.openxmlformats.org/package/2006/relationships"><Relationship Id="rId2" Type="http://schemas.microsoft.com/office/2011/relationships/chartColorStyle" Target="colors69.xml"/><Relationship Id="rId1" Type="http://schemas.microsoft.com/office/2011/relationships/chartStyle" Target="style69.xml"/></Relationships>
</file>

<file path=xl/charts/_rels/chart71.xml.rels><?xml version="1.0" encoding="UTF-8" standalone="yes"?>
<Relationships xmlns="http://schemas.openxmlformats.org/package/2006/relationships"><Relationship Id="rId2" Type="http://schemas.microsoft.com/office/2011/relationships/chartColorStyle" Target="colors70.xml"/><Relationship Id="rId1" Type="http://schemas.microsoft.com/office/2011/relationships/chartStyle" Target="style70.xml"/></Relationships>
</file>

<file path=xl/charts/_rels/chart72.xml.rels><?xml version="1.0" encoding="UTF-8" standalone="yes"?>
<Relationships xmlns="http://schemas.openxmlformats.org/package/2006/relationships"><Relationship Id="rId3" Type="http://schemas.openxmlformats.org/officeDocument/2006/relationships/chartUserShapes" Target="../drawings/drawing8.xml"/><Relationship Id="rId2" Type="http://schemas.microsoft.com/office/2011/relationships/chartColorStyle" Target="colors71.xml"/><Relationship Id="rId1" Type="http://schemas.microsoft.com/office/2011/relationships/chartStyle" Target="style71.xml"/></Relationships>
</file>

<file path=xl/charts/_rels/chart73.xml.rels><?xml version="1.0" encoding="UTF-8" standalone="yes"?>
<Relationships xmlns="http://schemas.openxmlformats.org/package/2006/relationships"><Relationship Id="rId2" Type="http://schemas.microsoft.com/office/2011/relationships/chartColorStyle" Target="colors72.xml"/><Relationship Id="rId1" Type="http://schemas.microsoft.com/office/2011/relationships/chartStyle" Target="style72.xml"/></Relationships>
</file>

<file path=xl/charts/_rels/chart74.xml.rels><?xml version="1.0" encoding="UTF-8" standalone="yes"?>
<Relationships xmlns="http://schemas.openxmlformats.org/package/2006/relationships"><Relationship Id="rId2" Type="http://schemas.microsoft.com/office/2011/relationships/chartColorStyle" Target="colors73.xml"/><Relationship Id="rId1" Type="http://schemas.microsoft.com/office/2011/relationships/chartStyle" Target="style73.xml"/></Relationships>
</file>

<file path=xl/charts/_rels/chart75.xml.rels><?xml version="1.0" encoding="UTF-8" standalone="yes"?>
<Relationships xmlns="http://schemas.openxmlformats.org/package/2006/relationships"><Relationship Id="rId2" Type="http://schemas.microsoft.com/office/2011/relationships/chartColorStyle" Target="colors74.xml"/><Relationship Id="rId1" Type="http://schemas.microsoft.com/office/2011/relationships/chartStyle" Target="style74.xml"/></Relationships>
</file>

<file path=xl/charts/_rels/chart76.xml.rels><?xml version="1.0" encoding="UTF-8" standalone="yes"?>
<Relationships xmlns="http://schemas.openxmlformats.org/package/2006/relationships"><Relationship Id="rId2" Type="http://schemas.microsoft.com/office/2011/relationships/chartColorStyle" Target="colors75.xml"/><Relationship Id="rId1" Type="http://schemas.microsoft.com/office/2011/relationships/chartStyle" Target="style75.xml"/></Relationships>
</file>

<file path=xl/charts/_rels/chart77.xml.rels><?xml version="1.0" encoding="UTF-8" standalone="yes"?>
<Relationships xmlns="http://schemas.openxmlformats.org/package/2006/relationships"><Relationship Id="rId2" Type="http://schemas.microsoft.com/office/2011/relationships/chartColorStyle" Target="colors76.xml"/><Relationship Id="rId1" Type="http://schemas.microsoft.com/office/2011/relationships/chartStyle" Target="style76.xml"/></Relationships>
</file>

<file path=xl/charts/_rels/chart78.xml.rels><?xml version="1.0" encoding="UTF-8" standalone="yes"?>
<Relationships xmlns="http://schemas.openxmlformats.org/package/2006/relationships"><Relationship Id="rId2" Type="http://schemas.microsoft.com/office/2011/relationships/chartColorStyle" Target="colors77.xml"/><Relationship Id="rId1" Type="http://schemas.microsoft.com/office/2011/relationships/chartStyle" Target="style77.xml"/></Relationships>
</file>

<file path=xl/charts/_rels/chart79.xml.rels><?xml version="1.0" encoding="UTF-8" standalone="yes"?>
<Relationships xmlns="http://schemas.openxmlformats.org/package/2006/relationships"><Relationship Id="rId2" Type="http://schemas.microsoft.com/office/2011/relationships/chartColorStyle" Target="colors78.xml"/><Relationship Id="rId1" Type="http://schemas.microsoft.com/office/2011/relationships/chartStyle" Target="style78.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80.xml.rels><?xml version="1.0" encoding="UTF-8" standalone="yes"?>
<Relationships xmlns="http://schemas.openxmlformats.org/package/2006/relationships"><Relationship Id="rId2" Type="http://schemas.microsoft.com/office/2011/relationships/chartColorStyle" Target="colors79.xml"/><Relationship Id="rId1" Type="http://schemas.microsoft.com/office/2011/relationships/chartStyle" Target="style79.xml"/></Relationships>
</file>

<file path=xl/charts/_rels/chart81.xml.rels><?xml version="1.0" encoding="UTF-8" standalone="yes"?>
<Relationships xmlns="http://schemas.openxmlformats.org/package/2006/relationships"><Relationship Id="rId2" Type="http://schemas.microsoft.com/office/2011/relationships/chartColorStyle" Target="colors80.xml"/><Relationship Id="rId1" Type="http://schemas.microsoft.com/office/2011/relationships/chartStyle" Target="style80.xml"/></Relationships>
</file>

<file path=xl/charts/_rels/chart82.xml.rels><?xml version="1.0" encoding="UTF-8" standalone="yes"?>
<Relationships xmlns="http://schemas.openxmlformats.org/package/2006/relationships"><Relationship Id="rId2" Type="http://schemas.microsoft.com/office/2011/relationships/chartColorStyle" Target="colors81.xml"/><Relationship Id="rId1" Type="http://schemas.microsoft.com/office/2011/relationships/chartStyle" Target="style81.xml"/></Relationships>
</file>

<file path=xl/charts/_rels/chart83.xml.rels><?xml version="1.0" encoding="UTF-8" standalone="yes"?>
<Relationships xmlns="http://schemas.openxmlformats.org/package/2006/relationships"><Relationship Id="rId2" Type="http://schemas.microsoft.com/office/2011/relationships/chartColorStyle" Target="colors82.xml"/><Relationship Id="rId1" Type="http://schemas.microsoft.com/office/2011/relationships/chartStyle" Target="style82.xml"/></Relationships>
</file>

<file path=xl/charts/_rels/chart84.xml.rels><?xml version="1.0" encoding="UTF-8" standalone="yes"?>
<Relationships xmlns="http://schemas.openxmlformats.org/package/2006/relationships"><Relationship Id="rId2" Type="http://schemas.microsoft.com/office/2011/relationships/chartColorStyle" Target="colors83.xml"/><Relationship Id="rId1" Type="http://schemas.microsoft.com/office/2011/relationships/chartStyle" Target="style83.xml"/></Relationships>
</file>

<file path=xl/charts/_rels/chart85.xml.rels><?xml version="1.0" encoding="UTF-8" standalone="yes"?>
<Relationships xmlns="http://schemas.openxmlformats.org/package/2006/relationships"><Relationship Id="rId2" Type="http://schemas.microsoft.com/office/2011/relationships/chartColorStyle" Target="colors84.xml"/><Relationship Id="rId1" Type="http://schemas.microsoft.com/office/2011/relationships/chartStyle" Target="style84.xml"/></Relationships>
</file>

<file path=xl/charts/_rels/chart86.xml.rels><?xml version="1.0" encoding="UTF-8" standalone="yes"?>
<Relationships xmlns="http://schemas.openxmlformats.org/package/2006/relationships"><Relationship Id="rId2" Type="http://schemas.microsoft.com/office/2011/relationships/chartColorStyle" Target="colors85.xml"/><Relationship Id="rId1" Type="http://schemas.microsoft.com/office/2011/relationships/chartStyle" Target="style85.xml"/></Relationships>
</file>

<file path=xl/charts/_rels/chart87.xml.rels><?xml version="1.0" encoding="UTF-8" standalone="yes"?>
<Relationships xmlns="http://schemas.openxmlformats.org/package/2006/relationships"><Relationship Id="rId2" Type="http://schemas.microsoft.com/office/2011/relationships/chartColorStyle" Target="colors86.xml"/><Relationship Id="rId1" Type="http://schemas.microsoft.com/office/2011/relationships/chartStyle" Target="style86.xml"/></Relationships>
</file>

<file path=xl/charts/_rels/chart88.xml.rels><?xml version="1.0" encoding="UTF-8" standalone="yes"?>
<Relationships xmlns="http://schemas.openxmlformats.org/package/2006/relationships"><Relationship Id="rId2" Type="http://schemas.microsoft.com/office/2011/relationships/chartColorStyle" Target="colors87.xml"/><Relationship Id="rId1" Type="http://schemas.microsoft.com/office/2011/relationships/chartStyle" Target="style87.xml"/></Relationships>
</file>

<file path=xl/charts/_rels/chart89.xml.rels><?xml version="1.0" encoding="UTF-8" standalone="yes"?>
<Relationships xmlns="http://schemas.openxmlformats.org/package/2006/relationships"><Relationship Id="rId2" Type="http://schemas.microsoft.com/office/2011/relationships/chartColorStyle" Target="colors88.xml"/><Relationship Id="rId1" Type="http://schemas.microsoft.com/office/2011/relationships/chartStyle" Target="style8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90.xml.rels><?xml version="1.0" encoding="UTF-8" standalone="yes"?>
<Relationships xmlns="http://schemas.openxmlformats.org/package/2006/relationships"><Relationship Id="rId2" Type="http://schemas.microsoft.com/office/2011/relationships/chartColorStyle" Target="colors89.xml"/><Relationship Id="rId1" Type="http://schemas.microsoft.com/office/2011/relationships/chartStyle" Target="style89.xml"/></Relationships>
</file>

<file path=xl/charts/_rels/chart91.xml.rels><?xml version="1.0" encoding="UTF-8" standalone="yes"?>
<Relationships xmlns="http://schemas.openxmlformats.org/package/2006/relationships"><Relationship Id="rId2" Type="http://schemas.microsoft.com/office/2011/relationships/chartColorStyle" Target="colors90.xml"/><Relationship Id="rId1" Type="http://schemas.microsoft.com/office/2011/relationships/chartStyle" Target="style90.xml"/></Relationships>
</file>

<file path=xl/charts/_rels/chart92.xml.rels><?xml version="1.0" encoding="UTF-8" standalone="yes"?>
<Relationships xmlns="http://schemas.openxmlformats.org/package/2006/relationships"><Relationship Id="rId2" Type="http://schemas.microsoft.com/office/2011/relationships/chartColorStyle" Target="colors91.xml"/><Relationship Id="rId1" Type="http://schemas.microsoft.com/office/2011/relationships/chartStyle" Target="style91.xml"/></Relationships>
</file>

<file path=xl/charts/_rels/chart93.xml.rels><?xml version="1.0" encoding="UTF-8" standalone="yes"?>
<Relationships xmlns="http://schemas.openxmlformats.org/package/2006/relationships"><Relationship Id="rId2" Type="http://schemas.microsoft.com/office/2011/relationships/chartColorStyle" Target="colors92.xml"/><Relationship Id="rId1" Type="http://schemas.microsoft.com/office/2011/relationships/chartStyle" Target="style92.xml"/></Relationships>
</file>

<file path=xl/charts/_rels/chart94.xml.rels><?xml version="1.0" encoding="UTF-8" standalone="yes"?>
<Relationships xmlns="http://schemas.openxmlformats.org/package/2006/relationships"><Relationship Id="rId2" Type="http://schemas.microsoft.com/office/2011/relationships/chartColorStyle" Target="colors93.xml"/><Relationship Id="rId1" Type="http://schemas.microsoft.com/office/2011/relationships/chartStyle" Target="style93.xml"/></Relationships>
</file>

<file path=xl/charts/_rels/chart95.xml.rels><?xml version="1.0" encoding="UTF-8" standalone="yes"?>
<Relationships xmlns="http://schemas.openxmlformats.org/package/2006/relationships"><Relationship Id="rId2" Type="http://schemas.microsoft.com/office/2011/relationships/chartColorStyle" Target="colors94.xml"/><Relationship Id="rId1" Type="http://schemas.microsoft.com/office/2011/relationships/chartStyle" Target="style94.xml"/></Relationships>
</file>

<file path=xl/charts/_rels/chart96.xml.rels><?xml version="1.0" encoding="UTF-8" standalone="yes"?>
<Relationships xmlns="http://schemas.openxmlformats.org/package/2006/relationships"><Relationship Id="rId2" Type="http://schemas.microsoft.com/office/2011/relationships/chartColorStyle" Target="colors95.xml"/><Relationship Id="rId1" Type="http://schemas.microsoft.com/office/2011/relationships/chartStyle" Target="style95.xml"/></Relationships>
</file>

<file path=xl/charts/_rels/chart97.xml.rels><?xml version="1.0" encoding="UTF-8" standalone="yes"?>
<Relationships xmlns="http://schemas.openxmlformats.org/package/2006/relationships"><Relationship Id="rId2" Type="http://schemas.microsoft.com/office/2011/relationships/chartColorStyle" Target="colors96.xml"/><Relationship Id="rId1" Type="http://schemas.microsoft.com/office/2011/relationships/chartStyle" Target="style96.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r>
              <a:rPr lang="en-US" sz="1200"/>
              <a:t>Number of people with equitable and safe access to sufficient quantity of drinking water</a:t>
            </a:r>
          </a:p>
        </c:rich>
      </c:tx>
      <c:overlay val="0"/>
      <c:spPr>
        <a:noFill/>
        <a:ln>
          <a:noFill/>
        </a:ln>
        <a:effectLst/>
      </c:spPr>
      <c:txPr>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n-US"/>
        </a:p>
      </c:txPr>
    </c:title>
    <c:autoTitleDeleted val="0"/>
    <c:plotArea>
      <c:layout/>
      <c:barChart>
        <c:barDir val="bar"/>
        <c:grouping val="percentStacked"/>
        <c:varyColors val="0"/>
        <c:ser>
          <c:idx val="1"/>
          <c:order val="1"/>
          <c:tx>
            <c:strRef>
              <c:f>HRP!$D$49</c:f>
              <c:strCache>
                <c:ptCount val="1"/>
                <c:pt idx="0">
                  <c:v>Number of people with equitable and safe access to sufficient quantity of drinking water(Reached)</c:v>
                </c:pt>
              </c:strCache>
            </c:strRef>
          </c:tx>
          <c:spPr>
            <a:solidFill>
              <a:srgbClr val="0070C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HRP!$B$50:$B$52</c:f>
              <c:strCache>
                <c:ptCount val="3"/>
                <c:pt idx="0">
                  <c:v>Kachin</c:v>
                </c:pt>
                <c:pt idx="1">
                  <c:v>Rakhine</c:v>
                </c:pt>
                <c:pt idx="2">
                  <c:v>Shan (North)</c:v>
                </c:pt>
              </c:strCache>
            </c:strRef>
          </c:cat>
          <c:val>
            <c:numRef>
              <c:f>HRP!$D$50:$D$52</c:f>
              <c:numCache>
                <c:formatCode>_(* #,##0_);_(* \(#,##0\);_(* "-"??_);_(@_)</c:formatCode>
                <c:ptCount val="3"/>
                <c:pt idx="0">
                  <c:v>77868.799999999988</c:v>
                </c:pt>
                <c:pt idx="1">
                  <c:v>141960.33333333331</c:v>
                </c:pt>
                <c:pt idx="2">
                  <c:v>8969</c:v>
                </c:pt>
              </c:numCache>
            </c:numRef>
          </c:val>
          <c:extLst xmlns:c16r2="http://schemas.microsoft.com/office/drawing/2015/06/chart">
            <c:ext xmlns:c16="http://schemas.microsoft.com/office/drawing/2014/chart" uri="{C3380CC4-5D6E-409C-BE32-E72D297353CC}">
              <c16:uniqueId val="{00000001-B753-4CD1-A3E6-F95FDFA8B06B}"/>
            </c:ext>
          </c:extLst>
        </c:ser>
        <c:ser>
          <c:idx val="2"/>
          <c:order val="2"/>
          <c:tx>
            <c:strRef>
              <c:f>HRP!$E$49</c:f>
              <c:strCache>
                <c:ptCount val="1"/>
                <c:pt idx="0">
                  <c:v>Number of people with equitable and safe access to sufficient quantity of drinking water(Gap)</c:v>
                </c:pt>
              </c:strCache>
            </c:strRef>
          </c:tx>
          <c:spPr>
            <a:solidFill>
              <a:schemeClr val="accent1">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HRP!$B$50:$B$52</c:f>
              <c:strCache>
                <c:ptCount val="3"/>
                <c:pt idx="0">
                  <c:v>Kachin</c:v>
                </c:pt>
                <c:pt idx="1">
                  <c:v>Rakhine</c:v>
                </c:pt>
                <c:pt idx="2">
                  <c:v>Shan (North)</c:v>
                </c:pt>
              </c:strCache>
            </c:strRef>
          </c:cat>
          <c:val>
            <c:numRef>
              <c:f>HRP!$E$50:$E$52</c:f>
              <c:numCache>
                <c:formatCode>_(* #,##0_);_(* \(#,##0\);_(* "-"??_);_(@_)</c:formatCode>
                <c:ptCount val="3"/>
                <c:pt idx="0">
                  <c:v>38993.200000000012</c:v>
                </c:pt>
                <c:pt idx="1">
                  <c:v>237176.66666666669</c:v>
                </c:pt>
                <c:pt idx="2">
                  <c:v>11510</c:v>
                </c:pt>
              </c:numCache>
            </c:numRef>
          </c:val>
          <c:extLst xmlns:c16r2="http://schemas.microsoft.com/office/drawing/2015/06/chart">
            <c:ext xmlns:c16="http://schemas.microsoft.com/office/drawing/2014/chart" uri="{C3380CC4-5D6E-409C-BE32-E72D297353CC}">
              <c16:uniqueId val="{00000002-B753-4CD1-A3E6-F95FDFA8B06B}"/>
            </c:ext>
          </c:extLst>
        </c:ser>
        <c:dLbls>
          <c:showLegendKey val="0"/>
          <c:showVal val="0"/>
          <c:showCatName val="0"/>
          <c:showSerName val="0"/>
          <c:showPercent val="0"/>
          <c:showBubbleSize val="0"/>
        </c:dLbls>
        <c:gapWidth val="150"/>
        <c:overlap val="100"/>
        <c:axId val="254955264"/>
        <c:axId val="326764656"/>
        <c:extLst xmlns:c16r2="http://schemas.microsoft.com/office/drawing/2015/06/chart">
          <c:ext xmlns:c15="http://schemas.microsoft.com/office/drawing/2012/chart" uri="{02D57815-91ED-43cb-92C2-25804820EDAC}">
            <c15:filteredBarSeries>
              <c15:ser>
                <c:idx val="0"/>
                <c:order val="0"/>
                <c:tx>
                  <c:strRef>
                    <c:extLst xmlns:c16r2="http://schemas.microsoft.com/office/drawing/2015/06/chart">
                      <c:ext uri="{02D57815-91ED-43cb-92C2-25804820EDAC}">
                        <c15:formulaRef>
                          <c15:sqref>HRP!$C$49</c15:sqref>
                        </c15:formulaRef>
                      </c:ext>
                    </c:extLst>
                    <c:strCache>
                      <c:ptCount val="1"/>
                      <c:pt idx="0">
                        <c:v>Number of people with equitable and safe access to sufficient quantity of drinking water(Target)</c:v>
                      </c:pt>
                    </c:strCache>
                  </c:strRef>
                </c:tx>
                <c:spPr>
                  <a:gradFill rotWithShape="1">
                    <a:gsLst>
                      <a:gs pos="0">
                        <a:schemeClr val="accent1">
                          <a:shade val="65000"/>
                          <a:satMod val="103000"/>
                          <a:lumMod val="102000"/>
                          <a:tint val="94000"/>
                        </a:schemeClr>
                      </a:gs>
                      <a:gs pos="50000">
                        <a:schemeClr val="accent1">
                          <a:shade val="65000"/>
                          <a:satMod val="110000"/>
                          <a:lumMod val="100000"/>
                          <a:shade val="100000"/>
                        </a:schemeClr>
                      </a:gs>
                      <a:gs pos="100000">
                        <a:schemeClr val="accent1">
                          <a:shade val="65000"/>
                          <a:lumMod val="99000"/>
                          <a:satMod val="120000"/>
                          <a:shade val="78000"/>
                        </a:schemeClr>
                      </a:gs>
                    </a:gsLst>
                    <a:lin ang="5400000" scaled="0"/>
                  </a:gradFill>
                  <a:ln>
                    <a:noFill/>
                  </a:ln>
                  <a:effectLst/>
                </c:spPr>
                <c:invertIfNegative val="0"/>
                <c:cat>
                  <c:strRef>
                    <c:extLst xmlns:c16r2="http://schemas.microsoft.com/office/drawing/2015/06/chart">
                      <c:ext uri="{02D57815-91ED-43cb-92C2-25804820EDAC}">
                        <c15:formulaRef>
                          <c15:sqref>HRP!$B$50:$B$52</c15:sqref>
                        </c15:formulaRef>
                      </c:ext>
                    </c:extLst>
                    <c:strCache>
                      <c:ptCount val="3"/>
                      <c:pt idx="0">
                        <c:v>Kachin</c:v>
                      </c:pt>
                      <c:pt idx="1">
                        <c:v>Rakhine</c:v>
                      </c:pt>
                      <c:pt idx="2">
                        <c:v>Shan (North)</c:v>
                      </c:pt>
                    </c:strCache>
                  </c:strRef>
                </c:cat>
                <c:val>
                  <c:numRef>
                    <c:extLst xmlns:c16r2="http://schemas.microsoft.com/office/drawing/2015/06/chart">
                      <c:ext uri="{02D57815-91ED-43cb-92C2-25804820EDAC}">
                        <c15:formulaRef>
                          <c15:sqref>HRP!$C$50:$C$52</c15:sqref>
                        </c15:formulaRef>
                      </c:ext>
                    </c:extLst>
                    <c:numCache>
                      <c:formatCode>_(* #,##0_);_(* \(#,##0\);_(* "-"??_);_(@_)</c:formatCode>
                      <c:ptCount val="3"/>
                      <c:pt idx="0">
                        <c:v>116862</c:v>
                      </c:pt>
                      <c:pt idx="1">
                        <c:v>379137</c:v>
                      </c:pt>
                      <c:pt idx="2">
                        <c:v>20479</c:v>
                      </c:pt>
                    </c:numCache>
                  </c:numRef>
                </c:val>
                <c:extLst xmlns:c16r2="http://schemas.microsoft.com/office/drawing/2015/06/chart">
                  <c:ext xmlns:c16="http://schemas.microsoft.com/office/drawing/2014/chart" uri="{C3380CC4-5D6E-409C-BE32-E72D297353CC}">
                    <c16:uniqueId val="{00000000-B753-4CD1-A3E6-F95FDFA8B06B}"/>
                  </c:ext>
                </c:extLst>
              </c15:ser>
            </c15:filteredBarSeries>
          </c:ext>
        </c:extLst>
      </c:barChart>
      <c:catAx>
        <c:axId val="254955264"/>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326764656"/>
        <c:crosses val="autoZero"/>
        <c:auto val="1"/>
        <c:lblAlgn val="ctr"/>
        <c:lblOffset val="100"/>
        <c:noMultiLvlLbl val="0"/>
      </c:catAx>
      <c:valAx>
        <c:axId val="326764656"/>
        <c:scaling>
          <c:orientation val="minMax"/>
        </c:scaling>
        <c:delete val="0"/>
        <c:axPos val="b"/>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25495526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n-US"/>
              <a:t>National (in</a:t>
            </a:r>
            <a:r>
              <a:rPr lang="en-US" baseline="0"/>
              <a:t> IDP camps)</a:t>
            </a:r>
            <a:endParaRPr lang="en-US"/>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n-US"/>
        </a:p>
      </c:txPr>
    </c:title>
    <c:autoTitleDeleted val="0"/>
    <c:plotArea>
      <c:layout/>
      <c:barChart>
        <c:barDir val="bar"/>
        <c:grouping val="percentStacked"/>
        <c:varyColors val="0"/>
        <c:ser>
          <c:idx val="0"/>
          <c:order val="0"/>
          <c:tx>
            <c:strRef>
              <c:f>HRP!$H$123</c:f>
              <c:strCache>
                <c:ptCount val="1"/>
                <c:pt idx="0">
                  <c:v>Coverage</c:v>
                </c:pt>
              </c:strCache>
            </c:strRef>
          </c:tx>
          <c:spPr>
            <a:solidFill>
              <a:srgbClr val="0070C0"/>
            </a:solidFill>
            <a:ln>
              <a:noFill/>
            </a:ln>
            <a:effectLst/>
          </c:spPr>
          <c:invertIfNegative val="0"/>
          <c:dPt>
            <c:idx val="0"/>
            <c:invertIfNegative val="0"/>
            <c:bubble3D val="0"/>
            <c:spPr>
              <a:solidFill>
                <a:schemeClr val="accent6">
                  <a:lumMod val="75000"/>
                </a:schemeClr>
              </a:solidFill>
              <a:ln>
                <a:noFill/>
              </a:ln>
              <a:effectLst/>
            </c:spPr>
          </c:dPt>
          <c:dPt>
            <c:idx val="1"/>
            <c:invertIfNegative val="0"/>
            <c:bubble3D val="0"/>
            <c:spPr>
              <a:solidFill>
                <a:schemeClr val="accent6">
                  <a:lumMod val="75000"/>
                </a:schemeClr>
              </a:solidFill>
              <a:ln>
                <a:noFill/>
              </a:ln>
              <a:effectLst/>
            </c:spPr>
          </c:dPt>
          <c:dPt>
            <c:idx val="2"/>
            <c:invertIfNegative val="0"/>
            <c:bubble3D val="0"/>
            <c:spPr>
              <a:solidFill>
                <a:schemeClr val="accent2">
                  <a:lumMod val="75000"/>
                </a:schemeClr>
              </a:solidFill>
              <a:ln>
                <a:noFill/>
              </a:ln>
              <a:effectLst/>
            </c:spPr>
          </c:dPt>
          <c:dPt>
            <c:idx val="3"/>
            <c:invertIfNegative val="0"/>
            <c:bubble3D val="0"/>
            <c:spPr>
              <a:solidFill>
                <a:schemeClr val="accent2">
                  <a:lumMod val="75000"/>
                </a:schemeClr>
              </a:solidFill>
              <a:ln>
                <a:noFill/>
              </a:ln>
              <a:effectLst/>
            </c:spPr>
          </c:dPt>
          <c:dLbls>
            <c:dLbl>
              <c:idx val="3"/>
              <c:layout>
                <c:manualLayout>
                  <c:x val="2.6657535935854054E-2"/>
                  <c:y val="-6.2369169004487385E-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CAD5-4496-BE8A-D440D686860E}"/>
                </c:ext>
                <c:ext xmlns:c15="http://schemas.microsoft.com/office/drawing/2012/chart" uri="{CE6537A1-D6FC-4f65-9D91-7224C49458BB}"/>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HRP!$F$124:$F$129</c:f>
              <c:strCache>
                <c:ptCount val="6"/>
                <c:pt idx="0">
                  <c:v>reached by regular dedicated hygiene promotion</c:v>
                </c:pt>
                <c:pt idx="1">
                  <c:v> received regular supply of hygiene items</c:v>
                </c:pt>
                <c:pt idx="2">
                  <c:v>with access to functional sanitation facilities</c:v>
                </c:pt>
                <c:pt idx="3">
                  <c:v>with access to continuous sanitation services</c:v>
                </c:pt>
                <c:pt idx="4">
                  <c:v> with equitable and safe access to sufficient quantity of drinking water</c:v>
                </c:pt>
                <c:pt idx="5">
                  <c:v>with equitable and safe access to sufficient quantity of domestic water</c:v>
                </c:pt>
              </c:strCache>
            </c:strRef>
          </c:cat>
          <c:val>
            <c:numRef>
              <c:f>HRP!$H$124:$H$129</c:f>
              <c:numCache>
                <c:formatCode>_(* #,##0_);_(* \(#,##0\);_(* "-"??_);_(@_)</c:formatCode>
                <c:ptCount val="6"/>
                <c:pt idx="0">
                  <c:v>156172</c:v>
                </c:pt>
                <c:pt idx="1">
                  <c:v>120585</c:v>
                </c:pt>
                <c:pt idx="2">
                  <c:v>173212</c:v>
                </c:pt>
                <c:pt idx="3">
                  <c:v>24525</c:v>
                </c:pt>
                <c:pt idx="4">
                  <c:v>202658.13333333333</c:v>
                </c:pt>
                <c:pt idx="5">
                  <c:v>204989.13333333333</c:v>
                </c:pt>
              </c:numCache>
            </c:numRef>
          </c:val>
          <c:extLst xmlns:c16r2="http://schemas.microsoft.com/office/drawing/2015/06/chart">
            <c:ext xmlns:c16="http://schemas.microsoft.com/office/drawing/2014/chart" uri="{C3380CC4-5D6E-409C-BE32-E72D297353CC}">
              <c16:uniqueId val="{00000001-CAD5-4496-BE8A-D440D686860E}"/>
            </c:ext>
          </c:extLst>
        </c:ser>
        <c:ser>
          <c:idx val="1"/>
          <c:order val="1"/>
          <c:tx>
            <c:strRef>
              <c:f>HRP!$I$123</c:f>
              <c:strCache>
                <c:ptCount val="1"/>
                <c:pt idx="0">
                  <c:v>Gap</c:v>
                </c:pt>
              </c:strCache>
            </c:strRef>
          </c:tx>
          <c:spPr>
            <a:solidFill>
              <a:schemeClr val="accent1">
                <a:lumMod val="40000"/>
                <a:lumOff val="60000"/>
              </a:schemeClr>
            </a:solidFill>
            <a:ln>
              <a:noFill/>
            </a:ln>
            <a:effectLst/>
          </c:spPr>
          <c:invertIfNegative val="0"/>
          <c:dPt>
            <c:idx val="0"/>
            <c:invertIfNegative val="0"/>
            <c:bubble3D val="0"/>
            <c:spPr>
              <a:solidFill>
                <a:schemeClr val="accent6">
                  <a:lumMod val="40000"/>
                  <a:lumOff val="60000"/>
                </a:schemeClr>
              </a:solidFill>
              <a:ln>
                <a:noFill/>
              </a:ln>
              <a:effectLst/>
            </c:spPr>
          </c:dPt>
          <c:dPt>
            <c:idx val="1"/>
            <c:invertIfNegative val="0"/>
            <c:bubble3D val="0"/>
            <c:spPr>
              <a:solidFill>
                <a:schemeClr val="accent6">
                  <a:lumMod val="40000"/>
                  <a:lumOff val="60000"/>
                </a:schemeClr>
              </a:solidFill>
              <a:ln>
                <a:noFill/>
              </a:ln>
              <a:effectLst/>
            </c:spPr>
          </c:dPt>
          <c:dPt>
            <c:idx val="2"/>
            <c:invertIfNegative val="0"/>
            <c:bubble3D val="0"/>
            <c:spPr>
              <a:solidFill>
                <a:schemeClr val="accent2">
                  <a:lumMod val="40000"/>
                  <a:lumOff val="60000"/>
                </a:schemeClr>
              </a:solidFill>
              <a:ln>
                <a:noFill/>
              </a:ln>
              <a:effectLst/>
            </c:spPr>
          </c:dPt>
          <c:dPt>
            <c:idx val="3"/>
            <c:invertIfNegative val="0"/>
            <c:bubble3D val="0"/>
            <c:spPr>
              <a:solidFill>
                <a:schemeClr val="accent2">
                  <a:lumMod val="40000"/>
                  <a:lumOff val="60000"/>
                </a:schemeClr>
              </a:solidFill>
              <a:ln>
                <a:noFill/>
              </a:ln>
              <a:effectLst/>
            </c:spPr>
          </c:dPt>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HRP!$F$124:$F$129</c:f>
              <c:strCache>
                <c:ptCount val="6"/>
                <c:pt idx="0">
                  <c:v>reached by regular dedicated hygiene promotion</c:v>
                </c:pt>
                <c:pt idx="1">
                  <c:v> received regular supply of hygiene items</c:v>
                </c:pt>
                <c:pt idx="2">
                  <c:v>with access to functional sanitation facilities</c:v>
                </c:pt>
                <c:pt idx="3">
                  <c:v>with access to continuous sanitation services</c:v>
                </c:pt>
                <c:pt idx="4">
                  <c:v> with equitable and safe access to sufficient quantity of drinking water</c:v>
                </c:pt>
                <c:pt idx="5">
                  <c:v>with equitable and safe access to sufficient quantity of domestic water</c:v>
                </c:pt>
              </c:strCache>
            </c:strRef>
          </c:cat>
          <c:val>
            <c:numRef>
              <c:f>HRP!$I$124:$I$129</c:f>
              <c:numCache>
                <c:formatCode>_(* #,##0_);_(* \(#,##0\);_(* "-"??_);_(@_)</c:formatCode>
                <c:ptCount val="6"/>
                <c:pt idx="0">
                  <c:v>63428</c:v>
                </c:pt>
                <c:pt idx="1">
                  <c:v>99015</c:v>
                </c:pt>
                <c:pt idx="2">
                  <c:v>46388</c:v>
                </c:pt>
                <c:pt idx="3">
                  <c:v>30375</c:v>
                </c:pt>
                <c:pt idx="4">
                  <c:v>16941.866666666669</c:v>
                </c:pt>
                <c:pt idx="5">
                  <c:v>14610.866666666669</c:v>
                </c:pt>
              </c:numCache>
            </c:numRef>
          </c:val>
        </c:ser>
        <c:dLbls>
          <c:showLegendKey val="0"/>
          <c:showVal val="0"/>
          <c:showCatName val="0"/>
          <c:showSerName val="0"/>
          <c:showPercent val="0"/>
          <c:showBubbleSize val="0"/>
        </c:dLbls>
        <c:gapWidth val="150"/>
        <c:overlap val="100"/>
        <c:axId val="450934848"/>
        <c:axId val="450938768"/>
      </c:barChart>
      <c:catAx>
        <c:axId val="450934848"/>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2"/>
                </a:solidFill>
                <a:latin typeface="+mn-lt"/>
                <a:ea typeface="+mn-ea"/>
                <a:cs typeface="+mn-cs"/>
              </a:defRPr>
            </a:pPr>
            <a:endParaRPr lang="en-US"/>
          </a:p>
        </c:txPr>
        <c:crossAx val="450938768"/>
        <c:crosses val="autoZero"/>
        <c:auto val="1"/>
        <c:lblAlgn val="ctr"/>
        <c:lblOffset val="100"/>
        <c:noMultiLvlLbl val="0"/>
      </c:catAx>
      <c:valAx>
        <c:axId val="450938768"/>
        <c:scaling>
          <c:orientation val="minMax"/>
        </c:scaling>
        <c:delete val="0"/>
        <c:axPos val="b"/>
        <c:majorGridlines>
          <c:spPr>
            <a:ln w="9525" cap="flat" cmpd="sng" algn="ctr">
              <a:solidFill>
                <a:schemeClr val="tx2">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450934848"/>
        <c:crosses val="autoZero"/>
        <c:crossBetween val="between"/>
        <c:majorUnit val="0.2"/>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n-US" sz="1200" b="1" i="0" baseline="0">
                <a:effectLst/>
              </a:rPr>
              <a:t>Kachin  Number of ppl Covered against 2018 HRP targets</a:t>
            </a:r>
            <a:endParaRPr lang="en-US" sz="1200">
              <a:effectLst/>
            </a:endParaRPr>
          </a:p>
          <a:p>
            <a:pPr>
              <a:defRPr/>
            </a:pPr>
            <a:r>
              <a:rPr lang="en-US" sz="1200" b="1" i="0" baseline="0">
                <a:effectLst/>
              </a:rPr>
              <a:t> (in IDP camps)</a:t>
            </a:r>
            <a:endParaRPr lang="en-US" sz="1200">
              <a:effectLst/>
            </a:endParaRP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n-US"/>
        </a:p>
      </c:txPr>
    </c:title>
    <c:autoTitleDeleted val="0"/>
    <c:plotArea>
      <c:layout/>
      <c:barChart>
        <c:barDir val="bar"/>
        <c:grouping val="percentStacked"/>
        <c:varyColors val="0"/>
        <c:ser>
          <c:idx val="0"/>
          <c:order val="0"/>
          <c:tx>
            <c:strRef>
              <c:f>HRP!$H$137</c:f>
              <c:strCache>
                <c:ptCount val="1"/>
                <c:pt idx="0">
                  <c:v>Coverage</c:v>
                </c:pt>
              </c:strCache>
            </c:strRef>
          </c:tx>
          <c:spPr>
            <a:solidFill>
              <a:srgbClr val="0070C0"/>
            </a:solidFill>
            <a:ln>
              <a:noFill/>
            </a:ln>
            <a:effectLst/>
          </c:spPr>
          <c:invertIfNegative val="0"/>
          <c:dPt>
            <c:idx val="0"/>
            <c:invertIfNegative val="0"/>
            <c:bubble3D val="0"/>
            <c:spPr>
              <a:solidFill>
                <a:schemeClr val="accent6">
                  <a:lumMod val="75000"/>
                </a:schemeClr>
              </a:solidFill>
              <a:ln>
                <a:noFill/>
              </a:ln>
              <a:effectLst/>
            </c:spPr>
            <c:extLst xmlns:c16r2="http://schemas.microsoft.com/office/drawing/2015/06/chart">
              <c:ext xmlns:c16="http://schemas.microsoft.com/office/drawing/2014/chart" uri="{C3380CC4-5D6E-409C-BE32-E72D297353CC}">
                <c16:uniqueId val="{00000001-E8A8-4037-987C-1EFA4CA8A785}"/>
              </c:ext>
            </c:extLst>
          </c:dPt>
          <c:dPt>
            <c:idx val="1"/>
            <c:invertIfNegative val="0"/>
            <c:bubble3D val="0"/>
            <c:spPr>
              <a:solidFill>
                <a:schemeClr val="accent6">
                  <a:lumMod val="75000"/>
                </a:schemeClr>
              </a:solidFill>
              <a:ln>
                <a:noFill/>
              </a:ln>
              <a:effectLst/>
            </c:spPr>
            <c:extLst xmlns:c16r2="http://schemas.microsoft.com/office/drawing/2015/06/chart">
              <c:ext xmlns:c16="http://schemas.microsoft.com/office/drawing/2014/chart" uri="{C3380CC4-5D6E-409C-BE32-E72D297353CC}">
                <c16:uniqueId val="{00000003-E8A8-4037-987C-1EFA4CA8A785}"/>
              </c:ext>
            </c:extLst>
          </c:dPt>
          <c:dPt>
            <c:idx val="2"/>
            <c:invertIfNegative val="0"/>
            <c:bubble3D val="0"/>
            <c:spPr>
              <a:solidFill>
                <a:schemeClr val="accent2">
                  <a:lumMod val="75000"/>
                </a:schemeClr>
              </a:solidFill>
              <a:ln>
                <a:noFill/>
              </a:ln>
              <a:effectLst/>
            </c:spPr>
            <c:extLst xmlns:c16r2="http://schemas.microsoft.com/office/drawing/2015/06/chart">
              <c:ext xmlns:c16="http://schemas.microsoft.com/office/drawing/2014/chart" uri="{C3380CC4-5D6E-409C-BE32-E72D297353CC}">
                <c16:uniqueId val="{00000005-E8A8-4037-987C-1EFA4CA8A785}"/>
              </c:ext>
            </c:extLst>
          </c:dPt>
          <c:dPt>
            <c:idx val="3"/>
            <c:invertIfNegative val="0"/>
            <c:bubble3D val="0"/>
            <c:spPr>
              <a:solidFill>
                <a:schemeClr val="accent2">
                  <a:lumMod val="75000"/>
                </a:schemeClr>
              </a:solidFill>
              <a:ln>
                <a:noFill/>
              </a:ln>
              <a:effectLst/>
            </c:spPr>
            <c:extLst xmlns:c16r2="http://schemas.microsoft.com/office/drawing/2015/06/chart">
              <c:ext xmlns:c16="http://schemas.microsoft.com/office/drawing/2014/chart" uri="{C3380CC4-5D6E-409C-BE32-E72D297353CC}">
                <c16:uniqueId val="{00000007-E8A8-4037-987C-1EFA4CA8A785}"/>
              </c:ext>
            </c:extLst>
          </c:dPt>
          <c:dLbls>
            <c:dLbl>
              <c:idx val="3"/>
              <c:layout>
                <c:manualLayout>
                  <c:x val="1.6660959959908683E-2"/>
                  <c:y val="-6.2369169004487385E-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E8A8-4037-987C-1EFA4CA8A785}"/>
                </c:ext>
                <c:ext xmlns:c15="http://schemas.microsoft.com/office/drawing/2012/chart" uri="{CE6537A1-D6FC-4f65-9D91-7224C49458BB}"/>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HRP!$F$138:$F$143</c:f>
              <c:strCache>
                <c:ptCount val="6"/>
                <c:pt idx="0">
                  <c:v>reached by regular dedicated hygiene promotion</c:v>
                </c:pt>
                <c:pt idx="1">
                  <c:v>received regular supply of hygiene items</c:v>
                </c:pt>
                <c:pt idx="2">
                  <c:v>with access to functional sanitation facilities</c:v>
                </c:pt>
                <c:pt idx="3">
                  <c:v>with access to continuous sanitation services</c:v>
                </c:pt>
                <c:pt idx="4">
                  <c:v>with equitable and safe access to sufficient quantity of drinking water</c:v>
                </c:pt>
                <c:pt idx="5">
                  <c:v>with equitable and safe access to sufficient quantity of domestic water</c:v>
                </c:pt>
              </c:strCache>
            </c:strRef>
          </c:cat>
          <c:val>
            <c:numRef>
              <c:f>HRP!$H$138:$H$143</c:f>
              <c:numCache>
                <c:formatCode>_(* #,##0_);_(* \(#,##0\);_(* "-"??_);_(@_)</c:formatCode>
                <c:ptCount val="6"/>
                <c:pt idx="0">
                  <c:v>55466</c:v>
                </c:pt>
                <c:pt idx="1">
                  <c:v>19340</c:v>
                </c:pt>
                <c:pt idx="2">
                  <c:v>71263</c:v>
                </c:pt>
                <c:pt idx="3">
                  <c:v>8845</c:v>
                </c:pt>
                <c:pt idx="4">
                  <c:v>77868.799999999988</c:v>
                </c:pt>
                <c:pt idx="5">
                  <c:v>77868.799999999988</c:v>
                </c:pt>
              </c:numCache>
            </c:numRef>
          </c:val>
          <c:extLst xmlns:c16r2="http://schemas.microsoft.com/office/drawing/2015/06/chart">
            <c:ext xmlns:c16="http://schemas.microsoft.com/office/drawing/2014/chart" uri="{C3380CC4-5D6E-409C-BE32-E72D297353CC}">
              <c16:uniqueId val="{00000008-E8A8-4037-987C-1EFA4CA8A785}"/>
            </c:ext>
          </c:extLst>
        </c:ser>
        <c:ser>
          <c:idx val="1"/>
          <c:order val="1"/>
          <c:tx>
            <c:strRef>
              <c:f>HRP!$I$137</c:f>
              <c:strCache>
                <c:ptCount val="1"/>
                <c:pt idx="0">
                  <c:v>Gap</c:v>
                </c:pt>
              </c:strCache>
            </c:strRef>
          </c:tx>
          <c:spPr>
            <a:solidFill>
              <a:schemeClr val="accent1">
                <a:lumMod val="40000"/>
                <a:lumOff val="60000"/>
              </a:schemeClr>
            </a:solidFill>
            <a:ln>
              <a:noFill/>
            </a:ln>
            <a:effectLst/>
          </c:spPr>
          <c:invertIfNegative val="0"/>
          <c:dPt>
            <c:idx val="0"/>
            <c:invertIfNegative val="0"/>
            <c:bubble3D val="0"/>
            <c:spPr>
              <a:solidFill>
                <a:schemeClr val="accent6">
                  <a:lumMod val="40000"/>
                  <a:lumOff val="60000"/>
                </a:schemeClr>
              </a:solidFill>
              <a:ln>
                <a:noFill/>
              </a:ln>
              <a:effectLst/>
            </c:spPr>
            <c:extLst xmlns:c16r2="http://schemas.microsoft.com/office/drawing/2015/06/chart">
              <c:ext xmlns:c16="http://schemas.microsoft.com/office/drawing/2014/chart" uri="{C3380CC4-5D6E-409C-BE32-E72D297353CC}">
                <c16:uniqueId val="{0000000A-E8A8-4037-987C-1EFA4CA8A785}"/>
              </c:ext>
            </c:extLst>
          </c:dPt>
          <c:dPt>
            <c:idx val="1"/>
            <c:invertIfNegative val="0"/>
            <c:bubble3D val="0"/>
            <c:spPr>
              <a:solidFill>
                <a:schemeClr val="accent6">
                  <a:lumMod val="40000"/>
                  <a:lumOff val="60000"/>
                </a:schemeClr>
              </a:solidFill>
              <a:ln>
                <a:noFill/>
              </a:ln>
              <a:effectLst/>
            </c:spPr>
            <c:extLst xmlns:c16r2="http://schemas.microsoft.com/office/drawing/2015/06/chart">
              <c:ext xmlns:c16="http://schemas.microsoft.com/office/drawing/2014/chart" uri="{C3380CC4-5D6E-409C-BE32-E72D297353CC}">
                <c16:uniqueId val="{0000000C-E8A8-4037-987C-1EFA4CA8A785}"/>
              </c:ext>
            </c:extLst>
          </c:dPt>
          <c:dPt>
            <c:idx val="2"/>
            <c:invertIfNegative val="0"/>
            <c:bubble3D val="0"/>
            <c:spPr>
              <a:solidFill>
                <a:schemeClr val="accent2">
                  <a:lumMod val="40000"/>
                  <a:lumOff val="60000"/>
                </a:schemeClr>
              </a:solidFill>
              <a:ln>
                <a:noFill/>
              </a:ln>
              <a:effectLst/>
            </c:spPr>
            <c:extLst xmlns:c16r2="http://schemas.microsoft.com/office/drawing/2015/06/chart">
              <c:ext xmlns:c16="http://schemas.microsoft.com/office/drawing/2014/chart" uri="{C3380CC4-5D6E-409C-BE32-E72D297353CC}">
                <c16:uniqueId val="{0000000E-E8A8-4037-987C-1EFA4CA8A785}"/>
              </c:ext>
            </c:extLst>
          </c:dPt>
          <c:dPt>
            <c:idx val="3"/>
            <c:invertIfNegative val="0"/>
            <c:bubble3D val="0"/>
            <c:spPr>
              <a:solidFill>
                <a:schemeClr val="accent2">
                  <a:lumMod val="40000"/>
                  <a:lumOff val="60000"/>
                </a:schemeClr>
              </a:solidFill>
              <a:ln>
                <a:noFill/>
              </a:ln>
              <a:effectLst/>
            </c:spPr>
            <c:extLst xmlns:c16r2="http://schemas.microsoft.com/office/drawing/2015/06/chart">
              <c:ext xmlns:c16="http://schemas.microsoft.com/office/drawing/2014/chart" uri="{C3380CC4-5D6E-409C-BE32-E72D297353CC}">
                <c16:uniqueId val="{00000010-E8A8-4037-987C-1EFA4CA8A785}"/>
              </c:ext>
            </c:extLst>
          </c:dPt>
          <c:dLbls>
            <c:dLbl>
              <c:idx val="4"/>
              <c:layout>
                <c:manualLayout>
                  <c:x val="1.6660959959908744E-3"/>
                  <c:y val="2.975463205820178E-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1-E8A8-4037-987C-1EFA4CA8A785}"/>
                </c:ext>
                <c:ext xmlns:c15="http://schemas.microsoft.com/office/drawing/2012/chart" uri="{CE6537A1-D6FC-4f65-9D91-7224C49458BB}"/>
              </c:extLst>
            </c:dLbl>
            <c:dLbl>
              <c:idx val="5"/>
              <c:layout>
                <c:manualLayout>
                  <c:x val="1.2217896161754027E-16"/>
                  <c:y val="-2.9754632058202873E-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2-E8A8-4037-987C-1EFA4CA8A785}"/>
                </c:ext>
                <c:ext xmlns:c15="http://schemas.microsoft.com/office/drawing/2012/chart" uri="{CE6537A1-D6FC-4f65-9D91-7224C49458BB}"/>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HRP!$F$138:$F$143</c:f>
              <c:strCache>
                <c:ptCount val="6"/>
                <c:pt idx="0">
                  <c:v>reached by regular dedicated hygiene promotion</c:v>
                </c:pt>
                <c:pt idx="1">
                  <c:v>received regular supply of hygiene items</c:v>
                </c:pt>
                <c:pt idx="2">
                  <c:v>with access to functional sanitation facilities</c:v>
                </c:pt>
                <c:pt idx="3">
                  <c:v>with access to continuous sanitation services</c:v>
                </c:pt>
                <c:pt idx="4">
                  <c:v>with equitable and safe access to sufficient quantity of drinking water</c:v>
                </c:pt>
                <c:pt idx="5">
                  <c:v>with equitable and safe access to sufficient quantity of domestic water</c:v>
                </c:pt>
              </c:strCache>
            </c:strRef>
          </c:cat>
          <c:val>
            <c:numRef>
              <c:f>HRP!$I$138:$I$143</c:f>
              <c:numCache>
                <c:formatCode>_(* #,##0_);_(* \(#,##0\);_(* "-"??_);_(@_)</c:formatCode>
                <c:ptCount val="6"/>
                <c:pt idx="0">
                  <c:v>32381</c:v>
                </c:pt>
                <c:pt idx="1">
                  <c:v>68507</c:v>
                </c:pt>
                <c:pt idx="2">
                  <c:v>16584</c:v>
                </c:pt>
                <c:pt idx="3">
                  <c:v>13116.75</c:v>
                </c:pt>
                <c:pt idx="4">
                  <c:v>9978.2000000000116</c:v>
                </c:pt>
                <c:pt idx="5">
                  <c:v>9978.2000000000116</c:v>
                </c:pt>
              </c:numCache>
            </c:numRef>
          </c:val>
          <c:extLst xmlns:c16r2="http://schemas.microsoft.com/office/drawing/2015/06/chart">
            <c:ext xmlns:c16="http://schemas.microsoft.com/office/drawing/2014/chart" uri="{C3380CC4-5D6E-409C-BE32-E72D297353CC}">
              <c16:uniqueId val="{00000013-E8A8-4037-987C-1EFA4CA8A785}"/>
            </c:ext>
          </c:extLst>
        </c:ser>
        <c:dLbls>
          <c:showLegendKey val="0"/>
          <c:showVal val="0"/>
          <c:showCatName val="0"/>
          <c:showSerName val="0"/>
          <c:showPercent val="0"/>
          <c:showBubbleSize val="0"/>
        </c:dLbls>
        <c:gapWidth val="150"/>
        <c:overlap val="100"/>
        <c:axId val="450936024"/>
        <c:axId val="450939552"/>
      </c:barChart>
      <c:catAx>
        <c:axId val="450936024"/>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2"/>
                </a:solidFill>
                <a:latin typeface="+mn-lt"/>
                <a:ea typeface="+mn-ea"/>
                <a:cs typeface="+mn-cs"/>
              </a:defRPr>
            </a:pPr>
            <a:endParaRPr lang="en-US"/>
          </a:p>
        </c:txPr>
        <c:crossAx val="450939552"/>
        <c:crosses val="autoZero"/>
        <c:auto val="1"/>
        <c:lblAlgn val="ctr"/>
        <c:lblOffset val="100"/>
        <c:noMultiLvlLbl val="0"/>
      </c:catAx>
      <c:valAx>
        <c:axId val="450939552"/>
        <c:scaling>
          <c:orientation val="minMax"/>
          <c:max val="1"/>
        </c:scaling>
        <c:delete val="0"/>
        <c:axPos val="b"/>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450936024"/>
        <c:crosses val="autoZero"/>
        <c:crossBetween val="between"/>
        <c:majorUnit val="0.2"/>
      </c:valAx>
      <c:spPr>
        <a:noFill/>
        <a:ln>
          <a:noFill/>
        </a:ln>
        <a:effectLst/>
      </c:spPr>
    </c:plotArea>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r>
              <a:rPr lang="en-US" sz="1200"/>
              <a:t>Rakhine Number of ppl Covered</a:t>
            </a:r>
            <a:r>
              <a:rPr lang="en-US" sz="1200" baseline="0"/>
              <a:t> against 2018 HRP targets</a:t>
            </a:r>
          </a:p>
          <a:p>
            <a:pPr>
              <a:defRPr sz="1200"/>
            </a:pPr>
            <a:r>
              <a:rPr lang="en-US" sz="1200"/>
              <a:t> (in</a:t>
            </a:r>
            <a:r>
              <a:rPr lang="en-US" sz="1200" baseline="0"/>
              <a:t> IDP camps)</a:t>
            </a:r>
            <a:endParaRPr lang="en-US" sz="1200"/>
          </a:p>
        </c:rich>
      </c:tx>
      <c:overlay val="0"/>
      <c:spPr>
        <a:noFill/>
        <a:ln>
          <a:noFill/>
        </a:ln>
        <a:effectLst/>
      </c:spPr>
      <c:txPr>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n-US"/>
        </a:p>
      </c:txPr>
    </c:title>
    <c:autoTitleDeleted val="0"/>
    <c:plotArea>
      <c:layout/>
      <c:barChart>
        <c:barDir val="bar"/>
        <c:grouping val="percentStacked"/>
        <c:varyColors val="0"/>
        <c:ser>
          <c:idx val="0"/>
          <c:order val="0"/>
          <c:tx>
            <c:strRef>
              <c:f>HRP!$H$155</c:f>
              <c:strCache>
                <c:ptCount val="1"/>
                <c:pt idx="0">
                  <c:v>Coverage</c:v>
                </c:pt>
              </c:strCache>
            </c:strRef>
          </c:tx>
          <c:spPr>
            <a:solidFill>
              <a:srgbClr val="0070C0"/>
            </a:solidFill>
            <a:ln>
              <a:noFill/>
            </a:ln>
            <a:effectLst/>
          </c:spPr>
          <c:invertIfNegative val="0"/>
          <c:dPt>
            <c:idx val="0"/>
            <c:invertIfNegative val="0"/>
            <c:bubble3D val="0"/>
            <c:spPr>
              <a:solidFill>
                <a:schemeClr val="accent6">
                  <a:lumMod val="75000"/>
                </a:schemeClr>
              </a:solidFill>
              <a:ln>
                <a:noFill/>
              </a:ln>
              <a:effectLst/>
            </c:spPr>
            <c:extLst xmlns:c16r2="http://schemas.microsoft.com/office/drawing/2015/06/chart">
              <c:ext xmlns:c16="http://schemas.microsoft.com/office/drawing/2014/chart" uri="{C3380CC4-5D6E-409C-BE32-E72D297353CC}">
                <c16:uniqueId val="{00000001-E308-4CE9-A15B-A8FE38957C12}"/>
              </c:ext>
            </c:extLst>
          </c:dPt>
          <c:dPt>
            <c:idx val="1"/>
            <c:invertIfNegative val="0"/>
            <c:bubble3D val="0"/>
            <c:spPr>
              <a:solidFill>
                <a:schemeClr val="accent6">
                  <a:lumMod val="75000"/>
                </a:schemeClr>
              </a:solidFill>
              <a:ln>
                <a:noFill/>
              </a:ln>
              <a:effectLst/>
            </c:spPr>
            <c:extLst xmlns:c16r2="http://schemas.microsoft.com/office/drawing/2015/06/chart">
              <c:ext xmlns:c16="http://schemas.microsoft.com/office/drawing/2014/chart" uri="{C3380CC4-5D6E-409C-BE32-E72D297353CC}">
                <c16:uniqueId val="{00000003-E308-4CE9-A15B-A8FE38957C12}"/>
              </c:ext>
            </c:extLst>
          </c:dPt>
          <c:dPt>
            <c:idx val="2"/>
            <c:invertIfNegative val="0"/>
            <c:bubble3D val="0"/>
            <c:spPr>
              <a:solidFill>
                <a:schemeClr val="accent2">
                  <a:lumMod val="75000"/>
                </a:schemeClr>
              </a:solidFill>
              <a:ln>
                <a:noFill/>
              </a:ln>
              <a:effectLst/>
            </c:spPr>
            <c:extLst xmlns:c16r2="http://schemas.microsoft.com/office/drawing/2015/06/chart">
              <c:ext xmlns:c16="http://schemas.microsoft.com/office/drawing/2014/chart" uri="{C3380CC4-5D6E-409C-BE32-E72D297353CC}">
                <c16:uniqueId val="{00000005-E308-4CE9-A15B-A8FE38957C12}"/>
              </c:ext>
            </c:extLst>
          </c:dPt>
          <c:dPt>
            <c:idx val="3"/>
            <c:invertIfNegative val="0"/>
            <c:bubble3D val="0"/>
            <c:spPr>
              <a:solidFill>
                <a:schemeClr val="accent2">
                  <a:lumMod val="75000"/>
                </a:schemeClr>
              </a:solidFill>
              <a:ln>
                <a:noFill/>
              </a:ln>
              <a:effectLst/>
            </c:spPr>
            <c:extLst xmlns:c16r2="http://schemas.microsoft.com/office/drawing/2015/06/chart">
              <c:ext xmlns:c16="http://schemas.microsoft.com/office/drawing/2014/chart" uri="{C3380CC4-5D6E-409C-BE32-E72D297353CC}">
                <c16:uniqueId val="{00000007-E308-4CE9-A15B-A8FE38957C12}"/>
              </c:ext>
            </c:extLst>
          </c:dPt>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HRP!$F$156:$F$161</c:f>
              <c:strCache>
                <c:ptCount val="6"/>
                <c:pt idx="0">
                  <c:v>reached by regular dedicated hygiene promotion</c:v>
                </c:pt>
                <c:pt idx="1">
                  <c:v>received regular supply of hygiene items</c:v>
                </c:pt>
                <c:pt idx="2">
                  <c:v>with access to functional sanitation facilities</c:v>
                </c:pt>
                <c:pt idx="3">
                  <c:v>with access to continuous sanitation services</c:v>
                </c:pt>
                <c:pt idx="4">
                  <c:v>with equitable and safe access to sufficient quantity of drinking water</c:v>
                </c:pt>
                <c:pt idx="5">
                  <c:v>with equitable and safe access to sufficient quantity of domestic water</c:v>
                </c:pt>
              </c:strCache>
            </c:strRef>
          </c:cat>
          <c:val>
            <c:numRef>
              <c:f>HRP!$H$156:$H$161</c:f>
              <c:numCache>
                <c:formatCode>_(* #,##0_);_(* \(#,##0\);_(* "-"??_);_(@_)</c:formatCode>
                <c:ptCount val="6"/>
                <c:pt idx="0">
                  <c:v>92593</c:v>
                </c:pt>
                <c:pt idx="1">
                  <c:v>95695</c:v>
                </c:pt>
                <c:pt idx="2">
                  <c:v>93743</c:v>
                </c:pt>
                <c:pt idx="3">
                  <c:v>15540</c:v>
                </c:pt>
                <c:pt idx="4">
                  <c:v>115820.33333333333</c:v>
                </c:pt>
                <c:pt idx="5">
                  <c:v>118151.33333333333</c:v>
                </c:pt>
              </c:numCache>
            </c:numRef>
          </c:val>
          <c:extLst xmlns:c16r2="http://schemas.microsoft.com/office/drawing/2015/06/chart">
            <c:ext xmlns:c16="http://schemas.microsoft.com/office/drawing/2014/chart" uri="{C3380CC4-5D6E-409C-BE32-E72D297353CC}">
              <c16:uniqueId val="{00000008-E308-4CE9-A15B-A8FE38957C12}"/>
            </c:ext>
          </c:extLst>
        </c:ser>
        <c:ser>
          <c:idx val="1"/>
          <c:order val="1"/>
          <c:tx>
            <c:strRef>
              <c:f>HRP!$I$155</c:f>
              <c:strCache>
                <c:ptCount val="1"/>
                <c:pt idx="0">
                  <c:v>Gap</c:v>
                </c:pt>
              </c:strCache>
            </c:strRef>
          </c:tx>
          <c:spPr>
            <a:solidFill>
              <a:schemeClr val="accent1">
                <a:lumMod val="40000"/>
                <a:lumOff val="60000"/>
              </a:schemeClr>
            </a:solidFill>
            <a:ln>
              <a:noFill/>
            </a:ln>
            <a:effectLst/>
          </c:spPr>
          <c:invertIfNegative val="0"/>
          <c:dPt>
            <c:idx val="0"/>
            <c:invertIfNegative val="0"/>
            <c:bubble3D val="0"/>
            <c:spPr>
              <a:solidFill>
                <a:schemeClr val="accent6">
                  <a:lumMod val="40000"/>
                  <a:lumOff val="60000"/>
                </a:schemeClr>
              </a:solidFill>
              <a:ln>
                <a:noFill/>
              </a:ln>
              <a:effectLst/>
            </c:spPr>
            <c:extLst xmlns:c16r2="http://schemas.microsoft.com/office/drawing/2015/06/chart">
              <c:ext xmlns:c16="http://schemas.microsoft.com/office/drawing/2014/chart" uri="{C3380CC4-5D6E-409C-BE32-E72D297353CC}">
                <c16:uniqueId val="{0000000A-E308-4CE9-A15B-A8FE38957C12}"/>
              </c:ext>
            </c:extLst>
          </c:dPt>
          <c:dPt>
            <c:idx val="1"/>
            <c:invertIfNegative val="0"/>
            <c:bubble3D val="0"/>
            <c:spPr>
              <a:solidFill>
                <a:schemeClr val="accent6">
                  <a:lumMod val="40000"/>
                  <a:lumOff val="60000"/>
                </a:schemeClr>
              </a:solidFill>
              <a:ln>
                <a:noFill/>
              </a:ln>
              <a:effectLst/>
            </c:spPr>
            <c:extLst xmlns:c16r2="http://schemas.microsoft.com/office/drawing/2015/06/chart">
              <c:ext xmlns:c16="http://schemas.microsoft.com/office/drawing/2014/chart" uri="{C3380CC4-5D6E-409C-BE32-E72D297353CC}">
                <c16:uniqueId val="{0000000C-E308-4CE9-A15B-A8FE38957C12}"/>
              </c:ext>
            </c:extLst>
          </c:dPt>
          <c:dPt>
            <c:idx val="2"/>
            <c:invertIfNegative val="0"/>
            <c:bubble3D val="0"/>
            <c:spPr>
              <a:solidFill>
                <a:schemeClr val="accent2">
                  <a:lumMod val="40000"/>
                  <a:lumOff val="60000"/>
                </a:schemeClr>
              </a:solidFill>
              <a:ln>
                <a:noFill/>
              </a:ln>
              <a:effectLst/>
            </c:spPr>
            <c:extLst xmlns:c16r2="http://schemas.microsoft.com/office/drawing/2015/06/chart">
              <c:ext xmlns:c16="http://schemas.microsoft.com/office/drawing/2014/chart" uri="{C3380CC4-5D6E-409C-BE32-E72D297353CC}">
                <c16:uniqueId val="{0000000E-E308-4CE9-A15B-A8FE38957C12}"/>
              </c:ext>
            </c:extLst>
          </c:dPt>
          <c:dPt>
            <c:idx val="3"/>
            <c:invertIfNegative val="0"/>
            <c:bubble3D val="0"/>
            <c:spPr>
              <a:solidFill>
                <a:schemeClr val="accent2">
                  <a:lumMod val="40000"/>
                  <a:lumOff val="60000"/>
                </a:schemeClr>
              </a:solidFill>
              <a:ln>
                <a:noFill/>
              </a:ln>
              <a:effectLst/>
            </c:spPr>
            <c:extLst xmlns:c16r2="http://schemas.microsoft.com/office/drawing/2015/06/chart">
              <c:ext xmlns:c16="http://schemas.microsoft.com/office/drawing/2014/chart" uri="{C3380CC4-5D6E-409C-BE32-E72D297353CC}">
                <c16:uniqueId val="{00000010-E308-4CE9-A15B-A8FE38957C12}"/>
              </c:ext>
            </c:extLst>
          </c:dPt>
          <c:dLbls>
            <c:dLbl>
              <c:idx val="4"/>
              <c:layout>
                <c:manualLayout>
                  <c:x val="-1.2107536113273226E-16"/>
                  <c:y val="-2.8112128878394677E-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1-E308-4CE9-A15B-A8FE38957C12}"/>
                </c:ext>
                <c:ext xmlns:c15="http://schemas.microsoft.com/office/drawing/2012/chart" uri="{CE6537A1-D6FC-4f65-9D91-7224C49458BB}"/>
              </c:extLst>
            </c:dLbl>
            <c:dLbl>
              <c:idx val="5"/>
              <c:layout>
                <c:manualLayout>
                  <c:x val="6.7653914605783341E-3"/>
                  <c:y val="-2.8366687525718725E-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2-E308-4CE9-A15B-A8FE38957C12}"/>
                </c:ext>
                <c:ext xmlns:c15="http://schemas.microsoft.com/office/drawing/2012/chart" uri="{CE6537A1-D6FC-4f65-9D91-7224C49458BB}"/>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HRP!$F$156:$F$161</c:f>
              <c:strCache>
                <c:ptCount val="6"/>
                <c:pt idx="0">
                  <c:v>reached by regular dedicated hygiene promotion</c:v>
                </c:pt>
                <c:pt idx="1">
                  <c:v>received regular supply of hygiene items</c:v>
                </c:pt>
                <c:pt idx="2">
                  <c:v>with access to functional sanitation facilities</c:v>
                </c:pt>
                <c:pt idx="3">
                  <c:v>with access to continuous sanitation services</c:v>
                </c:pt>
                <c:pt idx="4">
                  <c:v>with equitable and safe access to sufficient quantity of drinking water</c:v>
                </c:pt>
                <c:pt idx="5">
                  <c:v>with equitable and safe access to sufficient quantity of domestic water</c:v>
                </c:pt>
              </c:strCache>
            </c:strRef>
          </c:cat>
          <c:val>
            <c:numRef>
              <c:f>HRP!$I$156:$I$161</c:f>
              <c:numCache>
                <c:formatCode>_(* #,##0_);_(* \(#,##0\);_(* "-"??_);_(@_)</c:formatCode>
                <c:ptCount val="6"/>
                <c:pt idx="0">
                  <c:v>27510</c:v>
                </c:pt>
                <c:pt idx="1">
                  <c:v>11196.669999999998</c:v>
                </c:pt>
                <c:pt idx="2">
                  <c:v>26360</c:v>
                </c:pt>
                <c:pt idx="3">
                  <c:v>14485.75</c:v>
                </c:pt>
                <c:pt idx="4">
                  <c:v>4282.6666666666715</c:v>
                </c:pt>
                <c:pt idx="5">
                  <c:v>1951.6666666666715</c:v>
                </c:pt>
              </c:numCache>
            </c:numRef>
          </c:val>
          <c:extLst xmlns:c16r2="http://schemas.microsoft.com/office/drawing/2015/06/chart">
            <c:ext xmlns:c16="http://schemas.microsoft.com/office/drawing/2014/chart" uri="{C3380CC4-5D6E-409C-BE32-E72D297353CC}">
              <c16:uniqueId val="{00000013-E308-4CE9-A15B-A8FE38957C12}"/>
            </c:ext>
          </c:extLst>
        </c:ser>
        <c:dLbls>
          <c:showLegendKey val="0"/>
          <c:showVal val="0"/>
          <c:showCatName val="0"/>
          <c:showSerName val="0"/>
          <c:showPercent val="0"/>
          <c:showBubbleSize val="0"/>
        </c:dLbls>
        <c:gapWidth val="150"/>
        <c:overlap val="100"/>
        <c:axId val="450937200"/>
        <c:axId val="450936808"/>
      </c:barChart>
      <c:catAx>
        <c:axId val="450937200"/>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2"/>
                </a:solidFill>
                <a:latin typeface="+mn-lt"/>
                <a:ea typeface="+mn-ea"/>
                <a:cs typeface="+mn-cs"/>
              </a:defRPr>
            </a:pPr>
            <a:endParaRPr lang="en-US"/>
          </a:p>
        </c:txPr>
        <c:crossAx val="450936808"/>
        <c:crosses val="autoZero"/>
        <c:auto val="1"/>
        <c:lblAlgn val="ctr"/>
        <c:lblOffset val="100"/>
        <c:noMultiLvlLbl val="0"/>
      </c:catAx>
      <c:valAx>
        <c:axId val="450936808"/>
        <c:scaling>
          <c:orientation val="minMax"/>
          <c:max val="1"/>
        </c:scaling>
        <c:delete val="0"/>
        <c:axPos val="b"/>
        <c:majorGridlines>
          <c:spPr>
            <a:ln w="9525" cap="flat" cmpd="sng" algn="ctr">
              <a:solidFill>
                <a:schemeClr val="tx2">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450937200"/>
        <c:crosses val="autoZero"/>
        <c:crossBetween val="between"/>
        <c:majorUnit val="0.2"/>
      </c:valAx>
      <c:spPr>
        <a:noFill/>
        <a:ln>
          <a:noFill/>
        </a:ln>
        <a:effectLst/>
      </c:spPr>
    </c:plotArea>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r>
              <a:rPr lang="en-US" sz="1200" b="1" i="0" baseline="0">
                <a:effectLst/>
              </a:rPr>
              <a:t>Shan Number of ppl Covered against 2018 HRP targets</a:t>
            </a:r>
            <a:endParaRPr lang="en-US" sz="1200">
              <a:effectLst/>
            </a:endParaRPr>
          </a:p>
          <a:p>
            <a:pPr>
              <a:defRPr sz="1200"/>
            </a:pPr>
            <a:r>
              <a:rPr lang="en-US" sz="1200" b="1" i="0" baseline="0">
                <a:effectLst/>
              </a:rPr>
              <a:t> (in IDP camps)</a:t>
            </a:r>
            <a:endParaRPr lang="en-US" sz="1200">
              <a:effectLst/>
            </a:endParaRPr>
          </a:p>
        </c:rich>
      </c:tx>
      <c:overlay val="0"/>
      <c:spPr>
        <a:noFill/>
        <a:ln>
          <a:noFill/>
        </a:ln>
        <a:effectLst/>
      </c:spPr>
      <c:txPr>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n-US"/>
        </a:p>
      </c:txPr>
    </c:title>
    <c:autoTitleDeleted val="0"/>
    <c:plotArea>
      <c:layout/>
      <c:barChart>
        <c:barDir val="bar"/>
        <c:grouping val="percentStacked"/>
        <c:varyColors val="0"/>
        <c:ser>
          <c:idx val="0"/>
          <c:order val="0"/>
          <c:tx>
            <c:strRef>
              <c:f>HRP!$H$172</c:f>
              <c:strCache>
                <c:ptCount val="1"/>
                <c:pt idx="0">
                  <c:v>Coverage</c:v>
                </c:pt>
              </c:strCache>
            </c:strRef>
          </c:tx>
          <c:spPr>
            <a:solidFill>
              <a:srgbClr val="0070C0"/>
            </a:solidFill>
            <a:ln>
              <a:noFill/>
            </a:ln>
            <a:effectLst/>
          </c:spPr>
          <c:invertIfNegative val="0"/>
          <c:dPt>
            <c:idx val="0"/>
            <c:invertIfNegative val="0"/>
            <c:bubble3D val="0"/>
            <c:spPr>
              <a:solidFill>
                <a:schemeClr val="accent6">
                  <a:lumMod val="75000"/>
                </a:schemeClr>
              </a:solidFill>
              <a:ln>
                <a:noFill/>
              </a:ln>
              <a:effectLst/>
            </c:spPr>
            <c:extLst xmlns:c16r2="http://schemas.microsoft.com/office/drawing/2015/06/chart">
              <c:ext xmlns:c16="http://schemas.microsoft.com/office/drawing/2014/chart" uri="{C3380CC4-5D6E-409C-BE32-E72D297353CC}">
                <c16:uniqueId val="{00000005-9CB2-4CA1-B9B8-76D1655698A1}"/>
              </c:ext>
            </c:extLst>
          </c:dPt>
          <c:dPt>
            <c:idx val="1"/>
            <c:invertIfNegative val="0"/>
            <c:bubble3D val="0"/>
            <c:spPr>
              <a:solidFill>
                <a:schemeClr val="accent6">
                  <a:lumMod val="75000"/>
                </a:schemeClr>
              </a:solidFill>
              <a:ln>
                <a:noFill/>
              </a:ln>
              <a:effectLst/>
            </c:spPr>
            <c:extLst xmlns:c16r2="http://schemas.microsoft.com/office/drawing/2015/06/chart">
              <c:ext xmlns:c16="http://schemas.microsoft.com/office/drawing/2014/chart" uri="{C3380CC4-5D6E-409C-BE32-E72D297353CC}">
                <c16:uniqueId val="{00000006-9CB2-4CA1-B9B8-76D1655698A1}"/>
              </c:ext>
            </c:extLst>
          </c:dPt>
          <c:dPt>
            <c:idx val="2"/>
            <c:invertIfNegative val="0"/>
            <c:bubble3D val="0"/>
            <c:spPr>
              <a:solidFill>
                <a:schemeClr val="accent2">
                  <a:lumMod val="75000"/>
                </a:schemeClr>
              </a:solidFill>
              <a:ln>
                <a:noFill/>
              </a:ln>
              <a:effectLst/>
            </c:spPr>
            <c:extLst xmlns:c16r2="http://schemas.microsoft.com/office/drawing/2015/06/chart">
              <c:ext xmlns:c16="http://schemas.microsoft.com/office/drawing/2014/chart" uri="{C3380CC4-5D6E-409C-BE32-E72D297353CC}">
                <c16:uniqueId val="{00000017-9CB2-4CA1-B9B8-76D1655698A1}"/>
              </c:ext>
            </c:extLst>
          </c:dPt>
          <c:dPt>
            <c:idx val="3"/>
            <c:invertIfNegative val="0"/>
            <c:bubble3D val="0"/>
            <c:spPr>
              <a:solidFill>
                <a:schemeClr val="accent2">
                  <a:lumMod val="75000"/>
                </a:schemeClr>
              </a:solidFill>
              <a:ln>
                <a:noFill/>
              </a:ln>
              <a:effectLst/>
            </c:spPr>
            <c:extLst xmlns:c16r2="http://schemas.microsoft.com/office/drawing/2015/06/chart">
              <c:ext xmlns:c16="http://schemas.microsoft.com/office/drawing/2014/chart" uri="{C3380CC4-5D6E-409C-BE32-E72D297353CC}">
                <c16:uniqueId val="{00000000-0CB7-4264-A3F9-A84426FA15A3}"/>
              </c:ext>
            </c:extLst>
          </c:dPt>
          <c:dLbls>
            <c:dLbl>
              <c:idx val="3"/>
              <c:layout>
                <c:manualLayout>
                  <c:x val="6.736062658647137E-3"/>
                  <c:y val="-9.0650179122704396E-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0CB7-4264-A3F9-A84426FA15A3}"/>
                </c:ex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HRP!$F$173:$F$178</c:f>
              <c:strCache>
                <c:ptCount val="6"/>
                <c:pt idx="0">
                  <c:v>reached by regular dedicated hygiene promotion</c:v>
                </c:pt>
                <c:pt idx="1">
                  <c:v>received regular supply of hygiene items</c:v>
                </c:pt>
                <c:pt idx="2">
                  <c:v>with access to functional sanitation facilities</c:v>
                </c:pt>
                <c:pt idx="3">
                  <c:v>with access to continuous sanitation services</c:v>
                </c:pt>
                <c:pt idx="4">
                  <c:v>with equitable and safe access to sufficient quantity of drinking water</c:v>
                </c:pt>
                <c:pt idx="5">
                  <c:v>with equitable and safe access to sufficient quantity of domestic water</c:v>
                </c:pt>
              </c:strCache>
            </c:strRef>
          </c:cat>
          <c:val>
            <c:numRef>
              <c:f>HRP!$H$173:$H$178</c:f>
              <c:numCache>
                <c:formatCode>_(* #,##0_);_(* \(#,##0\);_(* "-"??_);_(@_)</c:formatCode>
                <c:ptCount val="6"/>
                <c:pt idx="0">
                  <c:v>8113</c:v>
                </c:pt>
                <c:pt idx="1">
                  <c:v>5550</c:v>
                </c:pt>
                <c:pt idx="2">
                  <c:v>8206</c:v>
                </c:pt>
                <c:pt idx="3">
                  <c:v>140</c:v>
                </c:pt>
                <c:pt idx="4">
                  <c:v>8969</c:v>
                </c:pt>
                <c:pt idx="5">
                  <c:v>8969</c:v>
                </c:pt>
              </c:numCache>
            </c:numRef>
          </c:val>
          <c:extLst xmlns:c16r2="http://schemas.microsoft.com/office/drawing/2015/06/chart">
            <c:ext xmlns:c16="http://schemas.microsoft.com/office/drawing/2014/chart" uri="{C3380CC4-5D6E-409C-BE32-E72D297353CC}">
              <c16:uniqueId val="{00000001-0CB7-4264-A3F9-A84426FA15A3}"/>
            </c:ext>
          </c:extLst>
        </c:ser>
        <c:ser>
          <c:idx val="1"/>
          <c:order val="1"/>
          <c:tx>
            <c:strRef>
              <c:f>HRP!$I$172</c:f>
              <c:strCache>
                <c:ptCount val="1"/>
                <c:pt idx="0">
                  <c:v>Gap</c:v>
                </c:pt>
              </c:strCache>
            </c:strRef>
          </c:tx>
          <c:spPr>
            <a:solidFill>
              <a:schemeClr val="accent1">
                <a:lumMod val="40000"/>
                <a:lumOff val="60000"/>
              </a:schemeClr>
            </a:solidFill>
            <a:ln>
              <a:noFill/>
            </a:ln>
            <a:effectLst/>
          </c:spPr>
          <c:invertIfNegative val="0"/>
          <c:dPt>
            <c:idx val="0"/>
            <c:invertIfNegative val="0"/>
            <c:bubble3D val="0"/>
            <c:spPr>
              <a:solidFill>
                <a:schemeClr val="accent6">
                  <a:lumMod val="60000"/>
                  <a:lumOff val="40000"/>
                </a:schemeClr>
              </a:solidFill>
              <a:ln>
                <a:noFill/>
              </a:ln>
              <a:effectLst/>
            </c:spPr>
            <c:extLst xmlns:c16r2="http://schemas.microsoft.com/office/drawing/2015/06/chart">
              <c:ext xmlns:c16="http://schemas.microsoft.com/office/drawing/2014/chart" uri="{C3380CC4-5D6E-409C-BE32-E72D297353CC}">
                <c16:uniqueId val="{0000000E-9CB2-4CA1-B9B8-76D1655698A1}"/>
              </c:ext>
            </c:extLst>
          </c:dPt>
          <c:dPt>
            <c:idx val="1"/>
            <c:invertIfNegative val="0"/>
            <c:bubble3D val="0"/>
            <c:spPr>
              <a:solidFill>
                <a:schemeClr val="accent6">
                  <a:lumMod val="60000"/>
                  <a:lumOff val="40000"/>
                </a:schemeClr>
              </a:solidFill>
              <a:ln>
                <a:noFill/>
              </a:ln>
              <a:effectLst/>
            </c:spPr>
            <c:extLst xmlns:c16r2="http://schemas.microsoft.com/office/drawing/2015/06/chart">
              <c:ext xmlns:c16="http://schemas.microsoft.com/office/drawing/2014/chart" uri="{C3380CC4-5D6E-409C-BE32-E72D297353CC}">
                <c16:uniqueId val="{0000000F-9CB2-4CA1-B9B8-76D1655698A1}"/>
              </c:ext>
            </c:extLst>
          </c:dPt>
          <c:dPt>
            <c:idx val="2"/>
            <c:invertIfNegative val="0"/>
            <c:bubble3D val="0"/>
            <c:spPr>
              <a:solidFill>
                <a:schemeClr val="accent2">
                  <a:lumMod val="60000"/>
                  <a:lumOff val="40000"/>
                </a:schemeClr>
              </a:solidFill>
              <a:ln>
                <a:noFill/>
              </a:ln>
              <a:effectLst/>
            </c:spPr>
            <c:extLst xmlns:c16r2="http://schemas.microsoft.com/office/drawing/2015/06/chart">
              <c:ext xmlns:c16="http://schemas.microsoft.com/office/drawing/2014/chart" uri="{C3380CC4-5D6E-409C-BE32-E72D297353CC}">
                <c16:uniqueId val="{0000001C-9CB2-4CA1-B9B8-76D1655698A1}"/>
              </c:ext>
            </c:extLst>
          </c:dPt>
          <c:dPt>
            <c:idx val="3"/>
            <c:invertIfNegative val="0"/>
            <c:bubble3D val="0"/>
            <c:spPr>
              <a:solidFill>
                <a:schemeClr val="accent2">
                  <a:lumMod val="60000"/>
                  <a:lumOff val="40000"/>
                </a:schemeClr>
              </a:solidFill>
              <a:ln>
                <a:noFill/>
              </a:ln>
              <a:effectLst/>
            </c:spPr>
            <c:extLst xmlns:c16r2="http://schemas.microsoft.com/office/drawing/2015/06/chart">
              <c:ext xmlns:c16="http://schemas.microsoft.com/office/drawing/2014/chart" uri="{C3380CC4-5D6E-409C-BE32-E72D297353CC}">
                <c16:uniqueId val="{0000001B-9CB2-4CA1-B9B8-76D1655698A1}"/>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HRP!$F$173:$F$178</c:f>
              <c:strCache>
                <c:ptCount val="6"/>
                <c:pt idx="0">
                  <c:v>reached by regular dedicated hygiene promotion</c:v>
                </c:pt>
                <c:pt idx="1">
                  <c:v>received regular supply of hygiene items</c:v>
                </c:pt>
                <c:pt idx="2">
                  <c:v>with access to functional sanitation facilities</c:v>
                </c:pt>
                <c:pt idx="3">
                  <c:v>with access to continuous sanitation services</c:v>
                </c:pt>
                <c:pt idx="4">
                  <c:v>with equitable and safe access to sufficient quantity of drinking water</c:v>
                </c:pt>
                <c:pt idx="5">
                  <c:v>with equitable and safe access to sufficient quantity of domestic water</c:v>
                </c:pt>
              </c:strCache>
            </c:strRef>
          </c:cat>
          <c:val>
            <c:numRef>
              <c:f>HRP!$I$173:$I$178</c:f>
              <c:numCache>
                <c:formatCode>_(* #,##0_);_(* \(#,##0\);_(* "-"??_);_(@_)</c:formatCode>
                <c:ptCount val="6"/>
                <c:pt idx="0">
                  <c:v>3537</c:v>
                </c:pt>
                <c:pt idx="1">
                  <c:v>6100</c:v>
                </c:pt>
                <c:pt idx="2">
                  <c:v>3444</c:v>
                </c:pt>
                <c:pt idx="3">
                  <c:v>2772.5</c:v>
                </c:pt>
                <c:pt idx="4">
                  <c:v>2681</c:v>
                </c:pt>
                <c:pt idx="5">
                  <c:v>2681</c:v>
                </c:pt>
              </c:numCache>
            </c:numRef>
          </c:val>
          <c:extLst xmlns:c16r2="http://schemas.microsoft.com/office/drawing/2015/06/chart">
            <c:ext xmlns:c16="http://schemas.microsoft.com/office/drawing/2014/chart" uri="{C3380CC4-5D6E-409C-BE32-E72D297353CC}">
              <c16:uniqueId val="{00000002-0CB7-4264-A3F9-A84426FA15A3}"/>
            </c:ext>
          </c:extLst>
        </c:ser>
        <c:dLbls>
          <c:showLegendKey val="0"/>
          <c:showVal val="0"/>
          <c:showCatName val="0"/>
          <c:showSerName val="0"/>
          <c:showPercent val="0"/>
          <c:showBubbleSize val="0"/>
        </c:dLbls>
        <c:gapWidth val="150"/>
        <c:overlap val="100"/>
        <c:axId val="450937592"/>
        <c:axId val="450938376"/>
      </c:barChart>
      <c:catAx>
        <c:axId val="450937592"/>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2"/>
                </a:solidFill>
                <a:latin typeface="+mn-lt"/>
                <a:ea typeface="+mn-ea"/>
                <a:cs typeface="+mn-cs"/>
              </a:defRPr>
            </a:pPr>
            <a:endParaRPr lang="en-US"/>
          </a:p>
        </c:txPr>
        <c:crossAx val="450938376"/>
        <c:crosses val="autoZero"/>
        <c:auto val="1"/>
        <c:lblAlgn val="ctr"/>
        <c:lblOffset val="100"/>
        <c:noMultiLvlLbl val="0"/>
      </c:catAx>
      <c:valAx>
        <c:axId val="450938376"/>
        <c:scaling>
          <c:orientation val="minMax"/>
          <c:max val="1"/>
        </c:scaling>
        <c:delete val="0"/>
        <c:axPos val="b"/>
        <c:majorGridlines>
          <c:spPr>
            <a:ln w="9525" cap="flat" cmpd="sng" algn="ctr">
              <a:solidFill>
                <a:schemeClr val="tx2">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450937592"/>
        <c:crosses val="autoZero"/>
        <c:crossBetween val="between"/>
        <c:majorUnit val="0.2"/>
      </c:valAx>
      <c:spPr>
        <a:noFill/>
        <a:ln>
          <a:noFill/>
        </a:ln>
        <a:effectLst/>
      </c:spPr>
    </c:plotArea>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n-US"/>
              <a:t>National (Non-IDP</a:t>
            </a:r>
            <a:r>
              <a:rPr lang="en-US" baseline="0"/>
              <a:t>)</a:t>
            </a:r>
            <a:endParaRPr lang="en-US"/>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n-US"/>
        </a:p>
      </c:txPr>
    </c:title>
    <c:autoTitleDeleted val="0"/>
    <c:plotArea>
      <c:layout/>
      <c:barChart>
        <c:barDir val="bar"/>
        <c:grouping val="percentStacked"/>
        <c:varyColors val="0"/>
        <c:ser>
          <c:idx val="0"/>
          <c:order val="0"/>
          <c:tx>
            <c:strRef>
              <c:f>HRP!$AA$123</c:f>
              <c:strCache>
                <c:ptCount val="1"/>
                <c:pt idx="0">
                  <c:v>Coverage</c:v>
                </c:pt>
              </c:strCache>
            </c:strRef>
          </c:tx>
          <c:spPr>
            <a:solidFill>
              <a:srgbClr val="0070C0"/>
            </a:solidFill>
            <a:ln>
              <a:noFill/>
            </a:ln>
            <a:effectLst/>
          </c:spPr>
          <c:invertIfNegative val="0"/>
          <c:dPt>
            <c:idx val="0"/>
            <c:invertIfNegative val="0"/>
            <c:bubble3D val="0"/>
            <c:spPr>
              <a:solidFill>
                <a:schemeClr val="accent6">
                  <a:lumMod val="75000"/>
                </a:schemeClr>
              </a:solidFill>
              <a:ln>
                <a:noFill/>
              </a:ln>
              <a:effectLst/>
            </c:spPr>
          </c:dPt>
          <c:dPt>
            <c:idx val="1"/>
            <c:invertIfNegative val="0"/>
            <c:bubble3D val="0"/>
            <c:spPr>
              <a:solidFill>
                <a:schemeClr val="accent2">
                  <a:lumMod val="75000"/>
                </a:schemeClr>
              </a:solidFill>
              <a:ln>
                <a:noFill/>
              </a:ln>
              <a:effectLst/>
            </c:spPr>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HRP!$Y$124:$Y$127</c:f>
              <c:strCache>
                <c:ptCount val="4"/>
                <c:pt idx="0">
                  <c:v>Number of people reached by regular dedicated hygiene promotion</c:v>
                </c:pt>
                <c:pt idx="1">
                  <c:v>Number of people with access to functional sanitation facilities</c:v>
                </c:pt>
                <c:pt idx="2">
                  <c:v>Number of people with equitable and safe access to sufficient quantity of drinking water</c:v>
                </c:pt>
                <c:pt idx="3">
                  <c:v>Number of people with equitable and safe access to sufficient quantity of domestic water</c:v>
                </c:pt>
              </c:strCache>
            </c:strRef>
          </c:cat>
          <c:val>
            <c:numRef>
              <c:f>HRP!$AA$124:$AA$127</c:f>
              <c:numCache>
                <c:formatCode>_(* #,##0_);_(* \(#,##0\);_(* "-"??_);_(@_)</c:formatCode>
                <c:ptCount val="4"/>
                <c:pt idx="0">
                  <c:v>47063</c:v>
                </c:pt>
                <c:pt idx="1">
                  <c:v>12996</c:v>
                </c:pt>
                <c:pt idx="2">
                  <c:v>26140</c:v>
                </c:pt>
                <c:pt idx="3">
                  <c:v>36548</c:v>
                </c:pt>
              </c:numCache>
            </c:numRef>
          </c:val>
          <c:extLst xmlns:c16r2="http://schemas.microsoft.com/office/drawing/2015/06/chart">
            <c:ext xmlns:c16="http://schemas.microsoft.com/office/drawing/2014/chart" uri="{C3380CC4-5D6E-409C-BE32-E72D297353CC}">
              <c16:uniqueId val="{00000000-851F-45C7-9C99-A7FF6B6487FE}"/>
            </c:ext>
          </c:extLst>
        </c:ser>
        <c:ser>
          <c:idx val="1"/>
          <c:order val="1"/>
          <c:tx>
            <c:strRef>
              <c:f>HRP!$AB$123</c:f>
              <c:strCache>
                <c:ptCount val="1"/>
                <c:pt idx="0">
                  <c:v>Gap</c:v>
                </c:pt>
              </c:strCache>
            </c:strRef>
          </c:tx>
          <c:spPr>
            <a:solidFill>
              <a:schemeClr val="accent1">
                <a:lumMod val="40000"/>
                <a:lumOff val="60000"/>
              </a:schemeClr>
            </a:solidFill>
            <a:ln>
              <a:noFill/>
            </a:ln>
            <a:effectLst/>
          </c:spPr>
          <c:invertIfNegative val="0"/>
          <c:dPt>
            <c:idx val="0"/>
            <c:invertIfNegative val="0"/>
            <c:bubble3D val="0"/>
            <c:spPr>
              <a:solidFill>
                <a:schemeClr val="accent6">
                  <a:lumMod val="40000"/>
                  <a:lumOff val="60000"/>
                </a:schemeClr>
              </a:solidFill>
              <a:ln>
                <a:noFill/>
              </a:ln>
              <a:effectLst/>
            </c:spPr>
          </c:dPt>
          <c:dPt>
            <c:idx val="1"/>
            <c:invertIfNegative val="0"/>
            <c:bubble3D val="0"/>
            <c:spPr>
              <a:solidFill>
                <a:schemeClr val="accent2">
                  <a:lumMod val="40000"/>
                  <a:lumOff val="60000"/>
                </a:schemeClr>
              </a:solidFill>
              <a:ln>
                <a:noFill/>
              </a:ln>
              <a:effectLst/>
            </c:spPr>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HRP!$Y$124:$Y$127</c:f>
              <c:strCache>
                <c:ptCount val="4"/>
                <c:pt idx="0">
                  <c:v>Number of people reached by regular dedicated hygiene promotion</c:v>
                </c:pt>
                <c:pt idx="1">
                  <c:v>Number of people with access to functional sanitation facilities</c:v>
                </c:pt>
                <c:pt idx="2">
                  <c:v>Number of people with equitable and safe access to sufficient quantity of drinking water</c:v>
                </c:pt>
                <c:pt idx="3">
                  <c:v>Number of people with equitable and safe access to sufficient quantity of domestic water</c:v>
                </c:pt>
              </c:strCache>
            </c:strRef>
          </c:cat>
          <c:val>
            <c:numRef>
              <c:f>HRP!$AB$124:$AB$127</c:f>
              <c:numCache>
                <c:formatCode>_(* #,##0_);_(* \(#,##0\);_(* "-"??_);_(@_)</c:formatCode>
                <c:ptCount val="4"/>
                <c:pt idx="0">
                  <c:v>249815</c:v>
                </c:pt>
                <c:pt idx="1">
                  <c:v>283882</c:v>
                </c:pt>
                <c:pt idx="2">
                  <c:v>270738</c:v>
                </c:pt>
                <c:pt idx="3">
                  <c:v>260330</c:v>
                </c:pt>
              </c:numCache>
            </c:numRef>
          </c:val>
          <c:extLst xmlns:c16r2="http://schemas.microsoft.com/office/drawing/2015/06/chart">
            <c:ext xmlns:c16="http://schemas.microsoft.com/office/drawing/2014/chart" uri="{C3380CC4-5D6E-409C-BE32-E72D297353CC}">
              <c16:uniqueId val="{00000001-851F-45C7-9C99-A7FF6B6487FE}"/>
            </c:ext>
          </c:extLst>
        </c:ser>
        <c:dLbls>
          <c:showLegendKey val="0"/>
          <c:showVal val="0"/>
          <c:showCatName val="0"/>
          <c:showSerName val="0"/>
          <c:showPercent val="0"/>
          <c:showBubbleSize val="0"/>
        </c:dLbls>
        <c:gapWidth val="150"/>
        <c:overlap val="100"/>
        <c:axId val="450933672"/>
        <c:axId val="450934456"/>
      </c:barChart>
      <c:catAx>
        <c:axId val="450933672"/>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2"/>
                </a:solidFill>
                <a:latin typeface="+mn-lt"/>
                <a:ea typeface="+mn-ea"/>
                <a:cs typeface="+mn-cs"/>
              </a:defRPr>
            </a:pPr>
            <a:endParaRPr lang="en-US"/>
          </a:p>
        </c:txPr>
        <c:crossAx val="450934456"/>
        <c:crosses val="autoZero"/>
        <c:auto val="1"/>
        <c:lblAlgn val="ctr"/>
        <c:lblOffset val="100"/>
        <c:noMultiLvlLbl val="0"/>
      </c:catAx>
      <c:valAx>
        <c:axId val="450934456"/>
        <c:scaling>
          <c:orientation val="minMax"/>
          <c:max val="1"/>
        </c:scaling>
        <c:delete val="0"/>
        <c:axPos val="b"/>
        <c:majorGridlines>
          <c:spPr>
            <a:ln w="9525" cap="flat" cmpd="sng" algn="ctr">
              <a:solidFill>
                <a:schemeClr val="tx2">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450933672"/>
        <c:crosses val="autoZero"/>
        <c:crossBetween val="between"/>
        <c:majorUnit val="0.2"/>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n-US"/>
              <a:t>Rakhine (Non-IDP)</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n-US"/>
        </a:p>
      </c:txPr>
    </c:title>
    <c:autoTitleDeleted val="0"/>
    <c:plotArea>
      <c:layout/>
      <c:barChart>
        <c:barDir val="bar"/>
        <c:grouping val="percentStacked"/>
        <c:varyColors val="0"/>
        <c:ser>
          <c:idx val="0"/>
          <c:order val="0"/>
          <c:tx>
            <c:strRef>
              <c:f>HRP!$AA$155</c:f>
              <c:strCache>
                <c:ptCount val="1"/>
                <c:pt idx="0">
                  <c:v>Coverage</c:v>
                </c:pt>
              </c:strCache>
            </c:strRef>
          </c:tx>
          <c:spPr>
            <a:solidFill>
              <a:schemeClr val="accent6">
                <a:lumMod val="75000"/>
              </a:schemeClr>
            </a:solidFill>
            <a:ln>
              <a:noFill/>
            </a:ln>
            <a:effectLst/>
          </c:spPr>
          <c:invertIfNegative val="0"/>
          <c:dPt>
            <c:idx val="1"/>
            <c:invertIfNegative val="0"/>
            <c:bubble3D val="0"/>
            <c:spPr>
              <a:solidFill>
                <a:schemeClr val="accent2">
                  <a:lumMod val="75000"/>
                </a:schemeClr>
              </a:solidFill>
              <a:ln>
                <a:noFill/>
              </a:ln>
              <a:effectLst/>
            </c:spPr>
          </c:dPt>
          <c:dPt>
            <c:idx val="2"/>
            <c:invertIfNegative val="0"/>
            <c:bubble3D val="0"/>
            <c:spPr>
              <a:solidFill>
                <a:srgbClr val="0070C0"/>
              </a:solidFill>
              <a:ln>
                <a:noFill/>
              </a:ln>
              <a:effectLst/>
            </c:spPr>
          </c:dPt>
          <c:dPt>
            <c:idx val="3"/>
            <c:invertIfNegative val="0"/>
            <c:bubble3D val="0"/>
            <c:spPr>
              <a:solidFill>
                <a:srgbClr val="0070C0"/>
              </a:solidFill>
              <a:ln>
                <a:noFill/>
              </a:ln>
              <a:effectLst/>
            </c:spPr>
          </c:dPt>
          <c:dLbls>
            <c:dLbl>
              <c:idx val="1"/>
              <c:layout>
                <c:manualLayout>
                  <c:x val="1.9856577800545012E-2"/>
                  <c:y val="-3.2216772711430139E-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057D-42B2-9B65-739548585F31}"/>
                </c:ex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extLst>
                <c:ext xmlns:c15="http://schemas.microsoft.com/office/drawing/2012/chart" uri="{02D57815-91ED-43cb-92C2-25804820EDAC}">
                  <c15:fullRef>
                    <c15:sqref>HRP!$Y$156:$Y$161</c15:sqref>
                  </c15:fullRef>
                </c:ext>
              </c:extLst>
              <c:f>(HRP!$Y$156,HRP!$Y$158,HRP!$Y$160:$Y$161)</c:f>
              <c:strCache>
                <c:ptCount val="4"/>
                <c:pt idx="0">
                  <c:v>Number of people reached by regular dedicated hygiene promotion</c:v>
                </c:pt>
                <c:pt idx="1">
                  <c:v>Number of people with access to functional sanitation facilities</c:v>
                </c:pt>
                <c:pt idx="2">
                  <c:v>Number of people with equitable and safe access to sufficient quantity of drinking water</c:v>
                </c:pt>
                <c:pt idx="3">
                  <c:v>Number of people with equitable and safe access to sufficient quantity of domestic water</c:v>
                </c:pt>
              </c:strCache>
            </c:strRef>
          </c:cat>
          <c:val>
            <c:numRef>
              <c:extLst>
                <c:ext xmlns:c15="http://schemas.microsoft.com/office/drawing/2012/chart" uri="{02D57815-91ED-43cb-92C2-25804820EDAC}">
                  <c15:fullRef>
                    <c15:sqref>HRP!$AA$156:$AA$161</c15:sqref>
                  </c15:fullRef>
                </c:ext>
              </c:extLst>
              <c:f>(HRP!$AA$156,HRP!$AA$158,HRP!$AA$160:$AA$161)</c:f>
              <c:numCache>
                <c:formatCode>_(* #,##0_);_(* \(#,##0\);_(* "-"??_);_(@_)</c:formatCode>
                <c:ptCount val="4"/>
                <c:pt idx="0">
                  <c:v>47063</c:v>
                </c:pt>
                <c:pt idx="1">
                  <c:v>12996</c:v>
                </c:pt>
                <c:pt idx="2">
                  <c:v>26140</c:v>
                </c:pt>
                <c:pt idx="3">
                  <c:v>36548</c:v>
                </c:pt>
              </c:numCache>
            </c:numRef>
          </c:val>
          <c:extLst xmlns:c16r2="http://schemas.microsoft.com/office/drawing/2015/06/chart">
            <c:ext xmlns:c16="http://schemas.microsoft.com/office/drawing/2014/chart" uri="{C3380CC4-5D6E-409C-BE32-E72D297353CC}">
              <c16:uniqueId val="{00000003-057D-42B2-9B65-739548585F31}"/>
            </c:ext>
            <c:ext xmlns:c15="http://schemas.microsoft.com/office/drawing/2012/chart" uri="{02D57815-91ED-43cb-92C2-25804820EDAC}">
              <c15:categoryFilterExceptions>
                <c15:categoryFilterException>
                  <c15:sqref>HRP!$AA$157</c15:sqref>
                  <c15:dLbl>
                    <c:idx val="0"/>
                    <c:layout>
                      <c:manualLayout>
                        <c:x val="2.5272008109784624E-2"/>
                        <c:y val="3.221677271142925E-3"/>
                      </c:manualLayout>
                    </c:layout>
                    <c:showLegendKey val="0"/>
                    <c:showVal val="1"/>
                    <c:showCatName val="0"/>
                    <c:showSerName val="0"/>
                    <c:showPercent val="0"/>
                    <c:showBubbleSize val="0"/>
                    <c:extLst xmlns:c16="http://schemas.microsoft.com/office/drawing/2014/chart" xmlns:c16r2="http://schemas.microsoft.com/office/drawing/2015/06/chart">
                      <c:ext xmlns:c16="http://schemas.microsoft.com/office/drawing/2014/chart" uri="{C3380CC4-5D6E-409C-BE32-E72D297353CC}">
                        <c16:uniqueId val="{00000002-057D-42B2-9B65-739548585F31}"/>
                      </c:ext>
                      <c:ext uri="{CE6537A1-D6FC-4f65-9D91-7224C49458BB}"/>
                    </c:extLst>
                  </c15:dLbl>
                </c15:categoryFilterException>
                <c15:categoryFilterException>
                  <c15:sqref>HRP!$AA$159</c15:sqref>
                  <c15:dLbl>
                    <c:idx val="1"/>
                    <c:layout>
                      <c:manualLayout>
                        <c:x val="1.4441147491305397E-2"/>
                        <c:y val="-5.9063400998839084E-17"/>
                      </c:manualLayout>
                    </c:layout>
                    <c:showLegendKey val="0"/>
                    <c:showVal val="1"/>
                    <c:showCatName val="0"/>
                    <c:showSerName val="0"/>
                    <c:showPercent val="0"/>
                    <c:showBubbleSize val="0"/>
                    <c:extLst xmlns:c16="http://schemas.microsoft.com/office/drawing/2014/chart" xmlns:c16r2="http://schemas.microsoft.com/office/drawing/2015/06/chart">
                      <c:ext xmlns:c16="http://schemas.microsoft.com/office/drawing/2014/chart" uri="{C3380CC4-5D6E-409C-BE32-E72D297353CC}">
                        <c16:uniqueId val="{00000001-057D-42B2-9B65-739548585F31}"/>
                      </c:ext>
                      <c:ext uri="{CE6537A1-D6FC-4f65-9D91-7224C49458BB}"/>
                    </c:extLst>
                  </c15:dLbl>
                </c15:categoryFilterException>
              </c15:categoryFilterExceptions>
            </c:ext>
          </c:extLst>
        </c:ser>
        <c:ser>
          <c:idx val="1"/>
          <c:order val="1"/>
          <c:tx>
            <c:strRef>
              <c:f>HRP!$AB$155</c:f>
              <c:strCache>
                <c:ptCount val="1"/>
                <c:pt idx="0">
                  <c:v>Gap</c:v>
                </c:pt>
              </c:strCache>
            </c:strRef>
          </c:tx>
          <c:spPr>
            <a:solidFill>
              <a:schemeClr val="accent1">
                <a:lumMod val="40000"/>
                <a:lumOff val="60000"/>
              </a:schemeClr>
            </a:solidFill>
            <a:ln>
              <a:noFill/>
            </a:ln>
            <a:effectLst/>
          </c:spPr>
          <c:invertIfNegative val="0"/>
          <c:dPt>
            <c:idx val="0"/>
            <c:invertIfNegative val="0"/>
            <c:bubble3D val="0"/>
            <c:spPr>
              <a:solidFill>
                <a:schemeClr val="accent6">
                  <a:lumMod val="40000"/>
                  <a:lumOff val="60000"/>
                </a:schemeClr>
              </a:solidFill>
              <a:ln>
                <a:noFill/>
              </a:ln>
              <a:effectLst/>
            </c:spPr>
          </c:dPt>
          <c:dPt>
            <c:idx val="1"/>
            <c:invertIfNegative val="0"/>
            <c:bubble3D val="0"/>
            <c:spPr>
              <a:solidFill>
                <a:schemeClr val="accent2">
                  <a:lumMod val="40000"/>
                  <a:lumOff val="60000"/>
                </a:schemeClr>
              </a:solidFill>
              <a:ln>
                <a:noFill/>
              </a:ln>
              <a:effectLst/>
            </c:spPr>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extLst>
                <c:ext xmlns:c15="http://schemas.microsoft.com/office/drawing/2012/chart" uri="{02D57815-91ED-43cb-92C2-25804820EDAC}">
                  <c15:fullRef>
                    <c15:sqref>HRP!$Y$156:$Y$161</c15:sqref>
                  </c15:fullRef>
                </c:ext>
              </c:extLst>
              <c:f>(HRP!$Y$156,HRP!$Y$158,HRP!$Y$160:$Y$161)</c:f>
              <c:strCache>
                <c:ptCount val="4"/>
                <c:pt idx="0">
                  <c:v>Number of people reached by regular dedicated hygiene promotion</c:v>
                </c:pt>
                <c:pt idx="1">
                  <c:v>Number of people with access to functional sanitation facilities</c:v>
                </c:pt>
                <c:pt idx="2">
                  <c:v>Number of people with equitable and safe access to sufficient quantity of drinking water</c:v>
                </c:pt>
                <c:pt idx="3">
                  <c:v>Number of people with equitable and safe access to sufficient quantity of domestic water</c:v>
                </c:pt>
              </c:strCache>
            </c:strRef>
          </c:cat>
          <c:val>
            <c:numRef>
              <c:extLst>
                <c:ext xmlns:c15="http://schemas.microsoft.com/office/drawing/2012/chart" uri="{02D57815-91ED-43cb-92C2-25804820EDAC}">
                  <c15:fullRef>
                    <c15:sqref>HRP!$AB$156:$AB$161</c15:sqref>
                  </c15:fullRef>
                </c:ext>
              </c:extLst>
              <c:f>(HRP!$AB$156,HRP!$AB$158,HRP!$AB$160:$AB$161)</c:f>
              <c:numCache>
                <c:formatCode>_(* #,##0_);_(* \(#,##0\);_(* "-"??_);_(@_)</c:formatCode>
                <c:ptCount val="4"/>
                <c:pt idx="0">
                  <c:v>211971</c:v>
                </c:pt>
                <c:pt idx="1">
                  <c:v>246038</c:v>
                </c:pt>
                <c:pt idx="2">
                  <c:v>232894</c:v>
                </c:pt>
                <c:pt idx="3">
                  <c:v>222486</c:v>
                </c:pt>
              </c:numCache>
            </c:numRef>
          </c:val>
          <c:extLst xmlns:c16r2="http://schemas.microsoft.com/office/drawing/2015/06/chart">
            <c:ext xmlns:c16="http://schemas.microsoft.com/office/drawing/2014/chart" uri="{C3380CC4-5D6E-409C-BE32-E72D297353CC}">
              <c16:uniqueId val="{00000004-057D-42B2-9B65-739548585F31}"/>
            </c:ext>
          </c:extLst>
        </c:ser>
        <c:dLbls>
          <c:showLegendKey val="0"/>
          <c:showVal val="0"/>
          <c:showCatName val="0"/>
          <c:showSerName val="0"/>
          <c:showPercent val="0"/>
          <c:showBubbleSize val="0"/>
        </c:dLbls>
        <c:gapWidth val="150"/>
        <c:overlap val="100"/>
        <c:axId val="450935240"/>
        <c:axId val="366199912"/>
      </c:barChart>
      <c:catAx>
        <c:axId val="450935240"/>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2"/>
                </a:solidFill>
                <a:latin typeface="+mn-lt"/>
                <a:ea typeface="+mn-ea"/>
                <a:cs typeface="+mn-cs"/>
              </a:defRPr>
            </a:pPr>
            <a:endParaRPr lang="en-US"/>
          </a:p>
        </c:txPr>
        <c:crossAx val="366199912"/>
        <c:crosses val="autoZero"/>
        <c:auto val="1"/>
        <c:lblAlgn val="ctr"/>
        <c:lblOffset val="100"/>
        <c:noMultiLvlLbl val="0"/>
      </c:catAx>
      <c:valAx>
        <c:axId val="366199912"/>
        <c:scaling>
          <c:orientation val="minMax"/>
        </c:scaling>
        <c:delete val="0"/>
        <c:axPos val="b"/>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45093524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r>
              <a:rPr lang="en-US" sz="1200" b="1" i="0" baseline="0">
                <a:effectLst/>
              </a:rPr>
              <a:t>Number of ppl covered against 2018 HRP targets</a:t>
            </a:r>
          </a:p>
          <a:p>
            <a:pPr>
              <a:defRPr sz="1200"/>
            </a:pPr>
            <a:r>
              <a:rPr lang="en-US" sz="1200" b="1" i="0" baseline="0">
                <a:effectLst/>
              </a:rPr>
              <a:t>(IDPs &amp; Non-IDPs)</a:t>
            </a:r>
            <a:endParaRPr lang="en-US" sz="1200">
              <a:effectLst/>
            </a:endParaRPr>
          </a:p>
        </c:rich>
      </c:tx>
      <c:overlay val="0"/>
      <c:spPr>
        <a:noFill/>
        <a:ln>
          <a:noFill/>
        </a:ln>
        <a:effectLst/>
      </c:spPr>
      <c:txPr>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n-US"/>
        </a:p>
      </c:txPr>
    </c:title>
    <c:autoTitleDeleted val="0"/>
    <c:plotArea>
      <c:layout/>
      <c:barChart>
        <c:barDir val="bar"/>
        <c:grouping val="stacked"/>
        <c:varyColors val="0"/>
        <c:ser>
          <c:idx val="0"/>
          <c:order val="0"/>
          <c:tx>
            <c:strRef>
              <c:f>HRP!$AU$122</c:f>
              <c:strCache>
                <c:ptCount val="1"/>
                <c:pt idx="0">
                  <c:v>Coverage</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invertIfNegative val="0"/>
          <c:dPt>
            <c:idx val="0"/>
            <c:invertIfNegative val="0"/>
            <c:bubble3D val="0"/>
            <c:spPr>
              <a:solidFill>
                <a:schemeClr val="accent6">
                  <a:lumMod val="75000"/>
                </a:schemeClr>
              </a:solidFill>
              <a:ln>
                <a:noFill/>
              </a:ln>
              <a:effectLst/>
            </c:spPr>
          </c:dPt>
          <c:dPt>
            <c:idx val="1"/>
            <c:invertIfNegative val="0"/>
            <c:bubble3D val="0"/>
            <c:spPr>
              <a:solidFill>
                <a:schemeClr val="accent6">
                  <a:lumMod val="75000"/>
                </a:schemeClr>
              </a:solidFill>
              <a:ln>
                <a:noFill/>
              </a:ln>
              <a:effectLst/>
            </c:spPr>
          </c:dPt>
          <c:dPt>
            <c:idx val="2"/>
            <c:invertIfNegative val="0"/>
            <c:bubble3D val="0"/>
            <c:spPr>
              <a:solidFill>
                <a:schemeClr val="accent2">
                  <a:lumMod val="75000"/>
                </a:schemeClr>
              </a:solidFill>
              <a:ln>
                <a:noFill/>
              </a:ln>
              <a:effectLst/>
            </c:spPr>
          </c:dPt>
          <c:dPt>
            <c:idx val="3"/>
            <c:invertIfNegative val="0"/>
            <c:bubble3D val="0"/>
            <c:spPr>
              <a:solidFill>
                <a:schemeClr val="accent2">
                  <a:lumMod val="75000"/>
                </a:schemeClr>
              </a:solidFill>
              <a:ln>
                <a:noFill/>
              </a:ln>
              <a:effectLst/>
            </c:spPr>
          </c:dPt>
          <c:dPt>
            <c:idx val="4"/>
            <c:invertIfNegative val="0"/>
            <c:bubble3D val="0"/>
            <c:spPr>
              <a:solidFill>
                <a:srgbClr val="0070C0"/>
              </a:solidFill>
              <a:ln>
                <a:noFill/>
              </a:ln>
              <a:effectLst/>
            </c:spPr>
          </c:dPt>
          <c:dPt>
            <c:idx val="5"/>
            <c:invertIfNegative val="0"/>
            <c:bubble3D val="0"/>
            <c:spPr>
              <a:solidFill>
                <a:srgbClr val="0070C0"/>
              </a:solidFill>
              <a:ln>
                <a:noFill/>
              </a:ln>
              <a:effectLst/>
            </c:spPr>
          </c:dPt>
          <c:dLbls>
            <c:dLbl>
              <c:idx val="3"/>
              <c:layout>
                <c:manualLayout>
                  <c:x val="3.0592728084445492E-2"/>
                  <c:y val="0"/>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HRP!$AS$123:$AS$128</c:f>
              <c:strCache>
                <c:ptCount val="6"/>
                <c:pt idx="0">
                  <c:v>reached by regular dedicated hygiene promotion</c:v>
                </c:pt>
                <c:pt idx="1">
                  <c:v>received regular supply of hygiene items</c:v>
                </c:pt>
                <c:pt idx="2">
                  <c:v>with access to functional sanitation facilities</c:v>
                </c:pt>
                <c:pt idx="3">
                  <c:v>with access to continuous sanitation services</c:v>
                </c:pt>
                <c:pt idx="4">
                  <c:v>with equitable and safe access to sufficient quantity of drinking water</c:v>
                </c:pt>
                <c:pt idx="5">
                  <c:v>with equitable and safe access to sufficient quantity of domestic water</c:v>
                </c:pt>
              </c:strCache>
            </c:strRef>
          </c:cat>
          <c:val>
            <c:numRef>
              <c:f>HRP!$AU$123:$AU$128</c:f>
              <c:numCache>
                <c:formatCode>_(* #,##0_);_(* \(#,##0\);_(* "-"??_);_(@_)</c:formatCode>
                <c:ptCount val="6"/>
                <c:pt idx="0">
                  <c:v>203235</c:v>
                </c:pt>
                <c:pt idx="1">
                  <c:v>124760</c:v>
                </c:pt>
                <c:pt idx="2">
                  <c:v>186208</c:v>
                </c:pt>
                <c:pt idx="3">
                  <c:v>24525</c:v>
                </c:pt>
                <c:pt idx="4">
                  <c:v>228798.13333333333</c:v>
                </c:pt>
                <c:pt idx="5">
                  <c:v>241537.13333333333</c:v>
                </c:pt>
              </c:numCache>
            </c:numRef>
          </c:val>
        </c:ser>
        <c:ser>
          <c:idx val="1"/>
          <c:order val="1"/>
          <c:tx>
            <c:strRef>
              <c:f>HRP!$AV$122</c:f>
              <c:strCache>
                <c:ptCount val="1"/>
                <c:pt idx="0">
                  <c:v>Gap</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invertIfNegative val="0"/>
          <c:dPt>
            <c:idx val="0"/>
            <c:invertIfNegative val="0"/>
            <c:bubble3D val="0"/>
            <c:spPr>
              <a:solidFill>
                <a:schemeClr val="accent6">
                  <a:lumMod val="40000"/>
                  <a:lumOff val="60000"/>
                </a:schemeClr>
              </a:solidFill>
              <a:ln>
                <a:noFill/>
              </a:ln>
              <a:effectLst/>
            </c:spPr>
          </c:dPt>
          <c:dPt>
            <c:idx val="1"/>
            <c:invertIfNegative val="0"/>
            <c:bubble3D val="0"/>
            <c:spPr>
              <a:solidFill>
                <a:schemeClr val="accent6">
                  <a:lumMod val="40000"/>
                  <a:lumOff val="60000"/>
                </a:schemeClr>
              </a:solidFill>
              <a:ln>
                <a:noFill/>
              </a:ln>
              <a:effectLst/>
            </c:spPr>
          </c:dPt>
          <c:dPt>
            <c:idx val="2"/>
            <c:invertIfNegative val="0"/>
            <c:bubble3D val="0"/>
            <c:spPr>
              <a:solidFill>
                <a:schemeClr val="accent2">
                  <a:lumMod val="40000"/>
                  <a:lumOff val="60000"/>
                </a:schemeClr>
              </a:solidFill>
              <a:ln>
                <a:noFill/>
              </a:ln>
              <a:effectLst/>
            </c:spPr>
          </c:dPt>
          <c:dPt>
            <c:idx val="3"/>
            <c:invertIfNegative val="0"/>
            <c:bubble3D val="0"/>
            <c:spPr>
              <a:solidFill>
                <a:schemeClr val="accent2">
                  <a:lumMod val="40000"/>
                  <a:lumOff val="60000"/>
                </a:schemeClr>
              </a:solidFill>
              <a:ln>
                <a:noFill/>
              </a:ln>
              <a:effectLst/>
            </c:spPr>
          </c:dPt>
          <c:dPt>
            <c:idx val="4"/>
            <c:invertIfNegative val="0"/>
            <c:bubble3D val="0"/>
            <c:spPr>
              <a:solidFill>
                <a:schemeClr val="accent1">
                  <a:lumMod val="40000"/>
                  <a:lumOff val="60000"/>
                </a:schemeClr>
              </a:solidFill>
              <a:ln>
                <a:noFill/>
              </a:ln>
              <a:effectLst/>
            </c:spPr>
          </c:dPt>
          <c:dPt>
            <c:idx val="5"/>
            <c:invertIfNegative val="0"/>
            <c:bubble3D val="0"/>
            <c:spPr>
              <a:solidFill>
                <a:schemeClr val="accent1">
                  <a:lumMod val="40000"/>
                  <a:lumOff val="60000"/>
                </a:schemeClr>
              </a:solidFill>
              <a:ln>
                <a:noFill/>
              </a:ln>
              <a:effectLst/>
            </c:spPr>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HRP!$AS$123:$AS$128</c:f>
              <c:strCache>
                <c:ptCount val="6"/>
                <c:pt idx="0">
                  <c:v>reached by regular dedicated hygiene promotion</c:v>
                </c:pt>
                <c:pt idx="1">
                  <c:v>received regular supply of hygiene items</c:v>
                </c:pt>
                <c:pt idx="2">
                  <c:v>with access to functional sanitation facilities</c:v>
                </c:pt>
                <c:pt idx="3">
                  <c:v>with access to continuous sanitation services</c:v>
                </c:pt>
                <c:pt idx="4">
                  <c:v>with equitable and safe access to sufficient quantity of drinking water</c:v>
                </c:pt>
                <c:pt idx="5">
                  <c:v>with equitable and safe access to sufficient quantity of domestic water</c:v>
                </c:pt>
              </c:strCache>
            </c:strRef>
          </c:cat>
          <c:val>
            <c:numRef>
              <c:f>HRP!$AV$123:$AV$128</c:f>
              <c:numCache>
                <c:formatCode>_(* #,##0_);_(* \(#,##0\);_(* "-"??_);_(@_)</c:formatCode>
                <c:ptCount val="6"/>
                <c:pt idx="0">
                  <c:v>313243</c:v>
                </c:pt>
                <c:pt idx="1">
                  <c:v>391718</c:v>
                </c:pt>
                <c:pt idx="2">
                  <c:v>330270</c:v>
                </c:pt>
                <c:pt idx="3">
                  <c:v>104594.5</c:v>
                </c:pt>
                <c:pt idx="4">
                  <c:v>287679.8666666667</c:v>
                </c:pt>
                <c:pt idx="5">
                  <c:v>274940.8666666667</c:v>
                </c:pt>
              </c:numCache>
            </c:numRef>
          </c:val>
        </c:ser>
        <c:dLbls>
          <c:showLegendKey val="0"/>
          <c:showVal val="0"/>
          <c:showCatName val="0"/>
          <c:showSerName val="0"/>
          <c:showPercent val="0"/>
          <c:showBubbleSize val="0"/>
        </c:dLbls>
        <c:gapWidth val="150"/>
        <c:overlap val="100"/>
        <c:axId val="366199520"/>
        <c:axId val="366200304"/>
      </c:barChart>
      <c:catAx>
        <c:axId val="366199520"/>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366200304"/>
        <c:crosses val="autoZero"/>
        <c:auto val="1"/>
        <c:lblAlgn val="ctr"/>
        <c:lblOffset val="100"/>
        <c:noMultiLvlLbl val="0"/>
      </c:catAx>
      <c:valAx>
        <c:axId val="366200304"/>
        <c:scaling>
          <c:orientation val="minMax"/>
        </c:scaling>
        <c:delete val="0"/>
        <c:axPos val="b"/>
        <c:majorGridlines>
          <c:spPr>
            <a:ln w="9525" cap="flat" cmpd="sng" algn="ctr">
              <a:solidFill>
                <a:schemeClr val="tx2">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36619952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n-US" sz="1200" b="1" i="0" baseline="0">
                <a:effectLst/>
              </a:rPr>
              <a:t>Hygiene Coverage </a:t>
            </a:r>
            <a:endParaRPr lang="en-US" sz="1200">
              <a:effectLst/>
            </a:endParaRPr>
          </a:p>
          <a:p>
            <a:pPr>
              <a:defRPr/>
            </a:pPr>
            <a:r>
              <a:rPr lang="en-US" sz="1200" b="1" i="0" baseline="0">
                <a:effectLst/>
              </a:rPr>
              <a:t>in active camps</a:t>
            </a:r>
            <a:endParaRPr lang="en-US" sz="1200">
              <a:effectLst/>
            </a:endParaRPr>
          </a:p>
          <a:p>
            <a:pPr>
              <a:defRPr/>
            </a:pPr>
            <a:r>
              <a:rPr lang="en-US" sz="1200"/>
              <a:t>Rakhine</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n-US"/>
        </a:p>
      </c:txPr>
    </c:title>
    <c:autoTitleDeleted val="0"/>
    <c:plotArea>
      <c:layout/>
      <c:barChart>
        <c:barDir val="col"/>
        <c:grouping val="stacked"/>
        <c:varyColors val="0"/>
        <c:ser>
          <c:idx val="0"/>
          <c:order val="0"/>
          <c:tx>
            <c:strRef>
              <c:f>Analysis!$Q$156</c:f>
              <c:strCache>
                <c:ptCount val="1"/>
                <c:pt idx="0">
                  <c:v>Covered</c:v>
                </c:pt>
              </c:strCache>
            </c:strRef>
          </c:tx>
          <c:spPr>
            <a:solidFill>
              <a:schemeClr val="accent6">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Analysis!$P$157:$P$160</c:f>
              <c:strCache>
                <c:ptCount val="4"/>
                <c:pt idx="0">
                  <c:v>#HH reached by regular dedicated hygiene promotion</c:v>
                </c:pt>
                <c:pt idx="1">
                  <c:v>#HH with access to Hand Washing Station</c:v>
                </c:pt>
                <c:pt idx="2">
                  <c:v># HH received soaps</c:v>
                </c:pt>
                <c:pt idx="3">
                  <c:v># HH received Sanitary Pads</c:v>
                </c:pt>
              </c:strCache>
            </c:strRef>
          </c:cat>
          <c:val>
            <c:numRef>
              <c:f>Analysis!$Q$157:$Q$160</c:f>
              <c:numCache>
                <c:formatCode>_(* #,##0_);_(* \(#,##0\);_(* "-"??_);_(@_)</c:formatCode>
                <c:ptCount val="4"/>
                <c:pt idx="0">
                  <c:v>18518.599999999999</c:v>
                </c:pt>
                <c:pt idx="1">
                  <c:v>8164.2</c:v>
                </c:pt>
                <c:pt idx="2">
                  <c:v>18379</c:v>
                </c:pt>
                <c:pt idx="3">
                  <c:v>19055</c:v>
                </c:pt>
              </c:numCache>
            </c:numRef>
          </c:val>
          <c:extLst xmlns:c16r2="http://schemas.microsoft.com/office/drawing/2015/06/chart">
            <c:ext xmlns:c16="http://schemas.microsoft.com/office/drawing/2014/chart" uri="{C3380CC4-5D6E-409C-BE32-E72D297353CC}">
              <c16:uniqueId val="{00000000-F5FF-4313-84A4-722007FD5F1B}"/>
            </c:ext>
          </c:extLst>
        </c:ser>
        <c:ser>
          <c:idx val="1"/>
          <c:order val="1"/>
          <c:tx>
            <c:strRef>
              <c:f>Analysis!$R$156</c:f>
              <c:strCache>
                <c:ptCount val="1"/>
                <c:pt idx="0">
                  <c:v>Gap</c:v>
                </c:pt>
              </c:strCache>
            </c:strRef>
          </c:tx>
          <c:spPr>
            <a:gradFill rotWithShape="1">
              <a:gsLst>
                <a:gs pos="0">
                  <a:schemeClr val="accent6">
                    <a:tint val="77000"/>
                    <a:satMod val="103000"/>
                    <a:lumMod val="102000"/>
                    <a:tint val="94000"/>
                  </a:schemeClr>
                </a:gs>
                <a:gs pos="50000">
                  <a:schemeClr val="accent6">
                    <a:tint val="77000"/>
                    <a:satMod val="110000"/>
                    <a:lumMod val="100000"/>
                    <a:shade val="100000"/>
                  </a:schemeClr>
                </a:gs>
                <a:gs pos="100000">
                  <a:schemeClr val="accent6">
                    <a:tint val="77000"/>
                    <a:lumMod val="99000"/>
                    <a:satMod val="120000"/>
                    <a:shade val="78000"/>
                  </a:schemeClr>
                </a:gs>
              </a:gsLst>
              <a:lin ang="5400000" scaled="0"/>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Analysis!$P$157:$P$160</c:f>
              <c:strCache>
                <c:ptCount val="4"/>
                <c:pt idx="0">
                  <c:v>#HH reached by regular dedicated hygiene promotion</c:v>
                </c:pt>
                <c:pt idx="1">
                  <c:v>#HH with access to Hand Washing Station</c:v>
                </c:pt>
                <c:pt idx="2">
                  <c:v># HH received soaps</c:v>
                </c:pt>
                <c:pt idx="3">
                  <c:v># HH received Sanitary Pads</c:v>
                </c:pt>
              </c:strCache>
            </c:strRef>
          </c:cat>
          <c:val>
            <c:numRef>
              <c:f>Analysis!$R$157:$R$160</c:f>
              <c:numCache>
                <c:formatCode>_(* #,##0_);_(* \(#,##0\);_(* "-"??_);_(@_)</c:formatCode>
                <c:ptCount val="4"/>
                <c:pt idx="0">
                  <c:v>4552.4000000000015</c:v>
                </c:pt>
                <c:pt idx="1">
                  <c:v>14906.8</c:v>
                </c:pt>
                <c:pt idx="2">
                  <c:v>4692</c:v>
                </c:pt>
                <c:pt idx="3">
                  <c:v>4016</c:v>
                </c:pt>
              </c:numCache>
            </c:numRef>
          </c:val>
          <c:extLst xmlns:c16r2="http://schemas.microsoft.com/office/drawing/2015/06/chart">
            <c:ext xmlns:c16="http://schemas.microsoft.com/office/drawing/2014/chart" uri="{C3380CC4-5D6E-409C-BE32-E72D297353CC}">
              <c16:uniqueId val="{00000001-F5FF-4313-84A4-722007FD5F1B}"/>
            </c:ext>
          </c:extLst>
        </c:ser>
        <c:dLbls>
          <c:showLegendKey val="0"/>
          <c:showVal val="0"/>
          <c:showCatName val="0"/>
          <c:showSerName val="0"/>
          <c:showPercent val="0"/>
          <c:showBubbleSize val="0"/>
        </c:dLbls>
        <c:gapWidth val="150"/>
        <c:overlap val="100"/>
        <c:axId val="366205792"/>
        <c:axId val="366203048"/>
      </c:barChart>
      <c:catAx>
        <c:axId val="366205792"/>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366203048"/>
        <c:crosses val="autoZero"/>
        <c:auto val="1"/>
        <c:lblAlgn val="ctr"/>
        <c:lblOffset val="100"/>
        <c:noMultiLvlLbl val="0"/>
      </c:catAx>
      <c:valAx>
        <c:axId val="366203048"/>
        <c:scaling>
          <c:orientation val="minMax"/>
        </c:scaling>
        <c:delete val="0"/>
        <c:axPos val="l"/>
        <c:majorGridlines>
          <c:spPr>
            <a:ln w="9525" cap="flat" cmpd="sng" algn="ctr">
              <a:solidFill>
                <a:schemeClr val="tx2">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366205792"/>
        <c:crosses val="autoZero"/>
        <c:crossBetween val="between"/>
      </c:valAx>
      <c:spPr>
        <a:noFill/>
        <a:ln>
          <a:noFill/>
        </a:ln>
        <a:effectLst/>
      </c:spPr>
    </c:plotArea>
    <c:legend>
      <c:legendPos val="b"/>
      <c:legendEntry>
        <c:idx val="1"/>
        <c:txPr>
          <a:bodyPr rot="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n-US"/>
          </a:p>
        </c:txPr>
      </c:legendEntry>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n-US" sz="1200" b="1" i="0" baseline="0">
                <a:effectLst/>
              </a:rPr>
              <a:t>Hygiene Coverage </a:t>
            </a:r>
            <a:endParaRPr lang="en-US" sz="1200">
              <a:effectLst/>
            </a:endParaRPr>
          </a:p>
          <a:p>
            <a:pPr>
              <a:defRPr/>
            </a:pPr>
            <a:r>
              <a:rPr lang="en-US" sz="1200" b="1" i="0" baseline="0">
                <a:effectLst/>
              </a:rPr>
              <a:t>in active camps</a:t>
            </a:r>
            <a:endParaRPr lang="en-US" sz="1200">
              <a:effectLst/>
            </a:endParaRPr>
          </a:p>
          <a:p>
            <a:pPr>
              <a:defRPr/>
            </a:pPr>
            <a:r>
              <a:rPr lang="en-US" sz="1200" b="1" i="0" baseline="0">
                <a:effectLst/>
              </a:rPr>
              <a:t>Shan(North)</a:t>
            </a:r>
            <a:endParaRPr lang="en-US" sz="1200">
              <a:effectLst/>
            </a:endParaRP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n-US"/>
        </a:p>
      </c:txPr>
    </c:title>
    <c:autoTitleDeleted val="0"/>
    <c:plotArea>
      <c:layout/>
      <c:barChart>
        <c:barDir val="col"/>
        <c:grouping val="stacked"/>
        <c:varyColors val="0"/>
        <c:ser>
          <c:idx val="0"/>
          <c:order val="0"/>
          <c:tx>
            <c:strRef>
              <c:f>Analysis!$X$156</c:f>
              <c:strCache>
                <c:ptCount val="1"/>
                <c:pt idx="0">
                  <c:v>Covered</c:v>
                </c:pt>
              </c:strCache>
            </c:strRef>
          </c:tx>
          <c:spPr>
            <a:solidFill>
              <a:schemeClr val="accent6">
                <a:lumMod val="75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Analysis!$W$157:$W$160</c:f>
              <c:strCache>
                <c:ptCount val="4"/>
                <c:pt idx="0">
                  <c:v>#HH reached by regular dedicated hygiene promotion</c:v>
                </c:pt>
                <c:pt idx="1">
                  <c:v>#HH with access to Hand Washing Station</c:v>
                </c:pt>
                <c:pt idx="2">
                  <c:v># HH received soaps</c:v>
                </c:pt>
                <c:pt idx="3">
                  <c:v># HH received Sanitary Pads</c:v>
                </c:pt>
              </c:strCache>
            </c:strRef>
          </c:cat>
          <c:val>
            <c:numRef>
              <c:f>Analysis!$X$157:$X$160</c:f>
              <c:numCache>
                <c:formatCode>0</c:formatCode>
                <c:ptCount val="4"/>
                <c:pt idx="0">
                  <c:v>1622.6</c:v>
                </c:pt>
                <c:pt idx="1">
                  <c:v>1172.7000000000003</c:v>
                </c:pt>
                <c:pt idx="2">
                  <c:v>1110</c:v>
                </c:pt>
                <c:pt idx="3">
                  <c:v>100</c:v>
                </c:pt>
              </c:numCache>
            </c:numRef>
          </c:val>
          <c:extLst xmlns:c16r2="http://schemas.microsoft.com/office/drawing/2015/06/chart">
            <c:ext xmlns:c16="http://schemas.microsoft.com/office/drawing/2014/chart" uri="{C3380CC4-5D6E-409C-BE32-E72D297353CC}">
              <c16:uniqueId val="{00000000-CBDF-46C4-8398-2F2620566A1B}"/>
            </c:ext>
          </c:extLst>
        </c:ser>
        <c:ser>
          <c:idx val="1"/>
          <c:order val="1"/>
          <c:tx>
            <c:strRef>
              <c:f>Analysis!$Y$156</c:f>
              <c:strCache>
                <c:ptCount val="1"/>
                <c:pt idx="0">
                  <c:v>Gap</c:v>
                </c:pt>
              </c:strCache>
            </c:strRef>
          </c:tx>
          <c:spPr>
            <a:solidFill>
              <a:schemeClr val="accent6">
                <a:lumMod val="40000"/>
                <a:lumOff val="60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Analysis!$W$157:$W$160</c:f>
              <c:strCache>
                <c:ptCount val="4"/>
                <c:pt idx="0">
                  <c:v>#HH reached by regular dedicated hygiene promotion</c:v>
                </c:pt>
                <c:pt idx="1">
                  <c:v>#HH with access to Hand Washing Station</c:v>
                </c:pt>
                <c:pt idx="2">
                  <c:v># HH received soaps</c:v>
                </c:pt>
                <c:pt idx="3">
                  <c:v># HH received Sanitary Pads</c:v>
                </c:pt>
              </c:strCache>
            </c:strRef>
          </c:cat>
          <c:val>
            <c:numRef>
              <c:f>Analysis!$Y$157:$Y$160</c:f>
              <c:numCache>
                <c:formatCode>0</c:formatCode>
                <c:ptCount val="4"/>
                <c:pt idx="0">
                  <c:v>396.40000000000009</c:v>
                </c:pt>
                <c:pt idx="1">
                  <c:v>846.29999999999973</c:v>
                </c:pt>
                <c:pt idx="2">
                  <c:v>909</c:v>
                </c:pt>
                <c:pt idx="3">
                  <c:v>1919</c:v>
                </c:pt>
              </c:numCache>
            </c:numRef>
          </c:val>
          <c:extLst xmlns:c16r2="http://schemas.microsoft.com/office/drawing/2015/06/chart">
            <c:ext xmlns:c16="http://schemas.microsoft.com/office/drawing/2014/chart" uri="{C3380CC4-5D6E-409C-BE32-E72D297353CC}">
              <c16:uniqueId val="{00000001-CBDF-46C4-8398-2F2620566A1B}"/>
            </c:ext>
          </c:extLst>
        </c:ser>
        <c:dLbls>
          <c:showLegendKey val="0"/>
          <c:showVal val="0"/>
          <c:showCatName val="0"/>
          <c:showSerName val="0"/>
          <c:showPercent val="0"/>
          <c:showBubbleSize val="0"/>
        </c:dLbls>
        <c:gapWidth val="150"/>
        <c:overlap val="100"/>
        <c:axId val="366204616"/>
        <c:axId val="366201480"/>
      </c:barChart>
      <c:catAx>
        <c:axId val="366204616"/>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366201480"/>
        <c:crosses val="autoZero"/>
        <c:auto val="1"/>
        <c:lblAlgn val="ctr"/>
        <c:lblOffset val="100"/>
        <c:noMultiLvlLbl val="0"/>
      </c:catAx>
      <c:valAx>
        <c:axId val="366201480"/>
        <c:scaling>
          <c:orientation val="minMax"/>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36620461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b="1" i="0" baseline="0">
                <a:effectLst/>
              </a:rPr>
              <a:t>Effective drainage</a:t>
            </a:r>
            <a:endParaRPr lang="en-US" sz="1200">
              <a:effectLst/>
            </a:endParaRPr>
          </a:p>
          <a:p>
            <a:pPr>
              <a:defRPr sz="1200"/>
            </a:pPr>
            <a:r>
              <a:rPr lang="en-US" sz="1200" b="1" i="0" baseline="0">
                <a:effectLst/>
              </a:rPr>
              <a:t> in active camps</a:t>
            </a:r>
            <a:endParaRPr lang="en-US" sz="1200">
              <a:effectLst/>
            </a:endParaRPr>
          </a:p>
          <a:p>
            <a:pPr>
              <a:defRPr sz="1200"/>
            </a:pPr>
            <a:r>
              <a:rPr lang="en-US" sz="1200"/>
              <a:t> Kachin</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tx>
            <c:strRef>
              <c:f>Analysis!$B$123</c:f>
              <c:strCache>
                <c:ptCount val="1"/>
                <c:pt idx="0">
                  <c:v>Kachin</c:v>
                </c:pt>
              </c:strCache>
            </c:strRef>
          </c:tx>
          <c:dPt>
            <c:idx val="0"/>
            <c:bubble3D val="0"/>
            <c:spPr>
              <a:solidFill>
                <a:schemeClr val="accent2">
                  <a:shade val="58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1-6EA3-4AE5-BCC7-AFE913165737}"/>
              </c:ext>
            </c:extLst>
          </c:dPt>
          <c:dPt>
            <c:idx val="1"/>
            <c:bubble3D val="0"/>
            <c:spPr>
              <a:solidFill>
                <a:schemeClr val="accent2">
                  <a:shade val="86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3-6EA3-4AE5-BCC7-AFE913165737}"/>
              </c:ext>
            </c:extLst>
          </c:dPt>
          <c:dPt>
            <c:idx val="2"/>
            <c:bubble3D val="0"/>
            <c:spPr>
              <a:solidFill>
                <a:schemeClr val="accent2">
                  <a:tint val="86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5-6EA3-4AE5-BCC7-AFE913165737}"/>
              </c:ext>
            </c:extLst>
          </c:dPt>
          <c:dPt>
            <c:idx val="3"/>
            <c:bubble3D val="0"/>
            <c:spPr>
              <a:solidFill>
                <a:schemeClr val="accent2">
                  <a:tint val="58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7-6EA3-4AE5-BCC7-AFE913165737}"/>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c:ext xmlns:c15="http://schemas.microsoft.com/office/drawing/2012/chart" uri="{CE6537A1-D6FC-4f65-9D91-7224C49458BB}"/>
            </c:extLst>
          </c:dLbls>
          <c:cat>
            <c:strRef>
              <c:f>Analysis!$C$122:$F$122</c:f>
              <c:strCache>
                <c:ptCount val="4"/>
                <c:pt idx="0">
                  <c:v>Functional</c:v>
                </c:pt>
                <c:pt idx="1">
                  <c:v>NA</c:v>
                </c:pt>
                <c:pt idx="2">
                  <c:v>Not_Functional</c:v>
                </c:pt>
                <c:pt idx="3">
                  <c:v>Not_inPlace</c:v>
                </c:pt>
              </c:strCache>
            </c:strRef>
          </c:cat>
          <c:val>
            <c:numRef>
              <c:f>Analysis!$C$123:$F$123</c:f>
              <c:numCache>
                <c:formatCode>General</c:formatCode>
                <c:ptCount val="4"/>
                <c:pt idx="0">
                  <c:v>70</c:v>
                </c:pt>
                <c:pt idx="1">
                  <c:v>15</c:v>
                </c:pt>
                <c:pt idx="2">
                  <c:v>51</c:v>
                </c:pt>
                <c:pt idx="3">
                  <c:v>7</c:v>
                </c:pt>
              </c:numCache>
            </c:numRef>
          </c:val>
          <c:extLst xmlns:c16r2="http://schemas.microsoft.com/office/drawing/2015/06/chart">
            <c:ext xmlns:c16="http://schemas.microsoft.com/office/drawing/2014/chart" uri="{C3380CC4-5D6E-409C-BE32-E72D297353CC}">
              <c16:uniqueId val="{00000000-6001-452C-B69E-5437BE745B65}"/>
            </c:ext>
          </c:extLst>
        </c:ser>
        <c:dLbls>
          <c:dLblPos val="bestFit"/>
          <c:showLegendKey val="0"/>
          <c:showVal val="1"/>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r>
              <a:rPr lang="en-US" sz="1200"/>
              <a:t>Number of people with equitable and safe access to sufficient quantity of domestic water</a:t>
            </a:r>
          </a:p>
        </c:rich>
      </c:tx>
      <c:overlay val="0"/>
      <c:spPr>
        <a:noFill/>
        <a:ln>
          <a:noFill/>
        </a:ln>
        <a:effectLst/>
      </c:spPr>
      <c:txPr>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n-US"/>
        </a:p>
      </c:txPr>
    </c:title>
    <c:autoTitleDeleted val="0"/>
    <c:plotArea>
      <c:layout/>
      <c:barChart>
        <c:barDir val="bar"/>
        <c:grouping val="percentStacked"/>
        <c:varyColors val="0"/>
        <c:ser>
          <c:idx val="1"/>
          <c:order val="1"/>
          <c:tx>
            <c:strRef>
              <c:f>HRP!$D$55</c:f>
              <c:strCache>
                <c:ptCount val="1"/>
                <c:pt idx="0">
                  <c:v>Number of people with equitable and safe access to sufficient quantity of domestic water(Reached)</c:v>
                </c:pt>
              </c:strCache>
            </c:strRef>
          </c:tx>
          <c:spPr>
            <a:solidFill>
              <a:srgbClr val="0070C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HRP!$B$56:$B$58</c:f>
              <c:strCache>
                <c:ptCount val="3"/>
                <c:pt idx="0">
                  <c:v>Kachin</c:v>
                </c:pt>
                <c:pt idx="1">
                  <c:v>Rakhine</c:v>
                </c:pt>
                <c:pt idx="2">
                  <c:v>Shan (North)</c:v>
                </c:pt>
              </c:strCache>
            </c:strRef>
          </c:cat>
          <c:val>
            <c:numRef>
              <c:f>HRP!$D$56:$D$58</c:f>
              <c:numCache>
                <c:formatCode>_(* #,##0_);_(* \(#,##0\);_(* "-"??_);_(@_)</c:formatCode>
                <c:ptCount val="3"/>
                <c:pt idx="0">
                  <c:v>77868.799999999988</c:v>
                </c:pt>
                <c:pt idx="1">
                  <c:v>154699.33333333331</c:v>
                </c:pt>
                <c:pt idx="2">
                  <c:v>8969</c:v>
                </c:pt>
              </c:numCache>
            </c:numRef>
          </c:val>
          <c:extLst xmlns:c16r2="http://schemas.microsoft.com/office/drawing/2015/06/chart">
            <c:ext xmlns:c16="http://schemas.microsoft.com/office/drawing/2014/chart" uri="{C3380CC4-5D6E-409C-BE32-E72D297353CC}">
              <c16:uniqueId val="{00000001-28F3-4DA5-BE09-C84C74768AEE}"/>
            </c:ext>
          </c:extLst>
        </c:ser>
        <c:ser>
          <c:idx val="2"/>
          <c:order val="2"/>
          <c:tx>
            <c:strRef>
              <c:f>HRP!$E$55</c:f>
              <c:strCache>
                <c:ptCount val="1"/>
                <c:pt idx="0">
                  <c:v>Number of people with equitable and safe access to sufficient quantity of domestic water(Gap)</c:v>
                </c:pt>
              </c:strCache>
            </c:strRef>
          </c:tx>
          <c:spPr>
            <a:solidFill>
              <a:schemeClr val="accent1">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HRP!$B$56:$B$58</c:f>
              <c:strCache>
                <c:ptCount val="3"/>
                <c:pt idx="0">
                  <c:v>Kachin</c:v>
                </c:pt>
                <c:pt idx="1">
                  <c:v>Rakhine</c:v>
                </c:pt>
                <c:pt idx="2">
                  <c:v>Shan (North)</c:v>
                </c:pt>
              </c:strCache>
            </c:strRef>
          </c:cat>
          <c:val>
            <c:numRef>
              <c:f>HRP!$E$56:$E$58</c:f>
              <c:numCache>
                <c:formatCode>_(* #,##0_);_(* \(#,##0\);_(* "-"??_);_(@_)</c:formatCode>
                <c:ptCount val="3"/>
                <c:pt idx="0">
                  <c:v>38993.200000000012</c:v>
                </c:pt>
                <c:pt idx="1">
                  <c:v>224437.66666666669</c:v>
                </c:pt>
                <c:pt idx="2">
                  <c:v>11510</c:v>
                </c:pt>
              </c:numCache>
            </c:numRef>
          </c:val>
          <c:extLst xmlns:c16r2="http://schemas.microsoft.com/office/drawing/2015/06/chart">
            <c:ext xmlns:c16="http://schemas.microsoft.com/office/drawing/2014/chart" uri="{C3380CC4-5D6E-409C-BE32-E72D297353CC}">
              <c16:uniqueId val="{00000002-28F3-4DA5-BE09-C84C74768AEE}"/>
            </c:ext>
          </c:extLst>
        </c:ser>
        <c:dLbls>
          <c:showLegendKey val="0"/>
          <c:showVal val="0"/>
          <c:showCatName val="0"/>
          <c:showSerName val="0"/>
          <c:showPercent val="0"/>
          <c:showBubbleSize val="0"/>
        </c:dLbls>
        <c:gapWidth val="150"/>
        <c:overlap val="100"/>
        <c:axId val="365206056"/>
        <c:axId val="365209976"/>
        <c:extLst xmlns:c16r2="http://schemas.microsoft.com/office/drawing/2015/06/chart">
          <c:ext xmlns:c15="http://schemas.microsoft.com/office/drawing/2012/chart" uri="{02D57815-91ED-43cb-92C2-25804820EDAC}">
            <c15:filteredBarSeries>
              <c15:ser>
                <c:idx val="0"/>
                <c:order val="0"/>
                <c:tx>
                  <c:strRef>
                    <c:extLst xmlns:c16r2="http://schemas.microsoft.com/office/drawing/2015/06/chart">
                      <c:ext uri="{02D57815-91ED-43cb-92C2-25804820EDAC}">
                        <c15:formulaRef>
                          <c15:sqref>HRP!$C$55</c15:sqref>
                        </c15:formulaRef>
                      </c:ext>
                    </c:extLst>
                    <c:strCache>
                      <c:ptCount val="1"/>
                      <c:pt idx="0">
                        <c:v>Number of people with equitable and safe access to sufficient quantity of domestic water(Target)</c:v>
                      </c:pt>
                    </c:strCache>
                  </c:strRef>
                </c:tx>
                <c:spPr>
                  <a:gradFill rotWithShape="1">
                    <a:gsLst>
                      <a:gs pos="0">
                        <a:schemeClr val="accent1">
                          <a:shade val="65000"/>
                          <a:satMod val="103000"/>
                          <a:lumMod val="102000"/>
                          <a:tint val="94000"/>
                        </a:schemeClr>
                      </a:gs>
                      <a:gs pos="50000">
                        <a:schemeClr val="accent1">
                          <a:shade val="65000"/>
                          <a:satMod val="110000"/>
                          <a:lumMod val="100000"/>
                          <a:shade val="100000"/>
                        </a:schemeClr>
                      </a:gs>
                      <a:gs pos="100000">
                        <a:schemeClr val="accent1">
                          <a:shade val="65000"/>
                          <a:lumMod val="99000"/>
                          <a:satMod val="120000"/>
                          <a:shade val="78000"/>
                        </a:schemeClr>
                      </a:gs>
                    </a:gsLst>
                    <a:lin ang="5400000" scaled="0"/>
                  </a:gradFill>
                  <a:ln>
                    <a:noFill/>
                  </a:ln>
                  <a:effectLst/>
                </c:spPr>
                <c:invertIfNegative val="0"/>
                <c:cat>
                  <c:strRef>
                    <c:extLst xmlns:c16r2="http://schemas.microsoft.com/office/drawing/2015/06/chart">
                      <c:ext uri="{02D57815-91ED-43cb-92C2-25804820EDAC}">
                        <c15:formulaRef>
                          <c15:sqref>HRP!$B$56:$B$58</c15:sqref>
                        </c15:formulaRef>
                      </c:ext>
                    </c:extLst>
                    <c:strCache>
                      <c:ptCount val="3"/>
                      <c:pt idx="0">
                        <c:v>Kachin</c:v>
                      </c:pt>
                      <c:pt idx="1">
                        <c:v>Rakhine</c:v>
                      </c:pt>
                      <c:pt idx="2">
                        <c:v>Shan (North)</c:v>
                      </c:pt>
                    </c:strCache>
                  </c:strRef>
                </c:cat>
                <c:val>
                  <c:numRef>
                    <c:extLst xmlns:c16r2="http://schemas.microsoft.com/office/drawing/2015/06/chart">
                      <c:ext uri="{02D57815-91ED-43cb-92C2-25804820EDAC}">
                        <c15:formulaRef>
                          <c15:sqref>HRP!$C$56:$C$58</c15:sqref>
                        </c15:formulaRef>
                      </c:ext>
                    </c:extLst>
                    <c:numCache>
                      <c:formatCode>_(* #,##0_);_(* \(#,##0\);_(* "-"??_);_(@_)</c:formatCode>
                      <c:ptCount val="3"/>
                      <c:pt idx="0">
                        <c:v>116862</c:v>
                      </c:pt>
                      <c:pt idx="1">
                        <c:v>379137</c:v>
                      </c:pt>
                      <c:pt idx="2">
                        <c:v>20479</c:v>
                      </c:pt>
                    </c:numCache>
                  </c:numRef>
                </c:val>
                <c:extLst xmlns:c16r2="http://schemas.microsoft.com/office/drawing/2015/06/chart">
                  <c:ext xmlns:c16="http://schemas.microsoft.com/office/drawing/2014/chart" uri="{C3380CC4-5D6E-409C-BE32-E72D297353CC}">
                    <c16:uniqueId val="{00000000-28F3-4DA5-BE09-C84C74768AEE}"/>
                  </c:ext>
                </c:extLst>
              </c15:ser>
            </c15:filteredBarSeries>
          </c:ext>
        </c:extLst>
      </c:barChart>
      <c:catAx>
        <c:axId val="365206056"/>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365209976"/>
        <c:crosses val="autoZero"/>
        <c:auto val="1"/>
        <c:lblAlgn val="ctr"/>
        <c:lblOffset val="100"/>
        <c:noMultiLvlLbl val="0"/>
      </c:catAx>
      <c:valAx>
        <c:axId val="365209976"/>
        <c:scaling>
          <c:orientation val="minMax"/>
        </c:scaling>
        <c:delete val="0"/>
        <c:axPos val="b"/>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36520605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b="1" i="0" baseline="0">
                <a:effectLst/>
              </a:rPr>
              <a:t>Effective drainage</a:t>
            </a:r>
            <a:endParaRPr lang="en-US" sz="1200">
              <a:effectLst/>
            </a:endParaRPr>
          </a:p>
          <a:p>
            <a:pPr>
              <a:defRPr sz="1200"/>
            </a:pPr>
            <a:r>
              <a:rPr lang="en-US" sz="1200" b="1" i="0" baseline="0">
                <a:effectLst/>
              </a:rPr>
              <a:t> in active camps</a:t>
            </a:r>
            <a:endParaRPr lang="en-US" sz="1200">
              <a:effectLst/>
            </a:endParaRPr>
          </a:p>
          <a:p>
            <a:pPr>
              <a:defRPr sz="1200"/>
            </a:pPr>
            <a:r>
              <a:rPr lang="en-US" sz="1200"/>
              <a:t> Rakhine</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tx>
            <c:strRef>
              <c:f>Analysis!$B$124</c:f>
              <c:strCache>
                <c:ptCount val="1"/>
                <c:pt idx="0">
                  <c:v>Rakhine</c:v>
                </c:pt>
              </c:strCache>
            </c:strRef>
          </c:tx>
          <c:dPt>
            <c:idx val="0"/>
            <c:bubble3D val="0"/>
            <c:spPr>
              <a:solidFill>
                <a:schemeClr val="accent2">
                  <a:shade val="58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1-39C6-43B8-91DE-6A2EF8A63A1B}"/>
              </c:ext>
            </c:extLst>
          </c:dPt>
          <c:dPt>
            <c:idx val="1"/>
            <c:bubble3D val="0"/>
            <c:spPr>
              <a:solidFill>
                <a:schemeClr val="accent2">
                  <a:shade val="86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3-39C6-43B8-91DE-6A2EF8A63A1B}"/>
              </c:ext>
            </c:extLst>
          </c:dPt>
          <c:dPt>
            <c:idx val="2"/>
            <c:bubble3D val="0"/>
            <c:spPr>
              <a:solidFill>
                <a:schemeClr val="accent2">
                  <a:tint val="86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5-39C6-43B8-91DE-6A2EF8A63A1B}"/>
              </c:ext>
            </c:extLst>
          </c:dPt>
          <c:dPt>
            <c:idx val="3"/>
            <c:bubble3D val="0"/>
            <c:spPr>
              <a:solidFill>
                <a:schemeClr val="accent2">
                  <a:tint val="58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7-39C6-43B8-91DE-6A2EF8A63A1B}"/>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c:ext xmlns:c15="http://schemas.microsoft.com/office/drawing/2012/chart" uri="{CE6537A1-D6FC-4f65-9D91-7224C49458BB}"/>
            </c:extLst>
          </c:dLbls>
          <c:cat>
            <c:strRef>
              <c:f>Analysis!$C$122:$F$122</c:f>
              <c:strCache>
                <c:ptCount val="4"/>
                <c:pt idx="0">
                  <c:v>Functional</c:v>
                </c:pt>
                <c:pt idx="1">
                  <c:v>NA</c:v>
                </c:pt>
                <c:pt idx="2">
                  <c:v>Not_Functional</c:v>
                </c:pt>
                <c:pt idx="3">
                  <c:v>Not_inPlace</c:v>
                </c:pt>
              </c:strCache>
            </c:strRef>
          </c:cat>
          <c:val>
            <c:numRef>
              <c:f>Analysis!$C$124:$F$124</c:f>
              <c:numCache>
                <c:formatCode>General</c:formatCode>
                <c:ptCount val="4"/>
                <c:pt idx="0">
                  <c:v>17</c:v>
                </c:pt>
                <c:pt idx="1">
                  <c:v>98</c:v>
                </c:pt>
                <c:pt idx="2">
                  <c:v>38</c:v>
                </c:pt>
                <c:pt idx="3">
                  <c:v>47</c:v>
                </c:pt>
              </c:numCache>
            </c:numRef>
          </c:val>
          <c:extLst xmlns:c16r2="http://schemas.microsoft.com/office/drawing/2015/06/chart">
            <c:ext xmlns:c16="http://schemas.microsoft.com/office/drawing/2014/chart" uri="{C3380CC4-5D6E-409C-BE32-E72D297353CC}">
              <c16:uniqueId val="{00000008-39C6-43B8-91DE-6A2EF8A63A1B}"/>
            </c:ext>
          </c:extLst>
        </c:ser>
        <c:dLbls>
          <c:dLblPos val="bestFit"/>
          <c:showLegendKey val="0"/>
          <c:showVal val="1"/>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b="1" i="0" baseline="0">
                <a:effectLst/>
              </a:rPr>
              <a:t>Effective drainage</a:t>
            </a:r>
            <a:endParaRPr lang="en-US" sz="1200">
              <a:effectLst/>
            </a:endParaRPr>
          </a:p>
          <a:p>
            <a:pPr>
              <a:defRPr sz="1200"/>
            </a:pPr>
            <a:r>
              <a:rPr lang="en-US" sz="1200" b="1" i="0" baseline="0">
                <a:effectLst/>
              </a:rPr>
              <a:t> in active camps</a:t>
            </a:r>
            <a:endParaRPr lang="en-US" sz="1200">
              <a:effectLst/>
            </a:endParaRPr>
          </a:p>
          <a:p>
            <a:pPr>
              <a:defRPr sz="1200"/>
            </a:pPr>
            <a:r>
              <a:rPr lang="en-US" sz="1200"/>
              <a:t>Shan (North)</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tx>
            <c:strRef>
              <c:f>Analysis!$B$125</c:f>
              <c:strCache>
                <c:ptCount val="1"/>
                <c:pt idx="0">
                  <c:v>Shan (North)</c:v>
                </c:pt>
              </c:strCache>
            </c:strRef>
          </c:tx>
          <c:dPt>
            <c:idx val="0"/>
            <c:bubble3D val="0"/>
            <c:spPr>
              <a:solidFill>
                <a:schemeClr val="accent2">
                  <a:shade val="58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1-ED64-4863-9E70-B065B74F7F22}"/>
              </c:ext>
            </c:extLst>
          </c:dPt>
          <c:dPt>
            <c:idx val="1"/>
            <c:bubble3D val="0"/>
            <c:spPr>
              <a:solidFill>
                <a:schemeClr val="accent2">
                  <a:shade val="86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3-ED64-4863-9E70-B065B74F7F22}"/>
              </c:ext>
            </c:extLst>
          </c:dPt>
          <c:dPt>
            <c:idx val="2"/>
            <c:bubble3D val="0"/>
            <c:spPr>
              <a:solidFill>
                <a:schemeClr val="accent2">
                  <a:tint val="86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5-ED64-4863-9E70-B065B74F7F22}"/>
              </c:ext>
            </c:extLst>
          </c:dPt>
          <c:dPt>
            <c:idx val="3"/>
            <c:bubble3D val="0"/>
            <c:spPr>
              <a:solidFill>
                <a:schemeClr val="accent2">
                  <a:tint val="58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7-ED64-4863-9E70-B065B74F7F22}"/>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c:ext xmlns:c15="http://schemas.microsoft.com/office/drawing/2012/chart" uri="{CE6537A1-D6FC-4f65-9D91-7224C49458BB}"/>
            </c:extLst>
          </c:dLbls>
          <c:cat>
            <c:strRef>
              <c:f>Analysis!$C$122:$F$122</c:f>
              <c:strCache>
                <c:ptCount val="4"/>
                <c:pt idx="0">
                  <c:v>Functional</c:v>
                </c:pt>
                <c:pt idx="1">
                  <c:v>NA</c:v>
                </c:pt>
                <c:pt idx="2">
                  <c:v>Not_Functional</c:v>
                </c:pt>
                <c:pt idx="3">
                  <c:v>Not_inPlace</c:v>
                </c:pt>
              </c:strCache>
            </c:strRef>
          </c:cat>
          <c:val>
            <c:numRef>
              <c:f>Analysis!$C$125:$F$125</c:f>
              <c:numCache>
                <c:formatCode>General</c:formatCode>
                <c:ptCount val="4"/>
                <c:pt idx="0">
                  <c:v>20</c:v>
                </c:pt>
                <c:pt idx="1">
                  <c:v>8</c:v>
                </c:pt>
                <c:pt idx="2">
                  <c:v>3</c:v>
                </c:pt>
                <c:pt idx="3">
                  <c:v>9</c:v>
                </c:pt>
              </c:numCache>
            </c:numRef>
          </c:val>
          <c:extLst xmlns:c16r2="http://schemas.microsoft.com/office/drawing/2015/06/chart">
            <c:ext xmlns:c16="http://schemas.microsoft.com/office/drawing/2014/chart" uri="{C3380CC4-5D6E-409C-BE32-E72D297353CC}">
              <c16:uniqueId val="{00000008-ED64-4863-9E70-B065B74F7F22}"/>
            </c:ext>
          </c:extLst>
        </c:ser>
        <c:dLbls>
          <c:dLblPos val="bestFit"/>
          <c:showLegendKey val="0"/>
          <c:showVal val="1"/>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r>
              <a:rPr lang="en-US" sz="1200"/>
              <a:t> Effective solid waste management system in place Kachin</a:t>
            </a:r>
          </a:p>
        </c:rich>
      </c:tx>
      <c:overlay val="0"/>
      <c:spPr>
        <a:noFill/>
        <a:ln>
          <a:noFill/>
        </a:ln>
        <a:effectLst/>
      </c:spPr>
      <c:txPr>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n-US"/>
        </a:p>
      </c:txPr>
    </c:title>
    <c:autoTitleDeleted val="0"/>
    <c:plotArea>
      <c:layout/>
      <c:pieChart>
        <c:varyColors val="1"/>
        <c:ser>
          <c:idx val="0"/>
          <c:order val="0"/>
          <c:tx>
            <c:strRef>
              <c:f>Analysis!$B$137</c:f>
              <c:strCache>
                <c:ptCount val="1"/>
                <c:pt idx="0">
                  <c:v>Kachin</c:v>
                </c:pt>
              </c:strCache>
            </c:strRef>
          </c:tx>
          <c:dPt>
            <c:idx val="0"/>
            <c:bubble3D val="0"/>
            <c:spPr>
              <a:gradFill rotWithShape="1">
                <a:gsLst>
                  <a:gs pos="0">
                    <a:schemeClr val="accent2">
                      <a:shade val="58000"/>
                      <a:satMod val="103000"/>
                      <a:lumMod val="102000"/>
                      <a:tint val="94000"/>
                    </a:schemeClr>
                  </a:gs>
                  <a:gs pos="50000">
                    <a:schemeClr val="accent2">
                      <a:shade val="58000"/>
                      <a:satMod val="110000"/>
                      <a:lumMod val="100000"/>
                      <a:shade val="100000"/>
                    </a:schemeClr>
                  </a:gs>
                  <a:gs pos="100000">
                    <a:schemeClr val="accent2">
                      <a:shade val="58000"/>
                      <a:lumMod val="99000"/>
                      <a:satMod val="120000"/>
                      <a:shade val="78000"/>
                    </a:schemeClr>
                  </a:gs>
                </a:gsLst>
                <a:lin ang="5400000" scaled="0"/>
              </a:gradFill>
              <a:ln>
                <a:noFill/>
              </a:ln>
              <a:effectLst/>
            </c:spPr>
            <c:extLst xmlns:c16r2="http://schemas.microsoft.com/office/drawing/2015/06/chart">
              <c:ext xmlns:c16="http://schemas.microsoft.com/office/drawing/2014/chart" uri="{C3380CC4-5D6E-409C-BE32-E72D297353CC}">
                <c16:uniqueId val="{00000001-DC22-4C4F-B666-8182F921E260}"/>
              </c:ext>
            </c:extLst>
          </c:dPt>
          <c:dPt>
            <c:idx val="1"/>
            <c:bubble3D val="0"/>
            <c:spPr>
              <a:gradFill rotWithShape="1">
                <a:gsLst>
                  <a:gs pos="0">
                    <a:schemeClr val="accent2">
                      <a:shade val="86000"/>
                      <a:satMod val="103000"/>
                      <a:lumMod val="102000"/>
                      <a:tint val="94000"/>
                    </a:schemeClr>
                  </a:gs>
                  <a:gs pos="50000">
                    <a:schemeClr val="accent2">
                      <a:shade val="86000"/>
                      <a:satMod val="110000"/>
                      <a:lumMod val="100000"/>
                      <a:shade val="100000"/>
                    </a:schemeClr>
                  </a:gs>
                  <a:gs pos="100000">
                    <a:schemeClr val="accent2">
                      <a:shade val="86000"/>
                      <a:lumMod val="99000"/>
                      <a:satMod val="120000"/>
                      <a:shade val="78000"/>
                    </a:schemeClr>
                  </a:gs>
                </a:gsLst>
                <a:lin ang="5400000" scaled="0"/>
              </a:gradFill>
              <a:ln>
                <a:noFill/>
              </a:ln>
              <a:effectLst/>
            </c:spPr>
            <c:extLst xmlns:c16r2="http://schemas.microsoft.com/office/drawing/2015/06/chart">
              <c:ext xmlns:c16="http://schemas.microsoft.com/office/drawing/2014/chart" uri="{C3380CC4-5D6E-409C-BE32-E72D297353CC}">
                <c16:uniqueId val="{00000003-DC22-4C4F-B666-8182F921E260}"/>
              </c:ext>
            </c:extLst>
          </c:dPt>
          <c:dPt>
            <c:idx val="2"/>
            <c:bubble3D val="0"/>
            <c:spPr>
              <a:gradFill rotWithShape="1">
                <a:gsLst>
                  <a:gs pos="0">
                    <a:schemeClr val="accent2">
                      <a:tint val="86000"/>
                      <a:satMod val="103000"/>
                      <a:lumMod val="102000"/>
                      <a:tint val="94000"/>
                    </a:schemeClr>
                  </a:gs>
                  <a:gs pos="50000">
                    <a:schemeClr val="accent2">
                      <a:tint val="86000"/>
                      <a:satMod val="110000"/>
                      <a:lumMod val="100000"/>
                      <a:shade val="100000"/>
                    </a:schemeClr>
                  </a:gs>
                  <a:gs pos="100000">
                    <a:schemeClr val="accent2">
                      <a:tint val="86000"/>
                      <a:lumMod val="99000"/>
                      <a:satMod val="120000"/>
                      <a:shade val="78000"/>
                    </a:schemeClr>
                  </a:gs>
                </a:gsLst>
                <a:lin ang="5400000" scaled="0"/>
              </a:gradFill>
              <a:ln>
                <a:noFill/>
              </a:ln>
              <a:effectLst/>
            </c:spPr>
            <c:extLst xmlns:c16r2="http://schemas.microsoft.com/office/drawing/2015/06/chart">
              <c:ext xmlns:c16="http://schemas.microsoft.com/office/drawing/2014/chart" uri="{C3380CC4-5D6E-409C-BE32-E72D297353CC}">
                <c16:uniqueId val="{00000005-DC22-4C4F-B666-8182F921E260}"/>
              </c:ext>
            </c:extLst>
          </c:dPt>
          <c:dPt>
            <c:idx val="3"/>
            <c:bubble3D val="0"/>
            <c:spPr>
              <a:gradFill rotWithShape="1">
                <a:gsLst>
                  <a:gs pos="0">
                    <a:schemeClr val="accent2">
                      <a:tint val="58000"/>
                      <a:satMod val="103000"/>
                      <a:lumMod val="102000"/>
                      <a:tint val="94000"/>
                    </a:schemeClr>
                  </a:gs>
                  <a:gs pos="50000">
                    <a:schemeClr val="accent2">
                      <a:tint val="58000"/>
                      <a:satMod val="110000"/>
                      <a:lumMod val="100000"/>
                      <a:shade val="100000"/>
                    </a:schemeClr>
                  </a:gs>
                  <a:gs pos="100000">
                    <a:schemeClr val="accent2">
                      <a:tint val="58000"/>
                      <a:lumMod val="99000"/>
                      <a:satMod val="120000"/>
                      <a:shade val="78000"/>
                    </a:schemeClr>
                  </a:gs>
                </a:gsLst>
                <a:lin ang="5400000" scaled="0"/>
              </a:gradFill>
              <a:ln>
                <a:noFill/>
              </a:ln>
              <a:effectLst/>
            </c:spPr>
            <c:extLst xmlns:c16r2="http://schemas.microsoft.com/office/drawing/2015/06/chart">
              <c:ext xmlns:c16="http://schemas.microsoft.com/office/drawing/2014/chart" uri="{C3380CC4-5D6E-409C-BE32-E72D297353CC}">
                <c16:uniqueId val="{00000007-DC22-4C4F-B666-8182F921E260}"/>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bestFit"/>
            <c:showLegendKey val="0"/>
            <c:showVal val="1"/>
            <c:showCatName val="0"/>
            <c:showSerName val="0"/>
            <c:showPercent val="0"/>
            <c:showBubbleSize val="0"/>
            <c:showLeaderLines val="1"/>
            <c:leaderLines>
              <c:spPr>
                <a:ln w="9525">
                  <a:solidFill>
                    <a:schemeClr val="tx2">
                      <a:lumMod val="35000"/>
                      <a:lumOff val="65000"/>
                    </a:schemeClr>
                  </a:solidFill>
                </a:ln>
                <a:effectLst/>
              </c:spPr>
            </c:leaderLines>
            <c:extLst xmlns:c16r2="http://schemas.microsoft.com/office/drawing/2015/06/chart">
              <c:ext xmlns:c15="http://schemas.microsoft.com/office/drawing/2012/chart" uri="{CE6537A1-D6FC-4f65-9D91-7224C49458BB}"/>
            </c:extLst>
          </c:dLbls>
          <c:cat>
            <c:strRef>
              <c:f>Analysis!$C$136:$F$136</c:f>
              <c:strCache>
                <c:ptCount val="4"/>
                <c:pt idx="0">
                  <c:v>Functional</c:v>
                </c:pt>
                <c:pt idx="1">
                  <c:v>NA</c:v>
                </c:pt>
                <c:pt idx="2">
                  <c:v>Not_Functional</c:v>
                </c:pt>
                <c:pt idx="3">
                  <c:v>Not_inPlace</c:v>
                </c:pt>
              </c:strCache>
            </c:strRef>
          </c:cat>
          <c:val>
            <c:numRef>
              <c:f>Analysis!$C$137:$F$137</c:f>
              <c:numCache>
                <c:formatCode>General</c:formatCode>
                <c:ptCount val="4"/>
                <c:pt idx="0">
                  <c:v>112</c:v>
                </c:pt>
                <c:pt idx="1">
                  <c:v>15</c:v>
                </c:pt>
                <c:pt idx="2">
                  <c:v>6</c:v>
                </c:pt>
                <c:pt idx="3">
                  <c:v>10</c:v>
                </c:pt>
              </c:numCache>
            </c:numRef>
          </c:val>
          <c:extLst xmlns:c16r2="http://schemas.microsoft.com/office/drawing/2015/06/chart">
            <c:ext xmlns:c16="http://schemas.microsoft.com/office/drawing/2014/chart" uri="{C3380CC4-5D6E-409C-BE32-E72D297353CC}">
              <c16:uniqueId val="{00000000-50B8-4F99-A838-C4F3FAD0BFEF}"/>
            </c:ext>
          </c:extLst>
        </c:ser>
        <c:dLbls>
          <c:dLblPos val="bestFit"/>
          <c:showLegendKey val="0"/>
          <c:showVal val="1"/>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r>
              <a:rPr lang="en-US" sz="1200"/>
              <a:t> Effective solid waste management system in place Rakhine</a:t>
            </a:r>
          </a:p>
        </c:rich>
      </c:tx>
      <c:overlay val="0"/>
      <c:spPr>
        <a:noFill/>
        <a:ln>
          <a:noFill/>
        </a:ln>
        <a:effectLst/>
      </c:spPr>
      <c:txPr>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n-US"/>
        </a:p>
      </c:txPr>
    </c:title>
    <c:autoTitleDeleted val="0"/>
    <c:plotArea>
      <c:layout/>
      <c:pieChart>
        <c:varyColors val="1"/>
        <c:ser>
          <c:idx val="3"/>
          <c:order val="0"/>
          <c:tx>
            <c:strRef>
              <c:f>Analysis!$B$138</c:f>
              <c:strCache>
                <c:ptCount val="1"/>
                <c:pt idx="0">
                  <c:v>Rakhine</c:v>
                </c:pt>
              </c:strCache>
            </c:strRef>
          </c:tx>
          <c:dPt>
            <c:idx val="0"/>
            <c:bubble3D val="0"/>
            <c:spPr>
              <a:gradFill rotWithShape="1">
                <a:gsLst>
                  <a:gs pos="0">
                    <a:schemeClr val="accent2">
                      <a:shade val="53000"/>
                      <a:satMod val="103000"/>
                      <a:lumMod val="102000"/>
                      <a:tint val="94000"/>
                    </a:schemeClr>
                  </a:gs>
                  <a:gs pos="50000">
                    <a:schemeClr val="accent2">
                      <a:shade val="53000"/>
                      <a:satMod val="110000"/>
                      <a:lumMod val="100000"/>
                      <a:shade val="100000"/>
                    </a:schemeClr>
                  </a:gs>
                  <a:gs pos="100000">
                    <a:schemeClr val="accent2">
                      <a:shade val="53000"/>
                      <a:lumMod val="99000"/>
                      <a:satMod val="120000"/>
                      <a:shade val="78000"/>
                    </a:schemeClr>
                  </a:gs>
                </a:gsLst>
                <a:lin ang="5400000" scaled="0"/>
              </a:gradFill>
              <a:ln>
                <a:noFill/>
              </a:ln>
              <a:effectLst/>
            </c:spPr>
            <c:extLst xmlns:c16r2="http://schemas.microsoft.com/office/drawing/2015/06/chart">
              <c:ext xmlns:c16="http://schemas.microsoft.com/office/drawing/2014/chart" uri="{C3380CC4-5D6E-409C-BE32-E72D297353CC}">
                <c16:uniqueId val="{00000046-5874-4861-9CAD-8C2A6D7ECFC1}"/>
              </c:ext>
            </c:extLst>
          </c:dPt>
          <c:dPt>
            <c:idx val="1"/>
            <c:bubble3D val="0"/>
            <c:spPr>
              <a:gradFill rotWithShape="1">
                <a:gsLst>
                  <a:gs pos="0">
                    <a:schemeClr val="accent2">
                      <a:shade val="76000"/>
                      <a:satMod val="103000"/>
                      <a:lumMod val="102000"/>
                      <a:tint val="94000"/>
                    </a:schemeClr>
                  </a:gs>
                  <a:gs pos="50000">
                    <a:schemeClr val="accent2">
                      <a:shade val="76000"/>
                      <a:satMod val="110000"/>
                      <a:lumMod val="100000"/>
                      <a:shade val="100000"/>
                    </a:schemeClr>
                  </a:gs>
                  <a:gs pos="100000">
                    <a:schemeClr val="accent2">
                      <a:shade val="76000"/>
                      <a:lumMod val="99000"/>
                      <a:satMod val="120000"/>
                      <a:shade val="78000"/>
                    </a:schemeClr>
                  </a:gs>
                </a:gsLst>
                <a:lin ang="5400000" scaled="0"/>
              </a:gradFill>
              <a:ln>
                <a:noFill/>
              </a:ln>
              <a:effectLst/>
            </c:spPr>
            <c:extLst xmlns:c16r2="http://schemas.microsoft.com/office/drawing/2015/06/chart">
              <c:ext xmlns:c16="http://schemas.microsoft.com/office/drawing/2014/chart" uri="{C3380CC4-5D6E-409C-BE32-E72D297353CC}">
                <c16:uniqueId val="{00000047-5874-4861-9CAD-8C2A6D7ECFC1}"/>
              </c:ext>
            </c:extLst>
          </c:dPt>
          <c:dPt>
            <c:idx val="2"/>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extLst xmlns:c16r2="http://schemas.microsoft.com/office/drawing/2015/06/chart">
              <c:ext xmlns:c16="http://schemas.microsoft.com/office/drawing/2014/chart" uri="{C3380CC4-5D6E-409C-BE32-E72D297353CC}">
                <c16:uniqueId val="{00000048-5874-4861-9CAD-8C2A6D7ECFC1}"/>
              </c:ext>
            </c:extLst>
          </c:dPt>
          <c:dPt>
            <c:idx val="3"/>
            <c:bubble3D val="0"/>
            <c:spPr>
              <a:gradFill rotWithShape="1">
                <a:gsLst>
                  <a:gs pos="0">
                    <a:schemeClr val="accent2">
                      <a:tint val="77000"/>
                      <a:satMod val="103000"/>
                      <a:lumMod val="102000"/>
                      <a:tint val="94000"/>
                    </a:schemeClr>
                  </a:gs>
                  <a:gs pos="50000">
                    <a:schemeClr val="accent2">
                      <a:tint val="77000"/>
                      <a:satMod val="110000"/>
                      <a:lumMod val="100000"/>
                      <a:shade val="100000"/>
                    </a:schemeClr>
                  </a:gs>
                  <a:gs pos="100000">
                    <a:schemeClr val="accent2">
                      <a:tint val="77000"/>
                      <a:lumMod val="99000"/>
                      <a:satMod val="120000"/>
                      <a:shade val="78000"/>
                    </a:schemeClr>
                  </a:gs>
                </a:gsLst>
                <a:lin ang="5400000" scaled="0"/>
              </a:gradFill>
              <a:ln>
                <a:noFill/>
              </a:ln>
              <a:effectLst/>
            </c:spPr>
            <c:extLst xmlns:c16r2="http://schemas.microsoft.com/office/drawing/2015/06/chart">
              <c:ext xmlns:c16="http://schemas.microsoft.com/office/drawing/2014/chart" uri="{C3380CC4-5D6E-409C-BE32-E72D297353CC}">
                <c16:uniqueId val="{00000049-5874-4861-9CAD-8C2A6D7ECFC1}"/>
              </c:ext>
            </c:extLst>
          </c:dPt>
          <c:dPt>
            <c:idx val="4"/>
            <c:bubble3D val="0"/>
            <c:spPr>
              <a:gradFill rotWithShape="1">
                <a:gsLst>
                  <a:gs pos="0">
                    <a:schemeClr val="accent2">
                      <a:tint val="54000"/>
                      <a:satMod val="103000"/>
                      <a:lumMod val="102000"/>
                      <a:tint val="94000"/>
                    </a:schemeClr>
                  </a:gs>
                  <a:gs pos="50000">
                    <a:schemeClr val="accent2">
                      <a:tint val="54000"/>
                      <a:satMod val="110000"/>
                      <a:lumMod val="100000"/>
                      <a:shade val="100000"/>
                    </a:schemeClr>
                  </a:gs>
                  <a:gs pos="100000">
                    <a:schemeClr val="accent2">
                      <a:tint val="54000"/>
                      <a:lumMod val="99000"/>
                      <a:satMod val="120000"/>
                      <a:shade val="78000"/>
                    </a:schemeClr>
                  </a:gs>
                </a:gsLst>
                <a:lin ang="5400000" scaled="0"/>
              </a:gradFill>
              <a:ln>
                <a:noFill/>
              </a:ln>
              <a:effectLst/>
            </c:spPr>
            <c:extLst xmlns:c16r2="http://schemas.microsoft.com/office/drawing/2015/06/chart">
              <c:ext xmlns:c16="http://schemas.microsoft.com/office/drawing/2014/chart" uri="{C3380CC4-5D6E-409C-BE32-E72D297353CC}">
                <c16:uniqueId val="{0000004A-5874-4861-9CAD-8C2A6D7ECFC1}"/>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bestFit"/>
            <c:showLegendKey val="0"/>
            <c:showVal val="1"/>
            <c:showCatName val="0"/>
            <c:showSerName val="0"/>
            <c:showPercent val="0"/>
            <c:showBubbleSize val="0"/>
            <c:showLeaderLines val="1"/>
            <c:leaderLines>
              <c:spPr>
                <a:ln w="9525">
                  <a:solidFill>
                    <a:schemeClr val="tx2">
                      <a:lumMod val="35000"/>
                      <a:lumOff val="65000"/>
                    </a:schemeClr>
                  </a:solidFill>
                </a:ln>
                <a:effectLst/>
              </c:spPr>
            </c:leaderLines>
            <c:extLst xmlns:c16r2="http://schemas.microsoft.com/office/drawing/2015/06/chart">
              <c:ext xmlns:c15="http://schemas.microsoft.com/office/drawing/2012/chart" uri="{CE6537A1-D6FC-4f65-9D91-7224C49458BB}"/>
            </c:extLst>
          </c:dLbls>
          <c:cat>
            <c:strRef>
              <c:f>Analysis!$C$136:$G$136</c:f>
              <c:strCache>
                <c:ptCount val="4"/>
                <c:pt idx="0">
                  <c:v>Functional</c:v>
                </c:pt>
                <c:pt idx="1">
                  <c:v>NA</c:v>
                </c:pt>
                <c:pt idx="2">
                  <c:v>Not_Functional</c:v>
                </c:pt>
                <c:pt idx="3">
                  <c:v>Not_inPlace</c:v>
                </c:pt>
              </c:strCache>
            </c:strRef>
          </c:cat>
          <c:val>
            <c:numRef>
              <c:f>Analysis!$C$138:$G$138</c:f>
              <c:numCache>
                <c:formatCode>General</c:formatCode>
                <c:ptCount val="5"/>
                <c:pt idx="0">
                  <c:v>25</c:v>
                </c:pt>
                <c:pt idx="1">
                  <c:v>98</c:v>
                </c:pt>
                <c:pt idx="2">
                  <c:v>26</c:v>
                </c:pt>
                <c:pt idx="3">
                  <c:v>51</c:v>
                </c:pt>
              </c:numCache>
            </c:numRef>
          </c:val>
          <c:extLst xmlns:c16r2="http://schemas.microsoft.com/office/drawing/2015/06/chart">
            <c:ext xmlns:c16="http://schemas.microsoft.com/office/drawing/2014/chart" uri="{C3380CC4-5D6E-409C-BE32-E72D297353CC}">
              <c16:uniqueId val="{00000045-5874-4861-9CAD-8C2A6D7ECFC1}"/>
            </c:ext>
          </c:extLst>
        </c:ser>
        <c:dLbls>
          <c:dLblPos val="bestFit"/>
          <c:showLegendKey val="0"/>
          <c:showVal val="1"/>
          <c:showCatName val="0"/>
          <c:showSerName val="0"/>
          <c:showPercent val="0"/>
          <c:showBubbleSize val="0"/>
          <c:showLeaderLines val="1"/>
        </c:dLbls>
        <c:firstSliceAng val="0"/>
        <c:extLst xmlns:c16r2="http://schemas.microsoft.com/office/drawing/2015/06/chart"/>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r>
              <a:rPr lang="en-US" sz="1200"/>
              <a:t> Effective solid waste management system in place Shan (North)</a:t>
            </a:r>
          </a:p>
        </c:rich>
      </c:tx>
      <c:overlay val="0"/>
      <c:spPr>
        <a:noFill/>
        <a:ln>
          <a:noFill/>
        </a:ln>
        <a:effectLst/>
      </c:spPr>
      <c:txPr>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n-US"/>
        </a:p>
      </c:txPr>
    </c:title>
    <c:autoTitleDeleted val="0"/>
    <c:plotArea>
      <c:layout/>
      <c:pieChart>
        <c:varyColors val="1"/>
        <c:ser>
          <c:idx val="0"/>
          <c:order val="0"/>
          <c:tx>
            <c:strRef>
              <c:f>Analysis!$B$139</c:f>
              <c:strCache>
                <c:ptCount val="1"/>
                <c:pt idx="0">
                  <c:v>Shan (North)</c:v>
                </c:pt>
              </c:strCache>
            </c:strRef>
          </c:tx>
          <c:dPt>
            <c:idx val="0"/>
            <c:bubble3D val="0"/>
            <c:spPr>
              <a:gradFill rotWithShape="1">
                <a:gsLst>
                  <a:gs pos="0">
                    <a:schemeClr val="accent2">
                      <a:shade val="53000"/>
                      <a:satMod val="103000"/>
                      <a:lumMod val="102000"/>
                      <a:tint val="94000"/>
                    </a:schemeClr>
                  </a:gs>
                  <a:gs pos="50000">
                    <a:schemeClr val="accent2">
                      <a:shade val="53000"/>
                      <a:satMod val="110000"/>
                      <a:lumMod val="100000"/>
                      <a:shade val="100000"/>
                    </a:schemeClr>
                  </a:gs>
                  <a:gs pos="100000">
                    <a:schemeClr val="accent2">
                      <a:shade val="53000"/>
                      <a:lumMod val="99000"/>
                      <a:satMod val="120000"/>
                      <a:shade val="78000"/>
                    </a:schemeClr>
                  </a:gs>
                </a:gsLst>
                <a:lin ang="5400000" scaled="0"/>
              </a:gradFill>
              <a:ln>
                <a:noFill/>
              </a:ln>
              <a:effectLst/>
            </c:spPr>
            <c:extLst xmlns:c16r2="http://schemas.microsoft.com/office/drawing/2015/06/chart">
              <c:ext xmlns:c16="http://schemas.microsoft.com/office/drawing/2014/chart" uri="{C3380CC4-5D6E-409C-BE32-E72D297353CC}">
                <c16:uniqueId val="{00000001-5C59-490F-B426-9FB57D35929B}"/>
              </c:ext>
            </c:extLst>
          </c:dPt>
          <c:dPt>
            <c:idx val="1"/>
            <c:bubble3D val="0"/>
            <c:spPr>
              <a:gradFill rotWithShape="1">
                <a:gsLst>
                  <a:gs pos="0">
                    <a:schemeClr val="accent2">
                      <a:shade val="76000"/>
                      <a:satMod val="103000"/>
                      <a:lumMod val="102000"/>
                      <a:tint val="94000"/>
                    </a:schemeClr>
                  </a:gs>
                  <a:gs pos="50000">
                    <a:schemeClr val="accent2">
                      <a:shade val="76000"/>
                      <a:satMod val="110000"/>
                      <a:lumMod val="100000"/>
                      <a:shade val="100000"/>
                    </a:schemeClr>
                  </a:gs>
                  <a:gs pos="100000">
                    <a:schemeClr val="accent2">
                      <a:shade val="76000"/>
                      <a:lumMod val="99000"/>
                      <a:satMod val="120000"/>
                      <a:shade val="78000"/>
                    </a:schemeClr>
                  </a:gs>
                </a:gsLst>
                <a:lin ang="5400000" scaled="0"/>
              </a:gradFill>
              <a:ln>
                <a:noFill/>
              </a:ln>
              <a:effectLst/>
            </c:spPr>
            <c:extLst xmlns:c16r2="http://schemas.microsoft.com/office/drawing/2015/06/chart">
              <c:ext xmlns:c16="http://schemas.microsoft.com/office/drawing/2014/chart" uri="{C3380CC4-5D6E-409C-BE32-E72D297353CC}">
                <c16:uniqueId val="{00000003-5C59-490F-B426-9FB57D35929B}"/>
              </c:ext>
            </c:extLst>
          </c:dPt>
          <c:dPt>
            <c:idx val="2"/>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extLst xmlns:c16r2="http://schemas.microsoft.com/office/drawing/2015/06/chart">
              <c:ext xmlns:c16="http://schemas.microsoft.com/office/drawing/2014/chart" uri="{C3380CC4-5D6E-409C-BE32-E72D297353CC}">
                <c16:uniqueId val="{00000005-5C59-490F-B426-9FB57D35929B}"/>
              </c:ext>
            </c:extLst>
          </c:dPt>
          <c:dPt>
            <c:idx val="3"/>
            <c:bubble3D val="0"/>
            <c:spPr>
              <a:gradFill rotWithShape="1">
                <a:gsLst>
                  <a:gs pos="0">
                    <a:schemeClr val="accent2">
                      <a:tint val="77000"/>
                      <a:satMod val="103000"/>
                      <a:lumMod val="102000"/>
                      <a:tint val="94000"/>
                    </a:schemeClr>
                  </a:gs>
                  <a:gs pos="50000">
                    <a:schemeClr val="accent2">
                      <a:tint val="77000"/>
                      <a:satMod val="110000"/>
                      <a:lumMod val="100000"/>
                      <a:shade val="100000"/>
                    </a:schemeClr>
                  </a:gs>
                  <a:gs pos="100000">
                    <a:schemeClr val="accent2">
                      <a:tint val="77000"/>
                      <a:lumMod val="99000"/>
                      <a:satMod val="120000"/>
                      <a:shade val="78000"/>
                    </a:schemeClr>
                  </a:gs>
                </a:gsLst>
                <a:lin ang="5400000" scaled="0"/>
              </a:gradFill>
              <a:ln>
                <a:noFill/>
              </a:ln>
              <a:effectLst/>
            </c:spPr>
            <c:extLst xmlns:c16r2="http://schemas.microsoft.com/office/drawing/2015/06/chart">
              <c:ext xmlns:c16="http://schemas.microsoft.com/office/drawing/2014/chart" uri="{C3380CC4-5D6E-409C-BE32-E72D297353CC}">
                <c16:uniqueId val="{00000007-5C59-490F-B426-9FB57D35929B}"/>
              </c:ext>
            </c:extLst>
          </c:dPt>
          <c:dPt>
            <c:idx val="4"/>
            <c:bubble3D val="0"/>
            <c:spPr>
              <a:gradFill rotWithShape="1">
                <a:gsLst>
                  <a:gs pos="0">
                    <a:schemeClr val="accent2">
                      <a:tint val="54000"/>
                      <a:satMod val="103000"/>
                      <a:lumMod val="102000"/>
                      <a:tint val="94000"/>
                    </a:schemeClr>
                  </a:gs>
                  <a:gs pos="50000">
                    <a:schemeClr val="accent2">
                      <a:tint val="54000"/>
                      <a:satMod val="110000"/>
                      <a:lumMod val="100000"/>
                      <a:shade val="100000"/>
                    </a:schemeClr>
                  </a:gs>
                  <a:gs pos="100000">
                    <a:schemeClr val="accent2">
                      <a:tint val="54000"/>
                      <a:lumMod val="99000"/>
                      <a:satMod val="120000"/>
                      <a:shade val="78000"/>
                    </a:schemeClr>
                  </a:gs>
                </a:gsLst>
                <a:lin ang="5400000" scaled="0"/>
              </a:gradFill>
              <a:ln>
                <a:noFill/>
              </a:ln>
              <a:effectLst/>
            </c:spPr>
            <c:extLst xmlns:c16r2="http://schemas.microsoft.com/office/drawing/2015/06/chart">
              <c:ext xmlns:c16="http://schemas.microsoft.com/office/drawing/2014/chart" uri="{C3380CC4-5D6E-409C-BE32-E72D297353CC}">
                <c16:uniqueId val="{00000009-5C59-490F-B426-9FB57D35929B}"/>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bestFit"/>
            <c:showLegendKey val="0"/>
            <c:showVal val="1"/>
            <c:showCatName val="0"/>
            <c:showSerName val="0"/>
            <c:showPercent val="0"/>
            <c:showBubbleSize val="0"/>
            <c:showLeaderLines val="1"/>
            <c:leaderLines>
              <c:spPr>
                <a:ln w="9525">
                  <a:solidFill>
                    <a:schemeClr val="tx2">
                      <a:lumMod val="35000"/>
                      <a:lumOff val="65000"/>
                    </a:schemeClr>
                  </a:solidFill>
                </a:ln>
                <a:effectLst/>
              </c:spPr>
            </c:leaderLines>
            <c:extLst xmlns:c16r2="http://schemas.microsoft.com/office/drawing/2015/06/chart">
              <c:ext xmlns:c15="http://schemas.microsoft.com/office/drawing/2012/chart" uri="{CE6537A1-D6FC-4f65-9D91-7224C49458BB}"/>
            </c:extLst>
          </c:dLbls>
          <c:cat>
            <c:strRef>
              <c:f>Analysis!$C$136:$G$136</c:f>
              <c:strCache>
                <c:ptCount val="4"/>
                <c:pt idx="0">
                  <c:v>Functional</c:v>
                </c:pt>
                <c:pt idx="1">
                  <c:v>NA</c:v>
                </c:pt>
                <c:pt idx="2">
                  <c:v>Not_Functional</c:v>
                </c:pt>
                <c:pt idx="3">
                  <c:v>Not_inPlace</c:v>
                </c:pt>
              </c:strCache>
            </c:strRef>
          </c:cat>
          <c:val>
            <c:numRef>
              <c:f>Analysis!$C$139:$G$139</c:f>
              <c:numCache>
                <c:formatCode>General</c:formatCode>
                <c:ptCount val="5"/>
                <c:pt idx="0">
                  <c:v>26</c:v>
                </c:pt>
                <c:pt idx="1">
                  <c:v>8</c:v>
                </c:pt>
                <c:pt idx="2">
                  <c:v>2</c:v>
                </c:pt>
                <c:pt idx="3">
                  <c:v>4</c:v>
                </c:pt>
              </c:numCache>
            </c:numRef>
          </c:val>
          <c:extLst xmlns:c16r2="http://schemas.microsoft.com/office/drawing/2015/06/chart">
            <c:ext xmlns:c16="http://schemas.microsoft.com/office/drawing/2014/chart" uri="{C3380CC4-5D6E-409C-BE32-E72D297353CC}">
              <c16:uniqueId val="{0000000A-5C59-490F-B426-9FB57D35929B}"/>
            </c:ext>
          </c:extLst>
        </c:ser>
        <c:dLbls>
          <c:dLblPos val="bestFit"/>
          <c:showLegendKey val="0"/>
          <c:showVal val="1"/>
          <c:showCatName val="0"/>
          <c:showSerName val="0"/>
          <c:showPercent val="0"/>
          <c:showBubbleSize val="0"/>
          <c:showLeaderLines val="1"/>
        </c:dLbls>
        <c:firstSliceAng val="0"/>
        <c:extLst xmlns:c16r2="http://schemas.microsoft.com/office/drawing/2015/06/chart"/>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pivotSource>
    <c:name>[2018_06_05_Myanmar_WASH_4W_2018_Q1_final.xlsx]Analysis!PivotTable2</c:name>
    <c:fmtId val="5"/>
  </c:pivotSource>
  <c:chart>
    <c:title>
      <c:tx>
        <c:rich>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r>
              <a:rPr lang="en-US" sz="1200" b="1" i="0" baseline="0">
                <a:effectLst/>
              </a:rPr>
              <a:t>Water Point Coverage</a:t>
            </a:r>
            <a:endParaRPr lang="en-US" sz="1200">
              <a:effectLst/>
            </a:endParaRPr>
          </a:p>
          <a:p>
            <a:pPr>
              <a:defRPr sz="1200"/>
            </a:pPr>
            <a:r>
              <a:rPr lang="en-US" sz="1200" b="1" i="0" baseline="0">
                <a:effectLst/>
              </a:rPr>
              <a:t>in active camps</a:t>
            </a:r>
            <a:endParaRPr lang="en-US" sz="1200">
              <a:effectLst/>
            </a:endParaRPr>
          </a:p>
        </c:rich>
      </c:tx>
      <c:overlay val="0"/>
      <c:spPr>
        <a:noFill/>
        <a:ln>
          <a:noFill/>
        </a:ln>
        <a:effectLst/>
      </c:spPr>
      <c:txPr>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n-US"/>
        </a:p>
      </c:txPr>
    </c:title>
    <c:autoTitleDeleted val="0"/>
    <c:pivotFmts>
      <c:pivotFmt>
        <c:idx val="0"/>
        <c:spPr>
          <a:solidFill>
            <a:srgbClr val="0070C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
        <c:spPr>
          <a:solidFill>
            <a:schemeClr val="accent1">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s>
    <c:plotArea>
      <c:layout/>
      <c:barChart>
        <c:barDir val="col"/>
        <c:grouping val="stacked"/>
        <c:varyColors val="0"/>
        <c:ser>
          <c:idx val="0"/>
          <c:order val="0"/>
          <c:tx>
            <c:strRef>
              <c:f>Analysis!$C$40</c:f>
              <c:strCache>
                <c:ptCount val="1"/>
                <c:pt idx="0">
                  <c:v>Coverage</c:v>
                </c:pt>
              </c:strCache>
            </c:strRef>
          </c:tx>
          <c:spPr>
            <a:solidFill>
              <a:srgbClr val="0070C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Analysis!$B$41:$B$42</c:f>
              <c:strCache>
                <c:ptCount val="2"/>
                <c:pt idx="0">
                  <c:v># in GCA active camps (500:1)</c:v>
                </c:pt>
                <c:pt idx="1">
                  <c:v># in NGCA active camps (500:1)</c:v>
                </c:pt>
              </c:strCache>
            </c:strRef>
          </c:cat>
          <c:val>
            <c:numRef>
              <c:f>Analysis!$C$41:$C$42</c:f>
              <c:numCache>
                <c:formatCode>0</c:formatCode>
                <c:ptCount val="2"/>
                <c:pt idx="0">
                  <c:v>90.831999999999951</c:v>
                </c:pt>
                <c:pt idx="1">
                  <c:v>66.072000000000003</c:v>
                </c:pt>
              </c:numCache>
            </c:numRef>
          </c:val>
          <c:extLst xmlns:c16r2="http://schemas.microsoft.com/office/drawing/2015/06/chart">
            <c:ext xmlns:c16="http://schemas.microsoft.com/office/drawing/2014/chart" uri="{C3380CC4-5D6E-409C-BE32-E72D297353CC}">
              <c16:uniqueId val="{00000000-862D-4679-A571-B4BBAA56C028}"/>
            </c:ext>
          </c:extLst>
        </c:ser>
        <c:ser>
          <c:idx val="1"/>
          <c:order val="1"/>
          <c:tx>
            <c:strRef>
              <c:f>Analysis!$D$40</c:f>
              <c:strCache>
                <c:ptCount val="1"/>
                <c:pt idx="0">
                  <c:v>Gap</c:v>
                </c:pt>
              </c:strCache>
            </c:strRef>
          </c:tx>
          <c:spPr>
            <a:solidFill>
              <a:schemeClr val="accent1">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Analysis!$B$41:$B$42</c:f>
              <c:strCache>
                <c:ptCount val="2"/>
                <c:pt idx="0">
                  <c:v># in GCA active camps (500:1)</c:v>
                </c:pt>
                <c:pt idx="1">
                  <c:v># in NGCA active camps (500:1)</c:v>
                </c:pt>
              </c:strCache>
            </c:strRef>
          </c:cat>
          <c:val>
            <c:numRef>
              <c:f>Analysis!$D$41:$D$42</c:f>
              <c:numCache>
                <c:formatCode>0</c:formatCode>
                <c:ptCount val="2"/>
                <c:pt idx="0">
                  <c:v>58.073999999999984</c:v>
                </c:pt>
                <c:pt idx="1">
                  <c:v>14.552000000000001</c:v>
                </c:pt>
              </c:numCache>
            </c:numRef>
          </c:val>
          <c:extLst xmlns:c16r2="http://schemas.microsoft.com/office/drawing/2015/06/chart">
            <c:ext xmlns:c16="http://schemas.microsoft.com/office/drawing/2014/chart" uri="{C3380CC4-5D6E-409C-BE32-E72D297353CC}">
              <c16:uniqueId val="{00000001-862D-4679-A571-B4BBAA56C028}"/>
            </c:ext>
          </c:extLst>
        </c:ser>
        <c:dLbls>
          <c:dLblPos val="ctr"/>
          <c:showLegendKey val="0"/>
          <c:showVal val="1"/>
          <c:showCatName val="0"/>
          <c:showSerName val="0"/>
          <c:showPercent val="0"/>
          <c:showBubbleSize val="0"/>
        </c:dLbls>
        <c:gapWidth val="150"/>
        <c:overlap val="100"/>
        <c:axId val="483545192"/>
        <c:axId val="483545976"/>
      </c:barChart>
      <c:catAx>
        <c:axId val="483545192"/>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483545976"/>
        <c:crosses val="autoZero"/>
        <c:auto val="1"/>
        <c:lblAlgn val="ctr"/>
        <c:lblOffset val="100"/>
        <c:noMultiLvlLbl val="0"/>
      </c:catAx>
      <c:valAx>
        <c:axId val="483545976"/>
        <c:scaling>
          <c:orientation val="minMax"/>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48354519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extLst xmlns:c16r2="http://schemas.microsoft.com/office/drawing/2015/06/chart">
    <c:ext xmlns:c16="http://schemas.microsoft.com/office/drawing/2014/chart" uri="{E28EC0CA-F0BB-4C9C-879D-F8772B89E7AC}">
      <c16:pivotOptions16>
        <c16:showExpandCollapseFieldButtons val="1"/>
      </c16:pivotOptions16>
    </c:ext>
    <c:ext xmlns:c14="http://schemas.microsoft.com/office/drawing/2007/8/2/chart" uri="{781A3756-C4B2-4CAC-9D66-4F8BD8637D16}">
      <c14:pivotOptions>
        <c14:dropZoneFilter val="1"/>
        <c14:dropZoneCategories val="1"/>
        <c14:dropZoneData val="1"/>
        <c14:dropZoneSeries val="1"/>
      </c14:pivotOptions>
    </c:ext>
  </c:extLst>
</c:chartSpace>
</file>

<file path=xl/charts/chart2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pivotSource>
    <c:name>[2018_06_05_Myanmar_WASH_4W_2018_Q1_final.xlsx]Analysis!PivotTable3</c:name>
    <c:fmtId val="7"/>
  </c:pivotSource>
  <c:chart>
    <c:title>
      <c:tx>
        <c:rich>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r>
              <a:rPr lang="en-US" sz="1200" b="1" i="0" baseline="0">
                <a:effectLst/>
              </a:rPr>
              <a:t>Water Point Coverage</a:t>
            </a:r>
            <a:endParaRPr lang="en-US" sz="1200">
              <a:effectLst/>
            </a:endParaRPr>
          </a:p>
          <a:p>
            <a:pPr>
              <a:defRPr sz="1200"/>
            </a:pPr>
            <a:r>
              <a:rPr lang="en-US" sz="1200" b="1" i="0" baseline="0">
                <a:effectLst/>
              </a:rPr>
              <a:t>in active camps</a:t>
            </a:r>
            <a:endParaRPr lang="en-US" sz="1200">
              <a:effectLst/>
            </a:endParaRPr>
          </a:p>
        </c:rich>
      </c:tx>
      <c:overlay val="0"/>
      <c:spPr>
        <a:noFill/>
        <a:ln>
          <a:noFill/>
        </a:ln>
        <a:effectLst/>
      </c:spPr>
      <c:txPr>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n-US"/>
        </a:p>
      </c:txPr>
    </c:title>
    <c:autoTitleDeleted val="0"/>
    <c:pivotFmts>
      <c:pivotFmt>
        <c:idx val="0"/>
        <c:spPr>
          <a:solidFill>
            <a:srgbClr val="0070C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
        <c:spPr>
          <a:solidFill>
            <a:schemeClr val="accent1">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s>
    <c:plotArea>
      <c:layout/>
      <c:barChart>
        <c:barDir val="col"/>
        <c:grouping val="stacked"/>
        <c:varyColors val="0"/>
        <c:ser>
          <c:idx val="0"/>
          <c:order val="0"/>
          <c:tx>
            <c:strRef>
              <c:f>Analysis!$H$40</c:f>
              <c:strCache>
                <c:ptCount val="1"/>
                <c:pt idx="0">
                  <c:v>Coverage</c:v>
                </c:pt>
              </c:strCache>
            </c:strRef>
          </c:tx>
          <c:spPr>
            <a:solidFill>
              <a:srgbClr val="0070C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Analysis!$G$41:$G$42</c:f>
              <c:strCache>
                <c:ptCount val="2"/>
                <c:pt idx="0">
                  <c:v># in active camps (500:1)</c:v>
                </c:pt>
                <c:pt idx="1">
                  <c:v># in villages (500:1)</c:v>
                </c:pt>
              </c:strCache>
            </c:strRef>
          </c:cat>
          <c:val>
            <c:numRef>
              <c:f>Analysis!$H$41:$H$42</c:f>
              <c:numCache>
                <c:formatCode>0</c:formatCode>
                <c:ptCount val="2"/>
                <c:pt idx="0">
                  <c:v>237.46799999999999</c:v>
                </c:pt>
                <c:pt idx="1">
                  <c:v>74.329999999999984</c:v>
                </c:pt>
              </c:numCache>
            </c:numRef>
          </c:val>
          <c:extLst xmlns:c16r2="http://schemas.microsoft.com/office/drawing/2015/06/chart">
            <c:ext xmlns:c16="http://schemas.microsoft.com/office/drawing/2014/chart" uri="{C3380CC4-5D6E-409C-BE32-E72D297353CC}">
              <c16:uniqueId val="{00000000-160F-4B72-87E9-D63AE3C2B454}"/>
            </c:ext>
          </c:extLst>
        </c:ser>
        <c:ser>
          <c:idx val="1"/>
          <c:order val="1"/>
          <c:tx>
            <c:strRef>
              <c:f>Analysis!$I$40</c:f>
              <c:strCache>
                <c:ptCount val="1"/>
                <c:pt idx="0">
                  <c:v>Gap</c:v>
                </c:pt>
              </c:strCache>
            </c:strRef>
          </c:tx>
          <c:spPr>
            <a:solidFill>
              <a:schemeClr val="accent1">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Analysis!$G$41:$G$42</c:f>
              <c:strCache>
                <c:ptCount val="2"/>
                <c:pt idx="0">
                  <c:v># in active camps (500:1)</c:v>
                </c:pt>
                <c:pt idx="1">
                  <c:v># in villages (500:1)</c:v>
                </c:pt>
              </c:strCache>
            </c:strRef>
          </c:cat>
          <c:val>
            <c:numRef>
              <c:f>Analysis!$I$41:$I$42</c:f>
              <c:numCache>
                <c:formatCode>0</c:formatCode>
                <c:ptCount val="2"/>
                <c:pt idx="0">
                  <c:v>7.7539999999999987</c:v>
                </c:pt>
                <c:pt idx="1">
                  <c:v>58.012</c:v>
                </c:pt>
              </c:numCache>
            </c:numRef>
          </c:val>
          <c:extLst xmlns:c16r2="http://schemas.microsoft.com/office/drawing/2015/06/chart">
            <c:ext xmlns:c16="http://schemas.microsoft.com/office/drawing/2014/chart" uri="{C3380CC4-5D6E-409C-BE32-E72D297353CC}">
              <c16:uniqueId val="{00000001-160F-4B72-87E9-D63AE3C2B454}"/>
            </c:ext>
          </c:extLst>
        </c:ser>
        <c:dLbls>
          <c:dLblPos val="ctr"/>
          <c:showLegendKey val="0"/>
          <c:showVal val="1"/>
          <c:showCatName val="0"/>
          <c:showSerName val="0"/>
          <c:showPercent val="0"/>
          <c:showBubbleSize val="0"/>
        </c:dLbls>
        <c:gapWidth val="150"/>
        <c:overlap val="100"/>
        <c:axId val="483545584"/>
        <c:axId val="483546368"/>
      </c:barChart>
      <c:catAx>
        <c:axId val="483545584"/>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483546368"/>
        <c:crosses val="autoZero"/>
        <c:auto val="1"/>
        <c:lblAlgn val="ctr"/>
        <c:lblOffset val="100"/>
        <c:noMultiLvlLbl val="0"/>
      </c:catAx>
      <c:valAx>
        <c:axId val="483546368"/>
        <c:scaling>
          <c:orientation val="minMax"/>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483545584"/>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extLst xmlns:c16r2="http://schemas.microsoft.com/office/drawing/2015/06/chart">
    <c:ext xmlns:c16="http://schemas.microsoft.com/office/drawing/2014/chart" uri="{E28EC0CA-F0BB-4C9C-879D-F8772B89E7AC}">
      <c16:pivotOptions16>
        <c16:showExpandCollapseFieldButtons val="1"/>
      </c16:pivotOptions16>
    </c:ext>
    <c:ext xmlns:c14="http://schemas.microsoft.com/office/drawing/2007/8/2/chart" uri="{781A3756-C4B2-4CAC-9D66-4F8BD8637D16}">
      <c14:pivotOptions>
        <c14:dropZoneFilter val="1"/>
        <c14:dropZoneCategories val="1"/>
        <c14:dropZoneData val="1"/>
        <c14:dropZoneSeries val="1"/>
      </c14:pivotOptions>
    </c:ext>
  </c:extLst>
</c:chartSpace>
</file>

<file path=xl/charts/chart2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pivotSource>
    <c:name>[2018_06_05_Myanmar_WASH_4W_2018_Q1_final.xlsx]Analysis!PivotTable6</c:name>
    <c:fmtId val="6"/>
  </c:pivotSource>
  <c:chart>
    <c:title>
      <c:tx>
        <c:rich>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r>
              <a:rPr lang="en-US" sz="1200" b="1" i="0" baseline="0">
                <a:effectLst/>
              </a:rPr>
              <a:t>Water Point Coverage</a:t>
            </a:r>
            <a:endParaRPr lang="en-US" sz="1200">
              <a:effectLst/>
            </a:endParaRPr>
          </a:p>
          <a:p>
            <a:pPr>
              <a:defRPr sz="1200"/>
            </a:pPr>
            <a:r>
              <a:rPr lang="en-US" sz="1200" b="1" i="0" baseline="0">
                <a:effectLst/>
              </a:rPr>
              <a:t>in active camps</a:t>
            </a:r>
            <a:endParaRPr lang="en-US" sz="1200">
              <a:effectLst/>
            </a:endParaRPr>
          </a:p>
        </c:rich>
      </c:tx>
      <c:layout>
        <c:manualLayout>
          <c:xMode val="edge"/>
          <c:yMode val="edge"/>
          <c:x val="0.28129855643044621"/>
          <c:y val="4.1504539559014265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n-US"/>
        </a:p>
      </c:txPr>
    </c:title>
    <c:autoTitleDeleted val="0"/>
    <c:pivotFmts>
      <c:pivotFmt>
        <c:idx val="0"/>
        <c:spPr>
          <a:solidFill>
            <a:srgbClr val="0070C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
        <c:spPr>
          <a:solidFill>
            <a:schemeClr val="accent1">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2"/>
        <c:spPr>
          <a:solidFill>
            <a:schemeClr val="accent1">
              <a:lumMod val="40000"/>
              <a:lumOff val="60000"/>
            </a:schemeClr>
          </a:solidFill>
          <a:ln>
            <a:noFill/>
          </a:ln>
          <a:effectLst/>
        </c:spPr>
        <c:dLbl>
          <c:idx val="0"/>
          <c:layout>
            <c:manualLayout>
              <c:x val="-8.3333333333333332E-3"/>
              <c:y val="-6.2256809338521402E-2"/>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3"/>
        <c:spPr>
          <a:solidFill>
            <a:srgbClr val="0070C0"/>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0"/>
          <c:showCatName val="0"/>
          <c:showSerName val="0"/>
          <c:showPercent val="0"/>
          <c:showBubbleSize val="0"/>
          <c:extLst xmlns:c16r2="http://schemas.microsoft.com/office/drawing/2015/06/chart">
            <c:ext xmlns:c15="http://schemas.microsoft.com/office/drawing/2012/chart" uri="{CE6537A1-D6FC-4f65-9D91-7224C49458BB}"/>
          </c:extLst>
        </c:dLbl>
      </c:pivotFmt>
    </c:pivotFmts>
    <c:plotArea>
      <c:layout/>
      <c:barChart>
        <c:barDir val="col"/>
        <c:grouping val="stacked"/>
        <c:varyColors val="0"/>
        <c:ser>
          <c:idx val="0"/>
          <c:order val="0"/>
          <c:tx>
            <c:strRef>
              <c:f>Analysis!$L$40</c:f>
              <c:strCache>
                <c:ptCount val="1"/>
                <c:pt idx="0">
                  <c:v>Coverage</c:v>
                </c:pt>
              </c:strCache>
            </c:strRef>
          </c:tx>
          <c:spPr>
            <a:solidFill>
              <a:srgbClr val="0070C0"/>
            </a:solidFill>
            <a:ln>
              <a:noFill/>
            </a:ln>
            <a:effectLst/>
          </c:spPr>
          <c:invertIfNegative val="0"/>
          <c:dPt>
            <c:idx val="1"/>
            <c:invertIfNegative val="0"/>
            <c:bubble3D val="0"/>
            <c:spPr>
              <a:solidFill>
                <a:srgbClr val="0070C0"/>
              </a:solidFill>
              <a:ln>
                <a:noFill/>
              </a:ln>
              <a:effectLst/>
            </c:spPr>
            <c:extLst xmlns:c16r2="http://schemas.microsoft.com/office/drawing/2015/06/chart">
              <c:ext xmlns:c16="http://schemas.microsoft.com/office/drawing/2014/chart" uri="{C3380CC4-5D6E-409C-BE32-E72D297353CC}">
                <c16:uniqueId val="{00000001-67FF-4C0F-899E-FB1732AA1BB2}"/>
              </c:ext>
            </c:extLst>
          </c:dPt>
          <c:dLbls>
            <c:dLbl>
              <c:idx val="1"/>
              <c:delete val="1"/>
              <c:extLst xmlns:c16r2="http://schemas.microsoft.com/office/drawing/2015/06/char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Analysis!$K$41:$K$42</c:f>
              <c:strCache>
                <c:ptCount val="2"/>
                <c:pt idx="0">
                  <c:v># in GCA active camps (500:1)</c:v>
                </c:pt>
                <c:pt idx="1">
                  <c:v># in NGCA active camps (500:1)</c:v>
                </c:pt>
              </c:strCache>
            </c:strRef>
          </c:cat>
          <c:val>
            <c:numRef>
              <c:f>Analysis!$L$41:$L$42</c:f>
              <c:numCache>
                <c:formatCode>0</c:formatCode>
                <c:ptCount val="2"/>
                <c:pt idx="0">
                  <c:v>17.937999999999995</c:v>
                </c:pt>
                <c:pt idx="1">
                  <c:v>0</c:v>
                </c:pt>
              </c:numCache>
            </c:numRef>
          </c:val>
          <c:extLst xmlns:c16r2="http://schemas.microsoft.com/office/drawing/2015/06/chart">
            <c:ext xmlns:c16="http://schemas.microsoft.com/office/drawing/2014/chart" uri="{C3380CC4-5D6E-409C-BE32-E72D297353CC}">
              <c16:uniqueId val="{00000000-C0F6-4E3D-8535-1FBCD2B87085}"/>
            </c:ext>
          </c:extLst>
        </c:ser>
        <c:ser>
          <c:idx val="1"/>
          <c:order val="1"/>
          <c:tx>
            <c:strRef>
              <c:f>Analysis!$M$40</c:f>
              <c:strCache>
                <c:ptCount val="1"/>
                <c:pt idx="0">
                  <c:v>Gap</c:v>
                </c:pt>
              </c:strCache>
            </c:strRef>
          </c:tx>
          <c:spPr>
            <a:solidFill>
              <a:schemeClr val="accent1">
                <a:lumMod val="40000"/>
                <a:lumOff val="60000"/>
              </a:schemeClr>
            </a:solidFill>
            <a:ln>
              <a:noFill/>
            </a:ln>
            <a:effectLst/>
          </c:spPr>
          <c:invertIfNegative val="0"/>
          <c:dPt>
            <c:idx val="1"/>
            <c:invertIfNegative val="0"/>
            <c:bubble3D val="0"/>
            <c:spPr>
              <a:solidFill>
                <a:schemeClr val="accent1">
                  <a:lumMod val="40000"/>
                  <a:lumOff val="60000"/>
                </a:schemeClr>
              </a:solidFill>
              <a:ln>
                <a:noFill/>
              </a:ln>
              <a:effectLst/>
            </c:spPr>
            <c:extLst xmlns:c16r2="http://schemas.microsoft.com/office/drawing/2015/06/chart">
              <c:ext xmlns:c16="http://schemas.microsoft.com/office/drawing/2014/chart" uri="{C3380CC4-5D6E-409C-BE32-E72D297353CC}">
                <c16:uniqueId val="{00000003-67FF-4C0F-899E-FB1732AA1BB2}"/>
              </c:ext>
            </c:extLst>
          </c:dPt>
          <c:dLbls>
            <c:dLbl>
              <c:idx val="1"/>
              <c:layout>
                <c:manualLayout>
                  <c:x val="-8.3333333333333332E-3"/>
                  <c:y val="-6.2256809338521402E-2"/>
                </c:manualLayout>
              </c:layout>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Analysis!$K$41:$K$42</c:f>
              <c:strCache>
                <c:ptCount val="2"/>
                <c:pt idx="0">
                  <c:v># in GCA active camps (500:1)</c:v>
                </c:pt>
                <c:pt idx="1">
                  <c:v># in NGCA active camps (500:1)</c:v>
                </c:pt>
              </c:strCache>
            </c:strRef>
          </c:cat>
          <c:val>
            <c:numRef>
              <c:f>Analysis!$M$41:$M$42</c:f>
              <c:numCache>
                <c:formatCode>0</c:formatCode>
                <c:ptCount val="2"/>
                <c:pt idx="0">
                  <c:v>18.802000000000003</c:v>
                </c:pt>
                <c:pt idx="1">
                  <c:v>1</c:v>
                </c:pt>
              </c:numCache>
            </c:numRef>
          </c:val>
          <c:extLst xmlns:c16r2="http://schemas.microsoft.com/office/drawing/2015/06/chart">
            <c:ext xmlns:c16="http://schemas.microsoft.com/office/drawing/2014/chart" uri="{C3380CC4-5D6E-409C-BE32-E72D297353CC}">
              <c16:uniqueId val="{00000001-C0F6-4E3D-8535-1FBCD2B87085}"/>
            </c:ext>
          </c:extLst>
        </c:ser>
        <c:dLbls>
          <c:dLblPos val="ctr"/>
          <c:showLegendKey val="0"/>
          <c:showVal val="1"/>
          <c:showCatName val="0"/>
          <c:showSerName val="0"/>
          <c:showPercent val="0"/>
          <c:showBubbleSize val="0"/>
        </c:dLbls>
        <c:gapWidth val="150"/>
        <c:overlap val="100"/>
        <c:axId val="483549896"/>
        <c:axId val="483547152"/>
      </c:barChart>
      <c:catAx>
        <c:axId val="483549896"/>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483547152"/>
        <c:crosses val="autoZero"/>
        <c:auto val="1"/>
        <c:lblAlgn val="ctr"/>
        <c:lblOffset val="100"/>
        <c:noMultiLvlLbl val="0"/>
      </c:catAx>
      <c:valAx>
        <c:axId val="483547152"/>
        <c:scaling>
          <c:orientation val="minMax"/>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48354989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extLst xmlns:c16r2="http://schemas.microsoft.com/office/drawing/2015/06/chart">
    <c:ext xmlns:c16="http://schemas.microsoft.com/office/drawing/2014/chart" uri="{E28EC0CA-F0BB-4C9C-879D-F8772B89E7AC}">
      <c16:pivotOptions16>
        <c16:showExpandCollapseFieldButtons val="1"/>
      </c16:pivotOptions16>
    </c:ext>
    <c:ext xmlns:c14="http://schemas.microsoft.com/office/drawing/2007/8/2/chart" uri="{781A3756-C4B2-4CAC-9D66-4F8BD8637D16}">
      <c14:pivotOptions>
        <c14:dropZoneFilter val="1"/>
        <c14:dropZoneCategories val="1"/>
        <c14:dropZoneData val="1"/>
        <c14:dropZoneSeries val="1"/>
      </c14:pivotOptions>
    </c:ext>
  </c:extLst>
</c:chartSpace>
</file>

<file path=xl/charts/chart2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r>
              <a:rPr lang="en-US" sz="1200" b="1" i="0" baseline="0">
                <a:effectLst/>
              </a:rPr>
              <a:t>Hygiene Coverage </a:t>
            </a:r>
            <a:endParaRPr lang="en-US" sz="1200">
              <a:effectLst/>
            </a:endParaRPr>
          </a:p>
          <a:p>
            <a:pPr>
              <a:defRPr sz="1200"/>
            </a:pPr>
            <a:r>
              <a:rPr lang="en-US" sz="1200" b="1" i="0" baseline="0">
                <a:effectLst/>
              </a:rPr>
              <a:t>in active camps</a:t>
            </a:r>
          </a:p>
          <a:p>
            <a:pPr>
              <a:defRPr sz="1200"/>
            </a:pPr>
            <a:r>
              <a:rPr lang="en-US" sz="1200" b="1" i="0" baseline="0">
                <a:effectLst/>
              </a:rPr>
              <a:t>Kachin</a:t>
            </a:r>
            <a:endParaRPr lang="en-US" sz="1200">
              <a:effectLst/>
            </a:endParaRPr>
          </a:p>
        </c:rich>
      </c:tx>
      <c:overlay val="0"/>
      <c:spPr>
        <a:noFill/>
        <a:ln>
          <a:noFill/>
        </a:ln>
        <a:effectLst/>
      </c:spPr>
      <c:txPr>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n-US"/>
        </a:p>
      </c:txPr>
    </c:title>
    <c:autoTitleDeleted val="0"/>
    <c:plotArea>
      <c:layout/>
      <c:barChart>
        <c:barDir val="col"/>
        <c:grouping val="stacked"/>
        <c:varyColors val="0"/>
        <c:ser>
          <c:idx val="0"/>
          <c:order val="0"/>
          <c:tx>
            <c:strRef>
              <c:f>Analysis!$J$156</c:f>
              <c:strCache>
                <c:ptCount val="1"/>
                <c:pt idx="0">
                  <c:v>Covered</c:v>
                </c:pt>
              </c:strCache>
            </c:strRef>
          </c:tx>
          <c:spPr>
            <a:solidFill>
              <a:schemeClr val="accent6">
                <a:lumMod val="75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Analysis!$I$157:$I$160</c:f>
              <c:strCache>
                <c:ptCount val="4"/>
                <c:pt idx="0">
                  <c:v>#HH reached by regular dedicated hygiene promotion</c:v>
                </c:pt>
                <c:pt idx="1">
                  <c:v>#HH with access to Hand Washing Station</c:v>
                </c:pt>
                <c:pt idx="2">
                  <c:v># HH received soaps</c:v>
                </c:pt>
                <c:pt idx="3">
                  <c:v># HH received Sanitary Pads</c:v>
                </c:pt>
              </c:strCache>
            </c:strRef>
          </c:cat>
          <c:val>
            <c:numRef>
              <c:f>Analysis!$J$157:$J$160</c:f>
              <c:numCache>
                <c:formatCode>0</c:formatCode>
                <c:ptCount val="4"/>
                <c:pt idx="0">
                  <c:v>11093.2</c:v>
                </c:pt>
                <c:pt idx="1">
                  <c:v>11287.399999999998</c:v>
                </c:pt>
                <c:pt idx="2">
                  <c:v>3868</c:v>
                </c:pt>
                <c:pt idx="3">
                  <c:v>995</c:v>
                </c:pt>
              </c:numCache>
            </c:numRef>
          </c:val>
          <c:extLst xmlns:c16r2="http://schemas.microsoft.com/office/drawing/2015/06/chart">
            <c:ext xmlns:c16="http://schemas.microsoft.com/office/drawing/2014/chart" uri="{C3380CC4-5D6E-409C-BE32-E72D297353CC}">
              <c16:uniqueId val="{00000000-8A12-41BD-89DE-DD9C030FDA43}"/>
            </c:ext>
          </c:extLst>
        </c:ser>
        <c:ser>
          <c:idx val="1"/>
          <c:order val="1"/>
          <c:tx>
            <c:strRef>
              <c:f>Analysis!$K$156</c:f>
              <c:strCache>
                <c:ptCount val="1"/>
                <c:pt idx="0">
                  <c:v>Gap</c:v>
                </c:pt>
              </c:strCache>
            </c:strRef>
          </c:tx>
          <c:spPr>
            <a:solidFill>
              <a:schemeClr val="accent6">
                <a:lumMod val="40000"/>
                <a:lumOff val="60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Analysis!$I$157:$I$160</c:f>
              <c:strCache>
                <c:ptCount val="4"/>
                <c:pt idx="0">
                  <c:v>#HH reached by regular dedicated hygiene promotion</c:v>
                </c:pt>
                <c:pt idx="1">
                  <c:v>#HH with access to Hand Washing Station</c:v>
                </c:pt>
                <c:pt idx="2">
                  <c:v># HH received soaps</c:v>
                </c:pt>
                <c:pt idx="3">
                  <c:v># HH received Sanitary Pads</c:v>
                </c:pt>
              </c:strCache>
            </c:strRef>
          </c:cat>
          <c:val>
            <c:numRef>
              <c:f>Analysis!$K$157:$K$160</c:f>
              <c:numCache>
                <c:formatCode>0</c:formatCode>
                <c:ptCount val="4"/>
                <c:pt idx="0">
                  <c:v>6362.7999999999993</c:v>
                </c:pt>
                <c:pt idx="1">
                  <c:v>6168.6000000000022</c:v>
                </c:pt>
                <c:pt idx="2">
                  <c:v>13588</c:v>
                </c:pt>
                <c:pt idx="3">
                  <c:v>16461</c:v>
                </c:pt>
              </c:numCache>
            </c:numRef>
          </c:val>
          <c:extLst xmlns:c16r2="http://schemas.microsoft.com/office/drawing/2015/06/chart">
            <c:ext xmlns:c16="http://schemas.microsoft.com/office/drawing/2014/chart" uri="{C3380CC4-5D6E-409C-BE32-E72D297353CC}">
              <c16:uniqueId val="{00000001-8A12-41BD-89DE-DD9C030FDA43}"/>
            </c:ext>
          </c:extLst>
        </c:ser>
        <c:dLbls>
          <c:dLblPos val="ctr"/>
          <c:showLegendKey val="0"/>
          <c:showVal val="1"/>
          <c:showCatName val="0"/>
          <c:showSerName val="0"/>
          <c:showPercent val="0"/>
          <c:showBubbleSize val="0"/>
        </c:dLbls>
        <c:gapWidth val="150"/>
        <c:overlap val="100"/>
        <c:axId val="483547544"/>
        <c:axId val="483547936"/>
      </c:barChart>
      <c:catAx>
        <c:axId val="483547544"/>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483547936"/>
        <c:crosses val="autoZero"/>
        <c:auto val="1"/>
        <c:lblAlgn val="ctr"/>
        <c:lblOffset val="100"/>
        <c:noMultiLvlLbl val="0"/>
      </c:catAx>
      <c:valAx>
        <c:axId val="483547936"/>
        <c:scaling>
          <c:orientation val="minMax"/>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48354754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00" b="1" i="0" u="none" strike="noStrike" kern="1200" baseline="0">
                <a:solidFill>
                  <a:schemeClr val="tx2"/>
                </a:solidFill>
                <a:latin typeface="+mn-lt"/>
                <a:ea typeface="+mn-ea"/>
                <a:cs typeface="+mn-cs"/>
              </a:defRPr>
            </a:pPr>
            <a:r>
              <a:rPr lang="en-US" sz="900"/>
              <a:t>% of Sites</a:t>
            </a:r>
            <a:r>
              <a:rPr lang="en-US" sz="900" baseline="0"/>
              <a:t> which made w</a:t>
            </a:r>
            <a:r>
              <a:rPr lang="en-US" sz="900"/>
              <a:t>ater quality test</a:t>
            </a:r>
            <a:r>
              <a:rPr lang="en-US" sz="900" baseline="0"/>
              <a:t> </a:t>
            </a:r>
          </a:p>
          <a:p>
            <a:pPr>
              <a:defRPr sz="900"/>
            </a:pPr>
            <a:r>
              <a:rPr lang="en-US" sz="900" baseline="0"/>
              <a:t>in Kachin</a:t>
            </a:r>
            <a:endParaRPr lang="en-US" sz="900"/>
          </a:p>
        </c:rich>
      </c:tx>
      <c:overlay val="0"/>
      <c:spPr>
        <a:noFill/>
        <a:ln>
          <a:noFill/>
        </a:ln>
        <a:effectLst/>
      </c:spPr>
      <c:txPr>
        <a:bodyPr rot="0" spcFirstLastPara="1" vertOverflow="ellipsis" vert="horz" wrap="square" anchor="ctr" anchorCtr="1"/>
        <a:lstStyle/>
        <a:p>
          <a:pPr>
            <a:defRPr sz="900" b="1" i="0" u="none" strike="noStrike" kern="1200" baseline="0">
              <a:solidFill>
                <a:schemeClr val="tx2"/>
              </a:solidFill>
              <a:latin typeface="+mn-lt"/>
              <a:ea typeface="+mn-ea"/>
              <a:cs typeface="+mn-cs"/>
            </a:defRPr>
          </a:pPr>
          <a:endParaRPr lang="en-US"/>
        </a:p>
      </c:txPr>
    </c:title>
    <c:autoTitleDeleted val="0"/>
    <c:plotArea>
      <c:layout/>
      <c:pieChart>
        <c:varyColors val="1"/>
        <c:ser>
          <c:idx val="0"/>
          <c:order val="0"/>
          <c:tx>
            <c:strRef>
              <c:f>Analysis!$B$71</c:f>
              <c:strCache>
                <c:ptCount val="1"/>
                <c:pt idx="0">
                  <c:v>Kachin</c:v>
                </c:pt>
              </c:strCache>
            </c:strRef>
          </c:tx>
          <c:dPt>
            <c:idx val="0"/>
            <c:bubble3D val="0"/>
            <c:spPr>
              <a:solidFill>
                <a:schemeClr val="accent1">
                  <a:lumMod val="40000"/>
                  <a:lumOff val="60000"/>
                </a:schemeClr>
              </a:solidFill>
              <a:ln>
                <a:noFill/>
              </a:ln>
              <a:effectLst/>
            </c:spPr>
            <c:extLst xmlns:c16r2="http://schemas.microsoft.com/office/drawing/2015/06/chart">
              <c:ext xmlns:c16="http://schemas.microsoft.com/office/drawing/2014/chart" uri="{C3380CC4-5D6E-409C-BE32-E72D297353CC}">
                <c16:uniqueId val="{00000001-E449-4A60-AF8D-062AC400A4E0}"/>
              </c:ext>
            </c:extLst>
          </c:dPt>
          <c:dPt>
            <c:idx val="1"/>
            <c:bubble3D val="0"/>
            <c:spPr>
              <a:solidFill>
                <a:srgbClr val="0070C0"/>
              </a:solidFill>
              <a:ln>
                <a:noFill/>
              </a:ln>
              <a:effectLst/>
            </c:spPr>
            <c:extLst xmlns:c16r2="http://schemas.microsoft.com/office/drawing/2015/06/chart">
              <c:ext xmlns:c16="http://schemas.microsoft.com/office/drawing/2014/chart" uri="{C3380CC4-5D6E-409C-BE32-E72D297353CC}">
                <c16:uniqueId val="{00000003-E449-4A60-AF8D-062AC400A4E0}"/>
              </c:ext>
            </c:extLst>
          </c:dPt>
          <c:dLbls>
            <c:dLbl>
              <c:idx val="1"/>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dLbl>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xmlns:c16r2="http://schemas.microsoft.com/office/drawing/2015/06/chart">
              <c:ext xmlns:c15="http://schemas.microsoft.com/office/drawing/2012/chart" uri="{CE6537A1-D6FC-4f65-9D91-7224C49458BB}"/>
            </c:extLst>
          </c:dLbls>
          <c:cat>
            <c:strRef>
              <c:f>Analysis!$C$70:$D$70</c:f>
              <c:strCache>
                <c:ptCount val="2"/>
                <c:pt idx="0">
                  <c:v>No Test</c:v>
                </c:pt>
                <c:pt idx="1">
                  <c:v>Tested</c:v>
                </c:pt>
              </c:strCache>
            </c:strRef>
          </c:cat>
          <c:val>
            <c:numRef>
              <c:f>Analysis!$C$71:$D$71</c:f>
              <c:numCache>
                <c:formatCode>General</c:formatCode>
                <c:ptCount val="2"/>
                <c:pt idx="0">
                  <c:v>114</c:v>
                </c:pt>
                <c:pt idx="1">
                  <c:v>15</c:v>
                </c:pt>
              </c:numCache>
            </c:numRef>
          </c:val>
          <c:extLst xmlns:c16r2="http://schemas.microsoft.com/office/drawing/2015/06/chart">
            <c:ext xmlns:c16="http://schemas.microsoft.com/office/drawing/2014/chart" uri="{C3380CC4-5D6E-409C-BE32-E72D297353CC}">
              <c16:uniqueId val="{00000004-E449-4A60-AF8D-062AC400A4E0}"/>
            </c:ext>
          </c:extLst>
        </c:ser>
        <c:dLbls>
          <c:showLegendKey val="0"/>
          <c:showVal val="0"/>
          <c:showCatName val="0"/>
          <c:showSerName val="0"/>
          <c:showPercent val="0"/>
          <c:showBubbleSize val="0"/>
          <c:showLeaderLines val="1"/>
        </c:dLbls>
        <c:firstSliceAng val="0"/>
        <c:extLst xmlns:c16r2="http://schemas.microsoft.com/office/drawing/2015/06/chart">
          <c:ext xmlns:c15="http://schemas.microsoft.com/office/drawing/2012/chart" uri="{02D57815-91ED-43cb-92C2-25804820EDAC}">
            <c15:filteredPieSeries>
              <c15:ser>
                <c:idx val="1"/>
                <c:order val="1"/>
                <c:tx>
                  <c:strRef>
                    <c:extLst xmlns:c16r2="http://schemas.microsoft.com/office/drawing/2015/06/chart">
                      <c:ext uri="{02D57815-91ED-43cb-92C2-25804820EDAC}">
                        <c15:formulaRef>
                          <c15:sqref>Analysis!$B$72</c15:sqref>
                        </c15:formulaRef>
                      </c:ext>
                    </c:extLst>
                    <c:strCache>
                      <c:ptCount val="1"/>
                      <c:pt idx="0">
                        <c:v>Rakhine</c:v>
                      </c:pt>
                    </c:strCache>
                  </c:strRef>
                </c:tx>
                <c:dPt>
                  <c:idx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extLst xmlns:c16r2="http://schemas.microsoft.com/office/drawing/2015/06/chart">
                    <c:ext xmlns:c16="http://schemas.microsoft.com/office/drawing/2014/chart" uri="{C3380CC4-5D6E-409C-BE32-E72D297353CC}">
                      <c16:uniqueId val="{00000006-E449-4A60-AF8D-062AC400A4E0}"/>
                    </c:ext>
                  </c:extLst>
                </c:dPt>
                <c:dPt>
                  <c:idx val="1"/>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extLst xmlns:c16r2="http://schemas.microsoft.com/office/drawing/2015/06/chart">
                    <c:ext xmlns:c16="http://schemas.microsoft.com/office/drawing/2014/chart" uri="{C3380CC4-5D6E-409C-BE32-E72D297353CC}">
                      <c16:uniqueId val="{00000008-E449-4A60-AF8D-062AC400A4E0}"/>
                    </c:ext>
                  </c:extLst>
                </c:dPt>
                <c:cat>
                  <c:strRef>
                    <c:extLst xmlns:c16r2="http://schemas.microsoft.com/office/drawing/2015/06/chart">
                      <c:ext uri="{02D57815-91ED-43cb-92C2-25804820EDAC}">
                        <c15:formulaRef>
                          <c15:sqref>Analysis!$C$70:$D$70</c15:sqref>
                        </c15:formulaRef>
                      </c:ext>
                    </c:extLst>
                    <c:strCache>
                      <c:ptCount val="2"/>
                      <c:pt idx="0">
                        <c:v>No Test</c:v>
                      </c:pt>
                      <c:pt idx="1">
                        <c:v>Tested</c:v>
                      </c:pt>
                    </c:strCache>
                  </c:strRef>
                </c:cat>
                <c:val>
                  <c:numRef>
                    <c:extLst xmlns:c16r2="http://schemas.microsoft.com/office/drawing/2015/06/chart">
                      <c:ext uri="{02D57815-91ED-43cb-92C2-25804820EDAC}">
                        <c15:formulaRef>
                          <c15:sqref>Analysis!$C$72:$D$72</c15:sqref>
                        </c15:formulaRef>
                      </c:ext>
                    </c:extLst>
                    <c:numCache>
                      <c:formatCode>General</c:formatCode>
                      <c:ptCount val="2"/>
                      <c:pt idx="0">
                        <c:v>15</c:v>
                      </c:pt>
                      <c:pt idx="1">
                        <c:v>9</c:v>
                      </c:pt>
                    </c:numCache>
                  </c:numRef>
                </c:val>
                <c:extLst xmlns:c16r2="http://schemas.microsoft.com/office/drawing/2015/06/chart">
                  <c:ext xmlns:c16="http://schemas.microsoft.com/office/drawing/2014/chart" uri="{C3380CC4-5D6E-409C-BE32-E72D297353CC}">
                    <c16:uniqueId val="{00000009-E449-4A60-AF8D-062AC400A4E0}"/>
                  </c:ext>
                </c:extLst>
              </c15:ser>
            </c15:filteredPieSeries>
            <c15:filteredPieSeries>
              <c15:ser>
                <c:idx val="2"/>
                <c:order val="2"/>
                <c:tx>
                  <c:strRef>
                    <c:extLst xmlns:c15="http://schemas.microsoft.com/office/drawing/2012/chart" xmlns:c16r2="http://schemas.microsoft.com/office/drawing/2015/06/chart">
                      <c:ext xmlns:c15="http://schemas.microsoft.com/office/drawing/2012/chart" uri="{02D57815-91ED-43cb-92C2-25804820EDAC}">
                        <c15:formulaRef>
                          <c15:sqref>Analysis!$B$73</c15:sqref>
                        </c15:formulaRef>
                      </c:ext>
                    </c:extLst>
                    <c:strCache>
                      <c:ptCount val="1"/>
                      <c:pt idx="0">
                        <c:v>Shan (North)</c:v>
                      </c:pt>
                    </c:strCache>
                  </c:strRef>
                </c:tx>
                <c:dPt>
                  <c:idx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extLst xmlns:c15="http://schemas.microsoft.com/office/drawing/2012/chart" xmlns:c16r2="http://schemas.microsoft.com/office/drawing/2015/06/chart">
                    <c:ext xmlns:c16="http://schemas.microsoft.com/office/drawing/2014/chart" uri="{C3380CC4-5D6E-409C-BE32-E72D297353CC}">
                      <c16:uniqueId val="{0000000B-E449-4A60-AF8D-062AC400A4E0}"/>
                    </c:ext>
                  </c:extLst>
                </c:dPt>
                <c:dPt>
                  <c:idx val="1"/>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extLst xmlns:c15="http://schemas.microsoft.com/office/drawing/2012/chart" xmlns:c16r2="http://schemas.microsoft.com/office/drawing/2015/06/chart">
                    <c:ext xmlns:c16="http://schemas.microsoft.com/office/drawing/2014/chart" uri="{C3380CC4-5D6E-409C-BE32-E72D297353CC}">
                      <c16:uniqueId val="{0000000D-E449-4A60-AF8D-062AC400A4E0}"/>
                    </c:ext>
                  </c:extLst>
                </c:dPt>
                <c:cat>
                  <c:strRef>
                    <c:extLst xmlns:c15="http://schemas.microsoft.com/office/drawing/2012/chart" xmlns:c16r2="http://schemas.microsoft.com/office/drawing/2015/06/chart">
                      <c:ext xmlns:c15="http://schemas.microsoft.com/office/drawing/2012/chart" uri="{02D57815-91ED-43cb-92C2-25804820EDAC}">
                        <c15:formulaRef>
                          <c15:sqref>Analysis!$C$70:$D$70</c15:sqref>
                        </c15:formulaRef>
                      </c:ext>
                    </c:extLst>
                    <c:strCache>
                      <c:ptCount val="2"/>
                      <c:pt idx="0">
                        <c:v>No Test</c:v>
                      </c:pt>
                      <c:pt idx="1">
                        <c:v>Tested</c:v>
                      </c:pt>
                    </c:strCache>
                  </c:strRef>
                </c:cat>
                <c:val>
                  <c:numRef>
                    <c:extLst xmlns:c15="http://schemas.microsoft.com/office/drawing/2012/chart" xmlns:c16r2="http://schemas.microsoft.com/office/drawing/2015/06/chart">
                      <c:ext xmlns:c15="http://schemas.microsoft.com/office/drawing/2012/chart" uri="{02D57815-91ED-43cb-92C2-25804820EDAC}">
                        <c15:formulaRef>
                          <c15:sqref>Analysis!$C$73:$D$73</c15:sqref>
                        </c15:formulaRef>
                      </c:ext>
                    </c:extLst>
                    <c:numCache>
                      <c:formatCode>General</c:formatCode>
                      <c:ptCount val="2"/>
                      <c:pt idx="0">
                        <c:v>29</c:v>
                      </c:pt>
                      <c:pt idx="1">
                        <c:v>6</c:v>
                      </c:pt>
                    </c:numCache>
                  </c:numRef>
                </c:val>
                <c:extLst xmlns:c15="http://schemas.microsoft.com/office/drawing/2012/chart" xmlns:c16r2="http://schemas.microsoft.com/office/drawing/2015/06/chart">
                  <c:ext xmlns:c16="http://schemas.microsoft.com/office/drawing/2014/chart" uri="{C3380CC4-5D6E-409C-BE32-E72D297353CC}">
                    <c16:uniqueId val="{0000000E-E449-4A60-AF8D-062AC400A4E0}"/>
                  </c:ext>
                </c:extLst>
              </c15:ser>
            </c15:filteredPieSeries>
          </c:ext>
        </c:extLst>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r>
              <a:rPr lang="en-US" sz="1200"/>
              <a:t>Number of people with access to functional sanitation facilities</a:t>
            </a:r>
          </a:p>
        </c:rich>
      </c:tx>
      <c:overlay val="0"/>
      <c:spPr>
        <a:noFill/>
        <a:ln>
          <a:noFill/>
        </a:ln>
        <a:effectLst/>
      </c:spPr>
      <c:txPr>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0.16299611433187358"/>
          <c:y val="0.19293936967452446"/>
          <c:w val="0.7620820099429455"/>
          <c:h val="0.58049472233895127"/>
        </c:manualLayout>
      </c:layout>
      <c:barChart>
        <c:barDir val="bar"/>
        <c:grouping val="percentStacked"/>
        <c:varyColors val="0"/>
        <c:ser>
          <c:idx val="1"/>
          <c:order val="1"/>
          <c:tx>
            <c:strRef>
              <c:f>HRP!$D$60</c:f>
              <c:strCache>
                <c:ptCount val="1"/>
                <c:pt idx="0">
                  <c:v>Number of people with access to functional sanitation facilities(Reached)</c:v>
                </c:pt>
              </c:strCache>
            </c:strRef>
          </c:tx>
          <c:spPr>
            <a:solidFill>
              <a:schemeClr val="accent2">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HRP!$B$61:$B$63</c:f>
              <c:strCache>
                <c:ptCount val="3"/>
                <c:pt idx="0">
                  <c:v>Kachin</c:v>
                </c:pt>
                <c:pt idx="1">
                  <c:v>Rakhine</c:v>
                </c:pt>
                <c:pt idx="2">
                  <c:v>Shan (North)</c:v>
                </c:pt>
              </c:strCache>
            </c:strRef>
          </c:cat>
          <c:val>
            <c:numRef>
              <c:f>HRP!$D$61:$D$63</c:f>
              <c:numCache>
                <c:formatCode>_(* #,##0_);_(* \(#,##0\);_(* "-"??_);_(@_)</c:formatCode>
                <c:ptCount val="3"/>
                <c:pt idx="0">
                  <c:v>71263</c:v>
                </c:pt>
                <c:pt idx="1">
                  <c:v>106739</c:v>
                </c:pt>
                <c:pt idx="2">
                  <c:v>8206</c:v>
                </c:pt>
              </c:numCache>
            </c:numRef>
          </c:val>
          <c:extLst xmlns:c16r2="http://schemas.microsoft.com/office/drawing/2015/06/chart">
            <c:ext xmlns:c16="http://schemas.microsoft.com/office/drawing/2014/chart" uri="{C3380CC4-5D6E-409C-BE32-E72D297353CC}">
              <c16:uniqueId val="{00000001-BE9A-4C55-91C4-9996C6CCA354}"/>
            </c:ext>
          </c:extLst>
        </c:ser>
        <c:ser>
          <c:idx val="2"/>
          <c:order val="2"/>
          <c:tx>
            <c:strRef>
              <c:f>HRP!$E$60</c:f>
              <c:strCache>
                <c:ptCount val="1"/>
                <c:pt idx="0">
                  <c:v>Number of people with access to functional sanitation facilities(Gap)</c:v>
                </c:pt>
              </c:strCache>
            </c:strRef>
          </c:tx>
          <c:spPr>
            <a:solidFill>
              <a:schemeClr val="accent2">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HRP!$B$61:$B$63</c:f>
              <c:strCache>
                <c:ptCount val="3"/>
                <c:pt idx="0">
                  <c:v>Kachin</c:v>
                </c:pt>
                <c:pt idx="1">
                  <c:v>Rakhine</c:v>
                </c:pt>
                <c:pt idx="2">
                  <c:v>Shan (North)</c:v>
                </c:pt>
              </c:strCache>
            </c:strRef>
          </c:cat>
          <c:val>
            <c:numRef>
              <c:f>HRP!$E$61:$E$63</c:f>
              <c:numCache>
                <c:formatCode>_(* #,##0_);_(* \(#,##0\);_(* "-"??_);_(@_)</c:formatCode>
                <c:ptCount val="3"/>
                <c:pt idx="0">
                  <c:v>45599</c:v>
                </c:pt>
                <c:pt idx="1">
                  <c:v>272398</c:v>
                </c:pt>
                <c:pt idx="2">
                  <c:v>12273</c:v>
                </c:pt>
              </c:numCache>
            </c:numRef>
          </c:val>
          <c:extLst xmlns:c16r2="http://schemas.microsoft.com/office/drawing/2015/06/chart">
            <c:ext xmlns:c16="http://schemas.microsoft.com/office/drawing/2014/chart" uri="{C3380CC4-5D6E-409C-BE32-E72D297353CC}">
              <c16:uniqueId val="{00000002-BE9A-4C55-91C4-9996C6CCA354}"/>
            </c:ext>
          </c:extLst>
        </c:ser>
        <c:dLbls>
          <c:showLegendKey val="0"/>
          <c:showVal val="0"/>
          <c:showCatName val="0"/>
          <c:showSerName val="0"/>
          <c:showPercent val="0"/>
          <c:showBubbleSize val="0"/>
        </c:dLbls>
        <c:gapWidth val="150"/>
        <c:overlap val="100"/>
        <c:axId val="365206448"/>
        <c:axId val="365211936"/>
        <c:extLst xmlns:c16r2="http://schemas.microsoft.com/office/drawing/2015/06/chart">
          <c:ext xmlns:c15="http://schemas.microsoft.com/office/drawing/2012/chart" uri="{02D57815-91ED-43cb-92C2-25804820EDAC}">
            <c15:filteredBarSeries>
              <c15:ser>
                <c:idx val="0"/>
                <c:order val="0"/>
                <c:tx>
                  <c:strRef>
                    <c:extLst xmlns:c16r2="http://schemas.microsoft.com/office/drawing/2015/06/chart">
                      <c:ext uri="{02D57815-91ED-43cb-92C2-25804820EDAC}">
                        <c15:formulaRef>
                          <c15:sqref>HRP!$C$60</c15:sqref>
                        </c15:formulaRef>
                      </c:ext>
                    </c:extLst>
                    <c:strCache>
                      <c:ptCount val="1"/>
                      <c:pt idx="0">
                        <c:v>Number of people with access to functional sanitation facilities(Target)</c:v>
                      </c:pt>
                    </c:strCache>
                  </c:strRef>
                </c:tx>
                <c:spPr>
                  <a:gradFill rotWithShape="1">
                    <a:gsLst>
                      <a:gs pos="0">
                        <a:schemeClr val="accent2">
                          <a:shade val="65000"/>
                          <a:satMod val="103000"/>
                          <a:lumMod val="102000"/>
                          <a:tint val="94000"/>
                        </a:schemeClr>
                      </a:gs>
                      <a:gs pos="50000">
                        <a:schemeClr val="accent2">
                          <a:shade val="65000"/>
                          <a:satMod val="110000"/>
                          <a:lumMod val="100000"/>
                          <a:shade val="100000"/>
                        </a:schemeClr>
                      </a:gs>
                      <a:gs pos="100000">
                        <a:schemeClr val="accent2">
                          <a:shade val="65000"/>
                          <a:lumMod val="99000"/>
                          <a:satMod val="120000"/>
                          <a:shade val="78000"/>
                        </a:schemeClr>
                      </a:gs>
                    </a:gsLst>
                    <a:lin ang="5400000" scaled="0"/>
                  </a:gradFill>
                  <a:ln>
                    <a:noFill/>
                  </a:ln>
                  <a:effectLst/>
                </c:spPr>
                <c:invertIfNegative val="0"/>
                <c:cat>
                  <c:strRef>
                    <c:extLst xmlns:c16r2="http://schemas.microsoft.com/office/drawing/2015/06/chart">
                      <c:ext uri="{02D57815-91ED-43cb-92C2-25804820EDAC}">
                        <c15:formulaRef>
                          <c15:sqref>HRP!$B$61:$B$63</c15:sqref>
                        </c15:formulaRef>
                      </c:ext>
                    </c:extLst>
                    <c:strCache>
                      <c:ptCount val="3"/>
                      <c:pt idx="0">
                        <c:v>Kachin</c:v>
                      </c:pt>
                      <c:pt idx="1">
                        <c:v>Rakhine</c:v>
                      </c:pt>
                      <c:pt idx="2">
                        <c:v>Shan (North)</c:v>
                      </c:pt>
                    </c:strCache>
                  </c:strRef>
                </c:cat>
                <c:val>
                  <c:numRef>
                    <c:extLst xmlns:c16r2="http://schemas.microsoft.com/office/drawing/2015/06/chart">
                      <c:ext uri="{02D57815-91ED-43cb-92C2-25804820EDAC}">
                        <c15:formulaRef>
                          <c15:sqref>HRP!$C$61:$C$63</c15:sqref>
                        </c15:formulaRef>
                      </c:ext>
                    </c:extLst>
                    <c:numCache>
                      <c:formatCode>_(* #,##0_);_(* \(#,##0\);_(* "-"??_);_(@_)</c:formatCode>
                      <c:ptCount val="3"/>
                      <c:pt idx="0">
                        <c:v>116862</c:v>
                      </c:pt>
                      <c:pt idx="1">
                        <c:v>379137</c:v>
                      </c:pt>
                      <c:pt idx="2">
                        <c:v>20479</c:v>
                      </c:pt>
                    </c:numCache>
                  </c:numRef>
                </c:val>
                <c:extLst xmlns:c16r2="http://schemas.microsoft.com/office/drawing/2015/06/chart">
                  <c:ext xmlns:c16="http://schemas.microsoft.com/office/drawing/2014/chart" uri="{C3380CC4-5D6E-409C-BE32-E72D297353CC}">
                    <c16:uniqueId val="{00000000-BE9A-4C55-91C4-9996C6CCA354}"/>
                  </c:ext>
                </c:extLst>
              </c15:ser>
            </c15:filteredBarSeries>
          </c:ext>
        </c:extLst>
      </c:barChart>
      <c:catAx>
        <c:axId val="365206448"/>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365211936"/>
        <c:crosses val="autoZero"/>
        <c:auto val="1"/>
        <c:lblAlgn val="ctr"/>
        <c:lblOffset val="100"/>
        <c:noMultiLvlLbl val="0"/>
      </c:catAx>
      <c:valAx>
        <c:axId val="365211936"/>
        <c:scaling>
          <c:orientation val="minMax"/>
        </c:scaling>
        <c:delete val="0"/>
        <c:axPos val="b"/>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3652064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00" b="1" i="0" u="none" strike="noStrike" kern="1200" baseline="0">
                <a:solidFill>
                  <a:schemeClr val="tx2"/>
                </a:solidFill>
                <a:latin typeface="+mn-lt"/>
                <a:ea typeface="+mn-ea"/>
                <a:cs typeface="+mn-cs"/>
              </a:defRPr>
            </a:pPr>
            <a:r>
              <a:rPr lang="en-US" sz="900"/>
              <a:t>% of Sites</a:t>
            </a:r>
            <a:r>
              <a:rPr lang="en-US" sz="900" baseline="0"/>
              <a:t> which made w</a:t>
            </a:r>
            <a:r>
              <a:rPr lang="en-US" sz="900"/>
              <a:t>ater quality test</a:t>
            </a:r>
            <a:r>
              <a:rPr lang="en-US" sz="900" baseline="0"/>
              <a:t> </a:t>
            </a:r>
          </a:p>
          <a:p>
            <a:pPr>
              <a:defRPr sz="900"/>
            </a:pPr>
            <a:r>
              <a:rPr lang="en-US" sz="900" baseline="0"/>
              <a:t>in Rakhine</a:t>
            </a:r>
            <a:endParaRPr lang="en-US" sz="900"/>
          </a:p>
        </c:rich>
      </c:tx>
      <c:overlay val="0"/>
      <c:spPr>
        <a:noFill/>
        <a:ln>
          <a:noFill/>
        </a:ln>
        <a:effectLst/>
      </c:spPr>
      <c:txPr>
        <a:bodyPr rot="0" spcFirstLastPara="1" vertOverflow="ellipsis" vert="horz" wrap="square" anchor="ctr" anchorCtr="1"/>
        <a:lstStyle/>
        <a:p>
          <a:pPr>
            <a:defRPr sz="900" b="1" i="0" u="none" strike="noStrike" kern="1200" baseline="0">
              <a:solidFill>
                <a:schemeClr val="tx2"/>
              </a:solidFill>
              <a:latin typeface="+mn-lt"/>
              <a:ea typeface="+mn-ea"/>
              <a:cs typeface="+mn-cs"/>
            </a:defRPr>
          </a:pPr>
          <a:endParaRPr lang="en-US"/>
        </a:p>
      </c:txPr>
    </c:title>
    <c:autoTitleDeleted val="0"/>
    <c:plotArea>
      <c:layout/>
      <c:pieChart>
        <c:varyColors val="1"/>
        <c:ser>
          <c:idx val="1"/>
          <c:order val="1"/>
          <c:tx>
            <c:strRef>
              <c:f>Analysis!$B$72</c:f>
              <c:strCache>
                <c:ptCount val="1"/>
                <c:pt idx="0">
                  <c:v>Rakhine</c:v>
                </c:pt>
              </c:strCache>
              <c:extLst xmlns:c15="http://schemas.microsoft.com/office/drawing/2012/chart" xmlns:c16r2="http://schemas.microsoft.com/office/drawing/2015/06/chart"/>
            </c:strRef>
          </c:tx>
          <c:dPt>
            <c:idx val="0"/>
            <c:bubble3D val="0"/>
            <c:spPr>
              <a:solidFill>
                <a:schemeClr val="accent1">
                  <a:lumMod val="40000"/>
                  <a:lumOff val="60000"/>
                </a:schemeClr>
              </a:solidFill>
              <a:ln>
                <a:noFill/>
              </a:ln>
              <a:effectLst/>
            </c:spPr>
            <c:extLst xmlns:c16r2="http://schemas.microsoft.com/office/drawing/2015/06/chart">
              <c:ext xmlns:c16="http://schemas.microsoft.com/office/drawing/2014/chart" uri="{C3380CC4-5D6E-409C-BE32-E72D297353CC}">
                <c16:uniqueId val="{00000001-FD78-4584-8A9F-AE81D870BE41}"/>
              </c:ext>
            </c:extLst>
          </c:dPt>
          <c:dPt>
            <c:idx val="1"/>
            <c:bubble3D val="0"/>
            <c:spPr>
              <a:solidFill>
                <a:srgbClr val="0070C0"/>
              </a:solidFill>
              <a:ln>
                <a:noFill/>
              </a:ln>
              <a:effectLst/>
            </c:spPr>
            <c:extLst xmlns:c16r2="http://schemas.microsoft.com/office/drawing/2015/06/chart">
              <c:ext xmlns:c16="http://schemas.microsoft.com/office/drawing/2014/chart" uri="{C3380CC4-5D6E-409C-BE32-E72D297353CC}">
                <c16:uniqueId val="{00000003-FD78-4584-8A9F-AE81D870BE41}"/>
              </c:ext>
            </c:extLst>
          </c:dPt>
          <c:dLbls>
            <c:dLbl>
              <c:idx val="1"/>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dLbl>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xmlns:c16r2="http://schemas.microsoft.com/office/drawing/2015/06/chart">
              <c:ext xmlns:c15="http://schemas.microsoft.com/office/drawing/2012/chart" uri="{CE6537A1-D6FC-4f65-9D91-7224C49458BB}"/>
            </c:extLst>
          </c:dLbls>
          <c:cat>
            <c:strRef>
              <c:f>Analysis!$C$70:$D$70</c:f>
              <c:strCache>
                <c:ptCount val="2"/>
                <c:pt idx="0">
                  <c:v>No Test</c:v>
                </c:pt>
                <c:pt idx="1">
                  <c:v>Tested</c:v>
                </c:pt>
              </c:strCache>
              <c:extLst xmlns:c15="http://schemas.microsoft.com/office/drawing/2012/chart" xmlns:c16r2="http://schemas.microsoft.com/office/drawing/2015/06/chart"/>
            </c:strRef>
          </c:cat>
          <c:val>
            <c:numRef>
              <c:f>Analysis!$C$72:$D$72</c:f>
              <c:numCache>
                <c:formatCode>General</c:formatCode>
                <c:ptCount val="2"/>
                <c:pt idx="0">
                  <c:v>15</c:v>
                </c:pt>
                <c:pt idx="1">
                  <c:v>9</c:v>
                </c:pt>
              </c:numCache>
              <c:extLst xmlns:c15="http://schemas.microsoft.com/office/drawing/2012/chart" xmlns:c16r2="http://schemas.microsoft.com/office/drawing/2015/06/chart"/>
            </c:numRef>
          </c:val>
          <c:extLst xmlns:c16r2="http://schemas.microsoft.com/office/drawing/2015/06/chart">
            <c:ext xmlns:c16="http://schemas.microsoft.com/office/drawing/2014/chart" uri="{C3380CC4-5D6E-409C-BE32-E72D297353CC}">
              <c16:uniqueId val="{00000004-FD78-4584-8A9F-AE81D870BE41}"/>
            </c:ext>
          </c:extLst>
        </c:ser>
        <c:dLbls>
          <c:showLegendKey val="0"/>
          <c:showVal val="0"/>
          <c:showCatName val="0"/>
          <c:showSerName val="0"/>
          <c:showPercent val="0"/>
          <c:showBubbleSize val="0"/>
          <c:showLeaderLines val="1"/>
        </c:dLbls>
        <c:firstSliceAng val="0"/>
        <c:extLst xmlns:c16r2="http://schemas.microsoft.com/office/drawing/2015/06/chart">
          <c:ext xmlns:c15="http://schemas.microsoft.com/office/drawing/2012/chart" uri="{02D57815-91ED-43cb-92C2-25804820EDAC}">
            <c15:filteredPieSeries>
              <c15:ser>
                <c:idx val="0"/>
                <c:order val="0"/>
                <c:tx>
                  <c:strRef>
                    <c:extLst xmlns:c16r2="http://schemas.microsoft.com/office/drawing/2015/06/chart">
                      <c:ext uri="{02D57815-91ED-43cb-92C2-25804820EDAC}">
                        <c15:formulaRef>
                          <c15:sqref>Analysis!$B$71</c15:sqref>
                        </c15:formulaRef>
                      </c:ext>
                    </c:extLst>
                    <c:strCache>
                      <c:ptCount val="1"/>
                      <c:pt idx="0">
                        <c:v>Kachin</c:v>
                      </c:pt>
                    </c:strCache>
                  </c:strRef>
                </c:tx>
                <c:dPt>
                  <c:idx val="0"/>
                  <c:bubble3D val="0"/>
                  <c:spPr>
                    <a:solidFill>
                      <a:schemeClr val="accent1">
                        <a:lumMod val="40000"/>
                        <a:lumOff val="60000"/>
                      </a:schemeClr>
                    </a:solidFill>
                    <a:ln>
                      <a:noFill/>
                    </a:ln>
                    <a:effectLst/>
                  </c:spPr>
                  <c:extLst xmlns:c16r2="http://schemas.microsoft.com/office/drawing/2015/06/chart">
                    <c:ext xmlns:c16="http://schemas.microsoft.com/office/drawing/2014/chart" uri="{C3380CC4-5D6E-409C-BE32-E72D297353CC}">
                      <c16:uniqueId val="{00000006-FD78-4584-8A9F-AE81D870BE41}"/>
                    </c:ext>
                  </c:extLst>
                </c:dPt>
                <c:dPt>
                  <c:idx val="1"/>
                  <c:bubble3D val="0"/>
                  <c:spPr>
                    <a:solidFill>
                      <a:srgbClr val="0070C0"/>
                    </a:solidFill>
                    <a:ln>
                      <a:noFill/>
                    </a:ln>
                    <a:effectLst/>
                  </c:spPr>
                  <c:extLst xmlns:c16r2="http://schemas.microsoft.com/office/drawing/2015/06/chart">
                    <c:ext xmlns:c16="http://schemas.microsoft.com/office/drawing/2014/chart" uri="{C3380CC4-5D6E-409C-BE32-E72D297353CC}">
                      <c16:uniqueId val="{00000008-FD78-4584-8A9F-AE81D870BE41}"/>
                    </c:ext>
                  </c:extLst>
                </c:dPt>
                <c:dLbls>
                  <c:dLbl>
                    <c:idx val="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dLbl>
                  <c:dLbl>
                    <c:idx val="1"/>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xmlns:c16r2="http://schemas.microsoft.com/office/drawing/2015/06/chart">
                    <c:ext uri="{CE6537A1-D6FC-4f65-9D91-7224C49458BB}"/>
                  </c:extLst>
                </c:dLbls>
                <c:cat>
                  <c:strRef>
                    <c:extLst xmlns:c16r2="http://schemas.microsoft.com/office/drawing/2015/06/chart">
                      <c:ext uri="{02D57815-91ED-43cb-92C2-25804820EDAC}">
                        <c15:formulaRef>
                          <c15:sqref>Analysis!$C$70:$D$70</c15:sqref>
                        </c15:formulaRef>
                      </c:ext>
                    </c:extLst>
                    <c:strCache>
                      <c:ptCount val="2"/>
                      <c:pt idx="0">
                        <c:v>No Test</c:v>
                      </c:pt>
                      <c:pt idx="1">
                        <c:v>Tested</c:v>
                      </c:pt>
                    </c:strCache>
                  </c:strRef>
                </c:cat>
                <c:val>
                  <c:numRef>
                    <c:extLst xmlns:c16r2="http://schemas.microsoft.com/office/drawing/2015/06/chart">
                      <c:ext uri="{02D57815-91ED-43cb-92C2-25804820EDAC}">
                        <c15:formulaRef>
                          <c15:sqref>Analysis!$C$71:$D$71</c15:sqref>
                        </c15:formulaRef>
                      </c:ext>
                    </c:extLst>
                    <c:numCache>
                      <c:formatCode>General</c:formatCode>
                      <c:ptCount val="2"/>
                      <c:pt idx="0">
                        <c:v>114</c:v>
                      </c:pt>
                      <c:pt idx="1">
                        <c:v>15</c:v>
                      </c:pt>
                    </c:numCache>
                  </c:numRef>
                </c:val>
                <c:extLst xmlns:c16r2="http://schemas.microsoft.com/office/drawing/2015/06/chart">
                  <c:ext xmlns:c16="http://schemas.microsoft.com/office/drawing/2014/chart" uri="{C3380CC4-5D6E-409C-BE32-E72D297353CC}">
                    <c16:uniqueId val="{00000009-FD78-4584-8A9F-AE81D870BE41}"/>
                  </c:ext>
                </c:extLst>
              </c15:ser>
            </c15:filteredPieSeries>
            <c15:filteredPieSeries>
              <c15:ser>
                <c:idx val="2"/>
                <c:order val="2"/>
                <c:tx>
                  <c:strRef>
                    <c:extLst xmlns:c15="http://schemas.microsoft.com/office/drawing/2012/chart" xmlns:c16r2="http://schemas.microsoft.com/office/drawing/2015/06/chart">
                      <c:ext xmlns:c15="http://schemas.microsoft.com/office/drawing/2012/chart" uri="{02D57815-91ED-43cb-92C2-25804820EDAC}">
                        <c15:formulaRef>
                          <c15:sqref>Analysis!$B$73</c15:sqref>
                        </c15:formulaRef>
                      </c:ext>
                    </c:extLst>
                    <c:strCache>
                      <c:ptCount val="1"/>
                      <c:pt idx="0">
                        <c:v>Shan (North)</c:v>
                      </c:pt>
                    </c:strCache>
                  </c:strRef>
                </c:tx>
                <c:dPt>
                  <c:idx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extLst xmlns:c15="http://schemas.microsoft.com/office/drawing/2012/chart" xmlns:c16r2="http://schemas.microsoft.com/office/drawing/2015/06/chart">
                    <c:ext xmlns:c16="http://schemas.microsoft.com/office/drawing/2014/chart" uri="{C3380CC4-5D6E-409C-BE32-E72D297353CC}">
                      <c16:uniqueId val="{0000000B-FD78-4584-8A9F-AE81D870BE41}"/>
                    </c:ext>
                  </c:extLst>
                </c:dPt>
                <c:dPt>
                  <c:idx val="1"/>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extLst xmlns:c15="http://schemas.microsoft.com/office/drawing/2012/chart" xmlns:c16r2="http://schemas.microsoft.com/office/drawing/2015/06/chart">
                    <c:ext xmlns:c16="http://schemas.microsoft.com/office/drawing/2014/chart" uri="{C3380CC4-5D6E-409C-BE32-E72D297353CC}">
                      <c16:uniqueId val="{0000000D-FD78-4584-8A9F-AE81D870BE41}"/>
                    </c:ext>
                  </c:extLst>
                </c:dPt>
                <c:cat>
                  <c:strRef>
                    <c:extLst xmlns:c15="http://schemas.microsoft.com/office/drawing/2012/chart" xmlns:c16r2="http://schemas.microsoft.com/office/drawing/2015/06/chart">
                      <c:ext xmlns:c15="http://schemas.microsoft.com/office/drawing/2012/chart" uri="{02D57815-91ED-43cb-92C2-25804820EDAC}">
                        <c15:formulaRef>
                          <c15:sqref>Analysis!$C$70:$D$70</c15:sqref>
                        </c15:formulaRef>
                      </c:ext>
                    </c:extLst>
                    <c:strCache>
                      <c:ptCount val="2"/>
                      <c:pt idx="0">
                        <c:v>No Test</c:v>
                      </c:pt>
                      <c:pt idx="1">
                        <c:v>Tested</c:v>
                      </c:pt>
                    </c:strCache>
                  </c:strRef>
                </c:cat>
                <c:val>
                  <c:numRef>
                    <c:extLst xmlns:c15="http://schemas.microsoft.com/office/drawing/2012/chart" xmlns:c16r2="http://schemas.microsoft.com/office/drawing/2015/06/chart">
                      <c:ext xmlns:c15="http://schemas.microsoft.com/office/drawing/2012/chart" uri="{02D57815-91ED-43cb-92C2-25804820EDAC}">
                        <c15:formulaRef>
                          <c15:sqref>Analysis!$C$73:$D$73</c15:sqref>
                        </c15:formulaRef>
                      </c:ext>
                    </c:extLst>
                    <c:numCache>
                      <c:formatCode>General</c:formatCode>
                      <c:ptCount val="2"/>
                      <c:pt idx="0">
                        <c:v>29</c:v>
                      </c:pt>
                      <c:pt idx="1">
                        <c:v>6</c:v>
                      </c:pt>
                    </c:numCache>
                  </c:numRef>
                </c:val>
                <c:extLst xmlns:c15="http://schemas.microsoft.com/office/drawing/2012/chart" xmlns:c16r2="http://schemas.microsoft.com/office/drawing/2015/06/chart">
                  <c:ext xmlns:c16="http://schemas.microsoft.com/office/drawing/2014/chart" uri="{C3380CC4-5D6E-409C-BE32-E72D297353CC}">
                    <c16:uniqueId val="{0000000E-FD78-4584-8A9F-AE81D870BE41}"/>
                  </c:ext>
                </c:extLst>
              </c15:ser>
            </c15:filteredPieSeries>
          </c:ext>
        </c:extLst>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00" b="1" i="0" u="none" strike="noStrike" kern="1200" baseline="0">
                <a:solidFill>
                  <a:schemeClr val="tx2"/>
                </a:solidFill>
                <a:latin typeface="+mn-lt"/>
                <a:ea typeface="+mn-ea"/>
                <a:cs typeface="+mn-cs"/>
              </a:defRPr>
            </a:pPr>
            <a:r>
              <a:rPr lang="en-US" sz="900"/>
              <a:t>% of Sites</a:t>
            </a:r>
            <a:r>
              <a:rPr lang="en-US" sz="900" baseline="0"/>
              <a:t> which made w</a:t>
            </a:r>
            <a:r>
              <a:rPr lang="en-US" sz="900"/>
              <a:t>ater quality test</a:t>
            </a:r>
            <a:r>
              <a:rPr lang="en-US" sz="900" baseline="0"/>
              <a:t> </a:t>
            </a:r>
          </a:p>
          <a:p>
            <a:pPr>
              <a:defRPr sz="900"/>
            </a:pPr>
            <a:r>
              <a:rPr lang="en-US" sz="900" baseline="0"/>
              <a:t>in Shan (North)</a:t>
            </a:r>
            <a:endParaRPr lang="en-US" sz="900"/>
          </a:p>
        </c:rich>
      </c:tx>
      <c:overlay val="0"/>
      <c:spPr>
        <a:noFill/>
        <a:ln>
          <a:noFill/>
        </a:ln>
        <a:effectLst/>
      </c:spPr>
      <c:txPr>
        <a:bodyPr rot="0" spcFirstLastPara="1" vertOverflow="ellipsis" vert="horz" wrap="square" anchor="ctr" anchorCtr="1"/>
        <a:lstStyle/>
        <a:p>
          <a:pPr>
            <a:defRPr sz="900" b="1" i="0" u="none" strike="noStrike" kern="1200" baseline="0">
              <a:solidFill>
                <a:schemeClr val="tx2"/>
              </a:solidFill>
              <a:latin typeface="+mn-lt"/>
              <a:ea typeface="+mn-ea"/>
              <a:cs typeface="+mn-cs"/>
            </a:defRPr>
          </a:pPr>
          <a:endParaRPr lang="en-US"/>
        </a:p>
      </c:txPr>
    </c:title>
    <c:autoTitleDeleted val="0"/>
    <c:plotArea>
      <c:layout/>
      <c:pieChart>
        <c:varyColors val="1"/>
        <c:ser>
          <c:idx val="2"/>
          <c:order val="2"/>
          <c:tx>
            <c:strRef>
              <c:f>Analysis!$B$73</c:f>
              <c:strCache>
                <c:ptCount val="1"/>
                <c:pt idx="0">
                  <c:v>Shan (North)</c:v>
                </c:pt>
              </c:strCache>
              <c:extLst xmlns:c15="http://schemas.microsoft.com/office/drawing/2012/chart" xmlns:c16r2="http://schemas.microsoft.com/office/drawing/2015/06/chart"/>
            </c:strRef>
          </c:tx>
          <c:dPt>
            <c:idx val="0"/>
            <c:bubble3D val="0"/>
            <c:spPr>
              <a:solidFill>
                <a:schemeClr val="accent1">
                  <a:lumMod val="40000"/>
                  <a:lumOff val="60000"/>
                </a:schemeClr>
              </a:solidFill>
              <a:ln>
                <a:noFill/>
              </a:ln>
              <a:effectLst/>
            </c:spPr>
            <c:extLst xmlns:c16r2="http://schemas.microsoft.com/office/drawing/2015/06/chart">
              <c:ext xmlns:c16="http://schemas.microsoft.com/office/drawing/2014/chart" uri="{C3380CC4-5D6E-409C-BE32-E72D297353CC}">
                <c16:uniqueId val="{00000001-86F1-4846-8074-E55332D46B85}"/>
              </c:ext>
            </c:extLst>
          </c:dPt>
          <c:dPt>
            <c:idx val="1"/>
            <c:bubble3D val="0"/>
            <c:spPr>
              <a:solidFill>
                <a:srgbClr val="0070C0"/>
              </a:solidFill>
              <a:ln>
                <a:noFill/>
              </a:ln>
              <a:effectLst/>
            </c:spPr>
            <c:extLst xmlns:c16r2="http://schemas.microsoft.com/office/drawing/2015/06/chart">
              <c:ext xmlns:c16="http://schemas.microsoft.com/office/drawing/2014/chart" uri="{C3380CC4-5D6E-409C-BE32-E72D297353CC}">
                <c16:uniqueId val="{00000003-86F1-4846-8074-E55332D46B85}"/>
              </c:ext>
            </c:extLst>
          </c:dPt>
          <c:dLbls>
            <c:dLbl>
              <c:idx val="1"/>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dLbl>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xmlns:c16r2="http://schemas.microsoft.com/office/drawing/2015/06/chart">
              <c:ext xmlns:c15="http://schemas.microsoft.com/office/drawing/2012/chart" uri="{CE6537A1-D6FC-4f65-9D91-7224C49458BB}"/>
            </c:extLst>
          </c:dLbls>
          <c:cat>
            <c:strRef>
              <c:f>Analysis!$C$70:$D$70</c:f>
              <c:strCache>
                <c:ptCount val="2"/>
                <c:pt idx="0">
                  <c:v>No Test</c:v>
                </c:pt>
                <c:pt idx="1">
                  <c:v>Tested</c:v>
                </c:pt>
              </c:strCache>
              <c:extLst xmlns:c15="http://schemas.microsoft.com/office/drawing/2012/chart" xmlns:c16r2="http://schemas.microsoft.com/office/drawing/2015/06/chart"/>
            </c:strRef>
          </c:cat>
          <c:val>
            <c:numRef>
              <c:f>Analysis!$C$73:$D$73</c:f>
              <c:numCache>
                <c:formatCode>General</c:formatCode>
                <c:ptCount val="2"/>
                <c:pt idx="0">
                  <c:v>29</c:v>
                </c:pt>
                <c:pt idx="1">
                  <c:v>6</c:v>
                </c:pt>
              </c:numCache>
              <c:extLst xmlns:c15="http://schemas.microsoft.com/office/drawing/2012/chart" xmlns:c16r2="http://schemas.microsoft.com/office/drawing/2015/06/chart"/>
            </c:numRef>
          </c:val>
          <c:extLst xmlns:c16r2="http://schemas.microsoft.com/office/drawing/2015/06/chart">
            <c:ext xmlns:c16="http://schemas.microsoft.com/office/drawing/2014/chart" uri="{C3380CC4-5D6E-409C-BE32-E72D297353CC}">
              <c16:uniqueId val="{00000004-86F1-4846-8074-E55332D46B85}"/>
            </c:ext>
          </c:extLst>
        </c:ser>
        <c:dLbls>
          <c:showLegendKey val="0"/>
          <c:showVal val="0"/>
          <c:showCatName val="0"/>
          <c:showSerName val="0"/>
          <c:showPercent val="0"/>
          <c:showBubbleSize val="0"/>
          <c:showLeaderLines val="1"/>
        </c:dLbls>
        <c:firstSliceAng val="0"/>
        <c:extLst xmlns:c16r2="http://schemas.microsoft.com/office/drawing/2015/06/chart">
          <c:ext xmlns:c15="http://schemas.microsoft.com/office/drawing/2012/chart" uri="{02D57815-91ED-43cb-92C2-25804820EDAC}">
            <c15:filteredPieSeries>
              <c15:ser>
                <c:idx val="0"/>
                <c:order val="0"/>
                <c:tx>
                  <c:strRef>
                    <c:extLst xmlns:c16r2="http://schemas.microsoft.com/office/drawing/2015/06/chart">
                      <c:ext uri="{02D57815-91ED-43cb-92C2-25804820EDAC}">
                        <c15:formulaRef>
                          <c15:sqref>Analysis!$B$71</c15:sqref>
                        </c15:formulaRef>
                      </c:ext>
                    </c:extLst>
                    <c:strCache>
                      <c:ptCount val="1"/>
                      <c:pt idx="0">
                        <c:v>Kachin</c:v>
                      </c:pt>
                    </c:strCache>
                  </c:strRef>
                </c:tx>
                <c:dPt>
                  <c:idx val="0"/>
                  <c:bubble3D val="0"/>
                  <c:spPr>
                    <a:solidFill>
                      <a:schemeClr val="accent1">
                        <a:lumMod val="40000"/>
                        <a:lumOff val="60000"/>
                      </a:schemeClr>
                    </a:solidFill>
                    <a:ln>
                      <a:noFill/>
                    </a:ln>
                    <a:effectLst/>
                  </c:spPr>
                  <c:extLst xmlns:c16r2="http://schemas.microsoft.com/office/drawing/2015/06/chart">
                    <c:ext xmlns:c16="http://schemas.microsoft.com/office/drawing/2014/chart" uri="{C3380CC4-5D6E-409C-BE32-E72D297353CC}">
                      <c16:uniqueId val="{00000006-86F1-4846-8074-E55332D46B85}"/>
                    </c:ext>
                  </c:extLst>
                </c:dPt>
                <c:dPt>
                  <c:idx val="1"/>
                  <c:bubble3D val="0"/>
                  <c:spPr>
                    <a:solidFill>
                      <a:srgbClr val="0070C0"/>
                    </a:solidFill>
                    <a:ln>
                      <a:noFill/>
                    </a:ln>
                    <a:effectLst/>
                  </c:spPr>
                  <c:extLst xmlns:c16r2="http://schemas.microsoft.com/office/drawing/2015/06/chart">
                    <c:ext xmlns:c16="http://schemas.microsoft.com/office/drawing/2014/chart" uri="{C3380CC4-5D6E-409C-BE32-E72D297353CC}">
                      <c16:uniqueId val="{00000008-86F1-4846-8074-E55332D46B85}"/>
                    </c:ext>
                  </c:extLst>
                </c:dPt>
                <c:dLbls>
                  <c:dLbl>
                    <c:idx val="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dLbl>
                  <c:dLbl>
                    <c:idx val="1"/>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xmlns:c16r2="http://schemas.microsoft.com/office/drawing/2015/06/chart">
                    <c:ext uri="{CE6537A1-D6FC-4f65-9D91-7224C49458BB}"/>
                  </c:extLst>
                </c:dLbls>
                <c:cat>
                  <c:strRef>
                    <c:extLst xmlns:c16r2="http://schemas.microsoft.com/office/drawing/2015/06/chart">
                      <c:ext uri="{02D57815-91ED-43cb-92C2-25804820EDAC}">
                        <c15:formulaRef>
                          <c15:sqref>Analysis!$C$70:$D$70</c15:sqref>
                        </c15:formulaRef>
                      </c:ext>
                    </c:extLst>
                    <c:strCache>
                      <c:ptCount val="2"/>
                      <c:pt idx="0">
                        <c:v>No Test</c:v>
                      </c:pt>
                      <c:pt idx="1">
                        <c:v>Tested</c:v>
                      </c:pt>
                    </c:strCache>
                  </c:strRef>
                </c:cat>
                <c:val>
                  <c:numRef>
                    <c:extLst xmlns:c16r2="http://schemas.microsoft.com/office/drawing/2015/06/chart">
                      <c:ext uri="{02D57815-91ED-43cb-92C2-25804820EDAC}">
                        <c15:formulaRef>
                          <c15:sqref>Analysis!$C$71:$D$71</c15:sqref>
                        </c15:formulaRef>
                      </c:ext>
                    </c:extLst>
                    <c:numCache>
                      <c:formatCode>General</c:formatCode>
                      <c:ptCount val="2"/>
                      <c:pt idx="0">
                        <c:v>114</c:v>
                      </c:pt>
                      <c:pt idx="1">
                        <c:v>15</c:v>
                      </c:pt>
                    </c:numCache>
                  </c:numRef>
                </c:val>
                <c:extLst xmlns:c16r2="http://schemas.microsoft.com/office/drawing/2015/06/chart">
                  <c:ext xmlns:c16="http://schemas.microsoft.com/office/drawing/2014/chart" uri="{C3380CC4-5D6E-409C-BE32-E72D297353CC}">
                    <c16:uniqueId val="{00000009-86F1-4846-8074-E55332D46B85}"/>
                  </c:ext>
                </c:extLst>
              </c15:ser>
            </c15:filteredPieSeries>
            <c15:filteredPieSeries>
              <c15:ser>
                <c:idx val="1"/>
                <c:order val="1"/>
                <c:tx>
                  <c:strRef>
                    <c:extLst xmlns:c15="http://schemas.microsoft.com/office/drawing/2012/chart" xmlns:c16r2="http://schemas.microsoft.com/office/drawing/2015/06/chart">
                      <c:ext xmlns:c15="http://schemas.microsoft.com/office/drawing/2012/chart" uri="{02D57815-91ED-43cb-92C2-25804820EDAC}">
                        <c15:formulaRef>
                          <c15:sqref>Analysis!$B$72</c15:sqref>
                        </c15:formulaRef>
                      </c:ext>
                    </c:extLst>
                    <c:strCache>
                      <c:ptCount val="1"/>
                      <c:pt idx="0">
                        <c:v>Rakhine</c:v>
                      </c:pt>
                    </c:strCache>
                  </c:strRef>
                </c:tx>
                <c:dPt>
                  <c:idx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extLst xmlns:c15="http://schemas.microsoft.com/office/drawing/2012/chart" xmlns:c16r2="http://schemas.microsoft.com/office/drawing/2015/06/chart">
                    <c:ext xmlns:c16="http://schemas.microsoft.com/office/drawing/2014/chart" uri="{C3380CC4-5D6E-409C-BE32-E72D297353CC}">
                      <c16:uniqueId val="{0000000B-86F1-4846-8074-E55332D46B85}"/>
                    </c:ext>
                  </c:extLst>
                </c:dPt>
                <c:dPt>
                  <c:idx val="1"/>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extLst xmlns:c15="http://schemas.microsoft.com/office/drawing/2012/chart" xmlns:c16r2="http://schemas.microsoft.com/office/drawing/2015/06/chart">
                    <c:ext xmlns:c16="http://schemas.microsoft.com/office/drawing/2014/chart" uri="{C3380CC4-5D6E-409C-BE32-E72D297353CC}">
                      <c16:uniqueId val="{0000000D-86F1-4846-8074-E55332D46B85}"/>
                    </c:ext>
                  </c:extLst>
                </c:dPt>
                <c:cat>
                  <c:strRef>
                    <c:extLst xmlns:c15="http://schemas.microsoft.com/office/drawing/2012/chart" xmlns:c16r2="http://schemas.microsoft.com/office/drawing/2015/06/chart">
                      <c:ext xmlns:c15="http://schemas.microsoft.com/office/drawing/2012/chart" uri="{02D57815-91ED-43cb-92C2-25804820EDAC}">
                        <c15:formulaRef>
                          <c15:sqref>Analysis!$C$70:$D$70</c15:sqref>
                        </c15:formulaRef>
                      </c:ext>
                    </c:extLst>
                    <c:strCache>
                      <c:ptCount val="2"/>
                      <c:pt idx="0">
                        <c:v>No Test</c:v>
                      </c:pt>
                      <c:pt idx="1">
                        <c:v>Tested</c:v>
                      </c:pt>
                    </c:strCache>
                  </c:strRef>
                </c:cat>
                <c:val>
                  <c:numRef>
                    <c:extLst xmlns:c15="http://schemas.microsoft.com/office/drawing/2012/chart" xmlns:c16r2="http://schemas.microsoft.com/office/drawing/2015/06/chart">
                      <c:ext xmlns:c15="http://schemas.microsoft.com/office/drawing/2012/chart" uri="{02D57815-91ED-43cb-92C2-25804820EDAC}">
                        <c15:formulaRef>
                          <c15:sqref>Analysis!$C$72:$D$72</c15:sqref>
                        </c15:formulaRef>
                      </c:ext>
                    </c:extLst>
                    <c:numCache>
                      <c:formatCode>General</c:formatCode>
                      <c:ptCount val="2"/>
                      <c:pt idx="0">
                        <c:v>15</c:v>
                      </c:pt>
                      <c:pt idx="1">
                        <c:v>9</c:v>
                      </c:pt>
                    </c:numCache>
                  </c:numRef>
                </c:val>
                <c:extLst xmlns:c15="http://schemas.microsoft.com/office/drawing/2012/chart" xmlns:c16r2="http://schemas.microsoft.com/office/drawing/2015/06/chart">
                  <c:ext xmlns:c16="http://schemas.microsoft.com/office/drawing/2014/chart" uri="{C3380CC4-5D6E-409C-BE32-E72D297353CC}">
                    <c16:uniqueId val="{0000000E-86F1-4846-8074-E55332D46B85}"/>
                  </c:ext>
                </c:extLst>
              </c15:ser>
            </c15:filteredPieSeries>
          </c:ext>
        </c:extLst>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n-US"/>
        </a:p>
      </c:txPr>
    </c:title>
    <c:autoTitleDeleted val="0"/>
    <c:plotArea>
      <c:layout/>
      <c:barChart>
        <c:barDir val="col"/>
        <c:grouping val="stacked"/>
        <c:varyColors val="0"/>
        <c:ser>
          <c:idx val="0"/>
          <c:order val="0"/>
          <c:tx>
            <c:strRef>
              <c:f>Analysis!$H$55</c:f>
              <c:strCache>
                <c:ptCount val="1"/>
                <c:pt idx="0">
                  <c:v>Kachin</c:v>
                </c:pt>
              </c:strCache>
            </c:strRef>
          </c:tx>
          <c:spPr>
            <a:solidFill>
              <a:srgbClr val="0070C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Analysis!$I$54:$J$54</c:f>
              <c:strCache>
                <c:ptCount val="2"/>
                <c:pt idx="0">
                  <c:v>% of FAIL water samples at HH</c:v>
                </c:pt>
                <c:pt idx="1">
                  <c:v>% of FAIL water samples at water source</c:v>
                </c:pt>
              </c:strCache>
            </c:strRef>
          </c:cat>
          <c:val>
            <c:numRef>
              <c:f>Analysis!$I$55:$J$55</c:f>
              <c:numCache>
                <c:formatCode>0%</c:formatCode>
                <c:ptCount val="2"/>
                <c:pt idx="0">
                  <c:v>0.38700817700817702</c:v>
                </c:pt>
                <c:pt idx="1">
                  <c:v>0.67777777777777781</c:v>
                </c:pt>
              </c:numCache>
            </c:numRef>
          </c:val>
          <c:extLst xmlns:c16r2="http://schemas.microsoft.com/office/drawing/2015/06/chart">
            <c:ext xmlns:c16="http://schemas.microsoft.com/office/drawing/2014/chart" uri="{C3380CC4-5D6E-409C-BE32-E72D297353CC}">
              <c16:uniqueId val="{00000000-C8CB-4E55-B486-7E9000988768}"/>
            </c:ext>
          </c:extLst>
        </c:ser>
        <c:dLbls>
          <c:showLegendKey val="0"/>
          <c:showVal val="0"/>
          <c:showCatName val="0"/>
          <c:showSerName val="0"/>
          <c:showPercent val="0"/>
          <c:showBubbleSize val="0"/>
        </c:dLbls>
        <c:gapWidth val="150"/>
        <c:overlap val="100"/>
        <c:axId val="483549504"/>
        <c:axId val="483552248"/>
        <c:extLst xmlns:c16r2="http://schemas.microsoft.com/office/drawing/2015/06/chart">
          <c:ext xmlns:c15="http://schemas.microsoft.com/office/drawing/2012/chart" uri="{02D57815-91ED-43cb-92C2-25804820EDAC}">
            <c15:filteredBarSeries>
              <c15:ser>
                <c:idx val="1"/>
                <c:order val="1"/>
                <c:tx>
                  <c:strRef>
                    <c:extLst xmlns:c16r2="http://schemas.microsoft.com/office/drawing/2015/06/chart">
                      <c:ext uri="{02D57815-91ED-43cb-92C2-25804820EDAC}">
                        <c15:formulaRef>
                          <c15:sqref>Analysis!$H$56</c15:sqref>
                        </c15:formulaRef>
                      </c:ext>
                    </c:extLst>
                    <c:strCache>
                      <c:ptCount val="1"/>
                      <c:pt idx="0">
                        <c:v>Rakhine</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invertIfNegative val="0"/>
                <c:cat>
                  <c:strRef>
                    <c:extLst xmlns:c16r2="http://schemas.microsoft.com/office/drawing/2015/06/chart">
                      <c:ext uri="{02D57815-91ED-43cb-92C2-25804820EDAC}">
                        <c15:formulaRef>
                          <c15:sqref>Analysis!$I$54:$J$54</c15:sqref>
                        </c15:formulaRef>
                      </c:ext>
                    </c:extLst>
                    <c:strCache>
                      <c:ptCount val="2"/>
                      <c:pt idx="0">
                        <c:v>% of FAIL water samples at HH</c:v>
                      </c:pt>
                      <c:pt idx="1">
                        <c:v>% of FAIL water samples at water source</c:v>
                      </c:pt>
                    </c:strCache>
                  </c:strRef>
                </c:cat>
                <c:val>
                  <c:numRef>
                    <c:extLst xmlns:c16r2="http://schemas.microsoft.com/office/drawing/2015/06/chart">
                      <c:ext uri="{02D57815-91ED-43cb-92C2-25804820EDAC}">
                        <c15:formulaRef>
                          <c15:sqref>Analysis!$I$56:$J$56</c15:sqref>
                        </c15:formulaRef>
                      </c:ext>
                    </c:extLst>
                    <c:numCache>
                      <c:formatCode>0%</c:formatCode>
                      <c:ptCount val="2"/>
                      <c:pt idx="0">
                        <c:v>0.28040167854790887</c:v>
                      </c:pt>
                      <c:pt idx="1">
                        <c:v>0.14664529898793155</c:v>
                      </c:pt>
                    </c:numCache>
                  </c:numRef>
                </c:val>
                <c:extLst xmlns:c16r2="http://schemas.microsoft.com/office/drawing/2015/06/chart">
                  <c:ext xmlns:c16="http://schemas.microsoft.com/office/drawing/2014/chart" uri="{C3380CC4-5D6E-409C-BE32-E72D297353CC}">
                    <c16:uniqueId val="{00000001-C8CB-4E55-B486-7E9000988768}"/>
                  </c:ext>
                </c:extLst>
              </c15:ser>
            </c15:filteredBarSeries>
            <c15:filteredBarSeries>
              <c15:ser>
                <c:idx val="2"/>
                <c:order val="2"/>
                <c:tx>
                  <c:strRef>
                    <c:extLst xmlns:c15="http://schemas.microsoft.com/office/drawing/2012/chart" xmlns:c16r2="http://schemas.microsoft.com/office/drawing/2015/06/chart">
                      <c:ext xmlns:c15="http://schemas.microsoft.com/office/drawing/2012/chart" uri="{02D57815-91ED-43cb-92C2-25804820EDAC}">
                        <c15:formulaRef>
                          <c15:sqref>Analysis!$H$57</c15:sqref>
                        </c15:formulaRef>
                      </c:ext>
                    </c:extLst>
                    <c:strCache>
                      <c:ptCount val="1"/>
                      <c:pt idx="0">
                        <c:v>Shan (North)</c:v>
                      </c:pt>
                    </c:strCache>
                  </c:strRef>
                </c:tx>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c:spPr>
                <c:invertIfNegative val="0"/>
                <c:cat>
                  <c:strRef>
                    <c:extLst xmlns:c15="http://schemas.microsoft.com/office/drawing/2012/chart" xmlns:c16r2="http://schemas.microsoft.com/office/drawing/2015/06/chart">
                      <c:ext xmlns:c15="http://schemas.microsoft.com/office/drawing/2012/chart" uri="{02D57815-91ED-43cb-92C2-25804820EDAC}">
                        <c15:formulaRef>
                          <c15:sqref>Analysis!$I$54:$J$54</c15:sqref>
                        </c15:formulaRef>
                      </c:ext>
                    </c:extLst>
                    <c:strCache>
                      <c:ptCount val="2"/>
                      <c:pt idx="0">
                        <c:v>% of FAIL water samples at HH</c:v>
                      </c:pt>
                      <c:pt idx="1">
                        <c:v>% of FAIL water samples at water source</c:v>
                      </c:pt>
                    </c:strCache>
                  </c:strRef>
                </c:cat>
                <c:val>
                  <c:numRef>
                    <c:extLst xmlns:c15="http://schemas.microsoft.com/office/drawing/2012/chart" xmlns:c16r2="http://schemas.microsoft.com/office/drawing/2015/06/chart">
                      <c:ext xmlns:c15="http://schemas.microsoft.com/office/drawing/2012/chart" uri="{02D57815-91ED-43cb-92C2-25804820EDAC}">
                        <c15:formulaRef>
                          <c15:sqref>Analysis!$I$57:$J$57</c15:sqref>
                        </c15:formulaRef>
                      </c:ext>
                    </c:extLst>
                    <c:numCache>
                      <c:formatCode>0%</c:formatCode>
                      <c:ptCount val="2"/>
                      <c:pt idx="0">
                        <c:v>0</c:v>
                      </c:pt>
                      <c:pt idx="1">
                        <c:v>1</c:v>
                      </c:pt>
                    </c:numCache>
                  </c:numRef>
                </c:val>
                <c:extLst xmlns:c15="http://schemas.microsoft.com/office/drawing/2012/chart" xmlns:c16r2="http://schemas.microsoft.com/office/drawing/2015/06/chart">
                  <c:ext xmlns:c16="http://schemas.microsoft.com/office/drawing/2014/chart" uri="{C3380CC4-5D6E-409C-BE32-E72D297353CC}">
                    <c16:uniqueId val="{00000002-C8CB-4E55-B486-7E9000988768}"/>
                  </c:ext>
                </c:extLst>
              </c15:ser>
            </c15:filteredBarSeries>
          </c:ext>
        </c:extLst>
      </c:barChart>
      <c:catAx>
        <c:axId val="483549504"/>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483552248"/>
        <c:crosses val="autoZero"/>
        <c:auto val="1"/>
        <c:lblAlgn val="ctr"/>
        <c:lblOffset val="100"/>
        <c:noMultiLvlLbl val="0"/>
      </c:catAx>
      <c:valAx>
        <c:axId val="483552248"/>
        <c:scaling>
          <c:orientation val="minMax"/>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48354950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n-US"/>
        </a:p>
      </c:txPr>
    </c:title>
    <c:autoTitleDeleted val="0"/>
    <c:plotArea>
      <c:layout/>
      <c:barChart>
        <c:barDir val="col"/>
        <c:grouping val="stacked"/>
        <c:varyColors val="0"/>
        <c:ser>
          <c:idx val="1"/>
          <c:order val="1"/>
          <c:tx>
            <c:strRef>
              <c:f>Analysis!$H$56</c:f>
              <c:strCache>
                <c:ptCount val="1"/>
                <c:pt idx="0">
                  <c:v>Rakhine</c:v>
                </c:pt>
              </c:strCache>
              <c:extLst xmlns:c15="http://schemas.microsoft.com/office/drawing/2012/chart" xmlns:c16r2="http://schemas.microsoft.com/office/drawing/2015/06/chart"/>
            </c:strRef>
          </c:tx>
          <c:spPr>
            <a:solidFill>
              <a:srgbClr val="0070C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Analysis!$I$54:$J$54</c:f>
              <c:strCache>
                <c:ptCount val="2"/>
                <c:pt idx="0">
                  <c:v>% of FAIL water samples at HH</c:v>
                </c:pt>
                <c:pt idx="1">
                  <c:v>% of FAIL water samples at water source</c:v>
                </c:pt>
              </c:strCache>
              <c:extLst xmlns:c15="http://schemas.microsoft.com/office/drawing/2012/chart" xmlns:c16r2="http://schemas.microsoft.com/office/drawing/2015/06/chart"/>
            </c:strRef>
          </c:cat>
          <c:val>
            <c:numRef>
              <c:f>Analysis!$I$56:$J$56</c:f>
              <c:numCache>
                <c:formatCode>0%</c:formatCode>
                <c:ptCount val="2"/>
                <c:pt idx="0">
                  <c:v>0.28040167854790887</c:v>
                </c:pt>
                <c:pt idx="1">
                  <c:v>0.14664529898793155</c:v>
                </c:pt>
              </c:numCache>
              <c:extLst xmlns:c15="http://schemas.microsoft.com/office/drawing/2012/chart" xmlns:c16r2="http://schemas.microsoft.com/office/drawing/2015/06/chart"/>
            </c:numRef>
          </c:val>
          <c:extLst xmlns:c16r2="http://schemas.microsoft.com/office/drawing/2015/06/chart">
            <c:ext xmlns:c16="http://schemas.microsoft.com/office/drawing/2014/chart" uri="{C3380CC4-5D6E-409C-BE32-E72D297353CC}">
              <c16:uniqueId val="{00000000-9FCF-4E88-A999-D43CA3C5E3CC}"/>
            </c:ext>
          </c:extLst>
        </c:ser>
        <c:dLbls>
          <c:showLegendKey val="0"/>
          <c:showVal val="0"/>
          <c:showCatName val="0"/>
          <c:showSerName val="0"/>
          <c:showPercent val="0"/>
          <c:showBubbleSize val="0"/>
        </c:dLbls>
        <c:gapWidth val="150"/>
        <c:overlap val="100"/>
        <c:axId val="483823696"/>
        <c:axId val="483826440"/>
        <c:extLst xmlns:c16r2="http://schemas.microsoft.com/office/drawing/2015/06/chart">
          <c:ext xmlns:c15="http://schemas.microsoft.com/office/drawing/2012/chart" uri="{02D57815-91ED-43cb-92C2-25804820EDAC}">
            <c15:filteredBarSeries>
              <c15:ser>
                <c:idx val="0"/>
                <c:order val="0"/>
                <c:tx>
                  <c:strRef>
                    <c:extLst xmlns:c16r2="http://schemas.microsoft.com/office/drawing/2015/06/chart">
                      <c:ext uri="{02D57815-91ED-43cb-92C2-25804820EDAC}">
                        <c15:formulaRef>
                          <c15:sqref>Analysis!$H$55</c15:sqref>
                        </c15:formulaRef>
                      </c:ext>
                    </c:extLst>
                    <c:strCache>
                      <c:ptCount val="1"/>
                      <c:pt idx="0">
                        <c:v>Kachin</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uri="{CE6537A1-D6FC-4f65-9D91-7224C49458BB}">
                      <c15:showLeaderLines val="1"/>
                      <c15:leaderLines>
                        <c:spPr>
                          <a:ln w="9525">
                            <a:solidFill>
                              <a:schemeClr val="tx2">
                                <a:lumMod val="35000"/>
                                <a:lumOff val="65000"/>
                              </a:schemeClr>
                            </a:solidFill>
                          </a:ln>
                          <a:effectLst/>
                        </c:spPr>
                      </c15:leaderLines>
                    </c:ext>
                  </c:extLst>
                </c:dLbls>
                <c:cat>
                  <c:strRef>
                    <c:extLst xmlns:c16r2="http://schemas.microsoft.com/office/drawing/2015/06/chart">
                      <c:ext uri="{02D57815-91ED-43cb-92C2-25804820EDAC}">
                        <c15:formulaRef>
                          <c15:sqref>Analysis!$I$54:$J$54</c15:sqref>
                        </c15:formulaRef>
                      </c:ext>
                    </c:extLst>
                    <c:strCache>
                      <c:ptCount val="2"/>
                      <c:pt idx="0">
                        <c:v>% of FAIL water samples at HH</c:v>
                      </c:pt>
                      <c:pt idx="1">
                        <c:v>% of FAIL water samples at water source</c:v>
                      </c:pt>
                    </c:strCache>
                  </c:strRef>
                </c:cat>
                <c:val>
                  <c:numRef>
                    <c:extLst xmlns:c16r2="http://schemas.microsoft.com/office/drawing/2015/06/chart">
                      <c:ext uri="{02D57815-91ED-43cb-92C2-25804820EDAC}">
                        <c15:formulaRef>
                          <c15:sqref>Analysis!$I$55:$J$55</c15:sqref>
                        </c15:formulaRef>
                      </c:ext>
                    </c:extLst>
                    <c:numCache>
                      <c:formatCode>0%</c:formatCode>
                      <c:ptCount val="2"/>
                      <c:pt idx="0">
                        <c:v>0.38700817700817702</c:v>
                      </c:pt>
                      <c:pt idx="1">
                        <c:v>0.67777777777777781</c:v>
                      </c:pt>
                    </c:numCache>
                  </c:numRef>
                </c:val>
                <c:extLst xmlns:c16r2="http://schemas.microsoft.com/office/drawing/2015/06/chart">
                  <c:ext xmlns:c16="http://schemas.microsoft.com/office/drawing/2014/chart" uri="{C3380CC4-5D6E-409C-BE32-E72D297353CC}">
                    <c16:uniqueId val="{00000001-9FCF-4E88-A999-D43CA3C5E3CC}"/>
                  </c:ext>
                </c:extLst>
              </c15:ser>
            </c15:filteredBarSeries>
            <c15:filteredBarSeries>
              <c15:ser>
                <c:idx val="2"/>
                <c:order val="2"/>
                <c:tx>
                  <c:strRef>
                    <c:extLst xmlns:c15="http://schemas.microsoft.com/office/drawing/2012/chart" xmlns:c16r2="http://schemas.microsoft.com/office/drawing/2015/06/chart">
                      <c:ext xmlns:c15="http://schemas.microsoft.com/office/drawing/2012/chart" uri="{02D57815-91ED-43cb-92C2-25804820EDAC}">
                        <c15:formulaRef>
                          <c15:sqref>Analysis!$H$57</c15:sqref>
                        </c15:formulaRef>
                      </c:ext>
                    </c:extLst>
                    <c:strCache>
                      <c:ptCount val="1"/>
                      <c:pt idx="0">
                        <c:v>Shan (North)</c:v>
                      </c:pt>
                    </c:strCache>
                  </c:strRef>
                </c:tx>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c:spPr>
                <c:invertIfNegative val="0"/>
                <c:cat>
                  <c:strRef>
                    <c:extLst xmlns:c15="http://schemas.microsoft.com/office/drawing/2012/chart" xmlns:c16r2="http://schemas.microsoft.com/office/drawing/2015/06/chart">
                      <c:ext xmlns:c15="http://schemas.microsoft.com/office/drawing/2012/chart" uri="{02D57815-91ED-43cb-92C2-25804820EDAC}">
                        <c15:formulaRef>
                          <c15:sqref>Analysis!$I$54:$J$54</c15:sqref>
                        </c15:formulaRef>
                      </c:ext>
                    </c:extLst>
                    <c:strCache>
                      <c:ptCount val="2"/>
                      <c:pt idx="0">
                        <c:v>% of FAIL water samples at HH</c:v>
                      </c:pt>
                      <c:pt idx="1">
                        <c:v>% of FAIL water samples at water source</c:v>
                      </c:pt>
                    </c:strCache>
                  </c:strRef>
                </c:cat>
                <c:val>
                  <c:numRef>
                    <c:extLst xmlns:c15="http://schemas.microsoft.com/office/drawing/2012/chart" xmlns:c16r2="http://schemas.microsoft.com/office/drawing/2015/06/chart">
                      <c:ext xmlns:c15="http://schemas.microsoft.com/office/drawing/2012/chart" uri="{02D57815-91ED-43cb-92C2-25804820EDAC}">
                        <c15:formulaRef>
                          <c15:sqref>Analysis!$I$57:$J$57</c15:sqref>
                        </c15:formulaRef>
                      </c:ext>
                    </c:extLst>
                    <c:numCache>
                      <c:formatCode>0%</c:formatCode>
                      <c:ptCount val="2"/>
                      <c:pt idx="0">
                        <c:v>0</c:v>
                      </c:pt>
                      <c:pt idx="1">
                        <c:v>1</c:v>
                      </c:pt>
                    </c:numCache>
                  </c:numRef>
                </c:val>
                <c:extLst xmlns:c15="http://schemas.microsoft.com/office/drawing/2012/chart" xmlns:c16r2="http://schemas.microsoft.com/office/drawing/2015/06/chart">
                  <c:ext xmlns:c16="http://schemas.microsoft.com/office/drawing/2014/chart" uri="{C3380CC4-5D6E-409C-BE32-E72D297353CC}">
                    <c16:uniqueId val="{00000002-9FCF-4E88-A999-D43CA3C5E3CC}"/>
                  </c:ext>
                </c:extLst>
              </c15:ser>
            </c15:filteredBarSeries>
          </c:ext>
        </c:extLst>
      </c:barChart>
      <c:catAx>
        <c:axId val="483823696"/>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483826440"/>
        <c:crosses val="autoZero"/>
        <c:auto val="1"/>
        <c:lblAlgn val="ctr"/>
        <c:lblOffset val="100"/>
        <c:noMultiLvlLbl val="0"/>
      </c:catAx>
      <c:valAx>
        <c:axId val="483826440"/>
        <c:scaling>
          <c:orientation val="minMax"/>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48382369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n-US"/>
        </a:p>
      </c:txPr>
    </c:title>
    <c:autoTitleDeleted val="0"/>
    <c:plotArea>
      <c:layout/>
      <c:barChart>
        <c:barDir val="col"/>
        <c:grouping val="stacked"/>
        <c:varyColors val="0"/>
        <c:ser>
          <c:idx val="2"/>
          <c:order val="2"/>
          <c:tx>
            <c:strRef>
              <c:f>Analysis!$H$57</c:f>
              <c:strCache>
                <c:ptCount val="1"/>
                <c:pt idx="0">
                  <c:v>Shan (North)</c:v>
                </c:pt>
              </c:strCache>
              <c:extLst xmlns:c15="http://schemas.microsoft.com/office/drawing/2012/chart" xmlns:c16r2="http://schemas.microsoft.com/office/drawing/2015/06/chart"/>
            </c:strRef>
          </c:tx>
          <c:spPr>
            <a:solidFill>
              <a:srgbClr val="0070C0"/>
            </a:solidFill>
            <a:ln>
              <a:noFill/>
            </a:ln>
            <a:effectLst/>
          </c:spPr>
          <c:invertIfNegative val="0"/>
          <c:cat>
            <c:strRef>
              <c:f>Analysis!$I$54:$J$54</c:f>
              <c:strCache>
                <c:ptCount val="2"/>
                <c:pt idx="0">
                  <c:v>% of FAIL water samples at HH</c:v>
                </c:pt>
                <c:pt idx="1">
                  <c:v>% of FAIL water samples at water source</c:v>
                </c:pt>
              </c:strCache>
              <c:extLst xmlns:c15="http://schemas.microsoft.com/office/drawing/2012/chart" xmlns:c16r2="http://schemas.microsoft.com/office/drawing/2015/06/chart"/>
            </c:strRef>
          </c:cat>
          <c:val>
            <c:numRef>
              <c:f>Analysis!$I$57:$J$57</c:f>
              <c:numCache>
                <c:formatCode>0%</c:formatCode>
                <c:ptCount val="2"/>
                <c:pt idx="0">
                  <c:v>0</c:v>
                </c:pt>
                <c:pt idx="1">
                  <c:v>1</c:v>
                </c:pt>
              </c:numCache>
              <c:extLst xmlns:c15="http://schemas.microsoft.com/office/drawing/2012/chart" xmlns:c16r2="http://schemas.microsoft.com/office/drawing/2015/06/chart"/>
            </c:numRef>
          </c:val>
          <c:extLst xmlns:c16r2="http://schemas.microsoft.com/office/drawing/2015/06/chart">
            <c:ext xmlns:c16="http://schemas.microsoft.com/office/drawing/2014/chart" uri="{C3380CC4-5D6E-409C-BE32-E72D297353CC}">
              <c16:uniqueId val="{00000000-1AFE-4161-BA98-C0DACE73B210}"/>
            </c:ext>
          </c:extLst>
        </c:ser>
        <c:dLbls>
          <c:showLegendKey val="0"/>
          <c:showVal val="0"/>
          <c:showCatName val="0"/>
          <c:showSerName val="0"/>
          <c:showPercent val="0"/>
          <c:showBubbleSize val="0"/>
        </c:dLbls>
        <c:gapWidth val="150"/>
        <c:overlap val="100"/>
        <c:axId val="483825656"/>
        <c:axId val="483827224"/>
        <c:extLst xmlns:c16r2="http://schemas.microsoft.com/office/drawing/2015/06/chart">
          <c:ext xmlns:c15="http://schemas.microsoft.com/office/drawing/2012/chart" uri="{02D57815-91ED-43cb-92C2-25804820EDAC}">
            <c15:filteredBarSeries>
              <c15:ser>
                <c:idx val="0"/>
                <c:order val="0"/>
                <c:tx>
                  <c:strRef>
                    <c:extLst xmlns:c16r2="http://schemas.microsoft.com/office/drawing/2015/06/chart">
                      <c:ext uri="{02D57815-91ED-43cb-92C2-25804820EDAC}">
                        <c15:formulaRef>
                          <c15:sqref>Analysis!$H$55</c15:sqref>
                        </c15:formulaRef>
                      </c:ext>
                    </c:extLst>
                    <c:strCache>
                      <c:ptCount val="1"/>
                      <c:pt idx="0">
                        <c:v>Kachin</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uri="{CE6537A1-D6FC-4f65-9D91-7224C49458BB}">
                      <c15:showLeaderLines val="1"/>
                      <c15:leaderLines>
                        <c:spPr>
                          <a:ln w="9525">
                            <a:solidFill>
                              <a:schemeClr val="tx2">
                                <a:lumMod val="35000"/>
                                <a:lumOff val="65000"/>
                              </a:schemeClr>
                            </a:solidFill>
                          </a:ln>
                          <a:effectLst/>
                        </c:spPr>
                      </c15:leaderLines>
                    </c:ext>
                  </c:extLst>
                </c:dLbls>
                <c:cat>
                  <c:strRef>
                    <c:extLst xmlns:c16r2="http://schemas.microsoft.com/office/drawing/2015/06/chart">
                      <c:ext uri="{02D57815-91ED-43cb-92C2-25804820EDAC}">
                        <c15:formulaRef>
                          <c15:sqref>Analysis!$I$54:$J$54</c15:sqref>
                        </c15:formulaRef>
                      </c:ext>
                    </c:extLst>
                    <c:strCache>
                      <c:ptCount val="2"/>
                      <c:pt idx="0">
                        <c:v>% of FAIL water samples at HH</c:v>
                      </c:pt>
                      <c:pt idx="1">
                        <c:v>% of FAIL water samples at water source</c:v>
                      </c:pt>
                    </c:strCache>
                  </c:strRef>
                </c:cat>
                <c:val>
                  <c:numRef>
                    <c:extLst xmlns:c16r2="http://schemas.microsoft.com/office/drawing/2015/06/chart">
                      <c:ext uri="{02D57815-91ED-43cb-92C2-25804820EDAC}">
                        <c15:formulaRef>
                          <c15:sqref>Analysis!$I$55:$J$55</c15:sqref>
                        </c15:formulaRef>
                      </c:ext>
                    </c:extLst>
                    <c:numCache>
                      <c:formatCode>0%</c:formatCode>
                      <c:ptCount val="2"/>
                      <c:pt idx="0">
                        <c:v>0.38700817700817702</c:v>
                      </c:pt>
                      <c:pt idx="1">
                        <c:v>0.67777777777777781</c:v>
                      </c:pt>
                    </c:numCache>
                  </c:numRef>
                </c:val>
                <c:extLst xmlns:c16r2="http://schemas.microsoft.com/office/drawing/2015/06/chart">
                  <c:ext xmlns:c16="http://schemas.microsoft.com/office/drawing/2014/chart" uri="{C3380CC4-5D6E-409C-BE32-E72D297353CC}">
                    <c16:uniqueId val="{00000001-1AFE-4161-BA98-C0DACE73B210}"/>
                  </c:ext>
                </c:extLst>
              </c15:ser>
            </c15:filteredBarSeries>
            <c15:filteredBarSeries>
              <c15:ser>
                <c:idx val="1"/>
                <c:order val="1"/>
                <c:tx>
                  <c:strRef>
                    <c:extLst xmlns:c15="http://schemas.microsoft.com/office/drawing/2012/chart" xmlns:c16r2="http://schemas.microsoft.com/office/drawing/2015/06/chart">
                      <c:ext xmlns:c15="http://schemas.microsoft.com/office/drawing/2012/chart" uri="{02D57815-91ED-43cb-92C2-25804820EDAC}">
                        <c15:formulaRef>
                          <c15:sqref>Analysis!$H$56</c15:sqref>
                        </c15:formulaRef>
                      </c:ext>
                    </c:extLst>
                    <c:strCache>
                      <c:ptCount val="1"/>
                      <c:pt idx="0">
                        <c:v>Rakhine</c:v>
                      </c:pt>
                    </c:strCache>
                  </c:strRef>
                </c:tx>
                <c:spPr>
                  <a:solidFill>
                    <a:srgbClr val="0070C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xmlns:c16r2="http://schemas.microsoft.com/office/drawing/2015/06/char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extLst xmlns:c15="http://schemas.microsoft.com/office/drawing/2012/chart" xmlns:c16r2="http://schemas.microsoft.com/office/drawing/2015/06/chart">
                      <c:ext xmlns:c15="http://schemas.microsoft.com/office/drawing/2012/chart" uri="{02D57815-91ED-43cb-92C2-25804820EDAC}">
                        <c15:formulaRef>
                          <c15:sqref>Analysis!$I$54:$J$54</c15:sqref>
                        </c15:formulaRef>
                      </c:ext>
                    </c:extLst>
                    <c:strCache>
                      <c:ptCount val="2"/>
                      <c:pt idx="0">
                        <c:v>% of FAIL water samples at HH</c:v>
                      </c:pt>
                      <c:pt idx="1">
                        <c:v>% of FAIL water samples at water source</c:v>
                      </c:pt>
                    </c:strCache>
                  </c:strRef>
                </c:cat>
                <c:val>
                  <c:numRef>
                    <c:extLst xmlns:c15="http://schemas.microsoft.com/office/drawing/2012/chart" xmlns:c16r2="http://schemas.microsoft.com/office/drawing/2015/06/chart">
                      <c:ext xmlns:c15="http://schemas.microsoft.com/office/drawing/2012/chart" uri="{02D57815-91ED-43cb-92C2-25804820EDAC}">
                        <c15:formulaRef>
                          <c15:sqref>Analysis!$I$56:$J$56</c15:sqref>
                        </c15:formulaRef>
                      </c:ext>
                    </c:extLst>
                    <c:numCache>
                      <c:formatCode>0%</c:formatCode>
                      <c:ptCount val="2"/>
                      <c:pt idx="0">
                        <c:v>0.28040167854790887</c:v>
                      </c:pt>
                      <c:pt idx="1">
                        <c:v>0.14664529898793155</c:v>
                      </c:pt>
                    </c:numCache>
                  </c:numRef>
                </c:val>
                <c:extLst xmlns:c15="http://schemas.microsoft.com/office/drawing/2012/chart" xmlns:c16r2="http://schemas.microsoft.com/office/drawing/2015/06/chart">
                  <c:ext xmlns:c16="http://schemas.microsoft.com/office/drawing/2014/chart" uri="{C3380CC4-5D6E-409C-BE32-E72D297353CC}">
                    <c16:uniqueId val="{00000002-1AFE-4161-BA98-C0DACE73B210}"/>
                  </c:ext>
                </c:extLst>
              </c15:ser>
            </c15:filteredBarSeries>
          </c:ext>
        </c:extLst>
      </c:barChart>
      <c:catAx>
        <c:axId val="483825656"/>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483827224"/>
        <c:crosses val="autoZero"/>
        <c:auto val="1"/>
        <c:lblAlgn val="ctr"/>
        <c:lblOffset val="100"/>
        <c:noMultiLvlLbl val="0"/>
      </c:catAx>
      <c:valAx>
        <c:axId val="483827224"/>
        <c:scaling>
          <c:orientation val="minMax"/>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48382565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n-US"/>
              <a:t>WASH in School</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n-US"/>
        </a:p>
      </c:txPr>
    </c:title>
    <c:autoTitleDeleted val="0"/>
    <c:plotArea>
      <c:layout/>
      <c:barChart>
        <c:barDir val="col"/>
        <c:grouping val="clustered"/>
        <c:varyColors val="0"/>
        <c:ser>
          <c:idx val="0"/>
          <c:order val="0"/>
          <c:tx>
            <c:strRef>
              <c:f>Analysis!$G$292</c:f>
              <c:strCache>
                <c:ptCount val="1"/>
                <c:pt idx="0">
                  <c:v> # of hand washing stations for TLS</c:v>
                </c:pt>
              </c:strCache>
            </c:strRef>
          </c:tx>
          <c:spPr>
            <a:solidFill>
              <a:srgbClr val="0070C0"/>
            </a:solidFill>
            <a:ln>
              <a:noFill/>
            </a:ln>
            <a:effectLst/>
          </c:spPr>
          <c:invertIfNegative val="0"/>
          <c:cat>
            <c:strRef>
              <c:f>Analysis!$C$293:$C$295</c:f>
              <c:strCache>
                <c:ptCount val="3"/>
                <c:pt idx="0">
                  <c:v>Kachin</c:v>
                </c:pt>
                <c:pt idx="1">
                  <c:v>Rakhine</c:v>
                </c:pt>
                <c:pt idx="2">
                  <c:v>Shan (North)</c:v>
                </c:pt>
              </c:strCache>
            </c:strRef>
          </c:cat>
          <c:val>
            <c:numRef>
              <c:f>Analysis!$G$293:$G$295</c:f>
              <c:numCache>
                <c:formatCode>General</c:formatCode>
                <c:ptCount val="3"/>
                <c:pt idx="0">
                  <c:v>90</c:v>
                </c:pt>
                <c:pt idx="1">
                  <c:v>58</c:v>
                </c:pt>
                <c:pt idx="2">
                  <c:v>24</c:v>
                </c:pt>
              </c:numCache>
            </c:numRef>
          </c:val>
          <c:extLst xmlns:c16r2="http://schemas.microsoft.com/office/drawing/2015/06/chart">
            <c:ext xmlns:c16="http://schemas.microsoft.com/office/drawing/2014/chart" uri="{C3380CC4-5D6E-409C-BE32-E72D297353CC}">
              <c16:uniqueId val="{00000000-1F90-4947-B704-CECBAFE22087}"/>
            </c:ext>
          </c:extLst>
        </c:ser>
        <c:ser>
          <c:idx val="1"/>
          <c:order val="1"/>
          <c:tx>
            <c:strRef>
              <c:f>Analysis!$E$292</c:f>
              <c:strCache>
                <c:ptCount val="1"/>
                <c:pt idx="0">
                  <c:v> # of children Latrine s</c:v>
                </c:pt>
              </c:strCache>
            </c:strRef>
          </c:tx>
          <c:spPr>
            <a:solidFill>
              <a:schemeClr val="accent2">
                <a:lumMod val="75000"/>
              </a:schemeClr>
            </a:solidFill>
            <a:ln>
              <a:noFill/>
            </a:ln>
            <a:effectLst/>
          </c:spPr>
          <c:invertIfNegative val="0"/>
          <c:cat>
            <c:strRef>
              <c:f>Analysis!$C$293:$C$295</c:f>
              <c:strCache>
                <c:ptCount val="3"/>
                <c:pt idx="0">
                  <c:v>Kachin</c:v>
                </c:pt>
                <c:pt idx="1">
                  <c:v>Rakhine</c:v>
                </c:pt>
                <c:pt idx="2">
                  <c:v>Shan (North)</c:v>
                </c:pt>
              </c:strCache>
            </c:strRef>
          </c:cat>
          <c:val>
            <c:numRef>
              <c:f>Analysis!$E$293:$E$295</c:f>
              <c:numCache>
                <c:formatCode>General</c:formatCode>
                <c:ptCount val="3"/>
                <c:pt idx="0">
                  <c:v>0</c:v>
                </c:pt>
                <c:pt idx="1">
                  <c:v>0</c:v>
                </c:pt>
                <c:pt idx="2">
                  <c:v>6</c:v>
                </c:pt>
              </c:numCache>
            </c:numRef>
          </c:val>
          <c:extLst xmlns:c16r2="http://schemas.microsoft.com/office/drawing/2015/06/chart">
            <c:ext xmlns:c16="http://schemas.microsoft.com/office/drawing/2014/chart" uri="{C3380CC4-5D6E-409C-BE32-E72D297353CC}">
              <c16:uniqueId val="{00000001-1F90-4947-B704-CECBAFE22087}"/>
            </c:ext>
          </c:extLst>
        </c:ser>
        <c:ser>
          <c:idx val="2"/>
          <c:order val="2"/>
          <c:tx>
            <c:strRef>
              <c:f>Analysis!$F$292</c:f>
              <c:strCache>
                <c:ptCount val="1"/>
                <c:pt idx="0">
                  <c:v> # of latrines in TLS (schools)</c:v>
                </c:pt>
              </c:strCache>
            </c:strRef>
          </c:tx>
          <c:spPr>
            <a:solidFill>
              <a:schemeClr val="accent2">
                <a:lumMod val="75000"/>
              </a:schemeClr>
            </a:solidFill>
            <a:ln>
              <a:noFill/>
            </a:ln>
            <a:effectLst/>
          </c:spPr>
          <c:invertIfNegative val="0"/>
          <c:cat>
            <c:strRef>
              <c:f>Analysis!$C$293:$C$295</c:f>
              <c:strCache>
                <c:ptCount val="3"/>
                <c:pt idx="0">
                  <c:v>Kachin</c:v>
                </c:pt>
                <c:pt idx="1">
                  <c:v>Rakhine</c:v>
                </c:pt>
                <c:pt idx="2">
                  <c:v>Shan (North)</c:v>
                </c:pt>
              </c:strCache>
            </c:strRef>
          </c:cat>
          <c:val>
            <c:numRef>
              <c:f>Analysis!$F$293:$F$295</c:f>
              <c:numCache>
                <c:formatCode>General</c:formatCode>
                <c:ptCount val="3"/>
                <c:pt idx="0">
                  <c:v>35</c:v>
                </c:pt>
                <c:pt idx="1">
                  <c:v>74</c:v>
                </c:pt>
                <c:pt idx="2">
                  <c:v>1</c:v>
                </c:pt>
              </c:numCache>
            </c:numRef>
          </c:val>
          <c:extLst xmlns:c16r2="http://schemas.microsoft.com/office/drawing/2015/06/chart">
            <c:ext xmlns:c16="http://schemas.microsoft.com/office/drawing/2014/chart" uri="{C3380CC4-5D6E-409C-BE32-E72D297353CC}">
              <c16:uniqueId val="{00000002-1F90-4947-B704-CECBAFE22087}"/>
            </c:ext>
          </c:extLst>
        </c:ser>
        <c:dLbls>
          <c:showLegendKey val="0"/>
          <c:showVal val="0"/>
          <c:showCatName val="0"/>
          <c:showSerName val="0"/>
          <c:showPercent val="0"/>
          <c:showBubbleSize val="0"/>
        </c:dLbls>
        <c:gapWidth val="100"/>
        <c:overlap val="-24"/>
        <c:axId val="483829968"/>
        <c:axId val="483827616"/>
      </c:barChart>
      <c:catAx>
        <c:axId val="483829968"/>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483827616"/>
        <c:crosses val="autoZero"/>
        <c:auto val="1"/>
        <c:lblAlgn val="ctr"/>
        <c:lblOffset val="100"/>
        <c:noMultiLvlLbl val="0"/>
      </c:catAx>
      <c:valAx>
        <c:axId val="483827616"/>
        <c:scaling>
          <c:orientation val="minMax"/>
        </c:scaling>
        <c:delete val="0"/>
        <c:axPos val="l"/>
        <c:majorGridlines>
          <c:spPr>
            <a:ln w="9525" cap="flat" cmpd="sng" algn="ctr">
              <a:solidFill>
                <a:schemeClr val="tx2">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48382996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autoTitleDeleted val="1"/>
    <c:plotArea>
      <c:layout>
        <c:manualLayout>
          <c:layoutTarget val="inner"/>
          <c:xMode val="edge"/>
          <c:yMode val="edge"/>
          <c:x val="0.18242709244677749"/>
          <c:y val="6.3657407407407413E-2"/>
          <c:w val="0.76664698162729661"/>
          <c:h val="0.68128827646544177"/>
        </c:manualLayout>
      </c:layout>
      <c:barChart>
        <c:barDir val="col"/>
        <c:grouping val="stacked"/>
        <c:varyColors val="0"/>
        <c:ser>
          <c:idx val="0"/>
          <c:order val="0"/>
          <c:tx>
            <c:strRef>
              <c:f>Analysis!$C$92</c:f>
              <c:strCache>
                <c:ptCount val="1"/>
                <c:pt idx="0">
                  <c:v>Coverage</c:v>
                </c:pt>
              </c:strCache>
            </c:strRef>
          </c:tx>
          <c:spPr>
            <a:solidFill>
              <a:schemeClr val="accent2">
                <a:shade val="76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Analysis!$D$91:$E$91</c:f>
              <c:strCache>
                <c:ptCount val="2"/>
                <c:pt idx="0">
                  <c:v># in GCA (20:1)</c:v>
                </c:pt>
                <c:pt idx="1">
                  <c:v># in NGCA (20:1)</c:v>
                </c:pt>
              </c:strCache>
            </c:strRef>
          </c:cat>
          <c:val>
            <c:numRef>
              <c:f>Analysis!$D$92:$E$92</c:f>
              <c:numCache>
                <c:formatCode>_(* #,##0_);_(* \(#,##0\);_(* "-"??_);_(@_)</c:formatCode>
                <c:ptCount val="2"/>
                <c:pt idx="0">
                  <c:v>2072</c:v>
                </c:pt>
                <c:pt idx="1">
                  <c:v>3416</c:v>
                </c:pt>
              </c:numCache>
            </c:numRef>
          </c:val>
          <c:extLst xmlns:c16r2="http://schemas.microsoft.com/office/drawing/2015/06/chart">
            <c:ext xmlns:c16="http://schemas.microsoft.com/office/drawing/2014/chart" uri="{C3380CC4-5D6E-409C-BE32-E72D297353CC}">
              <c16:uniqueId val="{00000000-11DD-45FB-9A7E-843D5E549A65}"/>
            </c:ext>
          </c:extLst>
        </c:ser>
        <c:ser>
          <c:idx val="1"/>
          <c:order val="1"/>
          <c:tx>
            <c:strRef>
              <c:f>Analysis!$C$93</c:f>
              <c:strCache>
                <c:ptCount val="1"/>
                <c:pt idx="0">
                  <c:v>GAP</c:v>
                </c:pt>
              </c:strCache>
            </c:strRef>
          </c:tx>
          <c:spPr>
            <a:solidFill>
              <a:schemeClr val="accent2">
                <a:tint val="77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Analysis!$D$91:$E$91</c:f>
              <c:strCache>
                <c:ptCount val="2"/>
                <c:pt idx="0">
                  <c:v># in GCA (20:1)</c:v>
                </c:pt>
                <c:pt idx="1">
                  <c:v># in NGCA (20:1)</c:v>
                </c:pt>
              </c:strCache>
            </c:strRef>
          </c:cat>
          <c:val>
            <c:numRef>
              <c:f>Analysis!$D$93:$E$93</c:f>
              <c:numCache>
                <c:formatCode>_(* #,##0_);_(* \(#,##0\);_(* "-"??_);_(@_)</c:formatCode>
                <c:ptCount val="2"/>
                <c:pt idx="0">
                  <c:v>369</c:v>
                </c:pt>
                <c:pt idx="1">
                  <c:v>0</c:v>
                </c:pt>
              </c:numCache>
            </c:numRef>
          </c:val>
          <c:extLst xmlns:c16r2="http://schemas.microsoft.com/office/drawing/2015/06/chart">
            <c:ext xmlns:c16="http://schemas.microsoft.com/office/drawing/2014/chart" uri="{C3380CC4-5D6E-409C-BE32-E72D297353CC}">
              <c16:uniqueId val="{00000001-11DD-45FB-9A7E-843D5E549A65}"/>
            </c:ext>
          </c:extLst>
        </c:ser>
        <c:dLbls>
          <c:dLblPos val="ctr"/>
          <c:showLegendKey val="0"/>
          <c:showVal val="1"/>
          <c:showCatName val="0"/>
          <c:showSerName val="0"/>
          <c:showPercent val="0"/>
          <c:showBubbleSize val="0"/>
        </c:dLbls>
        <c:gapWidth val="150"/>
        <c:overlap val="100"/>
        <c:axId val="483824480"/>
        <c:axId val="483824872"/>
      </c:barChart>
      <c:catAx>
        <c:axId val="4838244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83824872"/>
        <c:crosses val="autoZero"/>
        <c:auto val="1"/>
        <c:lblAlgn val="ctr"/>
        <c:lblOffset val="100"/>
        <c:noMultiLvlLbl val="0"/>
      </c:catAx>
      <c:valAx>
        <c:axId val="483824872"/>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838244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no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autoTitleDeleted val="1"/>
    <c:plotArea>
      <c:layout>
        <c:manualLayout>
          <c:layoutTarget val="inner"/>
          <c:xMode val="edge"/>
          <c:yMode val="edge"/>
          <c:x val="5.0925925925925923E-2"/>
          <c:y val="6.3657407407407413E-2"/>
          <c:w val="0.89814814814814814"/>
          <c:h val="0.67477854330708675"/>
        </c:manualLayout>
      </c:layout>
      <c:barChart>
        <c:barDir val="col"/>
        <c:grouping val="stacked"/>
        <c:varyColors val="0"/>
        <c:ser>
          <c:idx val="2"/>
          <c:order val="2"/>
          <c:tx>
            <c:strRef>
              <c:f>Analysis!$C$94</c:f>
              <c:strCache>
                <c:ptCount val="1"/>
                <c:pt idx="0">
                  <c:v>Latrines handed over</c:v>
                </c:pt>
              </c:strCache>
            </c:strRef>
          </c:tx>
          <c:spPr>
            <a:solidFill>
              <a:schemeClr val="accent2">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Analysis!$D$91:$E$91</c:f>
              <c:strCache>
                <c:ptCount val="2"/>
                <c:pt idx="0">
                  <c:v># in GCA (20:1)</c:v>
                </c:pt>
                <c:pt idx="1">
                  <c:v># in NGCA (20:1)</c:v>
                </c:pt>
              </c:strCache>
            </c:strRef>
          </c:cat>
          <c:val>
            <c:numRef>
              <c:f>Analysis!$D$94:$E$94</c:f>
              <c:numCache>
                <c:formatCode>_(* #,##0_);_(* \(#,##0\);_(* "-"??_);_(@_)</c:formatCode>
                <c:ptCount val="2"/>
                <c:pt idx="0">
                  <c:v>640</c:v>
                </c:pt>
                <c:pt idx="1">
                  <c:v>55</c:v>
                </c:pt>
              </c:numCache>
            </c:numRef>
          </c:val>
          <c:extLst xmlns:c16r2="http://schemas.microsoft.com/office/drawing/2015/06/chart">
            <c:ext xmlns:c16="http://schemas.microsoft.com/office/drawing/2014/chart" uri="{C3380CC4-5D6E-409C-BE32-E72D297353CC}">
              <c16:uniqueId val="{00000000-EDB8-4005-B0CC-AA882CBF326D}"/>
            </c:ext>
          </c:extLst>
        </c:ser>
        <c:ser>
          <c:idx val="3"/>
          <c:order val="3"/>
          <c:tx>
            <c:strRef>
              <c:f>Analysis!$C$95</c:f>
              <c:strCache>
                <c:ptCount val="1"/>
                <c:pt idx="0">
                  <c:v>Latrines not handed over</c:v>
                </c:pt>
              </c:strCache>
            </c:strRef>
          </c:tx>
          <c:spPr>
            <a:solidFill>
              <a:schemeClr val="accent2">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Analysis!$D$91:$E$91</c:f>
              <c:strCache>
                <c:ptCount val="2"/>
                <c:pt idx="0">
                  <c:v># in GCA (20:1)</c:v>
                </c:pt>
                <c:pt idx="1">
                  <c:v># in NGCA (20:1)</c:v>
                </c:pt>
              </c:strCache>
            </c:strRef>
          </c:cat>
          <c:val>
            <c:numRef>
              <c:f>Analysis!$D$95:$E$95</c:f>
              <c:numCache>
                <c:formatCode>_(* #,##0_);_(* \(#,##0\);_(* "-"??_);_(@_)</c:formatCode>
                <c:ptCount val="2"/>
                <c:pt idx="0">
                  <c:v>1801</c:v>
                </c:pt>
                <c:pt idx="1">
                  <c:v>3361</c:v>
                </c:pt>
              </c:numCache>
            </c:numRef>
          </c:val>
          <c:extLst xmlns:c16r2="http://schemas.microsoft.com/office/drawing/2015/06/chart">
            <c:ext xmlns:c16="http://schemas.microsoft.com/office/drawing/2014/chart" uri="{C3380CC4-5D6E-409C-BE32-E72D297353CC}">
              <c16:uniqueId val="{00000001-EDB8-4005-B0CC-AA882CBF326D}"/>
            </c:ext>
          </c:extLst>
        </c:ser>
        <c:dLbls>
          <c:showLegendKey val="0"/>
          <c:showVal val="0"/>
          <c:showCatName val="0"/>
          <c:showSerName val="0"/>
          <c:showPercent val="0"/>
          <c:showBubbleSize val="0"/>
        </c:dLbls>
        <c:gapWidth val="150"/>
        <c:overlap val="100"/>
        <c:axId val="483829184"/>
        <c:axId val="483829576"/>
        <c:extLst xmlns:c16r2="http://schemas.microsoft.com/office/drawing/2015/06/chart">
          <c:ext xmlns:c15="http://schemas.microsoft.com/office/drawing/2012/chart" uri="{02D57815-91ED-43cb-92C2-25804820EDAC}">
            <c15:filteredBarSeries>
              <c15:ser>
                <c:idx val="0"/>
                <c:order val="0"/>
                <c:tx>
                  <c:strRef>
                    <c:extLst xmlns:c16r2="http://schemas.microsoft.com/office/drawing/2015/06/chart">
                      <c:ext uri="{02D57815-91ED-43cb-92C2-25804820EDAC}">
                        <c15:formulaRef>
                          <c15:sqref>Analysis!$C$92</c15:sqref>
                        </c15:formulaRef>
                      </c:ext>
                    </c:extLst>
                    <c:strCache>
                      <c:ptCount val="1"/>
                      <c:pt idx="0">
                        <c:v>Coverage</c:v>
                      </c:pt>
                    </c:strCache>
                  </c:strRef>
                </c:tx>
                <c:spPr>
                  <a:solidFill>
                    <a:schemeClr val="accent2">
                      <a:shade val="58000"/>
                    </a:schemeClr>
                  </a:solidFill>
                  <a:ln>
                    <a:noFill/>
                  </a:ln>
                  <a:effectLst/>
                </c:spPr>
                <c:invertIfNegative val="0"/>
                <c:cat>
                  <c:strRef>
                    <c:extLst xmlns:c16r2="http://schemas.microsoft.com/office/drawing/2015/06/chart">
                      <c:ext uri="{02D57815-91ED-43cb-92C2-25804820EDAC}">
                        <c15:formulaRef>
                          <c15:sqref>Analysis!$D$91:$E$91</c15:sqref>
                        </c15:formulaRef>
                      </c:ext>
                    </c:extLst>
                    <c:strCache>
                      <c:ptCount val="2"/>
                      <c:pt idx="0">
                        <c:v># in GCA (20:1)</c:v>
                      </c:pt>
                      <c:pt idx="1">
                        <c:v># in NGCA (20:1)</c:v>
                      </c:pt>
                    </c:strCache>
                  </c:strRef>
                </c:cat>
                <c:val>
                  <c:numRef>
                    <c:extLst xmlns:c16r2="http://schemas.microsoft.com/office/drawing/2015/06/chart">
                      <c:ext uri="{02D57815-91ED-43cb-92C2-25804820EDAC}">
                        <c15:formulaRef>
                          <c15:sqref>Analysis!$D$92:$E$92</c15:sqref>
                        </c15:formulaRef>
                      </c:ext>
                    </c:extLst>
                    <c:numCache>
                      <c:formatCode>_(* #,##0_);_(* \(#,##0\);_(* "-"??_);_(@_)</c:formatCode>
                      <c:ptCount val="2"/>
                      <c:pt idx="0">
                        <c:v>2072</c:v>
                      </c:pt>
                      <c:pt idx="1">
                        <c:v>3416</c:v>
                      </c:pt>
                    </c:numCache>
                  </c:numRef>
                </c:val>
                <c:extLst xmlns:c16r2="http://schemas.microsoft.com/office/drawing/2015/06/chart">
                  <c:ext xmlns:c16="http://schemas.microsoft.com/office/drawing/2014/chart" uri="{C3380CC4-5D6E-409C-BE32-E72D297353CC}">
                    <c16:uniqueId val="{00000000-4E65-4764-B72A-B684BBEB32AF}"/>
                  </c:ext>
                </c:extLst>
              </c15:ser>
            </c15:filteredBarSeries>
            <c15:filteredBarSeries>
              <c15:ser>
                <c:idx val="1"/>
                <c:order val="1"/>
                <c:tx>
                  <c:strRef>
                    <c:extLst xmlns:c15="http://schemas.microsoft.com/office/drawing/2012/chart" xmlns:c16r2="http://schemas.microsoft.com/office/drawing/2015/06/chart">
                      <c:ext xmlns:c15="http://schemas.microsoft.com/office/drawing/2012/chart" uri="{02D57815-91ED-43cb-92C2-25804820EDAC}">
                        <c15:formulaRef>
                          <c15:sqref>Analysis!$C$93</c15:sqref>
                        </c15:formulaRef>
                      </c:ext>
                    </c:extLst>
                    <c:strCache>
                      <c:ptCount val="1"/>
                      <c:pt idx="0">
                        <c:v>GAP</c:v>
                      </c:pt>
                    </c:strCache>
                  </c:strRef>
                </c:tx>
                <c:spPr>
                  <a:solidFill>
                    <a:schemeClr val="accent2">
                      <a:shade val="86000"/>
                    </a:schemeClr>
                  </a:solidFill>
                  <a:ln>
                    <a:noFill/>
                  </a:ln>
                  <a:effectLst/>
                </c:spPr>
                <c:invertIfNegative val="0"/>
                <c:cat>
                  <c:strRef>
                    <c:extLst xmlns:c15="http://schemas.microsoft.com/office/drawing/2012/chart" xmlns:c16r2="http://schemas.microsoft.com/office/drawing/2015/06/chart">
                      <c:ext xmlns:c15="http://schemas.microsoft.com/office/drawing/2012/chart" uri="{02D57815-91ED-43cb-92C2-25804820EDAC}">
                        <c15:formulaRef>
                          <c15:sqref>Analysis!$D$91:$E$91</c15:sqref>
                        </c15:formulaRef>
                      </c:ext>
                    </c:extLst>
                    <c:strCache>
                      <c:ptCount val="2"/>
                      <c:pt idx="0">
                        <c:v># in GCA (20:1)</c:v>
                      </c:pt>
                      <c:pt idx="1">
                        <c:v># in NGCA (20:1)</c:v>
                      </c:pt>
                    </c:strCache>
                  </c:strRef>
                </c:cat>
                <c:val>
                  <c:numRef>
                    <c:extLst xmlns:c15="http://schemas.microsoft.com/office/drawing/2012/chart" xmlns:c16r2="http://schemas.microsoft.com/office/drawing/2015/06/chart">
                      <c:ext xmlns:c15="http://schemas.microsoft.com/office/drawing/2012/chart" uri="{02D57815-91ED-43cb-92C2-25804820EDAC}">
                        <c15:formulaRef>
                          <c15:sqref>Analysis!$D$93:$E$93</c15:sqref>
                        </c15:formulaRef>
                      </c:ext>
                    </c:extLst>
                    <c:numCache>
                      <c:formatCode>_(* #,##0_);_(* \(#,##0\);_(* "-"??_);_(@_)</c:formatCode>
                      <c:ptCount val="2"/>
                      <c:pt idx="0">
                        <c:v>369</c:v>
                      </c:pt>
                      <c:pt idx="1">
                        <c:v>0</c:v>
                      </c:pt>
                    </c:numCache>
                  </c:numRef>
                </c:val>
                <c:extLst xmlns:c15="http://schemas.microsoft.com/office/drawing/2012/chart" xmlns:c16r2="http://schemas.microsoft.com/office/drawing/2015/06/chart">
                  <c:ext xmlns:c16="http://schemas.microsoft.com/office/drawing/2014/chart" uri="{C3380CC4-5D6E-409C-BE32-E72D297353CC}">
                    <c16:uniqueId val="{00000002-4E65-4764-B72A-B684BBEB32AF}"/>
                  </c:ext>
                </c:extLst>
              </c15:ser>
            </c15:filteredBarSeries>
          </c:ext>
        </c:extLst>
      </c:barChart>
      <c:catAx>
        <c:axId val="4838291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83829576"/>
        <c:crosses val="autoZero"/>
        <c:auto val="1"/>
        <c:lblAlgn val="ctr"/>
        <c:lblOffset val="100"/>
        <c:noMultiLvlLbl val="0"/>
      </c:catAx>
      <c:valAx>
        <c:axId val="483829576"/>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83829184"/>
        <c:crosses val="autoZero"/>
        <c:crossBetween val="between"/>
      </c:valAx>
      <c:spPr>
        <a:noFill/>
        <a:ln>
          <a:noFill/>
        </a:ln>
        <a:effectLst/>
      </c:spPr>
    </c:plotArea>
    <c:legend>
      <c:legendPos val="b"/>
      <c:layout>
        <c:manualLayout>
          <c:xMode val="edge"/>
          <c:yMode val="edge"/>
          <c:x val="7.3147387074633835E-2"/>
          <c:y val="0.83072779965004362"/>
          <c:w val="0.85926034153090936"/>
          <c:h val="0.134549978127734"/>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autoTitleDeleted val="1"/>
    <c:plotArea>
      <c:layout/>
      <c:barChart>
        <c:barDir val="col"/>
        <c:grouping val="clustered"/>
        <c:varyColors val="0"/>
        <c:ser>
          <c:idx val="0"/>
          <c:order val="0"/>
          <c:tx>
            <c:strRef>
              <c:f>Analysis!$C$96</c:f>
              <c:strCache>
                <c:ptCount val="1"/>
                <c:pt idx="0">
                  <c:v># latrines repairs</c:v>
                </c:pt>
              </c:strCache>
            </c:strRef>
          </c:tx>
          <c:spPr>
            <a:solidFill>
              <a:schemeClr val="accent2">
                <a:shade val="76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Analysis!$D$91:$E$91</c:f>
              <c:strCache>
                <c:ptCount val="2"/>
                <c:pt idx="0">
                  <c:v># in GCA (20:1)</c:v>
                </c:pt>
                <c:pt idx="1">
                  <c:v># in NGCA (20:1)</c:v>
                </c:pt>
              </c:strCache>
            </c:strRef>
          </c:cat>
          <c:val>
            <c:numRef>
              <c:f>Analysis!$D$96:$E$96</c:f>
              <c:numCache>
                <c:formatCode>_(* #,##0_);_(* \(#,##0\);_(* "-"??_);_(@_)</c:formatCode>
                <c:ptCount val="2"/>
                <c:pt idx="0">
                  <c:v>189</c:v>
                </c:pt>
                <c:pt idx="1">
                  <c:v>113</c:v>
                </c:pt>
              </c:numCache>
            </c:numRef>
          </c:val>
          <c:extLst xmlns:c16r2="http://schemas.microsoft.com/office/drawing/2015/06/chart">
            <c:ext xmlns:c16="http://schemas.microsoft.com/office/drawing/2014/chart" uri="{C3380CC4-5D6E-409C-BE32-E72D297353CC}">
              <c16:uniqueId val="{00000000-177F-4830-A166-C2511012B919}"/>
            </c:ext>
          </c:extLst>
        </c:ser>
        <c:ser>
          <c:idx val="1"/>
          <c:order val="1"/>
          <c:tx>
            <c:strRef>
              <c:f>Analysis!$C$97</c:f>
              <c:strCache>
                <c:ptCount val="1"/>
                <c:pt idx="0">
                  <c:v># latrines desludged</c:v>
                </c:pt>
              </c:strCache>
            </c:strRef>
          </c:tx>
          <c:spPr>
            <a:solidFill>
              <a:schemeClr val="accent2">
                <a:tint val="77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Analysis!$D$91:$E$91</c:f>
              <c:strCache>
                <c:ptCount val="2"/>
                <c:pt idx="0">
                  <c:v># in GCA (20:1)</c:v>
                </c:pt>
                <c:pt idx="1">
                  <c:v># in NGCA (20:1)</c:v>
                </c:pt>
              </c:strCache>
            </c:strRef>
          </c:cat>
          <c:val>
            <c:numRef>
              <c:f>Analysis!$D$97:$E$97</c:f>
              <c:numCache>
                <c:formatCode>_(* #,##0_);_(* \(#,##0\);_(* "-"??_);_(@_)</c:formatCode>
                <c:ptCount val="2"/>
                <c:pt idx="0">
                  <c:v>327</c:v>
                </c:pt>
                <c:pt idx="1">
                  <c:v>118</c:v>
                </c:pt>
              </c:numCache>
            </c:numRef>
          </c:val>
          <c:extLst xmlns:c16r2="http://schemas.microsoft.com/office/drawing/2015/06/chart">
            <c:ext xmlns:c16="http://schemas.microsoft.com/office/drawing/2014/chart" uri="{C3380CC4-5D6E-409C-BE32-E72D297353CC}">
              <c16:uniqueId val="{00000001-177F-4830-A166-C2511012B919}"/>
            </c:ext>
          </c:extLst>
        </c:ser>
        <c:dLbls>
          <c:dLblPos val="inEnd"/>
          <c:showLegendKey val="0"/>
          <c:showVal val="1"/>
          <c:showCatName val="0"/>
          <c:showSerName val="0"/>
          <c:showPercent val="0"/>
          <c:showBubbleSize val="0"/>
        </c:dLbls>
        <c:gapWidth val="219"/>
        <c:overlap val="-27"/>
        <c:axId val="483826048"/>
        <c:axId val="483828400"/>
      </c:barChart>
      <c:catAx>
        <c:axId val="4838260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83828400"/>
        <c:crosses val="autoZero"/>
        <c:auto val="1"/>
        <c:lblAlgn val="ctr"/>
        <c:lblOffset val="100"/>
        <c:noMultiLvlLbl val="0"/>
      </c:catAx>
      <c:valAx>
        <c:axId val="483828400"/>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838260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no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autoTitleDeleted val="1"/>
    <c:plotArea>
      <c:layout/>
      <c:barChart>
        <c:barDir val="col"/>
        <c:grouping val="stacked"/>
        <c:varyColors val="0"/>
        <c:ser>
          <c:idx val="0"/>
          <c:order val="0"/>
          <c:tx>
            <c:strRef>
              <c:f>Analysis!$N$94</c:f>
              <c:strCache>
                <c:ptCount val="1"/>
                <c:pt idx="0">
                  <c:v>Latrines handed over</c:v>
                </c:pt>
              </c:strCache>
            </c:strRef>
          </c:tx>
          <c:spPr>
            <a:solidFill>
              <a:schemeClr val="accent2">
                <a:shade val="76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Analysis!$O$91:$P$91</c:f>
              <c:strCache>
                <c:ptCount val="2"/>
                <c:pt idx="0">
                  <c:v># in active camps (20:1)</c:v>
                </c:pt>
                <c:pt idx="1">
                  <c:v># in villages (6:1)</c:v>
                </c:pt>
              </c:strCache>
            </c:strRef>
          </c:cat>
          <c:val>
            <c:numRef>
              <c:f>Analysis!$O$94:$P$94</c:f>
              <c:numCache>
                <c:formatCode>_(* #,##0_);_(* \(#,##0\);_(* "-"??_);_(@_)</c:formatCode>
                <c:ptCount val="2"/>
                <c:pt idx="0">
                  <c:v>4192</c:v>
                </c:pt>
                <c:pt idx="1">
                  <c:v>1651</c:v>
                </c:pt>
              </c:numCache>
            </c:numRef>
          </c:val>
          <c:extLst xmlns:c16r2="http://schemas.microsoft.com/office/drawing/2015/06/chart">
            <c:ext xmlns:c16="http://schemas.microsoft.com/office/drawing/2014/chart" uri="{C3380CC4-5D6E-409C-BE32-E72D297353CC}">
              <c16:uniqueId val="{00000000-505F-42BD-9152-C078C15A7639}"/>
            </c:ext>
          </c:extLst>
        </c:ser>
        <c:ser>
          <c:idx val="1"/>
          <c:order val="1"/>
          <c:tx>
            <c:strRef>
              <c:f>Analysis!$N$95</c:f>
              <c:strCache>
                <c:ptCount val="1"/>
                <c:pt idx="0">
                  <c:v>Latrines not handed over</c:v>
                </c:pt>
              </c:strCache>
            </c:strRef>
          </c:tx>
          <c:spPr>
            <a:solidFill>
              <a:schemeClr val="accent2">
                <a:tint val="77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Analysis!$O$91:$P$91</c:f>
              <c:strCache>
                <c:ptCount val="2"/>
                <c:pt idx="0">
                  <c:v># in active camps (20:1)</c:v>
                </c:pt>
                <c:pt idx="1">
                  <c:v># in villages (6:1)</c:v>
                </c:pt>
              </c:strCache>
            </c:strRef>
          </c:cat>
          <c:val>
            <c:numRef>
              <c:f>Analysis!$O$95:$P$95</c:f>
              <c:numCache>
                <c:formatCode>_(* #,##0_);_(* \(#,##0\);_(* "-"??_);_(@_)</c:formatCode>
                <c:ptCount val="2"/>
                <c:pt idx="0">
                  <c:v>1884</c:v>
                </c:pt>
                <c:pt idx="1">
                  <c:v>8509</c:v>
                </c:pt>
              </c:numCache>
            </c:numRef>
          </c:val>
          <c:extLst xmlns:c16r2="http://schemas.microsoft.com/office/drawing/2015/06/chart">
            <c:ext xmlns:c16="http://schemas.microsoft.com/office/drawing/2014/chart" uri="{C3380CC4-5D6E-409C-BE32-E72D297353CC}">
              <c16:uniqueId val="{00000001-505F-42BD-9152-C078C15A7639}"/>
            </c:ext>
          </c:extLst>
        </c:ser>
        <c:dLbls>
          <c:dLblPos val="ctr"/>
          <c:showLegendKey val="0"/>
          <c:showVal val="1"/>
          <c:showCatName val="0"/>
          <c:showSerName val="0"/>
          <c:showPercent val="0"/>
          <c:showBubbleSize val="0"/>
        </c:dLbls>
        <c:gapWidth val="150"/>
        <c:overlap val="100"/>
        <c:axId val="483825264"/>
        <c:axId val="483932832"/>
      </c:barChart>
      <c:catAx>
        <c:axId val="4838252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83932832"/>
        <c:crosses val="autoZero"/>
        <c:auto val="1"/>
        <c:lblAlgn val="ctr"/>
        <c:lblOffset val="100"/>
        <c:noMultiLvlLbl val="0"/>
      </c:catAx>
      <c:valAx>
        <c:axId val="483932832"/>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8382526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r>
              <a:rPr lang="en-US" sz="1200"/>
              <a:t>Number of people with access to continuous sanitation services</a:t>
            </a:r>
          </a:p>
        </c:rich>
      </c:tx>
      <c:overlay val="0"/>
      <c:spPr>
        <a:noFill/>
        <a:ln>
          <a:noFill/>
        </a:ln>
        <a:effectLst/>
      </c:spPr>
      <c:txPr>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n-US"/>
        </a:p>
      </c:txPr>
    </c:title>
    <c:autoTitleDeleted val="0"/>
    <c:plotArea>
      <c:layout/>
      <c:barChart>
        <c:barDir val="bar"/>
        <c:grouping val="percentStacked"/>
        <c:varyColors val="0"/>
        <c:ser>
          <c:idx val="1"/>
          <c:order val="1"/>
          <c:tx>
            <c:strRef>
              <c:f>HRP!$D$66</c:f>
              <c:strCache>
                <c:ptCount val="1"/>
                <c:pt idx="0">
                  <c:v>Number of people with access to continuous sanitation services(Reached)</c:v>
                </c:pt>
              </c:strCache>
            </c:strRef>
          </c:tx>
          <c:spPr>
            <a:solidFill>
              <a:schemeClr val="accent2">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HRP!$B$67:$B$69</c:f>
              <c:strCache>
                <c:ptCount val="3"/>
                <c:pt idx="0">
                  <c:v>Kachin</c:v>
                </c:pt>
                <c:pt idx="1">
                  <c:v>Rakhine</c:v>
                </c:pt>
                <c:pt idx="2">
                  <c:v>Shan (North)</c:v>
                </c:pt>
              </c:strCache>
            </c:strRef>
          </c:cat>
          <c:val>
            <c:numRef>
              <c:f>HRP!$D$67:$D$69</c:f>
              <c:numCache>
                <c:formatCode>_(* #,##0_);_(* \(#,##0\);_(* "-"??_);_(@_)</c:formatCode>
                <c:ptCount val="3"/>
                <c:pt idx="0">
                  <c:v>8845</c:v>
                </c:pt>
                <c:pt idx="1">
                  <c:v>15540</c:v>
                </c:pt>
                <c:pt idx="2">
                  <c:v>140</c:v>
                </c:pt>
              </c:numCache>
            </c:numRef>
          </c:val>
          <c:extLst xmlns:c16r2="http://schemas.microsoft.com/office/drawing/2015/06/chart">
            <c:ext xmlns:c16="http://schemas.microsoft.com/office/drawing/2014/chart" uri="{C3380CC4-5D6E-409C-BE32-E72D297353CC}">
              <c16:uniqueId val="{00000001-311A-49BF-BC39-A6490B21B371}"/>
            </c:ext>
          </c:extLst>
        </c:ser>
        <c:ser>
          <c:idx val="2"/>
          <c:order val="2"/>
          <c:tx>
            <c:strRef>
              <c:f>HRP!$E$66</c:f>
              <c:strCache>
                <c:ptCount val="1"/>
                <c:pt idx="0">
                  <c:v>Number of people with access to continuous sanitation services(Gap)</c:v>
                </c:pt>
              </c:strCache>
            </c:strRef>
          </c:tx>
          <c:spPr>
            <a:solidFill>
              <a:schemeClr val="accent2">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HRP!$B$67:$B$69</c:f>
              <c:strCache>
                <c:ptCount val="3"/>
                <c:pt idx="0">
                  <c:v>Kachin</c:v>
                </c:pt>
                <c:pt idx="1">
                  <c:v>Rakhine</c:v>
                </c:pt>
                <c:pt idx="2">
                  <c:v>Shan (North)</c:v>
                </c:pt>
              </c:strCache>
            </c:strRef>
          </c:cat>
          <c:val>
            <c:numRef>
              <c:f>HRP!$E$67:$E$69</c:f>
              <c:numCache>
                <c:formatCode>_(* #,##0_);_(* \(#,##0\);_(* "-"??_);_(@_)</c:formatCode>
                <c:ptCount val="3"/>
                <c:pt idx="0">
                  <c:v>20370.5</c:v>
                </c:pt>
                <c:pt idx="1">
                  <c:v>79244.25</c:v>
                </c:pt>
                <c:pt idx="2">
                  <c:v>4979.75</c:v>
                </c:pt>
              </c:numCache>
            </c:numRef>
          </c:val>
          <c:extLst xmlns:c16r2="http://schemas.microsoft.com/office/drawing/2015/06/chart">
            <c:ext xmlns:c16="http://schemas.microsoft.com/office/drawing/2014/chart" uri="{C3380CC4-5D6E-409C-BE32-E72D297353CC}">
              <c16:uniqueId val="{00000002-311A-49BF-BC39-A6490B21B371}"/>
            </c:ext>
          </c:extLst>
        </c:ser>
        <c:dLbls>
          <c:showLegendKey val="0"/>
          <c:showVal val="0"/>
          <c:showCatName val="0"/>
          <c:showSerName val="0"/>
          <c:showPercent val="0"/>
          <c:showBubbleSize val="0"/>
        </c:dLbls>
        <c:gapWidth val="150"/>
        <c:overlap val="100"/>
        <c:axId val="365209584"/>
        <c:axId val="365208016"/>
        <c:extLst xmlns:c16r2="http://schemas.microsoft.com/office/drawing/2015/06/chart">
          <c:ext xmlns:c15="http://schemas.microsoft.com/office/drawing/2012/chart" uri="{02D57815-91ED-43cb-92C2-25804820EDAC}">
            <c15:filteredBarSeries>
              <c15:ser>
                <c:idx val="0"/>
                <c:order val="0"/>
                <c:tx>
                  <c:strRef>
                    <c:extLst xmlns:c16r2="http://schemas.microsoft.com/office/drawing/2015/06/chart">
                      <c:ext uri="{02D57815-91ED-43cb-92C2-25804820EDAC}">
                        <c15:formulaRef>
                          <c15:sqref>HRP!$C$66</c15:sqref>
                        </c15:formulaRef>
                      </c:ext>
                    </c:extLst>
                    <c:strCache>
                      <c:ptCount val="1"/>
                      <c:pt idx="0">
                        <c:v>Number of people with access to continuous sanitation services(Target)</c:v>
                      </c:pt>
                    </c:strCache>
                  </c:strRef>
                </c:tx>
                <c:spPr>
                  <a:gradFill rotWithShape="1">
                    <a:gsLst>
                      <a:gs pos="0">
                        <a:schemeClr val="accent2">
                          <a:shade val="65000"/>
                          <a:satMod val="103000"/>
                          <a:lumMod val="102000"/>
                          <a:tint val="94000"/>
                        </a:schemeClr>
                      </a:gs>
                      <a:gs pos="50000">
                        <a:schemeClr val="accent2">
                          <a:shade val="65000"/>
                          <a:satMod val="110000"/>
                          <a:lumMod val="100000"/>
                          <a:shade val="100000"/>
                        </a:schemeClr>
                      </a:gs>
                      <a:gs pos="100000">
                        <a:schemeClr val="accent2">
                          <a:shade val="65000"/>
                          <a:lumMod val="99000"/>
                          <a:satMod val="120000"/>
                          <a:shade val="78000"/>
                        </a:schemeClr>
                      </a:gs>
                    </a:gsLst>
                    <a:lin ang="5400000" scaled="0"/>
                  </a:gradFill>
                  <a:ln>
                    <a:noFill/>
                  </a:ln>
                  <a:effectLst/>
                </c:spPr>
                <c:invertIfNegative val="0"/>
                <c:cat>
                  <c:strRef>
                    <c:extLst xmlns:c16r2="http://schemas.microsoft.com/office/drawing/2015/06/chart">
                      <c:ext uri="{02D57815-91ED-43cb-92C2-25804820EDAC}">
                        <c15:formulaRef>
                          <c15:sqref>HRP!$B$67:$B$69</c15:sqref>
                        </c15:formulaRef>
                      </c:ext>
                    </c:extLst>
                    <c:strCache>
                      <c:ptCount val="3"/>
                      <c:pt idx="0">
                        <c:v>Kachin</c:v>
                      </c:pt>
                      <c:pt idx="1">
                        <c:v>Rakhine</c:v>
                      </c:pt>
                      <c:pt idx="2">
                        <c:v>Shan (North)</c:v>
                      </c:pt>
                    </c:strCache>
                  </c:strRef>
                </c:cat>
                <c:val>
                  <c:numRef>
                    <c:extLst xmlns:c16r2="http://schemas.microsoft.com/office/drawing/2015/06/chart">
                      <c:ext uri="{02D57815-91ED-43cb-92C2-25804820EDAC}">
                        <c15:formulaRef>
                          <c15:sqref>HRP!$C$67:$C$69</c15:sqref>
                        </c15:formulaRef>
                      </c:ext>
                    </c:extLst>
                    <c:numCache>
                      <c:formatCode>_(* #,##0_);_(* \(#,##0\);_(* "-"??_);_(@_)</c:formatCode>
                      <c:ptCount val="3"/>
                      <c:pt idx="0">
                        <c:v>29215.5</c:v>
                      </c:pt>
                      <c:pt idx="1">
                        <c:v>94784.25</c:v>
                      </c:pt>
                      <c:pt idx="2">
                        <c:v>5119.75</c:v>
                      </c:pt>
                    </c:numCache>
                  </c:numRef>
                </c:val>
                <c:extLst xmlns:c16r2="http://schemas.microsoft.com/office/drawing/2015/06/chart">
                  <c:ext xmlns:c16="http://schemas.microsoft.com/office/drawing/2014/chart" uri="{C3380CC4-5D6E-409C-BE32-E72D297353CC}">
                    <c16:uniqueId val="{00000000-311A-49BF-BC39-A6490B21B371}"/>
                  </c:ext>
                </c:extLst>
              </c15:ser>
            </c15:filteredBarSeries>
          </c:ext>
        </c:extLst>
      </c:barChart>
      <c:catAx>
        <c:axId val="365209584"/>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365208016"/>
        <c:crosses val="autoZero"/>
        <c:auto val="1"/>
        <c:lblAlgn val="ctr"/>
        <c:lblOffset val="100"/>
        <c:noMultiLvlLbl val="0"/>
      </c:catAx>
      <c:valAx>
        <c:axId val="365208016"/>
        <c:scaling>
          <c:orientation val="minMax"/>
        </c:scaling>
        <c:delete val="0"/>
        <c:axPos val="b"/>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36520958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autoTitleDeleted val="1"/>
    <c:plotArea>
      <c:layout/>
      <c:barChart>
        <c:barDir val="col"/>
        <c:grouping val="stacked"/>
        <c:varyColors val="0"/>
        <c:ser>
          <c:idx val="0"/>
          <c:order val="0"/>
          <c:tx>
            <c:strRef>
              <c:f>Analysis!$N$92</c:f>
              <c:strCache>
                <c:ptCount val="1"/>
                <c:pt idx="0">
                  <c:v>Coverage</c:v>
                </c:pt>
              </c:strCache>
            </c:strRef>
          </c:tx>
          <c:spPr>
            <a:solidFill>
              <a:schemeClr val="accent2">
                <a:shade val="76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Analysis!$O$91:$P$91</c:f>
              <c:strCache>
                <c:ptCount val="2"/>
                <c:pt idx="0">
                  <c:v># in active camps (20:1)</c:v>
                </c:pt>
                <c:pt idx="1">
                  <c:v># in villages (6:1)</c:v>
                </c:pt>
              </c:strCache>
            </c:strRef>
          </c:cat>
          <c:val>
            <c:numRef>
              <c:f>Analysis!$O$92:$P$92</c:f>
              <c:numCache>
                <c:formatCode>_(* #,##0_);_(* \(#,##0\);_(* "-"??_);_(@_)</c:formatCode>
                <c:ptCount val="2"/>
                <c:pt idx="0">
                  <c:v>5102</c:v>
                </c:pt>
                <c:pt idx="1">
                  <c:v>2372</c:v>
                </c:pt>
              </c:numCache>
            </c:numRef>
          </c:val>
          <c:extLst xmlns:c16r2="http://schemas.microsoft.com/office/drawing/2015/06/chart">
            <c:ext xmlns:c16="http://schemas.microsoft.com/office/drawing/2014/chart" uri="{C3380CC4-5D6E-409C-BE32-E72D297353CC}">
              <c16:uniqueId val="{00000000-A6C3-4C9D-924E-545947A62E9C}"/>
            </c:ext>
          </c:extLst>
        </c:ser>
        <c:ser>
          <c:idx val="1"/>
          <c:order val="1"/>
          <c:tx>
            <c:strRef>
              <c:f>Analysis!$N$93</c:f>
              <c:strCache>
                <c:ptCount val="1"/>
                <c:pt idx="0">
                  <c:v>GAP</c:v>
                </c:pt>
              </c:strCache>
            </c:strRef>
          </c:tx>
          <c:spPr>
            <a:solidFill>
              <a:schemeClr val="accent2">
                <a:tint val="77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Analysis!$O$91:$P$91</c:f>
              <c:strCache>
                <c:ptCount val="2"/>
                <c:pt idx="0">
                  <c:v># in active camps (20:1)</c:v>
                </c:pt>
                <c:pt idx="1">
                  <c:v># in villages (6:1)</c:v>
                </c:pt>
              </c:strCache>
            </c:strRef>
          </c:cat>
          <c:val>
            <c:numRef>
              <c:f>Analysis!$O$93:$P$93</c:f>
              <c:numCache>
                <c:formatCode>_(* #,##0_);_(* \(#,##0\);_(* "-"??_);_(@_)</c:formatCode>
                <c:ptCount val="2"/>
                <c:pt idx="0">
                  <c:v>974</c:v>
                </c:pt>
                <c:pt idx="1">
                  <c:v>7788</c:v>
                </c:pt>
              </c:numCache>
            </c:numRef>
          </c:val>
          <c:extLst xmlns:c16r2="http://schemas.microsoft.com/office/drawing/2015/06/chart">
            <c:ext xmlns:c16="http://schemas.microsoft.com/office/drawing/2014/chart" uri="{C3380CC4-5D6E-409C-BE32-E72D297353CC}">
              <c16:uniqueId val="{00000001-A6C3-4C9D-924E-545947A62E9C}"/>
            </c:ext>
          </c:extLst>
        </c:ser>
        <c:dLbls>
          <c:dLblPos val="ctr"/>
          <c:showLegendKey val="0"/>
          <c:showVal val="1"/>
          <c:showCatName val="0"/>
          <c:showSerName val="0"/>
          <c:showPercent val="0"/>
          <c:showBubbleSize val="0"/>
        </c:dLbls>
        <c:gapWidth val="150"/>
        <c:overlap val="100"/>
        <c:axId val="483932440"/>
        <c:axId val="483933224"/>
      </c:barChart>
      <c:catAx>
        <c:axId val="4839324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83933224"/>
        <c:crosses val="autoZero"/>
        <c:auto val="1"/>
        <c:lblAlgn val="ctr"/>
        <c:lblOffset val="100"/>
        <c:noMultiLvlLbl val="0"/>
      </c:catAx>
      <c:valAx>
        <c:axId val="483933224"/>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8393244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autoTitleDeleted val="1"/>
    <c:plotArea>
      <c:layout/>
      <c:barChart>
        <c:barDir val="col"/>
        <c:grouping val="clustered"/>
        <c:varyColors val="0"/>
        <c:ser>
          <c:idx val="0"/>
          <c:order val="0"/>
          <c:tx>
            <c:strRef>
              <c:f>Analysis!$N$96</c:f>
              <c:strCache>
                <c:ptCount val="1"/>
                <c:pt idx="0">
                  <c:v># latrines repairs</c:v>
                </c:pt>
              </c:strCache>
            </c:strRef>
          </c:tx>
          <c:spPr>
            <a:solidFill>
              <a:schemeClr val="accent2">
                <a:shade val="76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Analysis!$O$91:$P$91</c:f>
              <c:strCache>
                <c:ptCount val="2"/>
                <c:pt idx="0">
                  <c:v># in active camps (20:1)</c:v>
                </c:pt>
                <c:pt idx="1">
                  <c:v># in villages (6:1)</c:v>
                </c:pt>
              </c:strCache>
            </c:strRef>
          </c:cat>
          <c:val>
            <c:numRef>
              <c:f>Analysis!$O$96:$P$96</c:f>
              <c:numCache>
                <c:formatCode>_(* #,##0_);_(* \(#,##0\);_(* "-"??_);_(@_)</c:formatCode>
                <c:ptCount val="2"/>
                <c:pt idx="0">
                  <c:v>1345</c:v>
                </c:pt>
                <c:pt idx="1">
                  <c:v>538</c:v>
                </c:pt>
              </c:numCache>
            </c:numRef>
          </c:val>
          <c:extLst xmlns:c16r2="http://schemas.microsoft.com/office/drawing/2015/06/chart">
            <c:ext xmlns:c16="http://schemas.microsoft.com/office/drawing/2014/chart" uri="{C3380CC4-5D6E-409C-BE32-E72D297353CC}">
              <c16:uniqueId val="{00000000-D624-4306-9FDE-126985E12BCF}"/>
            </c:ext>
          </c:extLst>
        </c:ser>
        <c:ser>
          <c:idx val="1"/>
          <c:order val="1"/>
          <c:tx>
            <c:strRef>
              <c:f>Analysis!$N$97</c:f>
              <c:strCache>
                <c:ptCount val="1"/>
                <c:pt idx="0">
                  <c:v># latrines desludged</c:v>
                </c:pt>
              </c:strCache>
            </c:strRef>
          </c:tx>
          <c:spPr>
            <a:solidFill>
              <a:schemeClr val="accent2">
                <a:tint val="77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Analysis!$O$91:$P$91</c:f>
              <c:strCache>
                <c:ptCount val="2"/>
                <c:pt idx="0">
                  <c:v># in active camps (20:1)</c:v>
                </c:pt>
                <c:pt idx="1">
                  <c:v># in villages (6:1)</c:v>
                </c:pt>
              </c:strCache>
            </c:strRef>
          </c:cat>
          <c:val>
            <c:numRef>
              <c:f>Analysis!$O$97:$P$97</c:f>
              <c:numCache>
                <c:formatCode>_(* #,##0_);_(* \(#,##0\);_(* "-"??_);_(@_)</c:formatCode>
                <c:ptCount val="2"/>
                <c:pt idx="0">
                  <c:v>777</c:v>
                </c:pt>
                <c:pt idx="1">
                  <c:v>0</c:v>
                </c:pt>
              </c:numCache>
            </c:numRef>
          </c:val>
          <c:extLst xmlns:c16r2="http://schemas.microsoft.com/office/drawing/2015/06/chart">
            <c:ext xmlns:c16="http://schemas.microsoft.com/office/drawing/2014/chart" uri="{C3380CC4-5D6E-409C-BE32-E72D297353CC}">
              <c16:uniqueId val="{00000001-D624-4306-9FDE-126985E12BCF}"/>
            </c:ext>
          </c:extLst>
        </c:ser>
        <c:dLbls>
          <c:dLblPos val="ctr"/>
          <c:showLegendKey val="0"/>
          <c:showVal val="1"/>
          <c:showCatName val="0"/>
          <c:showSerName val="0"/>
          <c:showPercent val="0"/>
          <c:showBubbleSize val="0"/>
        </c:dLbls>
        <c:gapWidth val="150"/>
        <c:axId val="483929304"/>
        <c:axId val="483933616"/>
      </c:barChart>
      <c:catAx>
        <c:axId val="4839293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83933616"/>
        <c:crosses val="autoZero"/>
        <c:auto val="1"/>
        <c:lblAlgn val="ctr"/>
        <c:lblOffset val="100"/>
        <c:noMultiLvlLbl val="0"/>
      </c:catAx>
      <c:valAx>
        <c:axId val="483933616"/>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839293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autoTitleDeleted val="1"/>
    <c:plotArea>
      <c:layout/>
      <c:barChart>
        <c:barDir val="col"/>
        <c:grouping val="stacked"/>
        <c:varyColors val="0"/>
        <c:ser>
          <c:idx val="0"/>
          <c:order val="0"/>
          <c:tx>
            <c:strRef>
              <c:f>Analysis!$Z$92</c:f>
              <c:strCache>
                <c:ptCount val="1"/>
                <c:pt idx="0">
                  <c:v>Coverage</c:v>
                </c:pt>
              </c:strCache>
            </c:strRef>
          </c:tx>
          <c:spPr>
            <a:solidFill>
              <a:schemeClr val="accent2">
                <a:shade val="76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Analysis!$AA$91:$AB$91</c:f>
              <c:strCache>
                <c:ptCount val="2"/>
                <c:pt idx="0">
                  <c:v># in GCA (20:1)</c:v>
                </c:pt>
                <c:pt idx="1">
                  <c:v># in NGCA (20:1)</c:v>
                </c:pt>
              </c:strCache>
            </c:strRef>
          </c:cat>
          <c:val>
            <c:numRef>
              <c:f>Analysis!$AA$92:$AB$92</c:f>
              <c:numCache>
                <c:formatCode>_(* #,##0_);_(* \(#,##0\);_(* "-"??_);_(@_)</c:formatCode>
                <c:ptCount val="2"/>
                <c:pt idx="0">
                  <c:v>854</c:v>
                </c:pt>
                <c:pt idx="1">
                  <c:v>9</c:v>
                </c:pt>
              </c:numCache>
            </c:numRef>
          </c:val>
          <c:extLst xmlns:c16r2="http://schemas.microsoft.com/office/drawing/2015/06/chart">
            <c:ext xmlns:c16="http://schemas.microsoft.com/office/drawing/2014/chart" uri="{C3380CC4-5D6E-409C-BE32-E72D297353CC}">
              <c16:uniqueId val="{00000000-5769-47EB-833D-C7F3A5603476}"/>
            </c:ext>
          </c:extLst>
        </c:ser>
        <c:ser>
          <c:idx val="1"/>
          <c:order val="1"/>
          <c:tx>
            <c:strRef>
              <c:f>Analysis!$Z$93</c:f>
              <c:strCache>
                <c:ptCount val="1"/>
                <c:pt idx="0">
                  <c:v>GAP</c:v>
                </c:pt>
              </c:strCache>
            </c:strRef>
          </c:tx>
          <c:spPr>
            <a:solidFill>
              <a:schemeClr val="accent2">
                <a:tint val="77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Analysis!$AA$91:$AB$91</c:f>
              <c:strCache>
                <c:ptCount val="2"/>
                <c:pt idx="0">
                  <c:v># in GCA (20:1)</c:v>
                </c:pt>
                <c:pt idx="1">
                  <c:v># in NGCA (20:1)</c:v>
                </c:pt>
              </c:strCache>
            </c:strRef>
          </c:cat>
          <c:val>
            <c:numRef>
              <c:f>Analysis!$AA$93:$AB$93</c:f>
              <c:numCache>
                <c:formatCode>_(* #,##0_);_(* \(#,##0\);_(* "-"??_);_(@_)</c:formatCode>
                <c:ptCount val="2"/>
                <c:pt idx="0">
                  <c:v>4</c:v>
                </c:pt>
                <c:pt idx="1">
                  <c:v>58</c:v>
                </c:pt>
              </c:numCache>
            </c:numRef>
          </c:val>
          <c:extLst xmlns:c16r2="http://schemas.microsoft.com/office/drawing/2015/06/chart">
            <c:ext xmlns:c16="http://schemas.microsoft.com/office/drawing/2014/chart" uri="{C3380CC4-5D6E-409C-BE32-E72D297353CC}">
              <c16:uniqueId val="{00000001-5769-47EB-833D-C7F3A5603476}"/>
            </c:ext>
          </c:extLst>
        </c:ser>
        <c:dLbls>
          <c:dLblPos val="ctr"/>
          <c:showLegendKey val="0"/>
          <c:showVal val="1"/>
          <c:showCatName val="0"/>
          <c:showSerName val="0"/>
          <c:showPercent val="0"/>
          <c:showBubbleSize val="0"/>
        </c:dLbls>
        <c:gapWidth val="150"/>
        <c:overlap val="100"/>
        <c:axId val="483927344"/>
        <c:axId val="483928520"/>
      </c:barChart>
      <c:catAx>
        <c:axId val="4839273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83928520"/>
        <c:crosses val="autoZero"/>
        <c:auto val="1"/>
        <c:lblAlgn val="ctr"/>
        <c:lblOffset val="100"/>
        <c:noMultiLvlLbl val="0"/>
      </c:catAx>
      <c:valAx>
        <c:axId val="483928520"/>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8392734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autoTitleDeleted val="1"/>
    <c:plotArea>
      <c:layout/>
      <c:barChart>
        <c:barDir val="col"/>
        <c:grouping val="stacked"/>
        <c:varyColors val="0"/>
        <c:ser>
          <c:idx val="0"/>
          <c:order val="0"/>
          <c:tx>
            <c:strRef>
              <c:f>Analysis!$Z$94</c:f>
              <c:strCache>
                <c:ptCount val="1"/>
                <c:pt idx="0">
                  <c:v>Latrines handed over</c:v>
                </c:pt>
              </c:strCache>
            </c:strRef>
          </c:tx>
          <c:spPr>
            <a:solidFill>
              <a:schemeClr val="accent2">
                <a:shade val="76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Analysis!$AA$91:$AB$91</c:f>
              <c:strCache>
                <c:ptCount val="2"/>
                <c:pt idx="0">
                  <c:v># in GCA (20:1)</c:v>
                </c:pt>
                <c:pt idx="1">
                  <c:v># in NGCA (20:1)</c:v>
                </c:pt>
              </c:strCache>
            </c:strRef>
          </c:cat>
          <c:val>
            <c:numRef>
              <c:f>Analysis!$AA$94:$AB$94</c:f>
              <c:numCache>
                <c:formatCode>_(* #,##0_);_(* \(#,##0\);_(* "-"??_);_(@_)</c:formatCode>
                <c:ptCount val="2"/>
                <c:pt idx="0">
                  <c:v>824</c:v>
                </c:pt>
                <c:pt idx="1">
                  <c:v>9</c:v>
                </c:pt>
              </c:numCache>
            </c:numRef>
          </c:val>
          <c:extLst xmlns:c16r2="http://schemas.microsoft.com/office/drawing/2015/06/chart">
            <c:ext xmlns:c16="http://schemas.microsoft.com/office/drawing/2014/chart" uri="{C3380CC4-5D6E-409C-BE32-E72D297353CC}">
              <c16:uniqueId val="{00000000-56C5-41B0-B00A-3A7F63BCC9E4}"/>
            </c:ext>
          </c:extLst>
        </c:ser>
        <c:ser>
          <c:idx val="1"/>
          <c:order val="1"/>
          <c:tx>
            <c:strRef>
              <c:f>Analysis!$Z$95</c:f>
              <c:strCache>
                <c:ptCount val="1"/>
                <c:pt idx="0">
                  <c:v>Latrines not handed over</c:v>
                </c:pt>
              </c:strCache>
            </c:strRef>
          </c:tx>
          <c:spPr>
            <a:solidFill>
              <a:schemeClr val="accent2">
                <a:tint val="77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Analysis!$AA$91:$AB$91</c:f>
              <c:strCache>
                <c:ptCount val="2"/>
                <c:pt idx="0">
                  <c:v># in GCA (20:1)</c:v>
                </c:pt>
                <c:pt idx="1">
                  <c:v># in NGCA (20:1)</c:v>
                </c:pt>
              </c:strCache>
            </c:strRef>
          </c:cat>
          <c:val>
            <c:numRef>
              <c:f>Analysis!$AA$95:$AB$95</c:f>
              <c:numCache>
                <c:formatCode>_(* #,##0_);_(* \(#,##0\);_(* "-"??_);_(@_)</c:formatCode>
                <c:ptCount val="2"/>
                <c:pt idx="0">
                  <c:v>34</c:v>
                </c:pt>
                <c:pt idx="1">
                  <c:v>58</c:v>
                </c:pt>
              </c:numCache>
            </c:numRef>
          </c:val>
          <c:extLst xmlns:c16r2="http://schemas.microsoft.com/office/drawing/2015/06/chart">
            <c:ext xmlns:c16="http://schemas.microsoft.com/office/drawing/2014/chart" uri="{C3380CC4-5D6E-409C-BE32-E72D297353CC}">
              <c16:uniqueId val="{00000001-56C5-41B0-B00A-3A7F63BCC9E4}"/>
            </c:ext>
          </c:extLst>
        </c:ser>
        <c:dLbls>
          <c:dLblPos val="ctr"/>
          <c:showLegendKey val="0"/>
          <c:showVal val="1"/>
          <c:showCatName val="0"/>
          <c:showSerName val="0"/>
          <c:showPercent val="0"/>
          <c:showBubbleSize val="0"/>
        </c:dLbls>
        <c:gapWidth val="150"/>
        <c:overlap val="100"/>
        <c:axId val="483931264"/>
        <c:axId val="483929696"/>
      </c:barChart>
      <c:catAx>
        <c:axId val="4839312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83929696"/>
        <c:crosses val="autoZero"/>
        <c:auto val="1"/>
        <c:lblAlgn val="ctr"/>
        <c:lblOffset val="100"/>
        <c:noMultiLvlLbl val="0"/>
      </c:catAx>
      <c:valAx>
        <c:axId val="483929696"/>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8393126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autoTitleDeleted val="1"/>
    <c:plotArea>
      <c:layout/>
      <c:barChart>
        <c:barDir val="col"/>
        <c:grouping val="clustered"/>
        <c:varyColors val="0"/>
        <c:ser>
          <c:idx val="0"/>
          <c:order val="0"/>
          <c:tx>
            <c:strRef>
              <c:f>Analysis!$Z$96</c:f>
              <c:strCache>
                <c:ptCount val="1"/>
                <c:pt idx="0">
                  <c:v># latrines repairs</c:v>
                </c:pt>
              </c:strCache>
            </c:strRef>
          </c:tx>
          <c:spPr>
            <a:solidFill>
              <a:schemeClr val="accent2">
                <a:shade val="76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Analysis!$AA$91:$AB$91</c:f>
              <c:strCache>
                <c:ptCount val="2"/>
                <c:pt idx="0">
                  <c:v># in GCA (20:1)</c:v>
                </c:pt>
                <c:pt idx="1">
                  <c:v># in NGCA (20:1)</c:v>
                </c:pt>
              </c:strCache>
            </c:strRef>
          </c:cat>
          <c:val>
            <c:numRef>
              <c:f>Analysis!$AA$96:$AB$96</c:f>
              <c:numCache>
                <c:formatCode>_(* #,##0_);_(* \(#,##0\);_(* "-"??_);_(@_)</c:formatCode>
                <c:ptCount val="2"/>
                <c:pt idx="0">
                  <c:v>114</c:v>
                </c:pt>
                <c:pt idx="1">
                  <c:v>0</c:v>
                </c:pt>
              </c:numCache>
            </c:numRef>
          </c:val>
          <c:extLst xmlns:c16r2="http://schemas.microsoft.com/office/drawing/2015/06/chart">
            <c:ext xmlns:c16="http://schemas.microsoft.com/office/drawing/2014/chart" uri="{C3380CC4-5D6E-409C-BE32-E72D297353CC}">
              <c16:uniqueId val="{00000000-33CE-4B6D-9AB7-C8657740D81A}"/>
            </c:ext>
          </c:extLst>
        </c:ser>
        <c:ser>
          <c:idx val="1"/>
          <c:order val="1"/>
          <c:tx>
            <c:strRef>
              <c:f>Analysis!$Z$97</c:f>
              <c:strCache>
                <c:ptCount val="1"/>
                <c:pt idx="0">
                  <c:v># latrines desludged</c:v>
                </c:pt>
              </c:strCache>
            </c:strRef>
          </c:tx>
          <c:spPr>
            <a:solidFill>
              <a:schemeClr val="accent2">
                <a:tint val="77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Analysis!$AA$91:$AB$91</c:f>
              <c:strCache>
                <c:ptCount val="2"/>
                <c:pt idx="0">
                  <c:v># in GCA (20:1)</c:v>
                </c:pt>
                <c:pt idx="1">
                  <c:v># in NGCA (20:1)</c:v>
                </c:pt>
              </c:strCache>
            </c:strRef>
          </c:cat>
          <c:val>
            <c:numRef>
              <c:f>Analysis!$AA$97:$AB$97</c:f>
              <c:numCache>
                <c:formatCode>_(* #,##0_);_(* \(#,##0\);_(* "-"??_);_(@_)</c:formatCode>
                <c:ptCount val="2"/>
                <c:pt idx="0">
                  <c:v>7</c:v>
                </c:pt>
                <c:pt idx="1">
                  <c:v>0</c:v>
                </c:pt>
              </c:numCache>
            </c:numRef>
          </c:val>
          <c:extLst xmlns:c16r2="http://schemas.microsoft.com/office/drawing/2015/06/chart">
            <c:ext xmlns:c16="http://schemas.microsoft.com/office/drawing/2014/chart" uri="{C3380CC4-5D6E-409C-BE32-E72D297353CC}">
              <c16:uniqueId val="{00000001-33CE-4B6D-9AB7-C8657740D81A}"/>
            </c:ext>
          </c:extLst>
        </c:ser>
        <c:dLbls>
          <c:dLblPos val="ctr"/>
          <c:showLegendKey val="0"/>
          <c:showVal val="1"/>
          <c:showCatName val="0"/>
          <c:showSerName val="0"/>
          <c:showPercent val="0"/>
          <c:showBubbleSize val="0"/>
        </c:dLbls>
        <c:gapWidth val="150"/>
        <c:axId val="483931656"/>
        <c:axId val="483932048"/>
      </c:barChart>
      <c:catAx>
        <c:axId val="4839316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83932048"/>
        <c:crosses val="autoZero"/>
        <c:auto val="1"/>
        <c:lblAlgn val="ctr"/>
        <c:lblOffset val="100"/>
        <c:noMultiLvlLbl val="0"/>
      </c:catAx>
      <c:valAx>
        <c:axId val="483932048"/>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8393165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r>
              <a:rPr lang="en-US" sz="1200"/>
              <a:t>Latrines</a:t>
            </a:r>
          </a:p>
        </c:rich>
      </c:tx>
      <c:overlay val="0"/>
      <c:spPr>
        <a:noFill/>
        <a:ln>
          <a:noFill/>
        </a:ln>
        <a:effectLst/>
      </c:spPr>
      <c:txPr>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0.25190879986155573"/>
          <c:y val="0.23505772657322385"/>
          <c:w val="0.38808398950131229"/>
          <c:h val="0.71010081436328043"/>
        </c:manualLayout>
      </c:layout>
      <c:pieChart>
        <c:varyColors val="1"/>
        <c:ser>
          <c:idx val="0"/>
          <c:order val="0"/>
          <c:dPt>
            <c:idx val="0"/>
            <c:bubble3D val="0"/>
            <c:spPr>
              <a:solidFill>
                <a:schemeClr val="accent2">
                  <a:lumMod val="75000"/>
                </a:schemeClr>
              </a:solidFill>
              <a:ln>
                <a:noFill/>
              </a:ln>
              <a:effectLst/>
            </c:spPr>
            <c:extLst xmlns:c16r2="http://schemas.microsoft.com/office/drawing/2015/06/chart">
              <c:ext xmlns:c16="http://schemas.microsoft.com/office/drawing/2014/chart" uri="{C3380CC4-5D6E-409C-BE32-E72D297353CC}">
                <c16:uniqueId val="{00000001-E5B6-42BD-AEB1-651CA93AFD89}"/>
              </c:ext>
            </c:extLst>
          </c:dPt>
          <c:dPt>
            <c:idx val="1"/>
            <c:bubble3D val="0"/>
            <c:spPr>
              <a:solidFill>
                <a:schemeClr val="accent2">
                  <a:lumMod val="40000"/>
                  <a:lumOff val="60000"/>
                </a:schemeClr>
              </a:solidFill>
              <a:ln>
                <a:noFill/>
              </a:ln>
              <a:effectLst/>
            </c:spPr>
            <c:extLst xmlns:c16r2="http://schemas.microsoft.com/office/drawing/2015/06/chart">
              <c:ext xmlns:c16="http://schemas.microsoft.com/office/drawing/2014/chart" uri="{C3380CC4-5D6E-409C-BE32-E72D297353CC}">
                <c16:uniqueId val="{00000003-E5B6-42BD-AEB1-651CA93AFD89}"/>
              </c:ext>
            </c:extLst>
          </c:dPt>
          <c:dPt>
            <c:idx val="2"/>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c:spPr>
            <c:extLst xmlns:c16r2="http://schemas.microsoft.com/office/drawing/2015/06/chart">
              <c:ext xmlns:c16="http://schemas.microsoft.com/office/drawing/2014/chart" uri="{C3380CC4-5D6E-409C-BE32-E72D297353CC}">
                <c16:uniqueId val="{00000005-E5B6-42BD-AEB1-651CA93AFD89}"/>
              </c:ext>
            </c:extLst>
          </c:dPt>
          <c:dLbls>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dLbl>
            <c:dLbl>
              <c:idx val="1"/>
              <c:layout>
                <c:manualLayout>
                  <c:x val="4.5203193350831145E-2"/>
                  <c:y val="5.5574146981627298E-2"/>
                </c:manualLayout>
              </c:layout>
              <c:showLegendKey val="0"/>
              <c:showVal val="0"/>
              <c:showCatName val="0"/>
              <c:showSerName val="0"/>
              <c:showPercent val="1"/>
              <c:showBubbleSize val="0"/>
              <c:extLst xmlns:c16r2="http://schemas.microsoft.com/office/drawing/2015/06/chart">
                <c:ext xmlns:c16="http://schemas.microsoft.com/office/drawing/2014/chart" uri="{C3380CC4-5D6E-409C-BE32-E72D297353CC}">
                  <c16:uniqueId val="{00000003-E5B6-42BD-AEB1-651CA93AFD89}"/>
                </c:ext>
                <c:ext xmlns:c15="http://schemas.microsoft.com/office/drawing/2012/chart" uri="{CE6537A1-D6FC-4f65-9D91-7224C49458BB}"/>
              </c:extLst>
            </c:dLbl>
            <c:dLbl>
              <c:idx val="2"/>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xmlns:c16r2="http://schemas.microsoft.com/office/drawing/2015/06/chart">
              <c:ext xmlns:c15="http://schemas.microsoft.com/office/drawing/2012/chart" uri="{CE6537A1-D6FC-4f65-9D91-7224C49458BB}"/>
            </c:extLst>
          </c:dLbls>
          <c:cat>
            <c:strRef>
              <c:f>Analysis!$G$92:$G$94</c:f>
              <c:strCache>
                <c:ptCount val="3"/>
                <c:pt idx="0">
                  <c:v>Functioning</c:v>
                </c:pt>
                <c:pt idx="1">
                  <c:v>Reparis</c:v>
                </c:pt>
                <c:pt idx="2">
                  <c:v>Desludging</c:v>
                </c:pt>
              </c:strCache>
            </c:strRef>
          </c:cat>
          <c:val>
            <c:numRef>
              <c:f>Analysis!$H$92:$H$94</c:f>
              <c:numCache>
                <c:formatCode>_(* #,##0_);_(* \(#,##0\);_(* "-"??_);_(@_)</c:formatCode>
                <c:ptCount val="3"/>
                <c:pt idx="0" formatCode="General">
                  <c:v>5488</c:v>
                </c:pt>
                <c:pt idx="1">
                  <c:v>302</c:v>
                </c:pt>
                <c:pt idx="2" formatCode="General">
                  <c:v>445</c:v>
                </c:pt>
              </c:numCache>
            </c:numRef>
          </c:val>
          <c:extLst xmlns:c16r2="http://schemas.microsoft.com/office/drawing/2015/06/chart">
            <c:ext xmlns:c16="http://schemas.microsoft.com/office/drawing/2014/chart" uri="{C3380CC4-5D6E-409C-BE32-E72D297353CC}">
              <c16:uniqueId val="{00000006-E5B6-42BD-AEB1-651CA93AFD89}"/>
            </c:ext>
          </c:extLst>
        </c:ser>
        <c:dLbls>
          <c:showLegendKey val="0"/>
          <c:showVal val="0"/>
          <c:showCatName val="0"/>
          <c:showSerName val="0"/>
          <c:showPercent val="0"/>
          <c:showBubbleSize val="0"/>
          <c:showLeaderLines val="1"/>
        </c:dLbls>
        <c:firstSliceAng val="0"/>
      </c:pieChart>
      <c:spPr>
        <a:noFill/>
        <a:ln>
          <a:noFill/>
        </a:ln>
        <a:effectLst/>
      </c:spPr>
    </c:plotArea>
    <c:legend>
      <c:legendPos val="r"/>
      <c:layout>
        <c:manualLayout>
          <c:xMode val="edge"/>
          <c:yMode val="edge"/>
          <c:x val="0.75138530760578004"/>
          <c:y val="0.33213250689701518"/>
          <c:w val="0.215647659427187"/>
          <c:h val="0.3470460371378156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r>
              <a:rPr lang="en-US" sz="1200"/>
              <a:t>Latrines</a:t>
            </a:r>
          </a:p>
        </c:rich>
      </c:tx>
      <c:overlay val="0"/>
      <c:spPr>
        <a:noFill/>
        <a:ln>
          <a:noFill/>
        </a:ln>
        <a:effectLst/>
      </c:spPr>
      <c:txPr>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n-US"/>
        </a:p>
      </c:txPr>
    </c:title>
    <c:autoTitleDeleted val="0"/>
    <c:plotArea>
      <c:layout/>
      <c:pieChart>
        <c:varyColors val="1"/>
        <c:ser>
          <c:idx val="0"/>
          <c:order val="0"/>
          <c:dPt>
            <c:idx val="0"/>
            <c:bubble3D val="0"/>
            <c:spPr>
              <a:solidFill>
                <a:schemeClr val="accent2">
                  <a:lumMod val="75000"/>
                </a:schemeClr>
              </a:solidFill>
              <a:ln>
                <a:noFill/>
              </a:ln>
              <a:effectLst/>
            </c:spPr>
            <c:extLst xmlns:c16r2="http://schemas.microsoft.com/office/drawing/2015/06/chart">
              <c:ext xmlns:c16="http://schemas.microsoft.com/office/drawing/2014/chart" uri="{C3380CC4-5D6E-409C-BE32-E72D297353CC}">
                <c16:uniqueId val="{00000001-012E-4C70-8DE8-442D9164B4FD}"/>
              </c:ext>
            </c:extLst>
          </c:dPt>
          <c:dPt>
            <c:idx val="1"/>
            <c:bubble3D val="0"/>
            <c:spPr>
              <a:solidFill>
                <a:schemeClr val="accent2">
                  <a:lumMod val="40000"/>
                  <a:lumOff val="60000"/>
                </a:schemeClr>
              </a:solidFill>
              <a:ln>
                <a:noFill/>
              </a:ln>
              <a:effectLst/>
            </c:spPr>
            <c:extLst xmlns:c16r2="http://schemas.microsoft.com/office/drawing/2015/06/chart">
              <c:ext xmlns:c16="http://schemas.microsoft.com/office/drawing/2014/chart" uri="{C3380CC4-5D6E-409C-BE32-E72D297353CC}">
                <c16:uniqueId val="{00000003-012E-4C70-8DE8-442D9164B4FD}"/>
              </c:ext>
            </c:extLst>
          </c:dPt>
          <c:dPt>
            <c:idx val="2"/>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c:spPr>
            <c:extLst xmlns:c16r2="http://schemas.microsoft.com/office/drawing/2015/06/chart">
              <c:ext xmlns:c16="http://schemas.microsoft.com/office/drawing/2014/chart" uri="{C3380CC4-5D6E-409C-BE32-E72D297353CC}">
                <c16:uniqueId val="{00000005-012E-4C70-8DE8-442D9164B4FD}"/>
              </c:ext>
            </c:extLst>
          </c:dPt>
          <c:dLbls>
            <c:dLbl>
              <c:idx val="0"/>
              <c:layout>
                <c:manualLayout>
                  <c:x val="-9.3214457567804027E-2"/>
                  <c:y val="-0.20900444736074658"/>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extLst xmlns:c16r2="http://schemas.microsoft.com/office/drawing/2015/06/chart">
                <c:ext xmlns:c16="http://schemas.microsoft.com/office/drawing/2014/chart" uri="{C3380CC4-5D6E-409C-BE32-E72D297353CC}">
                  <c16:uniqueId val="{00000001-012E-4C70-8DE8-442D9164B4FD}"/>
                </c:ext>
                <c:ext xmlns:c15="http://schemas.microsoft.com/office/drawing/2012/chart" uri="{CE6537A1-D6FC-4f65-9D91-7224C49458BB}"/>
              </c:extLst>
            </c:dLbl>
            <c:dLbl>
              <c:idx val="2"/>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xmlns:c16r2="http://schemas.microsoft.com/office/drawing/2015/06/chart">
              <c:ext xmlns:c15="http://schemas.microsoft.com/office/drawing/2012/chart" uri="{CE6537A1-D6FC-4f65-9D91-7224C49458BB}"/>
            </c:extLst>
          </c:dLbls>
          <c:cat>
            <c:strRef>
              <c:f>Analysis!$R$92:$R$94</c:f>
              <c:strCache>
                <c:ptCount val="3"/>
                <c:pt idx="0">
                  <c:v>Functioning</c:v>
                </c:pt>
                <c:pt idx="1">
                  <c:v>Reparis</c:v>
                </c:pt>
                <c:pt idx="2">
                  <c:v>Desludging</c:v>
                </c:pt>
              </c:strCache>
            </c:strRef>
          </c:cat>
          <c:val>
            <c:numRef>
              <c:f>Analysis!$S$92:$S$94</c:f>
              <c:numCache>
                <c:formatCode>_(* #,##0_);_(* \(#,##0\);_(* "-"??_);_(@_)</c:formatCode>
                <c:ptCount val="3"/>
                <c:pt idx="0">
                  <c:v>5102</c:v>
                </c:pt>
                <c:pt idx="1">
                  <c:v>1345</c:v>
                </c:pt>
                <c:pt idx="2">
                  <c:v>777</c:v>
                </c:pt>
              </c:numCache>
            </c:numRef>
          </c:val>
          <c:extLst xmlns:c16r2="http://schemas.microsoft.com/office/drawing/2015/06/chart">
            <c:ext xmlns:c16="http://schemas.microsoft.com/office/drawing/2014/chart" uri="{C3380CC4-5D6E-409C-BE32-E72D297353CC}">
              <c16:uniqueId val="{00000006-012E-4C70-8DE8-442D9164B4FD}"/>
            </c:ext>
          </c:extLst>
        </c:ser>
        <c:dLbls>
          <c:showLegendKey val="0"/>
          <c:showVal val="0"/>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r>
              <a:rPr lang="en-US" sz="1200"/>
              <a:t>Latrines</a:t>
            </a:r>
          </a:p>
        </c:rich>
      </c:tx>
      <c:overlay val="0"/>
      <c:spPr>
        <a:noFill/>
        <a:ln>
          <a:noFill/>
        </a:ln>
        <a:effectLst/>
      </c:spPr>
      <c:txPr>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n-US"/>
        </a:p>
      </c:txPr>
    </c:title>
    <c:autoTitleDeleted val="0"/>
    <c:plotArea>
      <c:layout/>
      <c:pieChart>
        <c:varyColors val="1"/>
        <c:ser>
          <c:idx val="0"/>
          <c:order val="0"/>
          <c:dPt>
            <c:idx val="0"/>
            <c:bubble3D val="0"/>
            <c:spPr>
              <a:solidFill>
                <a:schemeClr val="accent2">
                  <a:lumMod val="75000"/>
                </a:schemeClr>
              </a:solidFill>
              <a:ln>
                <a:noFill/>
              </a:ln>
              <a:effectLst/>
            </c:spPr>
            <c:extLst xmlns:c16r2="http://schemas.microsoft.com/office/drawing/2015/06/chart">
              <c:ext xmlns:c16="http://schemas.microsoft.com/office/drawing/2014/chart" uri="{C3380CC4-5D6E-409C-BE32-E72D297353CC}">
                <c16:uniqueId val="{00000001-CB88-47EA-BC4C-384013D44ABC}"/>
              </c:ext>
            </c:extLst>
          </c:dPt>
          <c:dPt>
            <c:idx val="1"/>
            <c:bubble3D val="0"/>
            <c:spPr>
              <a:solidFill>
                <a:schemeClr val="accent2">
                  <a:lumMod val="40000"/>
                  <a:lumOff val="60000"/>
                </a:schemeClr>
              </a:solidFill>
              <a:ln>
                <a:noFill/>
              </a:ln>
              <a:effectLst/>
            </c:spPr>
            <c:extLst xmlns:c16r2="http://schemas.microsoft.com/office/drawing/2015/06/chart">
              <c:ext xmlns:c16="http://schemas.microsoft.com/office/drawing/2014/chart" uri="{C3380CC4-5D6E-409C-BE32-E72D297353CC}">
                <c16:uniqueId val="{00000003-CB88-47EA-BC4C-384013D44ABC}"/>
              </c:ext>
            </c:extLst>
          </c:dPt>
          <c:dPt>
            <c:idx val="2"/>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c:spPr>
            <c:extLst xmlns:c16r2="http://schemas.microsoft.com/office/drawing/2015/06/chart">
              <c:ext xmlns:c16="http://schemas.microsoft.com/office/drawing/2014/chart" uri="{C3380CC4-5D6E-409C-BE32-E72D297353CC}">
                <c16:uniqueId val="{00000005-CB88-47EA-BC4C-384013D44ABC}"/>
              </c:ext>
            </c:extLst>
          </c:dPt>
          <c:dLbls>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dLbl>
            <c:dLbl>
              <c:idx val="2"/>
              <c:layout>
                <c:manualLayout>
                  <c:x val="8.8456911636045493E-3"/>
                  <c:y val="6.6252187226596676E-2"/>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extLst xmlns:c16r2="http://schemas.microsoft.com/office/drawing/2015/06/chart">
                <c:ext xmlns:c16="http://schemas.microsoft.com/office/drawing/2014/chart" uri="{C3380CC4-5D6E-409C-BE32-E72D297353CC}">
                  <c16:uniqueId val="{00000005-CB88-47EA-BC4C-384013D44ABC}"/>
                </c:ex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xmlns:c16r2="http://schemas.microsoft.com/office/drawing/2015/06/chart">
              <c:ext xmlns:c15="http://schemas.microsoft.com/office/drawing/2012/chart" uri="{CE6537A1-D6FC-4f65-9D91-7224C49458BB}"/>
            </c:extLst>
          </c:dLbls>
          <c:cat>
            <c:strRef>
              <c:f>Analysis!$AD$92:$AD$94</c:f>
              <c:strCache>
                <c:ptCount val="3"/>
                <c:pt idx="0">
                  <c:v>Functioning</c:v>
                </c:pt>
                <c:pt idx="1">
                  <c:v>Reparis</c:v>
                </c:pt>
                <c:pt idx="2">
                  <c:v>Desludging</c:v>
                </c:pt>
              </c:strCache>
            </c:strRef>
          </c:cat>
          <c:val>
            <c:numRef>
              <c:f>Analysis!$AE$92:$AE$94</c:f>
              <c:numCache>
                <c:formatCode>_(* #,##0_);_(* \(#,##0\);_(* "-"??_);_(@_)</c:formatCode>
                <c:ptCount val="3"/>
                <c:pt idx="0">
                  <c:v>863</c:v>
                </c:pt>
                <c:pt idx="1">
                  <c:v>114</c:v>
                </c:pt>
                <c:pt idx="2">
                  <c:v>7</c:v>
                </c:pt>
              </c:numCache>
            </c:numRef>
          </c:val>
          <c:extLst xmlns:c16r2="http://schemas.microsoft.com/office/drawing/2015/06/chart">
            <c:ext xmlns:c16="http://schemas.microsoft.com/office/drawing/2014/chart" uri="{C3380CC4-5D6E-409C-BE32-E72D297353CC}">
              <c16:uniqueId val="{00000006-CB88-47EA-BC4C-384013D44ABC}"/>
            </c:ext>
          </c:extLst>
        </c:ser>
        <c:dLbls>
          <c:showLegendKey val="0"/>
          <c:showVal val="0"/>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r>
              <a:rPr lang="en-US" sz="1200" b="0" i="0" baseline="0">
                <a:effectLst/>
              </a:rPr>
              <a:t>WASH in Temporary Learning Spaces Kachin</a:t>
            </a:r>
            <a:endParaRPr lang="en-US" sz="1200" b="0">
              <a:effectLst/>
            </a:endParaRPr>
          </a:p>
        </c:rich>
      </c:tx>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tx>
            <c:strRef>
              <c:f>Analysis!$C$293</c:f>
              <c:strCache>
                <c:ptCount val="1"/>
                <c:pt idx="0">
                  <c:v>Kachin</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Pt>
            <c:idx val="0"/>
            <c:invertIfNegative val="0"/>
            <c:bubble3D val="0"/>
            <c:spPr>
              <a:solidFill>
                <a:schemeClr val="accent6">
                  <a:lumMod val="60000"/>
                  <a:lumOff val="40000"/>
                </a:schemeClr>
              </a:solidFill>
              <a:ln>
                <a:noFill/>
              </a:ln>
              <a:effectLst>
                <a:outerShdw blurRad="57150" dist="19050" dir="5400000" algn="ctr" rotWithShape="0">
                  <a:srgbClr val="000000">
                    <a:alpha val="63000"/>
                  </a:srgbClr>
                </a:outerShdw>
              </a:effectLst>
            </c:spPr>
            <c:extLst xmlns:c16r2="http://schemas.microsoft.com/office/drawing/2015/06/chart">
              <c:ext xmlns:c16="http://schemas.microsoft.com/office/drawing/2014/chart" uri="{C3380CC4-5D6E-409C-BE32-E72D297353CC}">
                <c16:uniqueId val="{00000009-05E0-4644-B94D-5EE578900F59}"/>
              </c:ext>
            </c:extLst>
          </c:dPt>
          <c:dPt>
            <c:idx val="2"/>
            <c:invertIfNegative val="0"/>
            <c:bubble3D val="0"/>
            <c:spPr>
              <a:solidFill>
                <a:schemeClr val="accent2">
                  <a:lumMod val="60000"/>
                  <a:lumOff val="40000"/>
                </a:schemeClr>
              </a:solidFill>
              <a:ln>
                <a:noFill/>
              </a:ln>
              <a:effectLst>
                <a:outerShdw blurRad="57150" dist="19050" dir="5400000" algn="ctr" rotWithShape="0">
                  <a:srgbClr val="000000">
                    <a:alpha val="63000"/>
                  </a:srgbClr>
                </a:outerShdw>
              </a:effectLst>
            </c:spPr>
            <c:extLst xmlns:c16r2="http://schemas.microsoft.com/office/drawing/2015/06/chart">
              <c:ext xmlns:c16="http://schemas.microsoft.com/office/drawing/2014/chart" uri="{C3380CC4-5D6E-409C-BE32-E72D297353CC}">
                <c16:uniqueId val="{00000011-05E0-4644-B94D-5EE578900F59}"/>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Analysis!$D$292:$G$292</c:f>
              <c:strCache>
                <c:ptCount val="4"/>
                <c:pt idx="0">
                  <c:v> # of hand washing stations with soap</c:v>
                </c:pt>
                <c:pt idx="1">
                  <c:v> # of children Latrine s</c:v>
                </c:pt>
                <c:pt idx="2">
                  <c:v> # of latrines in TLS (schools)</c:v>
                </c:pt>
                <c:pt idx="3">
                  <c:v> # of hand washing stations for TLS</c:v>
                </c:pt>
              </c:strCache>
            </c:strRef>
          </c:cat>
          <c:val>
            <c:numRef>
              <c:f>Analysis!$D$293:$G$293</c:f>
              <c:numCache>
                <c:formatCode>General</c:formatCode>
                <c:ptCount val="4"/>
                <c:pt idx="0">
                  <c:v>28</c:v>
                </c:pt>
                <c:pt idx="1">
                  <c:v>0</c:v>
                </c:pt>
                <c:pt idx="2">
                  <c:v>35</c:v>
                </c:pt>
                <c:pt idx="3">
                  <c:v>90</c:v>
                </c:pt>
              </c:numCache>
            </c:numRef>
          </c:val>
          <c:extLst xmlns:c16r2="http://schemas.microsoft.com/office/drawing/2015/06/chart">
            <c:ext xmlns:c16="http://schemas.microsoft.com/office/drawing/2014/chart" uri="{C3380CC4-5D6E-409C-BE32-E72D297353CC}">
              <c16:uniqueId val="{00000000-05E0-4644-B94D-5EE578900F59}"/>
            </c:ext>
          </c:extLst>
        </c:ser>
        <c:dLbls>
          <c:showLegendKey val="0"/>
          <c:showVal val="0"/>
          <c:showCatName val="0"/>
          <c:showSerName val="0"/>
          <c:showPercent val="0"/>
          <c:showBubbleSize val="0"/>
        </c:dLbls>
        <c:gapWidth val="115"/>
        <c:overlap val="-20"/>
        <c:axId val="484836960"/>
        <c:axId val="484841272"/>
      </c:barChart>
      <c:catAx>
        <c:axId val="484836960"/>
        <c:scaling>
          <c:orientation val="minMax"/>
        </c:scaling>
        <c:delete val="0"/>
        <c:axPos val="l"/>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84841272"/>
        <c:crosses val="autoZero"/>
        <c:auto val="1"/>
        <c:lblAlgn val="ctr"/>
        <c:lblOffset val="100"/>
        <c:noMultiLvlLbl val="0"/>
      </c:catAx>
      <c:valAx>
        <c:axId val="48484127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8483696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r>
              <a:rPr lang="en-US" sz="1200" b="0" i="0" baseline="0">
                <a:effectLst/>
              </a:rPr>
              <a:t>WASH in Temporary Learning Spaces Shan</a:t>
            </a:r>
            <a:endParaRPr lang="en-US" sz="1200" b="0">
              <a:effectLst/>
            </a:endParaRPr>
          </a:p>
        </c:rich>
      </c:tx>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tx>
            <c:strRef>
              <c:f>Analysis!$C$295</c:f>
              <c:strCache>
                <c:ptCount val="1"/>
                <c:pt idx="0">
                  <c:v>Shan (North)</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Pt>
            <c:idx val="0"/>
            <c:invertIfNegative val="0"/>
            <c:bubble3D val="0"/>
            <c:spPr>
              <a:solidFill>
                <a:schemeClr val="accent6">
                  <a:lumMod val="60000"/>
                  <a:lumOff val="40000"/>
                </a:schemeClr>
              </a:solidFill>
              <a:ln>
                <a:noFill/>
              </a:ln>
              <a:effectLst>
                <a:outerShdw blurRad="57150" dist="19050" dir="5400000" algn="ctr" rotWithShape="0">
                  <a:srgbClr val="000000">
                    <a:alpha val="63000"/>
                  </a:srgbClr>
                </a:outerShdw>
              </a:effectLst>
            </c:spPr>
            <c:extLst xmlns:c16r2="http://schemas.microsoft.com/office/drawing/2015/06/chart">
              <c:ext xmlns:c16="http://schemas.microsoft.com/office/drawing/2014/chart" uri="{C3380CC4-5D6E-409C-BE32-E72D297353CC}">
                <c16:uniqueId val="{00000001-702F-4689-B178-0039CEEBCF8F}"/>
              </c:ext>
            </c:extLst>
          </c:dPt>
          <c:dPt>
            <c:idx val="1"/>
            <c:invertIfNegative val="0"/>
            <c:bubble3D val="0"/>
            <c:spPr>
              <a:solidFill>
                <a:schemeClr val="accent2">
                  <a:lumMod val="60000"/>
                  <a:lumOff val="40000"/>
                </a:schemeClr>
              </a:solidFill>
              <a:ln>
                <a:noFill/>
              </a:ln>
              <a:effectLst>
                <a:outerShdw blurRad="57150" dist="19050" dir="5400000" algn="ctr" rotWithShape="0">
                  <a:srgbClr val="000000">
                    <a:alpha val="63000"/>
                  </a:srgbClr>
                </a:outerShdw>
              </a:effectLst>
            </c:spPr>
            <c:extLst xmlns:c16r2="http://schemas.microsoft.com/office/drawing/2015/06/chart">
              <c:ext xmlns:c16="http://schemas.microsoft.com/office/drawing/2014/chart" uri="{C3380CC4-5D6E-409C-BE32-E72D297353CC}">
                <c16:uniqueId val="{00000005-702F-4689-B178-0039CEEBCF8F}"/>
              </c:ext>
            </c:extLst>
          </c:dPt>
          <c:dPt>
            <c:idx val="2"/>
            <c:invertIfNegative val="0"/>
            <c:bubble3D val="0"/>
            <c:spPr>
              <a:solidFill>
                <a:schemeClr val="accent2">
                  <a:lumMod val="60000"/>
                  <a:lumOff val="40000"/>
                </a:schemeClr>
              </a:solidFill>
              <a:ln>
                <a:noFill/>
              </a:ln>
              <a:effectLst>
                <a:outerShdw blurRad="57150" dist="19050" dir="5400000" algn="ctr" rotWithShape="0">
                  <a:srgbClr val="000000">
                    <a:alpha val="63000"/>
                  </a:srgbClr>
                </a:outerShdw>
              </a:effectLst>
            </c:spPr>
            <c:extLst xmlns:c16r2="http://schemas.microsoft.com/office/drawing/2015/06/chart">
              <c:ext xmlns:c16="http://schemas.microsoft.com/office/drawing/2014/chart" uri="{C3380CC4-5D6E-409C-BE32-E72D297353CC}">
                <c16:uniqueId val="{00000003-702F-4689-B178-0039CEEBCF8F}"/>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Analysis!$D$292:$G$292</c:f>
              <c:strCache>
                <c:ptCount val="4"/>
                <c:pt idx="0">
                  <c:v> # of hand washing stations with soap</c:v>
                </c:pt>
                <c:pt idx="1">
                  <c:v> # of children Latrine s</c:v>
                </c:pt>
                <c:pt idx="2">
                  <c:v> # of latrines in TLS (schools)</c:v>
                </c:pt>
                <c:pt idx="3">
                  <c:v> # of hand washing stations for TLS</c:v>
                </c:pt>
              </c:strCache>
            </c:strRef>
          </c:cat>
          <c:val>
            <c:numRef>
              <c:f>Analysis!$D$295:$G$295</c:f>
              <c:numCache>
                <c:formatCode>General</c:formatCode>
                <c:ptCount val="4"/>
                <c:pt idx="0">
                  <c:v>6</c:v>
                </c:pt>
                <c:pt idx="1">
                  <c:v>6</c:v>
                </c:pt>
                <c:pt idx="2">
                  <c:v>1</c:v>
                </c:pt>
                <c:pt idx="3">
                  <c:v>24</c:v>
                </c:pt>
              </c:numCache>
            </c:numRef>
          </c:val>
          <c:extLst xmlns:c16r2="http://schemas.microsoft.com/office/drawing/2015/06/chart">
            <c:ext xmlns:c16="http://schemas.microsoft.com/office/drawing/2014/chart" uri="{C3380CC4-5D6E-409C-BE32-E72D297353CC}">
              <c16:uniqueId val="{00000004-702F-4689-B178-0039CEEBCF8F}"/>
            </c:ext>
          </c:extLst>
        </c:ser>
        <c:dLbls>
          <c:showLegendKey val="0"/>
          <c:showVal val="0"/>
          <c:showCatName val="0"/>
          <c:showSerName val="0"/>
          <c:showPercent val="0"/>
          <c:showBubbleSize val="0"/>
        </c:dLbls>
        <c:gapWidth val="115"/>
        <c:overlap val="-20"/>
        <c:axId val="484833040"/>
        <c:axId val="484840880"/>
      </c:barChart>
      <c:catAx>
        <c:axId val="484833040"/>
        <c:scaling>
          <c:orientation val="minMax"/>
        </c:scaling>
        <c:delete val="0"/>
        <c:axPos val="l"/>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84840880"/>
        <c:crosses val="autoZero"/>
        <c:auto val="1"/>
        <c:lblAlgn val="ctr"/>
        <c:lblOffset val="100"/>
        <c:noMultiLvlLbl val="0"/>
      </c:catAx>
      <c:valAx>
        <c:axId val="48484088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8483304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r>
              <a:rPr lang="en-US" sz="1200"/>
              <a:t>Number of people reached by regular dedicated hygiene promotion/behavior change activities</a:t>
            </a:r>
          </a:p>
        </c:rich>
      </c:tx>
      <c:overlay val="0"/>
      <c:spPr>
        <a:noFill/>
        <a:ln>
          <a:noFill/>
        </a:ln>
        <a:effectLst/>
      </c:spPr>
      <c:txPr>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n-US"/>
        </a:p>
      </c:txPr>
    </c:title>
    <c:autoTitleDeleted val="0"/>
    <c:plotArea>
      <c:layout/>
      <c:barChart>
        <c:barDir val="bar"/>
        <c:grouping val="percentStacked"/>
        <c:varyColors val="0"/>
        <c:ser>
          <c:idx val="1"/>
          <c:order val="1"/>
          <c:tx>
            <c:strRef>
              <c:f>HRP!$D$72</c:f>
              <c:strCache>
                <c:ptCount val="1"/>
                <c:pt idx="0">
                  <c:v>Number of people reached by regular dedicated hygiene promotion/behavior change activities(Reached)</c:v>
                </c:pt>
              </c:strCache>
            </c:strRef>
          </c:tx>
          <c:spPr>
            <a:solidFill>
              <a:schemeClr val="accent6">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HRP!$B$73:$B$75</c:f>
              <c:strCache>
                <c:ptCount val="3"/>
                <c:pt idx="0">
                  <c:v>Kachin</c:v>
                </c:pt>
                <c:pt idx="1">
                  <c:v>Rakhine</c:v>
                </c:pt>
                <c:pt idx="2">
                  <c:v>Shan (North)</c:v>
                </c:pt>
              </c:strCache>
            </c:strRef>
          </c:cat>
          <c:val>
            <c:numRef>
              <c:f>HRP!$D$73:$D$75</c:f>
              <c:numCache>
                <c:formatCode>_(* #,##0_);_(* \(#,##0\);_(* "-"??_);_(@_)</c:formatCode>
                <c:ptCount val="3"/>
                <c:pt idx="0">
                  <c:v>55466</c:v>
                </c:pt>
                <c:pt idx="1">
                  <c:v>139656</c:v>
                </c:pt>
                <c:pt idx="2">
                  <c:v>8113</c:v>
                </c:pt>
              </c:numCache>
            </c:numRef>
          </c:val>
          <c:extLst xmlns:c16r2="http://schemas.microsoft.com/office/drawing/2015/06/chart">
            <c:ext xmlns:c16="http://schemas.microsoft.com/office/drawing/2014/chart" uri="{C3380CC4-5D6E-409C-BE32-E72D297353CC}">
              <c16:uniqueId val="{00000001-DB15-4E31-852A-C011D1892EB1}"/>
            </c:ext>
          </c:extLst>
        </c:ser>
        <c:ser>
          <c:idx val="2"/>
          <c:order val="2"/>
          <c:tx>
            <c:strRef>
              <c:f>HRP!$E$72</c:f>
              <c:strCache>
                <c:ptCount val="1"/>
                <c:pt idx="0">
                  <c:v>Number of people reached by regular dedicated hygiene promotion/behavior change activities(Gap)</c:v>
                </c:pt>
              </c:strCache>
            </c:strRef>
          </c:tx>
          <c:spPr>
            <a:solidFill>
              <a:schemeClr val="accent6">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HRP!$B$73:$B$75</c:f>
              <c:strCache>
                <c:ptCount val="3"/>
                <c:pt idx="0">
                  <c:v>Kachin</c:v>
                </c:pt>
                <c:pt idx="1">
                  <c:v>Rakhine</c:v>
                </c:pt>
                <c:pt idx="2">
                  <c:v>Shan (North)</c:v>
                </c:pt>
              </c:strCache>
            </c:strRef>
          </c:cat>
          <c:val>
            <c:numRef>
              <c:f>HRP!$E$73:$E$75</c:f>
              <c:numCache>
                <c:formatCode>_(* #,##0_);_(* \(#,##0\);_(* "-"??_);_(@_)</c:formatCode>
                <c:ptCount val="3"/>
                <c:pt idx="0">
                  <c:v>61396</c:v>
                </c:pt>
                <c:pt idx="1">
                  <c:v>239481</c:v>
                </c:pt>
                <c:pt idx="2">
                  <c:v>12366</c:v>
                </c:pt>
              </c:numCache>
            </c:numRef>
          </c:val>
          <c:extLst xmlns:c16r2="http://schemas.microsoft.com/office/drawing/2015/06/chart">
            <c:ext xmlns:c16="http://schemas.microsoft.com/office/drawing/2014/chart" uri="{C3380CC4-5D6E-409C-BE32-E72D297353CC}">
              <c16:uniqueId val="{00000002-DB15-4E31-852A-C011D1892EB1}"/>
            </c:ext>
          </c:extLst>
        </c:ser>
        <c:dLbls>
          <c:showLegendKey val="0"/>
          <c:showVal val="0"/>
          <c:showCatName val="0"/>
          <c:showSerName val="0"/>
          <c:showPercent val="0"/>
          <c:showBubbleSize val="0"/>
        </c:dLbls>
        <c:gapWidth val="150"/>
        <c:overlap val="100"/>
        <c:axId val="365213504"/>
        <c:axId val="365206840"/>
        <c:extLst xmlns:c16r2="http://schemas.microsoft.com/office/drawing/2015/06/chart">
          <c:ext xmlns:c15="http://schemas.microsoft.com/office/drawing/2012/chart" uri="{02D57815-91ED-43cb-92C2-25804820EDAC}">
            <c15:filteredBarSeries>
              <c15:ser>
                <c:idx val="0"/>
                <c:order val="0"/>
                <c:tx>
                  <c:strRef>
                    <c:extLst xmlns:c16r2="http://schemas.microsoft.com/office/drawing/2015/06/chart">
                      <c:ext uri="{02D57815-91ED-43cb-92C2-25804820EDAC}">
                        <c15:formulaRef>
                          <c15:sqref>HRP!$C$72</c15:sqref>
                        </c15:formulaRef>
                      </c:ext>
                    </c:extLst>
                    <c:strCache>
                      <c:ptCount val="1"/>
                      <c:pt idx="0">
                        <c:v>Number of people reached by regular dedicated hygiene promotion/behavior change activities(Target)</c:v>
                      </c:pt>
                    </c:strCache>
                  </c:strRef>
                </c:tx>
                <c:spPr>
                  <a:gradFill rotWithShape="1">
                    <a:gsLst>
                      <a:gs pos="0">
                        <a:schemeClr val="accent6">
                          <a:shade val="65000"/>
                          <a:satMod val="103000"/>
                          <a:lumMod val="102000"/>
                          <a:tint val="94000"/>
                        </a:schemeClr>
                      </a:gs>
                      <a:gs pos="50000">
                        <a:schemeClr val="accent6">
                          <a:shade val="65000"/>
                          <a:satMod val="110000"/>
                          <a:lumMod val="100000"/>
                          <a:shade val="100000"/>
                        </a:schemeClr>
                      </a:gs>
                      <a:gs pos="100000">
                        <a:schemeClr val="accent6">
                          <a:shade val="65000"/>
                          <a:lumMod val="99000"/>
                          <a:satMod val="120000"/>
                          <a:shade val="78000"/>
                        </a:schemeClr>
                      </a:gs>
                    </a:gsLst>
                    <a:lin ang="5400000" scaled="0"/>
                  </a:gradFill>
                  <a:ln>
                    <a:noFill/>
                  </a:ln>
                  <a:effectLst/>
                </c:spPr>
                <c:invertIfNegative val="0"/>
                <c:cat>
                  <c:strRef>
                    <c:extLst xmlns:c16r2="http://schemas.microsoft.com/office/drawing/2015/06/chart">
                      <c:ext uri="{02D57815-91ED-43cb-92C2-25804820EDAC}">
                        <c15:formulaRef>
                          <c15:sqref>HRP!$B$73:$B$75</c15:sqref>
                        </c15:formulaRef>
                      </c:ext>
                    </c:extLst>
                    <c:strCache>
                      <c:ptCount val="3"/>
                      <c:pt idx="0">
                        <c:v>Kachin</c:v>
                      </c:pt>
                      <c:pt idx="1">
                        <c:v>Rakhine</c:v>
                      </c:pt>
                      <c:pt idx="2">
                        <c:v>Shan (North)</c:v>
                      </c:pt>
                    </c:strCache>
                  </c:strRef>
                </c:cat>
                <c:val>
                  <c:numRef>
                    <c:extLst xmlns:c16r2="http://schemas.microsoft.com/office/drawing/2015/06/chart">
                      <c:ext uri="{02D57815-91ED-43cb-92C2-25804820EDAC}">
                        <c15:formulaRef>
                          <c15:sqref>HRP!$C$73:$C$75</c15:sqref>
                        </c15:formulaRef>
                      </c:ext>
                    </c:extLst>
                    <c:numCache>
                      <c:formatCode>_(* #,##0_);_(* \(#,##0\);_(* "-"??_);_(@_)</c:formatCode>
                      <c:ptCount val="3"/>
                      <c:pt idx="0">
                        <c:v>116862</c:v>
                      </c:pt>
                      <c:pt idx="1">
                        <c:v>379137</c:v>
                      </c:pt>
                      <c:pt idx="2">
                        <c:v>20479</c:v>
                      </c:pt>
                    </c:numCache>
                  </c:numRef>
                </c:val>
                <c:extLst xmlns:c16r2="http://schemas.microsoft.com/office/drawing/2015/06/chart">
                  <c:ext xmlns:c16="http://schemas.microsoft.com/office/drawing/2014/chart" uri="{C3380CC4-5D6E-409C-BE32-E72D297353CC}">
                    <c16:uniqueId val="{00000000-DB15-4E31-852A-C011D1892EB1}"/>
                  </c:ext>
                </c:extLst>
              </c15:ser>
            </c15:filteredBarSeries>
          </c:ext>
        </c:extLst>
      </c:barChart>
      <c:catAx>
        <c:axId val="365213504"/>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365206840"/>
        <c:crosses val="autoZero"/>
        <c:auto val="1"/>
        <c:lblAlgn val="ctr"/>
        <c:lblOffset val="100"/>
        <c:noMultiLvlLbl val="0"/>
      </c:catAx>
      <c:valAx>
        <c:axId val="365206840"/>
        <c:scaling>
          <c:orientation val="minMax"/>
        </c:scaling>
        <c:delete val="0"/>
        <c:axPos val="b"/>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3652135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r>
              <a:rPr lang="en-US" sz="1200" b="0" i="0" baseline="0">
                <a:effectLst/>
              </a:rPr>
              <a:t>WASH in Temporary Learning Spaces Rakhine</a:t>
            </a:r>
            <a:endParaRPr lang="en-US" sz="1200" b="0">
              <a:effectLst/>
            </a:endParaRPr>
          </a:p>
        </c:rich>
      </c:tx>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tx>
            <c:strRef>
              <c:f>Analysis!$C$294</c:f>
              <c:strCache>
                <c:ptCount val="1"/>
                <c:pt idx="0">
                  <c:v>Rakhine</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Pt>
            <c:idx val="0"/>
            <c:invertIfNegative val="0"/>
            <c:bubble3D val="0"/>
            <c:spPr>
              <a:solidFill>
                <a:schemeClr val="accent6">
                  <a:lumMod val="60000"/>
                  <a:lumOff val="40000"/>
                </a:schemeClr>
              </a:solidFill>
              <a:ln>
                <a:noFill/>
              </a:ln>
              <a:effectLst>
                <a:outerShdw blurRad="57150" dist="19050" dir="5400000" algn="ctr" rotWithShape="0">
                  <a:srgbClr val="000000">
                    <a:alpha val="63000"/>
                  </a:srgbClr>
                </a:outerShdw>
              </a:effectLst>
            </c:spPr>
            <c:extLst xmlns:c16r2="http://schemas.microsoft.com/office/drawing/2015/06/chart">
              <c:ext xmlns:c16="http://schemas.microsoft.com/office/drawing/2014/chart" uri="{C3380CC4-5D6E-409C-BE32-E72D297353CC}">
                <c16:uniqueId val="{00000001-AE8F-4A87-832A-A9C7772CDEF5}"/>
              </c:ext>
            </c:extLst>
          </c:dPt>
          <c:dPt>
            <c:idx val="2"/>
            <c:invertIfNegative val="0"/>
            <c:bubble3D val="0"/>
            <c:spPr>
              <a:solidFill>
                <a:schemeClr val="accent2">
                  <a:lumMod val="60000"/>
                  <a:lumOff val="40000"/>
                </a:schemeClr>
              </a:solidFill>
              <a:ln>
                <a:noFill/>
              </a:ln>
              <a:effectLst>
                <a:outerShdw blurRad="57150" dist="19050" dir="5400000" algn="ctr" rotWithShape="0">
                  <a:srgbClr val="000000">
                    <a:alpha val="63000"/>
                  </a:srgbClr>
                </a:outerShdw>
              </a:effectLst>
            </c:spPr>
            <c:extLst xmlns:c16r2="http://schemas.microsoft.com/office/drawing/2015/06/chart">
              <c:ext xmlns:c16="http://schemas.microsoft.com/office/drawing/2014/chart" uri="{C3380CC4-5D6E-409C-BE32-E72D297353CC}">
                <c16:uniqueId val="{00000003-AE8F-4A87-832A-A9C7772CDEF5}"/>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Analysis!$D$292:$G$292</c:f>
              <c:strCache>
                <c:ptCount val="4"/>
                <c:pt idx="0">
                  <c:v> # of hand washing stations with soap</c:v>
                </c:pt>
                <c:pt idx="1">
                  <c:v> # of children Latrine s</c:v>
                </c:pt>
                <c:pt idx="2">
                  <c:v> # of latrines in TLS (schools)</c:v>
                </c:pt>
                <c:pt idx="3">
                  <c:v> # of hand washing stations for TLS</c:v>
                </c:pt>
              </c:strCache>
            </c:strRef>
          </c:cat>
          <c:val>
            <c:numRef>
              <c:f>Analysis!$D$294:$G$294</c:f>
              <c:numCache>
                <c:formatCode>General</c:formatCode>
                <c:ptCount val="4"/>
                <c:pt idx="0">
                  <c:v>8</c:v>
                </c:pt>
                <c:pt idx="1">
                  <c:v>0</c:v>
                </c:pt>
                <c:pt idx="2">
                  <c:v>74</c:v>
                </c:pt>
                <c:pt idx="3">
                  <c:v>58</c:v>
                </c:pt>
              </c:numCache>
            </c:numRef>
          </c:val>
          <c:extLst xmlns:c16r2="http://schemas.microsoft.com/office/drawing/2015/06/chart">
            <c:ext xmlns:c16="http://schemas.microsoft.com/office/drawing/2014/chart" uri="{C3380CC4-5D6E-409C-BE32-E72D297353CC}">
              <c16:uniqueId val="{00000004-AE8F-4A87-832A-A9C7772CDEF5}"/>
            </c:ext>
          </c:extLst>
        </c:ser>
        <c:dLbls>
          <c:dLblPos val="outEnd"/>
          <c:showLegendKey val="0"/>
          <c:showVal val="1"/>
          <c:showCatName val="0"/>
          <c:showSerName val="0"/>
          <c:showPercent val="0"/>
          <c:showBubbleSize val="0"/>
        </c:dLbls>
        <c:gapWidth val="115"/>
        <c:overlap val="-20"/>
        <c:axId val="484833824"/>
        <c:axId val="484835784"/>
      </c:barChart>
      <c:catAx>
        <c:axId val="484833824"/>
        <c:scaling>
          <c:orientation val="minMax"/>
        </c:scaling>
        <c:delete val="0"/>
        <c:axPos val="l"/>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84835784"/>
        <c:crosses val="autoZero"/>
        <c:auto val="1"/>
        <c:lblAlgn val="ctr"/>
        <c:lblOffset val="100"/>
        <c:noMultiLvlLbl val="0"/>
      </c:catAx>
      <c:valAx>
        <c:axId val="48483578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8483382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[2018_06_05_Myanmar_WASH_4W_2018_Q1_final.xlsx]Quarterly Dashboard!PivotTable1</c:name>
    <c:fmtId val="1"/>
  </c:pivotSource>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n-US" sz="1800" b="0" i="0" baseline="0">
                <a:effectLst/>
              </a:rPr>
              <a:t>2018 1st Qtr Dashboard</a:t>
            </a:r>
            <a:endParaRPr lang="en-US">
              <a:effectLst/>
            </a:endParaRP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n-US"/>
        </a:p>
      </c:txPr>
    </c:title>
    <c:autoTitleDeleted val="0"/>
    <c:pivotFmts>
      <c:pivotFmt>
        <c:idx val="0"/>
        <c:spPr>
          <a:solidFill>
            <a:schemeClr val="tx1"/>
          </a:solidFill>
          <a:ln>
            <a:noFill/>
          </a:ln>
          <a:effectLst/>
        </c:spPr>
        <c:marker>
          <c:symbol val="none"/>
        </c:marker>
      </c:pivotFmt>
      <c:pivotFmt>
        <c:idx val="1"/>
        <c:spPr>
          <a:solidFill>
            <a:srgbClr val="0070C0"/>
          </a:solidFill>
          <a:ln>
            <a:noFill/>
          </a:ln>
          <a:effectLst/>
        </c:spPr>
        <c:marker>
          <c:symbol val="none"/>
        </c:marker>
      </c:pivotFmt>
      <c:pivotFmt>
        <c:idx val="2"/>
        <c:spPr>
          <a:solidFill>
            <a:schemeClr val="accent6">
              <a:lumMod val="75000"/>
            </a:schemeClr>
          </a:solidFill>
          <a:ln>
            <a:noFill/>
          </a:ln>
          <a:effectLst/>
        </c:spPr>
        <c:marker>
          <c:symbol val="none"/>
        </c:marker>
      </c:pivotFmt>
      <c:pivotFmt>
        <c:idx val="3"/>
        <c:spPr>
          <a:solidFill>
            <a:schemeClr val="accent2">
              <a:lumMod val="75000"/>
            </a:schemeClr>
          </a:solidFill>
          <a:ln>
            <a:noFill/>
          </a:ln>
          <a:effectLst/>
        </c:spPr>
        <c:marker>
          <c:symbol val="none"/>
        </c:marker>
      </c:pivotFmt>
    </c:pivotFmts>
    <c:plotArea>
      <c:layout>
        <c:manualLayout>
          <c:layoutTarget val="inner"/>
          <c:xMode val="edge"/>
          <c:yMode val="edge"/>
          <c:x val="0.4026027046954927"/>
          <c:y val="0.11493115019255251"/>
          <c:w val="0.43541081463193887"/>
          <c:h val="0.82620867752909466"/>
        </c:manualLayout>
      </c:layout>
      <c:barChart>
        <c:barDir val="bar"/>
        <c:grouping val="clustered"/>
        <c:varyColors val="0"/>
        <c:ser>
          <c:idx val="0"/>
          <c:order val="0"/>
          <c:tx>
            <c:strRef>
              <c:f>'Quarterly Dashboard'!$D$29</c:f>
              <c:strCache>
                <c:ptCount val="1"/>
                <c:pt idx="0">
                  <c:v>Total Population</c:v>
                </c:pt>
              </c:strCache>
            </c:strRef>
          </c:tx>
          <c:spPr>
            <a:solidFill>
              <a:schemeClr val="tx1"/>
            </a:solidFill>
            <a:ln>
              <a:noFill/>
            </a:ln>
            <a:effectLst/>
          </c:spPr>
          <c:invertIfNegative val="0"/>
          <c:cat>
            <c:multiLvlStrRef>
              <c:f>'Quarterly Dashboard'!$A$30:$C$162</c:f>
              <c:multiLvlStrCache>
                <c:ptCount val="97"/>
                <c:lvl>
                  <c:pt idx="0">
                    <c:v>Metta</c:v>
                  </c:pt>
                  <c:pt idx="1">
                    <c:v>None</c:v>
                  </c:pt>
                  <c:pt idx="2">
                    <c:v>SI</c:v>
                  </c:pt>
                  <c:pt idx="3">
                    <c:v>KBC</c:v>
                  </c:pt>
                  <c:pt idx="4">
                    <c:v>KMSS</c:v>
                  </c:pt>
                  <c:pt idx="5">
                    <c:v>Shalom</c:v>
                  </c:pt>
                  <c:pt idx="6">
                    <c:v>KBC</c:v>
                  </c:pt>
                  <c:pt idx="7">
                    <c:v>KMSS</c:v>
                  </c:pt>
                  <c:pt idx="8">
                    <c:v>KMSS,KBC</c:v>
                  </c:pt>
                  <c:pt idx="9">
                    <c:v>Shalom</c:v>
                  </c:pt>
                  <c:pt idx="10">
                    <c:v>KBC</c:v>
                  </c:pt>
                  <c:pt idx="11">
                    <c:v>KMSS</c:v>
                  </c:pt>
                  <c:pt idx="12">
                    <c:v>Metta</c:v>
                  </c:pt>
                  <c:pt idx="13">
                    <c:v>None</c:v>
                  </c:pt>
                  <c:pt idx="14">
                    <c:v>SCI</c:v>
                  </c:pt>
                  <c:pt idx="15">
                    <c:v>WPN</c:v>
                  </c:pt>
                  <c:pt idx="16">
                    <c:v>KBC</c:v>
                  </c:pt>
                  <c:pt idx="17">
                    <c:v>KMSS</c:v>
                  </c:pt>
                  <c:pt idx="18">
                    <c:v>KBC</c:v>
                  </c:pt>
                  <c:pt idx="19">
                    <c:v>KMSS</c:v>
                  </c:pt>
                  <c:pt idx="20">
                    <c:v>None</c:v>
                  </c:pt>
                  <c:pt idx="21">
                    <c:v>KMSS</c:v>
                  </c:pt>
                  <c:pt idx="22">
                    <c:v>Metta</c:v>
                  </c:pt>
                  <c:pt idx="23">
                    <c:v>None</c:v>
                  </c:pt>
                  <c:pt idx="24">
                    <c:v>SI</c:v>
                  </c:pt>
                  <c:pt idx="25">
                    <c:v>SI, KBC</c:v>
                  </c:pt>
                  <c:pt idx="26">
                    <c:v>WPN</c:v>
                  </c:pt>
                  <c:pt idx="27">
                    <c:v>KBC</c:v>
                  </c:pt>
                  <c:pt idx="28">
                    <c:v>KMSS</c:v>
                  </c:pt>
                  <c:pt idx="29">
                    <c:v>Shalom</c:v>
                  </c:pt>
                  <c:pt idx="30">
                    <c:v>KBC</c:v>
                  </c:pt>
                  <c:pt idx="31">
                    <c:v>None</c:v>
                  </c:pt>
                  <c:pt idx="32">
                    <c:v>Metta</c:v>
                  </c:pt>
                  <c:pt idx="33">
                    <c:v>None</c:v>
                  </c:pt>
                  <c:pt idx="34">
                    <c:v>KBC</c:v>
                  </c:pt>
                  <c:pt idx="35">
                    <c:v>None</c:v>
                  </c:pt>
                  <c:pt idx="36">
                    <c:v>KMSS</c:v>
                  </c:pt>
                  <c:pt idx="37">
                    <c:v>KBC</c:v>
                  </c:pt>
                  <c:pt idx="38">
                    <c:v>KMSS</c:v>
                  </c:pt>
                  <c:pt idx="39">
                    <c:v>Metta</c:v>
                  </c:pt>
                  <c:pt idx="40">
                    <c:v>None</c:v>
                  </c:pt>
                  <c:pt idx="41">
                    <c:v>Shalom</c:v>
                  </c:pt>
                  <c:pt idx="42">
                    <c:v>Arche Nova</c:v>
                  </c:pt>
                  <c:pt idx="43">
                    <c:v>MHDO</c:v>
                  </c:pt>
                  <c:pt idx="44">
                    <c:v>None</c:v>
                  </c:pt>
                  <c:pt idx="45">
                    <c:v>Oxfam</c:v>
                  </c:pt>
                  <c:pt idx="46">
                    <c:v>CDN</c:v>
                  </c:pt>
                  <c:pt idx="47">
                    <c:v>MA_UK</c:v>
                  </c:pt>
                  <c:pt idx="48">
                    <c:v>None</c:v>
                  </c:pt>
                  <c:pt idx="49">
                    <c:v>MHDO</c:v>
                  </c:pt>
                  <c:pt idx="50">
                    <c:v>None</c:v>
                  </c:pt>
                  <c:pt idx="51">
                    <c:v>None</c:v>
                  </c:pt>
                  <c:pt idx="52">
                    <c:v>RI</c:v>
                  </c:pt>
                  <c:pt idx="53">
                    <c:v>DRC</c:v>
                  </c:pt>
                  <c:pt idx="54">
                    <c:v>SCI</c:v>
                  </c:pt>
                  <c:pt idx="55">
                    <c:v>SI</c:v>
                  </c:pt>
                  <c:pt idx="56">
                    <c:v>None</c:v>
                  </c:pt>
                  <c:pt idx="57">
                    <c:v>MHDO</c:v>
                  </c:pt>
                  <c:pt idx="58">
                    <c:v>None</c:v>
                  </c:pt>
                  <c:pt idx="59">
                    <c:v>CDN</c:v>
                  </c:pt>
                  <c:pt idx="60">
                    <c:v>CDN,(MA_UK)</c:v>
                  </c:pt>
                  <c:pt idx="61">
                    <c:v>DRC</c:v>
                  </c:pt>
                  <c:pt idx="62">
                    <c:v>MA_UK</c:v>
                  </c:pt>
                  <c:pt idx="63">
                    <c:v>None</c:v>
                  </c:pt>
                  <c:pt idx="64">
                    <c:v>Oxfam</c:v>
                  </c:pt>
                  <c:pt idx="65">
                    <c:v>SCI</c:v>
                  </c:pt>
                  <c:pt idx="66">
                    <c:v>SI</c:v>
                  </c:pt>
                  <c:pt idx="67">
                    <c:v>KBC</c:v>
                  </c:pt>
                  <c:pt idx="68">
                    <c:v>Metta</c:v>
                  </c:pt>
                  <c:pt idx="69">
                    <c:v>None</c:v>
                  </c:pt>
                  <c:pt idx="70">
                    <c:v>None</c:v>
                  </c:pt>
                  <c:pt idx="71">
                    <c:v>KBC</c:v>
                  </c:pt>
                  <c:pt idx="72">
                    <c:v>KMSS,Metta</c:v>
                  </c:pt>
                  <c:pt idx="73">
                    <c:v>Metta</c:v>
                  </c:pt>
                  <c:pt idx="74">
                    <c:v>Metta, KBC-HDD-NSS</c:v>
                  </c:pt>
                  <c:pt idx="75">
                    <c:v>Metta,KBC-HDD-NSS,KMSS</c:v>
                  </c:pt>
                  <c:pt idx="76">
                    <c:v>Metta,KMSS</c:v>
                  </c:pt>
                  <c:pt idx="77">
                    <c:v>None</c:v>
                  </c:pt>
                  <c:pt idx="78">
                    <c:v>SCI</c:v>
                  </c:pt>
                  <c:pt idx="79">
                    <c:v>SCI, Metta</c:v>
                  </c:pt>
                  <c:pt idx="80">
                    <c:v>SCI,Metta</c:v>
                  </c:pt>
                  <c:pt idx="81">
                    <c:v>KMSS</c:v>
                  </c:pt>
                  <c:pt idx="82">
                    <c:v>Metta,KBC-HDD-NSS</c:v>
                  </c:pt>
                  <c:pt idx="83">
                    <c:v>None</c:v>
                  </c:pt>
                  <c:pt idx="84">
                    <c:v>KBC</c:v>
                  </c:pt>
                  <c:pt idx="85">
                    <c:v>KMSS</c:v>
                  </c:pt>
                  <c:pt idx="86">
                    <c:v>Metta</c:v>
                  </c:pt>
                  <c:pt idx="87">
                    <c:v>Metta, KBC-HDD-NSS</c:v>
                  </c:pt>
                  <c:pt idx="88">
                    <c:v>None</c:v>
                  </c:pt>
                  <c:pt idx="89">
                    <c:v>SCI,KBC-HDD-NSS</c:v>
                  </c:pt>
                  <c:pt idx="90">
                    <c:v>SCI,KMSS</c:v>
                  </c:pt>
                  <c:pt idx="91">
                    <c:v>SCI,Metta</c:v>
                  </c:pt>
                  <c:pt idx="92">
                    <c:v>SCI,Metta,KBC-HDD-NSS</c:v>
                  </c:pt>
                  <c:pt idx="93">
                    <c:v>Metta</c:v>
                  </c:pt>
                  <c:pt idx="94">
                    <c:v>SCI</c:v>
                  </c:pt>
                  <c:pt idx="95">
                    <c:v>SCI,Metta</c:v>
                  </c:pt>
                  <c:pt idx="96">
                    <c:v>SCI,Metta, KBC-HDD-NSS</c:v>
                  </c:pt>
                </c:lvl>
                <c:lvl>
                  <c:pt idx="0">
                    <c:v>Bhamo</c:v>
                  </c:pt>
                  <c:pt idx="3">
                    <c:v>Chipwi</c:v>
                  </c:pt>
                  <c:pt idx="6">
                    <c:v>Hpakant</c:v>
                  </c:pt>
                  <c:pt idx="10">
                    <c:v>Mansi</c:v>
                  </c:pt>
                  <c:pt idx="16">
                    <c:v>Mogaung</c:v>
                  </c:pt>
                  <c:pt idx="18">
                    <c:v>Mohnyin</c:v>
                  </c:pt>
                  <c:pt idx="21">
                    <c:v>Momauk</c:v>
                  </c:pt>
                  <c:pt idx="27">
                    <c:v>Myitkyina</c:v>
                  </c:pt>
                  <c:pt idx="30">
                    <c:v>Puta-O</c:v>
                  </c:pt>
                  <c:pt idx="32">
                    <c:v>Shwegu</c:v>
                  </c:pt>
                  <c:pt idx="34">
                    <c:v>Sumprabum</c:v>
                  </c:pt>
                  <c:pt idx="36">
                    <c:v>Tanai</c:v>
                  </c:pt>
                  <c:pt idx="37">
                    <c:v>Waingmaw</c:v>
                  </c:pt>
                  <c:pt idx="42">
                    <c:v>Ann</c:v>
                  </c:pt>
                  <c:pt idx="43">
                    <c:v>Buthidaung</c:v>
                  </c:pt>
                  <c:pt idx="44">
                    <c:v>Kyaukpyu</c:v>
                  </c:pt>
                  <c:pt idx="46">
                    <c:v>Kyauktaw</c:v>
                  </c:pt>
                  <c:pt idx="49">
                    <c:v>Maungdaw</c:v>
                  </c:pt>
                  <c:pt idx="50">
                    <c:v>Minbya</c:v>
                  </c:pt>
                  <c:pt idx="51">
                    <c:v>Mrauk-U</c:v>
                  </c:pt>
                  <c:pt idx="52">
                    <c:v>Myebon</c:v>
                  </c:pt>
                  <c:pt idx="53">
                    <c:v>Pauktaw</c:v>
                  </c:pt>
                  <c:pt idx="56">
                    <c:v>Ponnagyun</c:v>
                  </c:pt>
                  <c:pt idx="57">
                    <c:v>Rathedaung</c:v>
                  </c:pt>
                  <c:pt idx="59">
                    <c:v>Sittwe</c:v>
                  </c:pt>
                  <c:pt idx="67">
                    <c:v>Hseni</c:v>
                  </c:pt>
                  <c:pt idx="70">
                    <c:v>Hsipaw</c:v>
                  </c:pt>
                  <c:pt idx="71">
                    <c:v>Kutkai</c:v>
                  </c:pt>
                  <c:pt idx="81">
                    <c:v>Manton</c:v>
                  </c:pt>
                  <c:pt idx="84">
                    <c:v>Muse</c:v>
                  </c:pt>
                  <c:pt idx="89">
                    <c:v>Namhkan</c:v>
                  </c:pt>
                  <c:pt idx="93">
                    <c:v>Namtu</c:v>
                  </c:pt>
                </c:lvl>
                <c:lvl>
                  <c:pt idx="0">
                    <c:v>Kachin</c:v>
                  </c:pt>
                  <c:pt idx="42">
                    <c:v>Rakhine</c:v>
                  </c:pt>
                  <c:pt idx="67">
                    <c:v>Shan (North)</c:v>
                  </c:pt>
                </c:lvl>
              </c:multiLvlStrCache>
            </c:multiLvlStrRef>
          </c:cat>
          <c:val>
            <c:numRef>
              <c:f>'Quarterly Dashboard'!$D$30:$D$162</c:f>
              <c:numCache>
                <c:formatCode>General</c:formatCode>
                <c:ptCount val="97"/>
                <c:pt idx="0">
                  <c:v>1278</c:v>
                </c:pt>
                <c:pt idx="1">
                  <c:v>351</c:v>
                </c:pt>
                <c:pt idx="2">
                  <c:v>7438</c:v>
                </c:pt>
                <c:pt idx="3">
                  <c:v>823</c:v>
                </c:pt>
                <c:pt idx="4">
                  <c:v>440</c:v>
                </c:pt>
                <c:pt idx="5">
                  <c:v>1159</c:v>
                </c:pt>
                <c:pt idx="6">
                  <c:v>199</c:v>
                </c:pt>
                <c:pt idx="7">
                  <c:v>571</c:v>
                </c:pt>
                <c:pt idx="8">
                  <c:v>84</c:v>
                </c:pt>
                <c:pt idx="9">
                  <c:v>2763</c:v>
                </c:pt>
                <c:pt idx="10">
                  <c:v>1855</c:v>
                </c:pt>
                <c:pt idx="11">
                  <c:v>892</c:v>
                </c:pt>
                <c:pt idx="12">
                  <c:v>823</c:v>
                </c:pt>
                <c:pt idx="13">
                  <c:v>1124</c:v>
                </c:pt>
                <c:pt idx="14">
                  <c:v>4017</c:v>
                </c:pt>
                <c:pt idx="15">
                  <c:v>4264</c:v>
                </c:pt>
                <c:pt idx="16">
                  <c:v>326</c:v>
                </c:pt>
                <c:pt idx="17">
                  <c:v>105</c:v>
                </c:pt>
                <c:pt idx="18">
                  <c:v>115</c:v>
                </c:pt>
                <c:pt idx="19">
                  <c:v>50</c:v>
                </c:pt>
                <c:pt idx="20">
                  <c:v>184</c:v>
                </c:pt>
                <c:pt idx="21">
                  <c:v>446</c:v>
                </c:pt>
                <c:pt idx="22">
                  <c:v>5797</c:v>
                </c:pt>
                <c:pt idx="23">
                  <c:v>1238</c:v>
                </c:pt>
                <c:pt idx="24">
                  <c:v>5380</c:v>
                </c:pt>
                <c:pt idx="25">
                  <c:v>10753</c:v>
                </c:pt>
                <c:pt idx="26">
                  <c:v>5074</c:v>
                </c:pt>
                <c:pt idx="27">
                  <c:v>5798</c:v>
                </c:pt>
                <c:pt idx="28">
                  <c:v>1030</c:v>
                </c:pt>
                <c:pt idx="29">
                  <c:v>584</c:v>
                </c:pt>
                <c:pt idx="30">
                  <c:v>281</c:v>
                </c:pt>
                <c:pt idx="31">
                  <c:v>131</c:v>
                </c:pt>
                <c:pt idx="32">
                  <c:v>428</c:v>
                </c:pt>
                <c:pt idx="33">
                  <c:v>1691</c:v>
                </c:pt>
                <c:pt idx="34">
                  <c:v>815</c:v>
                </c:pt>
                <c:pt idx="35">
                  <c:v>32</c:v>
                </c:pt>
                <c:pt idx="36">
                  <c:v>936</c:v>
                </c:pt>
                <c:pt idx="37">
                  <c:v>9620</c:v>
                </c:pt>
                <c:pt idx="38">
                  <c:v>2569</c:v>
                </c:pt>
                <c:pt idx="39">
                  <c:v>7023</c:v>
                </c:pt>
                <c:pt idx="40">
                  <c:v>410</c:v>
                </c:pt>
                <c:pt idx="41">
                  <c:v>3982</c:v>
                </c:pt>
                <c:pt idx="42">
                  <c:v>14817</c:v>
                </c:pt>
                <c:pt idx="43">
                  <c:v>7969</c:v>
                </c:pt>
                <c:pt idx="44">
                  <c:v>211</c:v>
                </c:pt>
                <c:pt idx="45">
                  <c:v>992</c:v>
                </c:pt>
                <c:pt idx="46">
                  <c:v>18431</c:v>
                </c:pt>
                <c:pt idx="47">
                  <c:v>581</c:v>
                </c:pt>
                <c:pt idx="48">
                  <c:v>15898</c:v>
                </c:pt>
                <c:pt idx="49">
                  <c:v>10023</c:v>
                </c:pt>
                <c:pt idx="50">
                  <c:v>6011</c:v>
                </c:pt>
                <c:pt idx="51">
                  <c:v>2931</c:v>
                </c:pt>
                <c:pt idx="52">
                  <c:v>3052</c:v>
                </c:pt>
                <c:pt idx="53">
                  <c:v>5938</c:v>
                </c:pt>
                <c:pt idx="54">
                  <c:v>9845</c:v>
                </c:pt>
                <c:pt idx="55">
                  <c:v>14608</c:v>
                </c:pt>
                <c:pt idx="56">
                  <c:v>10950</c:v>
                </c:pt>
                <c:pt idx="57">
                  <c:v>13182</c:v>
                </c:pt>
                <c:pt idx="58">
                  <c:v>4530</c:v>
                </c:pt>
                <c:pt idx="59">
                  <c:v>2248</c:v>
                </c:pt>
                <c:pt idx="60">
                  <c:v>4457</c:v>
                </c:pt>
                <c:pt idx="61">
                  <c:v>14308</c:v>
                </c:pt>
                <c:pt idx="62">
                  <c:v>1687</c:v>
                </c:pt>
                <c:pt idx="63">
                  <c:v>7572</c:v>
                </c:pt>
                <c:pt idx="64">
                  <c:v>41941</c:v>
                </c:pt>
                <c:pt idx="65">
                  <c:v>9218</c:v>
                </c:pt>
                <c:pt idx="66">
                  <c:v>41955</c:v>
                </c:pt>
                <c:pt idx="67">
                  <c:v>173</c:v>
                </c:pt>
                <c:pt idx="68">
                  <c:v>196</c:v>
                </c:pt>
                <c:pt idx="69">
                  <c:v>392</c:v>
                </c:pt>
                <c:pt idx="70">
                  <c:v>120</c:v>
                </c:pt>
                <c:pt idx="71">
                  <c:v>145</c:v>
                </c:pt>
                <c:pt idx="72">
                  <c:v>138</c:v>
                </c:pt>
                <c:pt idx="73">
                  <c:v>2149</c:v>
                </c:pt>
                <c:pt idx="74">
                  <c:v>721</c:v>
                </c:pt>
                <c:pt idx="75">
                  <c:v>265</c:v>
                </c:pt>
                <c:pt idx="76">
                  <c:v>111</c:v>
                </c:pt>
                <c:pt idx="77">
                  <c:v>202</c:v>
                </c:pt>
                <c:pt idx="78">
                  <c:v>82</c:v>
                </c:pt>
                <c:pt idx="79">
                  <c:v>510</c:v>
                </c:pt>
                <c:pt idx="80">
                  <c:v>745</c:v>
                </c:pt>
                <c:pt idx="81">
                  <c:v>171</c:v>
                </c:pt>
                <c:pt idx="82">
                  <c:v>143</c:v>
                </c:pt>
                <c:pt idx="83">
                  <c:v>188</c:v>
                </c:pt>
                <c:pt idx="84">
                  <c:v>913</c:v>
                </c:pt>
                <c:pt idx="85">
                  <c:v>80</c:v>
                </c:pt>
                <c:pt idx="86">
                  <c:v>44</c:v>
                </c:pt>
                <c:pt idx="87">
                  <c:v>207</c:v>
                </c:pt>
                <c:pt idx="88">
                  <c:v>779</c:v>
                </c:pt>
                <c:pt idx="89">
                  <c:v>359</c:v>
                </c:pt>
                <c:pt idx="90">
                  <c:v>605</c:v>
                </c:pt>
                <c:pt idx="91">
                  <c:v>805</c:v>
                </c:pt>
                <c:pt idx="92">
                  <c:v>179</c:v>
                </c:pt>
                <c:pt idx="93">
                  <c:v>210</c:v>
                </c:pt>
                <c:pt idx="94">
                  <c:v>257</c:v>
                </c:pt>
                <c:pt idx="95">
                  <c:v>282</c:v>
                </c:pt>
                <c:pt idx="96">
                  <c:v>263</c:v>
                </c:pt>
              </c:numCache>
            </c:numRef>
          </c:val>
        </c:ser>
        <c:ser>
          <c:idx val="1"/>
          <c:order val="1"/>
          <c:tx>
            <c:strRef>
              <c:f>'Quarterly Dashboard'!$E$29</c:f>
              <c:strCache>
                <c:ptCount val="1"/>
                <c:pt idx="0">
                  <c:v>Number of People adopt basic personal and community hygiene practices</c:v>
                </c:pt>
              </c:strCache>
            </c:strRef>
          </c:tx>
          <c:spPr>
            <a:solidFill>
              <a:schemeClr val="accent6">
                <a:lumMod val="75000"/>
              </a:schemeClr>
            </a:solidFill>
            <a:ln>
              <a:noFill/>
            </a:ln>
            <a:effectLst/>
          </c:spPr>
          <c:invertIfNegative val="0"/>
          <c:cat>
            <c:multiLvlStrRef>
              <c:f>'Quarterly Dashboard'!$A$30:$C$162</c:f>
              <c:multiLvlStrCache>
                <c:ptCount val="97"/>
                <c:lvl>
                  <c:pt idx="0">
                    <c:v>Metta</c:v>
                  </c:pt>
                  <c:pt idx="1">
                    <c:v>None</c:v>
                  </c:pt>
                  <c:pt idx="2">
                    <c:v>SI</c:v>
                  </c:pt>
                  <c:pt idx="3">
                    <c:v>KBC</c:v>
                  </c:pt>
                  <c:pt idx="4">
                    <c:v>KMSS</c:v>
                  </c:pt>
                  <c:pt idx="5">
                    <c:v>Shalom</c:v>
                  </c:pt>
                  <c:pt idx="6">
                    <c:v>KBC</c:v>
                  </c:pt>
                  <c:pt idx="7">
                    <c:v>KMSS</c:v>
                  </c:pt>
                  <c:pt idx="8">
                    <c:v>KMSS,KBC</c:v>
                  </c:pt>
                  <c:pt idx="9">
                    <c:v>Shalom</c:v>
                  </c:pt>
                  <c:pt idx="10">
                    <c:v>KBC</c:v>
                  </c:pt>
                  <c:pt idx="11">
                    <c:v>KMSS</c:v>
                  </c:pt>
                  <c:pt idx="12">
                    <c:v>Metta</c:v>
                  </c:pt>
                  <c:pt idx="13">
                    <c:v>None</c:v>
                  </c:pt>
                  <c:pt idx="14">
                    <c:v>SCI</c:v>
                  </c:pt>
                  <c:pt idx="15">
                    <c:v>WPN</c:v>
                  </c:pt>
                  <c:pt idx="16">
                    <c:v>KBC</c:v>
                  </c:pt>
                  <c:pt idx="17">
                    <c:v>KMSS</c:v>
                  </c:pt>
                  <c:pt idx="18">
                    <c:v>KBC</c:v>
                  </c:pt>
                  <c:pt idx="19">
                    <c:v>KMSS</c:v>
                  </c:pt>
                  <c:pt idx="20">
                    <c:v>None</c:v>
                  </c:pt>
                  <c:pt idx="21">
                    <c:v>KMSS</c:v>
                  </c:pt>
                  <c:pt idx="22">
                    <c:v>Metta</c:v>
                  </c:pt>
                  <c:pt idx="23">
                    <c:v>None</c:v>
                  </c:pt>
                  <c:pt idx="24">
                    <c:v>SI</c:v>
                  </c:pt>
                  <c:pt idx="25">
                    <c:v>SI, KBC</c:v>
                  </c:pt>
                  <c:pt idx="26">
                    <c:v>WPN</c:v>
                  </c:pt>
                  <c:pt idx="27">
                    <c:v>KBC</c:v>
                  </c:pt>
                  <c:pt idx="28">
                    <c:v>KMSS</c:v>
                  </c:pt>
                  <c:pt idx="29">
                    <c:v>Shalom</c:v>
                  </c:pt>
                  <c:pt idx="30">
                    <c:v>KBC</c:v>
                  </c:pt>
                  <c:pt idx="31">
                    <c:v>None</c:v>
                  </c:pt>
                  <c:pt idx="32">
                    <c:v>Metta</c:v>
                  </c:pt>
                  <c:pt idx="33">
                    <c:v>None</c:v>
                  </c:pt>
                  <c:pt idx="34">
                    <c:v>KBC</c:v>
                  </c:pt>
                  <c:pt idx="35">
                    <c:v>None</c:v>
                  </c:pt>
                  <c:pt idx="36">
                    <c:v>KMSS</c:v>
                  </c:pt>
                  <c:pt idx="37">
                    <c:v>KBC</c:v>
                  </c:pt>
                  <c:pt idx="38">
                    <c:v>KMSS</c:v>
                  </c:pt>
                  <c:pt idx="39">
                    <c:v>Metta</c:v>
                  </c:pt>
                  <c:pt idx="40">
                    <c:v>None</c:v>
                  </c:pt>
                  <c:pt idx="41">
                    <c:v>Shalom</c:v>
                  </c:pt>
                  <c:pt idx="42">
                    <c:v>Arche Nova</c:v>
                  </c:pt>
                  <c:pt idx="43">
                    <c:v>MHDO</c:v>
                  </c:pt>
                  <c:pt idx="44">
                    <c:v>None</c:v>
                  </c:pt>
                  <c:pt idx="45">
                    <c:v>Oxfam</c:v>
                  </c:pt>
                  <c:pt idx="46">
                    <c:v>CDN</c:v>
                  </c:pt>
                  <c:pt idx="47">
                    <c:v>MA_UK</c:v>
                  </c:pt>
                  <c:pt idx="48">
                    <c:v>None</c:v>
                  </c:pt>
                  <c:pt idx="49">
                    <c:v>MHDO</c:v>
                  </c:pt>
                  <c:pt idx="50">
                    <c:v>None</c:v>
                  </c:pt>
                  <c:pt idx="51">
                    <c:v>None</c:v>
                  </c:pt>
                  <c:pt idx="52">
                    <c:v>RI</c:v>
                  </c:pt>
                  <c:pt idx="53">
                    <c:v>DRC</c:v>
                  </c:pt>
                  <c:pt idx="54">
                    <c:v>SCI</c:v>
                  </c:pt>
                  <c:pt idx="55">
                    <c:v>SI</c:v>
                  </c:pt>
                  <c:pt idx="56">
                    <c:v>None</c:v>
                  </c:pt>
                  <c:pt idx="57">
                    <c:v>MHDO</c:v>
                  </c:pt>
                  <c:pt idx="58">
                    <c:v>None</c:v>
                  </c:pt>
                  <c:pt idx="59">
                    <c:v>CDN</c:v>
                  </c:pt>
                  <c:pt idx="60">
                    <c:v>CDN,(MA_UK)</c:v>
                  </c:pt>
                  <c:pt idx="61">
                    <c:v>DRC</c:v>
                  </c:pt>
                  <c:pt idx="62">
                    <c:v>MA_UK</c:v>
                  </c:pt>
                  <c:pt idx="63">
                    <c:v>None</c:v>
                  </c:pt>
                  <c:pt idx="64">
                    <c:v>Oxfam</c:v>
                  </c:pt>
                  <c:pt idx="65">
                    <c:v>SCI</c:v>
                  </c:pt>
                  <c:pt idx="66">
                    <c:v>SI</c:v>
                  </c:pt>
                  <c:pt idx="67">
                    <c:v>KBC</c:v>
                  </c:pt>
                  <c:pt idx="68">
                    <c:v>Metta</c:v>
                  </c:pt>
                  <c:pt idx="69">
                    <c:v>None</c:v>
                  </c:pt>
                  <c:pt idx="70">
                    <c:v>None</c:v>
                  </c:pt>
                  <c:pt idx="71">
                    <c:v>KBC</c:v>
                  </c:pt>
                  <c:pt idx="72">
                    <c:v>KMSS,Metta</c:v>
                  </c:pt>
                  <c:pt idx="73">
                    <c:v>Metta</c:v>
                  </c:pt>
                  <c:pt idx="74">
                    <c:v>Metta, KBC-HDD-NSS</c:v>
                  </c:pt>
                  <c:pt idx="75">
                    <c:v>Metta,KBC-HDD-NSS,KMSS</c:v>
                  </c:pt>
                  <c:pt idx="76">
                    <c:v>Metta,KMSS</c:v>
                  </c:pt>
                  <c:pt idx="77">
                    <c:v>None</c:v>
                  </c:pt>
                  <c:pt idx="78">
                    <c:v>SCI</c:v>
                  </c:pt>
                  <c:pt idx="79">
                    <c:v>SCI, Metta</c:v>
                  </c:pt>
                  <c:pt idx="80">
                    <c:v>SCI,Metta</c:v>
                  </c:pt>
                  <c:pt idx="81">
                    <c:v>KMSS</c:v>
                  </c:pt>
                  <c:pt idx="82">
                    <c:v>Metta,KBC-HDD-NSS</c:v>
                  </c:pt>
                  <c:pt idx="83">
                    <c:v>None</c:v>
                  </c:pt>
                  <c:pt idx="84">
                    <c:v>KBC</c:v>
                  </c:pt>
                  <c:pt idx="85">
                    <c:v>KMSS</c:v>
                  </c:pt>
                  <c:pt idx="86">
                    <c:v>Metta</c:v>
                  </c:pt>
                  <c:pt idx="87">
                    <c:v>Metta, KBC-HDD-NSS</c:v>
                  </c:pt>
                  <c:pt idx="88">
                    <c:v>None</c:v>
                  </c:pt>
                  <c:pt idx="89">
                    <c:v>SCI,KBC-HDD-NSS</c:v>
                  </c:pt>
                  <c:pt idx="90">
                    <c:v>SCI,KMSS</c:v>
                  </c:pt>
                  <c:pt idx="91">
                    <c:v>SCI,Metta</c:v>
                  </c:pt>
                  <c:pt idx="92">
                    <c:v>SCI,Metta,KBC-HDD-NSS</c:v>
                  </c:pt>
                  <c:pt idx="93">
                    <c:v>Metta</c:v>
                  </c:pt>
                  <c:pt idx="94">
                    <c:v>SCI</c:v>
                  </c:pt>
                  <c:pt idx="95">
                    <c:v>SCI,Metta</c:v>
                  </c:pt>
                  <c:pt idx="96">
                    <c:v>SCI,Metta, KBC-HDD-NSS</c:v>
                  </c:pt>
                </c:lvl>
                <c:lvl>
                  <c:pt idx="0">
                    <c:v>Bhamo</c:v>
                  </c:pt>
                  <c:pt idx="3">
                    <c:v>Chipwi</c:v>
                  </c:pt>
                  <c:pt idx="6">
                    <c:v>Hpakant</c:v>
                  </c:pt>
                  <c:pt idx="10">
                    <c:v>Mansi</c:v>
                  </c:pt>
                  <c:pt idx="16">
                    <c:v>Mogaung</c:v>
                  </c:pt>
                  <c:pt idx="18">
                    <c:v>Mohnyin</c:v>
                  </c:pt>
                  <c:pt idx="21">
                    <c:v>Momauk</c:v>
                  </c:pt>
                  <c:pt idx="27">
                    <c:v>Myitkyina</c:v>
                  </c:pt>
                  <c:pt idx="30">
                    <c:v>Puta-O</c:v>
                  </c:pt>
                  <c:pt idx="32">
                    <c:v>Shwegu</c:v>
                  </c:pt>
                  <c:pt idx="34">
                    <c:v>Sumprabum</c:v>
                  </c:pt>
                  <c:pt idx="36">
                    <c:v>Tanai</c:v>
                  </c:pt>
                  <c:pt idx="37">
                    <c:v>Waingmaw</c:v>
                  </c:pt>
                  <c:pt idx="42">
                    <c:v>Ann</c:v>
                  </c:pt>
                  <c:pt idx="43">
                    <c:v>Buthidaung</c:v>
                  </c:pt>
                  <c:pt idx="44">
                    <c:v>Kyaukpyu</c:v>
                  </c:pt>
                  <c:pt idx="46">
                    <c:v>Kyauktaw</c:v>
                  </c:pt>
                  <c:pt idx="49">
                    <c:v>Maungdaw</c:v>
                  </c:pt>
                  <c:pt idx="50">
                    <c:v>Minbya</c:v>
                  </c:pt>
                  <c:pt idx="51">
                    <c:v>Mrauk-U</c:v>
                  </c:pt>
                  <c:pt idx="52">
                    <c:v>Myebon</c:v>
                  </c:pt>
                  <c:pt idx="53">
                    <c:v>Pauktaw</c:v>
                  </c:pt>
                  <c:pt idx="56">
                    <c:v>Ponnagyun</c:v>
                  </c:pt>
                  <c:pt idx="57">
                    <c:v>Rathedaung</c:v>
                  </c:pt>
                  <c:pt idx="59">
                    <c:v>Sittwe</c:v>
                  </c:pt>
                  <c:pt idx="67">
                    <c:v>Hseni</c:v>
                  </c:pt>
                  <c:pt idx="70">
                    <c:v>Hsipaw</c:v>
                  </c:pt>
                  <c:pt idx="71">
                    <c:v>Kutkai</c:v>
                  </c:pt>
                  <c:pt idx="81">
                    <c:v>Manton</c:v>
                  </c:pt>
                  <c:pt idx="84">
                    <c:v>Muse</c:v>
                  </c:pt>
                  <c:pt idx="89">
                    <c:v>Namhkan</c:v>
                  </c:pt>
                  <c:pt idx="93">
                    <c:v>Namtu</c:v>
                  </c:pt>
                </c:lvl>
                <c:lvl>
                  <c:pt idx="0">
                    <c:v>Kachin</c:v>
                  </c:pt>
                  <c:pt idx="42">
                    <c:v>Rakhine</c:v>
                  </c:pt>
                  <c:pt idx="67">
                    <c:v>Shan (North)</c:v>
                  </c:pt>
                </c:lvl>
              </c:multiLvlStrCache>
            </c:multiLvlStrRef>
          </c:cat>
          <c:val>
            <c:numRef>
              <c:f>'Quarterly Dashboard'!$E$30:$E$162</c:f>
              <c:numCache>
                <c:formatCode>General</c:formatCode>
                <c:ptCount val="97"/>
                <c:pt idx="0">
                  <c:v>1278</c:v>
                </c:pt>
                <c:pt idx="1">
                  <c:v>0</c:v>
                </c:pt>
                <c:pt idx="2">
                  <c:v>0</c:v>
                </c:pt>
                <c:pt idx="3">
                  <c:v>0</c:v>
                </c:pt>
                <c:pt idx="4">
                  <c:v>0</c:v>
                </c:pt>
                <c:pt idx="5">
                  <c:v>0</c:v>
                </c:pt>
                <c:pt idx="6">
                  <c:v>0</c:v>
                </c:pt>
                <c:pt idx="7">
                  <c:v>0</c:v>
                </c:pt>
                <c:pt idx="8">
                  <c:v>0</c:v>
                </c:pt>
                <c:pt idx="9">
                  <c:v>0</c:v>
                </c:pt>
                <c:pt idx="10">
                  <c:v>0</c:v>
                </c:pt>
                <c:pt idx="11">
                  <c:v>0</c:v>
                </c:pt>
                <c:pt idx="12">
                  <c:v>823</c:v>
                </c:pt>
                <c:pt idx="13">
                  <c:v>0</c:v>
                </c:pt>
                <c:pt idx="14">
                  <c:v>1053</c:v>
                </c:pt>
                <c:pt idx="15">
                  <c:v>0</c:v>
                </c:pt>
                <c:pt idx="16">
                  <c:v>0</c:v>
                </c:pt>
                <c:pt idx="17">
                  <c:v>0</c:v>
                </c:pt>
                <c:pt idx="18">
                  <c:v>0</c:v>
                </c:pt>
                <c:pt idx="19">
                  <c:v>0</c:v>
                </c:pt>
                <c:pt idx="20">
                  <c:v>0</c:v>
                </c:pt>
                <c:pt idx="21">
                  <c:v>0</c:v>
                </c:pt>
                <c:pt idx="22">
                  <c:v>2503</c:v>
                </c:pt>
                <c:pt idx="23">
                  <c:v>0</c:v>
                </c:pt>
                <c:pt idx="24">
                  <c:v>0</c:v>
                </c:pt>
                <c:pt idx="25">
                  <c:v>0</c:v>
                </c:pt>
                <c:pt idx="26">
                  <c:v>0</c:v>
                </c:pt>
                <c:pt idx="27">
                  <c:v>0</c:v>
                </c:pt>
                <c:pt idx="28">
                  <c:v>0</c:v>
                </c:pt>
                <c:pt idx="29">
                  <c:v>0</c:v>
                </c:pt>
                <c:pt idx="30">
                  <c:v>0</c:v>
                </c:pt>
                <c:pt idx="31">
                  <c:v>0</c:v>
                </c:pt>
                <c:pt idx="32">
                  <c:v>428</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5938</c:v>
                </c:pt>
                <c:pt idx="54">
                  <c:v>0</c:v>
                </c:pt>
                <c:pt idx="55">
                  <c:v>0</c:v>
                </c:pt>
                <c:pt idx="56">
                  <c:v>0</c:v>
                </c:pt>
                <c:pt idx="57">
                  <c:v>0</c:v>
                </c:pt>
                <c:pt idx="58">
                  <c:v>0</c:v>
                </c:pt>
                <c:pt idx="59">
                  <c:v>2248</c:v>
                </c:pt>
                <c:pt idx="60">
                  <c:v>4457</c:v>
                </c:pt>
                <c:pt idx="61">
                  <c:v>14308</c:v>
                </c:pt>
                <c:pt idx="62">
                  <c:v>0</c:v>
                </c:pt>
                <c:pt idx="63">
                  <c:v>0</c:v>
                </c:pt>
                <c:pt idx="64">
                  <c:v>35972</c:v>
                </c:pt>
                <c:pt idx="65">
                  <c:v>0</c:v>
                </c:pt>
                <c:pt idx="66">
                  <c:v>18712</c:v>
                </c:pt>
                <c:pt idx="67">
                  <c:v>0</c:v>
                </c:pt>
                <c:pt idx="68">
                  <c:v>0</c:v>
                </c:pt>
                <c:pt idx="69">
                  <c:v>0</c:v>
                </c:pt>
                <c:pt idx="70">
                  <c:v>0</c:v>
                </c:pt>
                <c:pt idx="71">
                  <c:v>0</c:v>
                </c:pt>
                <c:pt idx="72">
                  <c:v>0</c:v>
                </c:pt>
                <c:pt idx="73">
                  <c:v>0</c:v>
                </c:pt>
                <c:pt idx="74">
                  <c:v>0</c:v>
                </c:pt>
                <c:pt idx="75">
                  <c:v>0</c:v>
                </c:pt>
                <c:pt idx="76">
                  <c:v>0</c:v>
                </c:pt>
                <c:pt idx="77">
                  <c:v>0</c:v>
                </c:pt>
                <c:pt idx="78">
                  <c:v>82</c:v>
                </c:pt>
                <c:pt idx="79">
                  <c:v>0</c:v>
                </c:pt>
                <c:pt idx="80">
                  <c:v>141</c:v>
                </c:pt>
                <c:pt idx="81">
                  <c:v>171</c:v>
                </c:pt>
                <c:pt idx="82">
                  <c:v>0</c:v>
                </c:pt>
                <c:pt idx="83">
                  <c:v>0</c:v>
                </c:pt>
                <c:pt idx="84">
                  <c:v>0</c:v>
                </c:pt>
                <c:pt idx="85">
                  <c:v>80</c:v>
                </c:pt>
                <c:pt idx="86">
                  <c:v>0</c:v>
                </c:pt>
                <c:pt idx="87">
                  <c:v>0</c:v>
                </c:pt>
                <c:pt idx="88">
                  <c:v>0</c:v>
                </c:pt>
                <c:pt idx="89">
                  <c:v>359</c:v>
                </c:pt>
                <c:pt idx="90">
                  <c:v>391</c:v>
                </c:pt>
                <c:pt idx="91">
                  <c:v>504</c:v>
                </c:pt>
                <c:pt idx="92">
                  <c:v>179</c:v>
                </c:pt>
                <c:pt idx="93">
                  <c:v>0</c:v>
                </c:pt>
                <c:pt idx="94">
                  <c:v>257</c:v>
                </c:pt>
                <c:pt idx="95">
                  <c:v>0</c:v>
                </c:pt>
                <c:pt idx="96">
                  <c:v>0</c:v>
                </c:pt>
              </c:numCache>
            </c:numRef>
          </c:val>
        </c:ser>
        <c:ser>
          <c:idx val="2"/>
          <c:order val="2"/>
          <c:tx>
            <c:strRef>
              <c:f>'Quarterly Dashboard'!$F$29</c:f>
              <c:strCache>
                <c:ptCount val="1"/>
                <c:pt idx="0">
                  <c:v>Number of people with equitable and continuous access to safe sanitation facilities</c:v>
                </c:pt>
              </c:strCache>
            </c:strRef>
          </c:tx>
          <c:spPr>
            <a:solidFill>
              <a:schemeClr val="accent2">
                <a:lumMod val="75000"/>
              </a:schemeClr>
            </a:solidFill>
            <a:ln>
              <a:noFill/>
            </a:ln>
            <a:effectLst/>
          </c:spPr>
          <c:invertIfNegative val="0"/>
          <c:cat>
            <c:multiLvlStrRef>
              <c:f>'Quarterly Dashboard'!$A$30:$C$162</c:f>
              <c:multiLvlStrCache>
                <c:ptCount val="97"/>
                <c:lvl>
                  <c:pt idx="0">
                    <c:v>Metta</c:v>
                  </c:pt>
                  <c:pt idx="1">
                    <c:v>None</c:v>
                  </c:pt>
                  <c:pt idx="2">
                    <c:v>SI</c:v>
                  </c:pt>
                  <c:pt idx="3">
                    <c:v>KBC</c:v>
                  </c:pt>
                  <c:pt idx="4">
                    <c:v>KMSS</c:v>
                  </c:pt>
                  <c:pt idx="5">
                    <c:v>Shalom</c:v>
                  </c:pt>
                  <c:pt idx="6">
                    <c:v>KBC</c:v>
                  </c:pt>
                  <c:pt idx="7">
                    <c:v>KMSS</c:v>
                  </c:pt>
                  <c:pt idx="8">
                    <c:v>KMSS,KBC</c:v>
                  </c:pt>
                  <c:pt idx="9">
                    <c:v>Shalom</c:v>
                  </c:pt>
                  <c:pt idx="10">
                    <c:v>KBC</c:v>
                  </c:pt>
                  <c:pt idx="11">
                    <c:v>KMSS</c:v>
                  </c:pt>
                  <c:pt idx="12">
                    <c:v>Metta</c:v>
                  </c:pt>
                  <c:pt idx="13">
                    <c:v>None</c:v>
                  </c:pt>
                  <c:pt idx="14">
                    <c:v>SCI</c:v>
                  </c:pt>
                  <c:pt idx="15">
                    <c:v>WPN</c:v>
                  </c:pt>
                  <c:pt idx="16">
                    <c:v>KBC</c:v>
                  </c:pt>
                  <c:pt idx="17">
                    <c:v>KMSS</c:v>
                  </c:pt>
                  <c:pt idx="18">
                    <c:v>KBC</c:v>
                  </c:pt>
                  <c:pt idx="19">
                    <c:v>KMSS</c:v>
                  </c:pt>
                  <c:pt idx="20">
                    <c:v>None</c:v>
                  </c:pt>
                  <c:pt idx="21">
                    <c:v>KMSS</c:v>
                  </c:pt>
                  <c:pt idx="22">
                    <c:v>Metta</c:v>
                  </c:pt>
                  <c:pt idx="23">
                    <c:v>None</c:v>
                  </c:pt>
                  <c:pt idx="24">
                    <c:v>SI</c:v>
                  </c:pt>
                  <c:pt idx="25">
                    <c:v>SI, KBC</c:v>
                  </c:pt>
                  <c:pt idx="26">
                    <c:v>WPN</c:v>
                  </c:pt>
                  <c:pt idx="27">
                    <c:v>KBC</c:v>
                  </c:pt>
                  <c:pt idx="28">
                    <c:v>KMSS</c:v>
                  </c:pt>
                  <c:pt idx="29">
                    <c:v>Shalom</c:v>
                  </c:pt>
                  <c:pt idx="30">
                    <c:v>KBC</c:v>
                  </c:pt>
                  <c:pt idx="31">
                    <c:v>None</c:v>
                  </c:pt>
                  <c:pt idx="32">
                    <c:v>Metta</c:v>
                  </c:pt>
                  <c:pt idx="33">
                    <c:v>None</c:v>
                  </c:pt>
                  <c:pt idx="34">
                    <c:v>KBC</c:v>
                  </c:pt>
                  <c:pt idx="35">
                    <c:v>None</c:v>
                  </c:pt>
                  <c:pt idx="36">
                    <c:v>KMSS</c:v>
                  </c:pt>
                  <c:pt idx="37">
                    <c:v>KBC</c:v>
                  </c:pt>
                  <c:pt idx="38">
                    <c:v>KMSS</c:v>
                  </c:pt>
                  <c:pt idx="39">
                    <c:v>Metta</c:v>
                  </c:pt>
                  <c:pt idx="40">
                    <c:v>None</c:v>
                  </c:pt>
                  <c:pt idx="41">
                    <c:v>Shalom</c:v>
                  </c:pt>
                  <c:pt idx="42">
                    <c:v>Arche Nova</c:v>
                  </c:pt>
                  <c:pt idx="43">
                    <c:v>MHDO</c:v>
                  </c:pt>
                  <c:pt idx="44">
                    <c:v>None</c:v>
                  </c:pt>
                  <c:pt idx="45">
                    <c:v>Oxfam</c:v>
                  </c:pt>
                  <c:pt idx="46">
                    <c:v>CDN</c:v>
                  </c:pt>
                  <c:pt idx="47">
                    <c:v>MA_UK</c:v>
                  </c:pt>
                  <c:pt idx="48">
                    <c:v>None</c:v>
                  </c:pt>
                  <c:pt idx="49">
                    <c:v>MHDO</c:v>
                  </c:pt>
                  <c:pt idx="50">
                    <c:v>None</c:v>
                  </c:pt>
                  <c:pt idx="51">
                    <c:v>None</c:v>
                  </c:pt>
                  <c:pt idx="52">
                    <c:v>RI</c:v>
                  </c:pt>
                  <c:pt idx="53">
                    <c:v>DRC</c:v>
                  </c:pt>
                  <c:pt idx="54">
                    <c:v>SCI</c:v>
                  </c:pt>
                  <c:pt idx="55">
                    <c:v>SI</c:v>
                  </c:pt>
                  <c:pt idx="56">
                    <c:v>None</c:v>
                  </c:pt>
                  <c:pt idx="57">
                    <c:v>MHDO</c:v>
                  </c:pt>
                  <c:pt idx="58">
                    <c:v>None</c:v>
                  </c:pt>
                  <c:pt idx="59">
                    <c:v>CDN</c:v>
                  </c:pt>
                  <c:pt idx="60">
                    <c:v>CDN,(MA_UK)</c:v>
                  </c:pt>
                  <c:pt idx="61">
                    <c:v>DRC</c:v>
                  </c:pt>
                  <c:pt idx="62">
                    <c:v>MA_UK</c:v>
                  </c:pt>
                  <c:pt idx="63">
                    <c:v>None</c:v>
                  </c:pt>
                  <c:pt idx="64">
                    <c:v>Oxfam</c:v>
                  </c:pt>
                  <c:pt idx="65">
                    <c:v>SCI</c:v>
                  </c:pt>
                  <c:pt idx="66">
                    <c:v>SI</c:v>
                  </c:pt>
                  <c:pt idx="67">
                    <c:v>KBC</c:v>
                  </c:pt>
                  <c:pt idx="68">
                    <c:v>Metta</c:v>
                  </c:pt>
                  <c:pt idx="69">
                    <c:v>None</c:v>
                  </c:pt>
                  <c:pt idx="70">
                    <c:v>None</c:v>
                  </c:pt>
                  <c:pt idx="71">
                    <c:v>KBC</c:v>
                  </c:pt>
                  <c:pt idx="72">
                    <c:v>KMSS,Metta</c:v>
                  </c:pt>
                  <c:pt idx="73">
                    <c:v>Metta</c:v>
                  </c:pt>
                  <c:pt idx="74">
                    <c:v>Metta, KBC-HDD-NSS</c:v>
                  </c:pt>
                  <c:pt idx="75">
                    <c:v>Metta,KBC-HDD-NSS,KMSS</c:v>
                  </c:pt>
                  <c:pt idx="76">
                    <c:v>Metta,KMSS</c:v>
                  </c:pt>
                  <c:pt idx="77">
                    <c:v>None</c:v>
                  </c:pt>
                  <c:pt idx="78">
                    <c:v>SCI</c:v>
                  </c:pt>
                  <c:pt idx="79">
                    <c:v>SCI, Metta</c:v>
                  </c:pt>
                  <c:pt idx="80">
                    <c:v>SCI,Metta</c:v>
                  </c:pt>
                  <c:pt idx="81">
                    <c:v>KMSS</c:v>
                  </c:pt>
                  <c:pt idx="82">
                    <c:v>Metta,KBC-HDD-NSS</c:v>
                  </c:pt>
                  <c:pt idx="83">
                    <c:v>None</c:v>
                  </c:pt>
                  <c:pt idx="84">
                    <c:v>KBC</c:v>
                  </c:pt>
                  <c:pt idx="85">
                    <c:v>KMSS</c:v>
                  </c:pt>
                  <c:pt idx="86">
                    <c:v>Metta</c:v>
                  </c:pt>
                  <c:pt idx="87">
                    <c:v>Metta, KBC-HDD-NSS</c:v>
                  </c:pt>
                  <c:pt idx="88">
                    <c:v>None</c:v>
                  </c:pt>
                  <c:pt idx="89">
                    <c:v>SCI,KBC-HDD-NSS</c:v>
                  </c:pt>
                  <c:pt idx="90">
                    <c:v>SCI,KMSS</c:v>
                  </c:pt>
                  <c:pt idx="91">
                    <c:v>SCI,Metta</c:v>
                  </c:pt>
                  <c:pt idx="92">
                    <c:v>SCI,Metta,KBC-HDD-NSS</c:v>
                  </c:pt>
                  <c:pt idx="93">
                    <c:v>Metta</c:v>
                  </c:pt>
                  <c:pt idx="94">
                    <c:v>SCI</c:v>
                  </c:pt>
                  <c:pt idx="95">
                    <c:v>SCI,Metta</c:v>
                  </c:pt>
                  <c:pt idx="96">
                    <c:v>SCI,Metta, KBC-HDD-NSS</c:v>
                  </c:pt>
                </c:lvl>
                <c:lvl>
                  <c:pt idx="0">
                    <c:v>Bhamo</c:v>
                  </c:pt>
                  <c:pt idx="3">
                    <c:v>Chipwi</c:v>
                  </c:pt>
                  <c:pt idx="6">
                    <c:v>Hpakant</c:v>
                  </c:pt>
                  <c:pt idx="10">
                    <c:v>Mansi</c:v>
                  </c:pt>
                  <c:pt idx="16">
                    <c:v>Mogaung</c:v>
                  </c:pt>
                  <c:pt idx="18">
                    <c:v>Mohnyin</c:v>
                  </c:pt>
                  <c:pt idx="21">
                    <c:v>Momauk</c:v>
                  </c:pt>
                  <c:pt idx="27">
                    <c:v>Myitkyina</c:v>
                  </c:pt>
                  <c:pt idx="30">
                    <c:v>Puta-O</c:v>
                  </c:pt>
                  <c:pt idx="32">
                    <c:v>Shwegu</c:v>
                  </c:pt>
                  <c:pt idx="34">
                    <c:v>Sumprabum</c:v>
                  </c:pt>
                  <c:pt idx="36">
                    <c:v>Tanai</c:v>
                  </c:pt>
                  <c:pt idx="37">
                    <c:v>Waingmaw</c:v>
                  </c:pt>
                  <c:pt idx="42">
                    <c:v>Ann</c:v>
                  </c:pt>
                  <c:pt idx="43">
                    <c:v>Buthidaung</c:v>
                  </c:pt>
                  <c:pt idx="44">
                    <c:v>Kyaukpyu</c:v>
                  </c:pt>
                  <c:pt idx="46">
                    <c:v>Kyauktaw</c:v>
                  </c:pt>
                  <c:pt idx="49">
                    <c:v>Maungdaw</c:v>
                  </c:pt>
                  <c:pt idx="50">
                    <c:v>Minbya</c:v>
                  </c:pt>
                  <c:pt idx="51">
                    <c:v>Mrauk-U</c:v>
                  </c:pt>
                  <c:pt idx="52">
                    <c:v>Myebon</c:v>
                  </c:pt>
                  <c:pt idx="53">
                    <c:v>Pauktaw</c:v>
                  </c:pt>
                  <c:pt idx="56">
                    <c:v>Ponnagyun</c:v>
                  </c:pt>
                  <c:pt idx="57">
                    <c:v>Rathedaung</c:v>
                  </c:pt>
                  <c:pt idx="59">
                    <c:v>Sittwe</c:v>
                  </c:pt>
                  <c:pt idx="67">
                    <c:v>Hseni</c:v>
                  </c:pt>
                  <c:pt idx="70">
                    <c:v>Hsipaw</c:v>
                  </c:pt>
                  <c:pt idx="71">
                    <c:v>Kutkai</c:v>
                  </c:pt>
                  <c:pt idx="81">
                    <c:v>Manton</c:v>
                  </c:pt>
                  <c:pt idx="84">
                    <c:v>Muse</c:v>
                  </c:pt>
                  <c:pt idx="89">
                    <c:v>Namhkan</c:v>
                  </c:pt>
                  <c:pt idx="93">
                    <c:v>Namtu</c:v>
                  </c:pt>
                </c:lvl>
                <c:lvl>
                  <c:pt idx="0">
                    <c:v>Kachin</c:v>
                  </c:pt>
                  <c:pt idx="42">
                    <c:v>Rakhine</c:v>
                  </c:pt>
                  <c:pt idx="67">
                    <c:v>Shan (North)</c:v>
                  </c:pt>
                </c:lvl>
              </c:multiLvlStrCache>
            </c:multiLvlStrRef>
          </c:cat>
          <c:val>
            <c:numRef>
              <c:f>'Quarterly Dashboard'!$F$30:$F$162</c:f>
              <c:numCache>
                <c:formatCode>General</c:formatCode>
                <c:ptCount val="97"/>
                <c:pt idx="0">
                  <c:v>846</c:v>
                </c:pt>
                <c:pt idx="1">
                  <c:v>0</c:v>
                </c:pt>
                <c:pt idx="2">
                  <c:v>4957</c:v>
                </c:pt>
                <c:pt idx="3">
                  <c:v>540</c:v>
                </c:pt>
                <c:pt idx="4">
                  <c:v>413</c:v>
                </c:pt>
                <c:pt idx="5">
                  <c:v>1159</c:v>
                </c:pt>
                <c:pt idx="6">
                  <c:v>181</c:v>
                </c:pt>
                <c:pt idx="7">
                  <c:v>320</c:v>
                </c:pt>
                <c:pt idx="8">
                  <c:v>80</c:v>
                </c:pt>
                <c:pt idx="9">
                  <c:v>2544</c:v>
                </c:pt>
                <c:pt idx="10">
                  <c:v>1855</c:v>
                </c:pt>
                <c:pt idx="11">
                  <c:v>803</c:v>
                </c:pt>
                <c:pt idx="12">
                  <c:v>823</c:v>
                </c:pt>
                <c:pt idx="13">
                  <c:v>0</c:v>
                </c:pt>
                <c:pt idx="14">
                  <c:v>3808</c:v>
                </c:pt>
                <c:pt idx="15">
                  <c:v>4264</c:v>
                </c:pt>
                <c:pt idx="16">
                  <c:v>268</c:v>
                </c:pt>
                <c:pt idx="17">
                  <c:v>105</c:v>
                </c:pt>
                <c:pt idx="18">
                  <c:v>100</c:v>
                </c:pt>
                <c:pt idx="19">
                  <c:v>40</c:v>
                </c:pt>
                <c:pt idx="20">
                  <c:v>0</c:v>
                </c:pt>
                <c:pt idx="21">
                  <c:v>446</c:v>
                </c:pt>
                <c:pt idx="22">
                  <c:v>5101</c:v>
                </c:pt>
                <c:pt idx="23">
                  <c:v>0</c:v>
                </c:pt>
                <c:pt idx="24">
                  <c:v>2585</c:v>
                </c:pt>
                <c:pt idx="25">
                  <c:v>8874</c:v>
                </c:pt>
                <c:pt idx="26">
                  <c:v>5074</c:v>
                </c:pt>
                <c:pt idx="27">
                  <c:v>4040</c:v>
                </c:pt>
                <c:pt idx="28">
                  <c:v>981</c:v>
                </c:pt>
                <c:pt idx="29">
                  <c:v>465</c:v>
                </c:pt>
                <c:pt idx="30">
                  <c:v>160.00000000000003</c:v>
                </c:pt>
                <c:pt idx="31">
                  <c:v>0</c:v>
                </c:pt>
                <c:pt idx="32">
                  <c:v>428</c:v>
                </c:pt>
                <c:pt idx="33">
                  <c:v>0</c:v>
                </c:pt>
                <c:pt idx="34">
                  <c:v>815</c:v>
                </c:pt>
                <c:pt idx="35">
                  <c:v>0</c:v>
                </c:pt>
                <c:pt idx="36">
                  <c:v>280</c:v>
                </c:pt>
                <c:pt idx="37">
                  <c:v>9440</c:v>
                </c:pt>
                <c:pt idx="38">
                  <c:v>2569</c:v>
                </c:pt>
                <c:pt idx="39">
                  <c:v>5219</c:v>
                </c:pt>
                <c:pt idx="40">
                  <c:v>200</c:v>
                </c:pt>
                <c:pt idx="41">
                  <c:v>1680</c:v>
                </c:pt>
                <c:pt idx="42">
                  <c:v>0</c:v>
                </c:pt>
                <c:pt idx="43">
                  <c:v>108</c:v>
                </c:pt>
                <c:pt idx="44">
                  <c:v>211</c:v>
                </c:pt>
                <c:pt idx="45">
                  <c:v>992</c:v>
                </c:pt>
                <c:pt idx="46">
                  <c:v>0</c:v>
                </c:pt>
                <c:pt idx="47">
                  <c:v>260</c:v>
                </c:pt>
                <c:pt idx="48">
                  <c:v>4345</c:v>
                </c:pt>
                <c:pt idx="49">
                  <c:v>96</c:v>
                </c:pt>
                <c:pt idx="50">
                  <c:v>1122</c:v>
                </c:pt>
                <c:pt idx="51">
                  <c:v>102</c:v>
                </c:pt>
                <c:pt idx="52">
                  <c:v>3052</c:v>
                </c:pt>
                <c:pt idx="53">
                  <c:v>1740.0000000000002</c:v>
                </c:pt>
                <c:pt idx="54">
                  <c:v>5180</c:v>
                </c:pt>
                <c:pt idx="55">
                  <c:v>10155</c:v>
                </c:pt>
                <c:pt idx="56">
                  <c:v>2280</c:v>
                </c:pt>
                <c:pt idx="57">
                  <c:v>1614</c:v>
                </c:pt>
                <c:pt idx="58">
                  <c:v>3347</c:v>
                </c:pt>
                <c:pt idx="59">
                  <c:v>2248</c:v>
                </c:pt>
                <c:pt idx="60">
                  <c:v>4457</c:v>
                </c:pt>
                <c:pt idx="61">
                  <c:v>14081</c:v>
                </c:pt>
                <c:pt idx="62">
                  <c:v>0</c:v>
                </c:pt>
                <c:pt idx="63">
                  <c:v>1562</c:v>
                </c:pt>
                <c:pt idx="64">
                  <c:v>33420</c:v>
                </c:pt>
                <c:pt idx="65">
                  <c:v>2224</c:v>
                </c:pt>
                <c:pt idx="66">
                  <c:v>27112</c:v>
                </c:pt>
                <c:pt idx="67">
                  <c:v>173</c:v>
                </c:pt>
                <c:pt idx="68">
                  <c:v>100</c:v>
                </c:pt>
                <c:pt idx="69">
                  <c:v>0</c:v>
                </c:pt>
                <c:pt idx="70">
                  <c:v>0</c:v>
                </c:pt>
                <c:pt idx="71">
                  <c:v>145</c:v>
                </c:pt>
                <c:pt idx="72">
                  <c:v>138</c:v>
                </c:pt>
                <c:pt idx="73">
                  <c:v>1902</c:v>
                </c:pt>
                <c:pt idx="74">
                  <c:v>400</c:v>
                </c:pt>
                <c:pt idx="75">
                  <c:v>265</c:v>
                </c:pt>
                <c:pt idx="76">
                  <c:v>111</c:v>
                </c:pt>
                <c:pt idx="77">
                  <c:v>0</c:v>
                </c:pt>
                <c:pt idx="78">
                  <c:v>82</c:v>
                </c:pt>
                <c:pt idx="79">
                  <c:v>510</c:v>
                </c:pt>
                <c:pt idx="80">
                  <c:v>699</c:v>
                </c:pt>
                <c:pt idx="81">
                  <c:v>80</c:v>
                </c:pt>
                <c:pt idx="82">
                  <c:v>143</c:v>
                </c:pt>
                <c:pt idx="83">
                  <c:v>0</c:v>
                </c:pt>
                <c:pt idx="84">
                  <c:v>779</c:v>
                </c:pt>
                <c:pt idx="85">
                  <c:v>80</c:v>
                </c:pt>
                <c:pt idx="86">
                  <c:v>44</c:v>
                </c:pt>
                <c:pt idx="87">
                  <c:v>207</c:v>
                </c:pt>
                <c:pt idx="88">
                  <c:v>0</c:v>
                </c:pt>
                <c:pt idx="89">
                  <c:v>200</c:v>
                </c:pt>
                <c:pt idx="90">
                  <c:v>554</c:v>
                </c:pt>
                <c:pt idx="91">
                  <c:v>460</c:v>
                </c:pt>
                <c:pt idx="92">
                  <c:v>179</c:v>
                </c:pt>
                <c:pt idx="93">
                  <c:v>210</c:v>
                </c:pt>
                <c:pt idx="94">
                  <c:v>200</c:v>
                </c:pt>
                <c:pt idx="95">
                  <c:v>282</c:v>
                </c:pt>
                <c:pt idx="96">
                  <c:v>263</c:v>
                </c:pt>
              </c:numCache>
            </c:numRef>
          </c:val>
        </c:ser>
        <c:ser>
          <c:idx val="3"/>
          <c:order val="3"/>
          <c:tx>
            <c:strRef>
              <c:f>'Quarterly Dashboard'!$G$29</c:f>
              <c:strCache>
                <c:ptCount val="1"/>
                <c:pt idx="0">
                  <c:v>Number of people with equitable and continuous access to sufficient quantity of domestic water</c:v>
                </c:pt>
              </c:strCache>
            </c:strRef>
          </c:tx>
          <c:spPr>
            <a:solidFill>
              <a:srgbClr val="0070C0"/>
            </a:solidFill>
            <a:ln>
              <a:noFill/>
            </a:ln>
            <a:effectLst/>
          </c:spPr>
          <c:invertIfNegative val="0"/>
          <c:cat>
            <c:multiLvlStrRef>
              <c:f>'Quarterly Dashboard'!$A$30:$C$162</c:f>
              <c:multiLvlStrCache>
                <c:ptCount val="97"/>
                <c:lvl>
                  <c:pt idx="0">
                    <c:v>Metta</c:v>
                  </c:pt>
                  <c:pt idx="1">
                    <c:v>None</c:v>
                  </c:pt>
                  <c:pt idx="2">
                    <c:v>SI</c:v>
                  </c:pt>
                  <c:pt idx="3">
                    <c:v>KBC</c:v>
                  </c:pt>
                  <c:pt idx="4">
                    <c:v>KMSS</c:v>
                  </c:pt>
                  <c:pt idx="5">
                    <c:v>Shalom</c:v>
                  </c:pt>
                  <c:pt idx="6">
                    <c:v>KBC</c:v>
                  </c:pt>
                  <c:pt idx="7">
                    <c:v>KMSS</c:v>
                  </c:pt>
                  <c:pt idx="8">
                    <c:v>KMSS,KBC</c:v>
                  </c:pt>
                  <c:pt idx="9">
                    <c:v>Shalom</c:v>
                  </c:pt>
                  <c:pt idx="10">
                    <c:v>KBC</c:v>
                  </c:pt>
                  <c:pt idx="11">
                    <c:v>KMSS</c:v>
                  </c:pt>
                  <c:pt idx="12">
                    <c:v>Metta</c:v>
                  </c:pt>
                  <c:pt idx="13">
                    <c:v>None</c:v>
                  </c:pt>
                  <c:pt idx="14">
                    <c:v>SCI</c:v>
                  </c:pt>
                  <c:pt idx="15">
                    <c:v>WPN</c:v>
                  </c:pt>
                  <c:pt idx="16">
                    <c:v>KBC</c:v>
                  </c:pt>
                  <c:pt idx="17">
                    <c:v>KMSS</c:v>
                  </c:pt>
                  <c:pt idx="18">
                    <c:v>KBC</c:v>
                  </c:pt>
                  <c:pt idx="19">
                    <c:v>KMSS</c:v>
                  </c:pt>
                  <c:pt idx="20">
                    <c:v>None</c:v>
                  </c:pt>
                  <c:pt idx="21">
                    <c:v>KMSS</c:v>
                  </c:pt>
                  <c:pt idx="22">
                    <c:v>Metta</c:v>
                  </c:pt>
                  <c:pt idx="23">
                    <c:v>None</c:v>
                  </c:pt>
                  <c:pt idx="24">
                    <c:v>SI</c:v>
                  </c:pt>
                  <c:pt idx="25">
                    <c:v>SI, KBC</c:v>
                  </c:pt>
                  <c:pt idx="26">
                    <c:v>WPN</c:v>
                  </c:pt>
                  <c:pt idx="27">
                    <c:v>KBC</c:v>
                  </c:pt>
                  <c:pt idx="28">
                    <c:v>KMSS</c:v>
                  </c:pt>
                  <c:pt idx="29">
                    <c:v>Shalom</c:v>
                  </c:pt>
                  <c:pt idx="30">
                    <c:v>KBC</c:v>
                  </c:pt>
                  <c:pt idx="31">
                    <c:v>None</c:v>
                  </c:pt>
                  <c:pt idx="32">
                    <c:v>Metta</c:v>
                  </c:pt>
                  <c:pt idx="33">
                    <c:v>None</c:v>
                  </c:pt>
                  <c:pt idx="34">
                    <c:v>KBC</c:v>
                  </c:pt>
                  <c:pt idx="35">
                    <c:v>None</c:v>
                  </c:pt>
                  <c:pt idx="36">
                    <c:v>KMSS</c:v>
                  </c:pt>
                  <c:pt idx="37">
                    <c:v>KBC</c:v>
                  </c:pt>
                  <c:pt idx="38">
                    <c:v>KMSS</c:v>
                  </c:pt>
                  <c:pt idx="39">
                    <c:v>Metta</c:v>
                  </c:pt>
                  <c:pt idx="40">
                    <c:v>None</c:v>
                  </c:pt>
                  <c:pt idx="41">
                    <c:v>Shalom</c:v>
                  </c:pt>
                  <c:pt idx="42">
                    <c:v>Arche Nova</c:v>
                  </c:pt>
                  <c:pt idx="43">
                    <c:v>MHDO</c:v>
                  </c:pt>
                  <c:pt idx="44">
                    <c:v>None</c:v>
                  </c:pt>
                  <c:pt idx="45">
                    <c:v>Oxfam</c:v>
                  </c:pt>
                  <c:pt idx="46">
                    <c:v>CDN</c:v>
                  </c:pt>
                  <c:pt idx="47">
                    <c:v>MA_UK</c:v>
                  </c:pt>
                  <c:pt idx="48">
                    <c:v>None</c:v>
                  </c:pt>
                  <c:pt idx="49">
                    <c:v>MHDO</c:v>
                  </c:pt>
                  <c:pt idx="50">
                    <c:v>None</c:v>
                  </c:pt>
                  <c:pt idx="51">
                    <c:v>None</c:v>
                  </c:pt>
                  <c:pt idx="52">
                    <c:v>RI</c:v>
                  </c:pt>
                  <c:pt idx="53">
                    <c:v>DRC</c:v>
                  </c:pt>
                  <c:pt idx="54">
                    <c:v>SCI</c:v>
                  </c:pt>
                  <c:pt idx="55">
                    <c:v>SI</c:v>
                  </c:pt>
                  <c:pt idx="56">
                    <c:v>None</c:v>
                  </c:pt>
                  <c:pt idx="57">
                    <c:v>MHDO</c:v>
                  </c:pt>
                  <c:pt idx="58">
                    <c:v>None</c:v>
                  </c:pt>
                  <c:pt idx="59">
                    <c:v>CDN</c:v>
                  </c:pt>
                  <c:pt idx="60">
                    <c:v>CDN,(MA_UK)</c:v>
                  </c:pt>
                  <c:pt idx="61">
                    <c:v>DRC</c:v>
                  </c:pt>
                  <c:pt idx="62">
                    <c:v>MA_UK</c:v>
                  </c:pt>
                  <c:pt idx="63">
                    <c:v>None</c:v>
                  </c:pt>
                  <c:pt idx="64">
                    <c:v>Oxfam</c:v>
                  </c:pt>
                  <c:pt idx="65">
                    <c:v>SCI</c:v>
                  </c:pt>
                  <c:pt idx="66">
                    <c:v>SI</c:v>
                  </c:pt>
                  <c:pt idx="67">
                    <c:v>KBC</c:v>
                  </c:pt>
                  <c:pt idx="68">
                    <c:v>Metta</c:v>
                  </c:pt>
                  <c:pt idx="69">
                    <c:v>None</c:v>
                  </c:pt>
                  <c:pt idx="70">
                    <c:v>None</c:v>
                  </c:pt>
                  <c:pt idx="71">
                    <c:v>KBC</c:v>
                  </c:pt>
                  <c:pt idx="72">
                    <c:v>KMSS,Metta</c:v>
                  </c:pt>
                  <c:pt idx="73">
                    <c:v>Metta</c:v>
                  </c:pt>
                  <c:pt idx="74">
                    <c:v>Metta, KBC-HDD-NSS</c:v>
                  </c:pt>
                  <c:pt idx="75">
                    <c:v>Metta,KBC-HDD-NSS,KMSS</c:v>
                  </c:pt>
                  <c:pt idx="76">
                    <c:v>Metta,KMSS</c:v>
                  </c:pt>
                  <c:pt idx="77">
                    <c:v>None</c:v>
                  </c:pt>
                  <c:pt idx="78">
                    <c:v>SCI</c:v>
                  </c:pt>
                  <c:pt idx="79">
                    <c:v>SCI, Metta</c:v>
                  </c:pt>
                  <c:pt idx="80">
                    <c:v>SCI,Metta</c:v>
                  </c:pt>
                  <c:pt idx="81">
                    <c:v>KMSS</c:v>
                  </c:pt>
                  <c:pt idx="82">
                    <c:v>Metta,KBC-HDD-NSS</c:v>
                  </c:pt>
                  <c:pt idx="83">
                    <c:v>None</c:v>
                  </c:pt>
                  <c:pt idx="84">
                    <c:v>KBC</c:v>
                  </c:pt>
                  <c:pt idx="85">
                    <c:v>KMSS</c:v>
                  </c:pt>
                  <c:pt idx="86">
                    <c:v>Metta</c:v>
                  </c:pt>
                  <c:pt idx="87">
                    <c:v>Metta, KBC-HDD-NSS</c:v>
                  </c:pt>
                  <c:pt idx="88">
                    <c:v>None</c:v>
                  </c:pt>
                  <c:pt idx="89">
                    <c:v>SCI,KBC-HDD-NSS</c:v>
                  </c:pt>
                  <c:pt idx="90">
                    <c:v>SCI,KMSS</c:v>
                  </c:pt>
                  <c:pt idx="91">
                    <c:v>SCI,Metta</c:v>
                  </c:pt>
                  <c:pt idx="92">
                    <c:v>SCI,Metta,KBC-HDD-NSS</c:v>
                  </c:pt>
                  <c:pt idx="93">
                    <c:v>Metta</c:v>
                  </c:pt>
                  <c:pt idx="94">
                    <c:v>SCI</c:v>
                  </c:pt>
                  <c:pt idx="95">
                    <c:v>SCI,Metta</c:v>
                  </c:pt>
                  <c:pt idx="96">
                    <c:v>SCI,Metta, KBC-HDD-NSS</c:v>
                  </c:pt>
                </c:lvl>
                <c:lvl>
                  <c:pt idx="0">
                    <c:v>Bhamo</c:v>
                  </c:pt>
                  <c:pt idx="3">
                    <c:v>Chipwi</c:v>
                  </c:pt>
                  <c:pt idx="6">
                    <c:v>Hpakant</c:v>
                  </c:pt>
                  <c:pt idx="10">
                    <c:v>Mansi</c:v>
                  </c:pt>
                  <c:pt idx="16">
                    <c:v>Mogaung</c:v>
                  </c:pt>
                  <c:pt idx="18">
                    <c:v>Mohnyin</c:v>
                  </c:pt>
                  <c:pt idx="21">
                    <c:v>Momauk</c:v>
                  </c:pt>
                  <c:pt idx="27">
                    <c:v>Myitkyina</c:v>
                  </c:pt>
                  <c:pt idx="30">
                    <c:v>Puta-O</c:v>
                  </c:pt>
                  <c:pt idx="32">
                    <c:v>Shwegu</c:v>
                  </c:pt>
                  <c:pt idx="34">
                    <c:v>Sumprabum</c:v>
                  </c:pt>
                  <c:pt idx="36">
                    <c:v>Tanai</c:v>
                  </c:pt>
                  <c:pt idx="37">
                    <c:v>Waingmaw</c:v>
                  </c:pt>
                  <c:pt idx="42">
                    <c:v>Ann</c:v>
                  </c:pt>
                  <c:pt idx="43">
                    <c:v>Buthidaung</c:v>
                  </c:pt>
                  <c:pt idx="44">
                    <c:v>Kyaukpyu</c:v>
                  </c:pt>
                  <c:pt idx="46">
                    <c:v>Kyauktaw</c:v>
                  </c:pt>
                  <c:pt idx="49">
                    <c:v>Maungdaw</c:v>
                  </c:pt>
                  <c:pt idx="50">
                    <c:v>Minbya</c:v>
                  </c:pt>
                  <c:pt idx="51">
                    <c:v>Mrauk-U</c:v>
                  </c:pt>
                  <c:pt idx="52">
                    <c:v>Myebon</c:v>
                  </c:pt>
                  <c:pt idx="53">
                    <c:v>Pauktaw</c:v>
                  </c:pt>
                  <c:pt idx="56">
                    <c:v>Ponnagyun</c:v>
                  </c:pt>
                  <c:pt idx="57">
                    <c:v>Rathedaung</c:v>
                  </c:pt>
                  <c:pt idx="59">
                    <c:v>Sittwe</c:v>
                  </c:pt>
                  <c:pt idx="67">
                    <c:v>Hseni</c:v>
                  </c:pt>
                  <c:pt idx="70">
                    <c:v>Hsipaw</c:v>
                  </c:pt>
                  <c:pt idx="71">
                    <c:v>Kutkai</c:v>
                  </c:pt>
                  <c:pt idx="81">
                    <c:v>Manton</c:v>
                  </c:pt>
                  <c:pt idx="84">
                    <c:v>Muse</c:v>
                  </c:pt>
                  <c:pt idx="89">
                    <c:v>Namhkan</c:v>
                  </c:pt>
                  <c:pt idx="93">
                    <c:v>Namtu</c:v>
                  </c:pt>
                </c:lvl>
                <c:lvl>
                  <c:pt idx="0">
                    <c:v>Kachin</c:v>
                  </c:pt>
                  <c:pt idx="42">
                    <c:v>Rakhine</c:v>
                  </c:pt>
                  <c:pt idx="67">
                    <c:v>Shan (North)</c:v>
                  </c:pt>
                </c:lvl>
              </c:multiLvlStrCache>
            </c:multiLvlStrRef>
          </c:cat>
          <c:val>
            <c:numRef>
              <c:f>'Quarterly Dashboard'!$G$30:$G$162</c:f>
              <c:numCache>
                <c:formatCode>General</c:formatCode>
                <c:ptCount val="97"/>
                <c:pt idx="0">
                  <c:v>1167</c:v>
                </c:pt>
                <c:pt idx="1">
                  <c:v>0</c:v>
                </c:pt>
                <c:pt idx="2">
                  <c:v>6029</c:v>
                </c:pt>
                <c:pt idx="3">
                  <c:v>823</c:v>
                </c:pt>
                <c:pt idx="4">
                  <c:v>400</c:v>
                </c:pt>
                <c:pt idx="5">
                  <c:v>0</c:v>
                </c:pt>
                <c:pt idx="6">
                  <c:v>181</c:v>
                </c:pt>
                <c:pt idx="7">
                  <c:v>571</c:v>
                </c:pt>
                <c:pt idx="8">
                  <c:v>84</c:v>
                </c:pt>
                <c:pt idx="9">
                  <c:v>2597.3333333333335</c:v>
                </c:pt>
                <c:pt idx="10">
                  <c:v>1855</c:v>
                </c:pt>
                <c:pt idx="11">
                  <c:v>892</c:v>
                </c:pt>
                <c:pt idx="12">
                  <c:v>823</c:v>
                </c:pt>
                <c:pt idx="13">
                  <c:v>0</c:v>
                </c:pt>
                <c:pt idx="14">
                  <c:v>4017</c:v>
                </c:pt>
                <c:pt idx="15">
                  <c:v>4264</c:v>
                </c:pt>
                <c:pt idx="16">
                  <c:v>326</c:v>
                </c:pt>
                <c:pt idx="17">
                  <c:v>105</c:v>
                </c:pt>
                <c:pt idx="18">
                  <c:v>115</c:v>
                </c:pt>
                <c:pt idx="19">
                  <c:v>50</c:v>
                </c:pt>
                <c:pt idx="20">
                  <c:v>0</c:v>
                </c:pt>
                <c:pt idx="21">
                  <c:v>446</c:v>
                </c:pt>
                <c:pt idx="22">
                  <c:v>5797</c:v>
                </c:pt>
                <c:pt idx="23">
                  <c:v>0</c:v>
                </c:pt>
                <c:pt idx="24">
                  <c:v>5380</c:v>
                </c:pt>
                <c:pt idx="25">
                  <c:v>10753</c:v>
                </c:pt>
                <c:pt idx="26">
                  <c:v>0</c:v>
                </c:pt>
                <c:pt idx="27">
                  <c:v>5798</c:v>
                </c:pt>
                <c:pt idx="28">
                  <c:v>1030</c:v>
                </c:pt>
                <c:pt idx="29">
                  <c:v>584</c:v>
                </c:pt>
                <c:pt idx="30">
                  <c:v>281</c:v>
                </c:pt>
                <c:pt idx="31">
                  <c:v>0</c:v>
                </c:pt>
                <c:pt idx="32">
                  <c:v>428</c:v>
                </c:pt>
                <c:pt idx="33">
                  <c:v>0</c:v>
                </c:pt>
                <c:pt idx="34">
                  <c:v>0</c:v>
                </c:pt>
                <c:pt idx="35">
                  <c:v>0</c:v>
                </c:pt>
                <c:pt idx="36">
                  <c:v>395.66666666666669</c:v>
                </c:pt>
                <c:pt idx="37">
                  <c:v>9620</c:v>
                </c:pt>
                <c:pt idx="38">
                  <c:v>2569</c:v>
                </c:pt>
                <c:pt idx="39">
                  <c:v>6505.8</c:v>
                </c:pt>
                <c:pt idx="40">
                  <c:v>410</c:v>
                </c:pt>
                <c:pt idx="41">
                  <c:v>3982</c:v>
                </c:pt>
                <c:pt idx="42">
                  <c:v>0</c:v>
                </c:pt>
                <c:pt idx="43">
                  <c:v>2215</c:v>
                </c:pt>
                <c:pt idx="44">
                  <c:v>211</c:v>
                </c:pt>
                <c:pt idx="45">
                  <c:v>992</c:v>
                </c:pt>
                <c:pt idx="46">
                  <c:v>0</c:v>
                </c:pt>
                <c:pt idx="47">
                  <c:v>581</c:v>
                </c:pt>
                <c:pt idx="48">
                  <c:v>249.99999999999997</c:v>
                </c:pt>
                <c:pt idx="49">
                  <c:v>3451</c:v>
                </c:pt>
                <c:pt idx="50">
                  <c:v>1829</c:v>
                </c:pt>
                <c:pt idx="51">
                  <c:v>1088</c:v>
                </c:pt>
                <c:pt idx="52">
                  <c:v>1467</c:v>
                </c:pt>
                <c:pt idx="53">
                  <c:v>5900</c:v>
                </c:pt>
                <c:pt idx="54">
                  <c:v>9290</c:v>
                </c:pt>
                <c:pt idx="55">
                  <c:v>13336.333333333332</c:v>
                </c:pt>
                <c:pt idx="56">
                  <c:v>1000</c:v>
                </c:pt>
                <c:pt idx="57">
                  <c:v>7420</c:v>
                </c:pt>
                <c:pt idx="58">
                  <c:v>4530</c:v>
                </c:pt>
                <c:pt idx="59">
                  <c:v>2248</c:v>
                </c:pt>
                <c:pt idx="60">
                  <c:v>4457</c:v>
                </c:pt>
                <c:pt idx="61">
                  <c:v>14308</c:v>
                </c:pt>
                <c:pt idx="62">
                  <c:v>1390</c:v>
                </c:pt>
                <c:pt idx="63">
                  <c:v>7365</c:v>
                </c:pt>
                <c:pt idx="64">
                  <c:v>37775</c:v>
                </c:pt>
                <c:pt idx="65">
                  <c:v>9218</c:v>
                </c:pt>
                <c:pt idx="66">
                  <c:v>41955</c:v>
                </c:pt>
                <c:pt idx="67">
                  <c:v>173</c:v>
                </c:pt>
                <c:pt idx="68">
                  <c:v>196</c:v>
                </c:pt>
                <c:pt idx="69">
                  <c:v>0</c:v>
                </c:pt>
                <c:pt idx="70">
                  <c:v>0</c:v>
                </c:pt>
                <c:pt idx="71">
                  <c:v>145</c:v>
                </c:pt>
                <c:pt idx="72">
                  <c:v>138</c:v>
                </c:pt>
                <c:pt idx="73">
                  <c:v>1844</c:v>
                </c:pt>
                <c:pt idx="74">
                  <c:v>721</c:v>
                </c:pt>
                <c:pt idx="75">
                  <c:v>265</c:v>
                </c:pt>
                <c:pt idx="76">
                  <c:v>111</c:v>
                </c:pt>
                <c:pt idx="77">
                  <c:v>0</c:v>
                </c:pt>
                <c:pt idx="78">
                  <c:v>82</c:v>
                </c:pt>
                <c:pt idx="79">
                  <c:v>510</c:v>
                </c:pt>
                <c:pt idx="80">
                  <c:v>745</c:v>
                </c:pt>
                <c:pt idx="81">
                  <c:v>171</c:v>
                </c:pt>
                <c:pt idx="82">
                  <c:v>143</c:v>
                </c:pt>
                <c:pt idx="83">
                  <c:v>0</c:v>
                </c:pt>
                <c:pt idx="84">
                  <c:v>779</c:v>
                </c:pt>
                <c:pt idx="85">
                  <c:v>80</c:v>
                </c:pt>
                <c:pt idx="86">
                  <c:v>0</c:v>
                </c:pt>
                <c:pt idx="87">
                  <c:v>207</c:v>
                </c:pt>
                <c:pt idx="88">
                  <c:v>0</c:v>
                </c:pt>
                <c:pt idx="89">
                  <c:v>359</c:v>
                </c:pt>
                <c:pt idx="90">
                  <c:v>605</c:v>
                </c:pt>
                <c:pt idx="91">
                  <c:v>504</c:v>
                </c:pt>
                <c:pt idx="92">
                  <c:v>179</c:v>
                </c:pt>
                <c:pt idx="93">
                  <c:v>210</c:v>
                </c:pt>
                <c:pt idx="94">
                  <c:v>257</c:v>
                </c:pt>
                <c:pt idx="95">
                  <c:v>282</c:v>
                </c:pt>
                <c:pt idx="96">
                  <c:v>263</c:v>
                </c:pt>
              </c:numCache>
            </c:numRef>
          </c:val>
        </c:ser>
        <c:dLbls>
          <c:showLegendKey val="0"/>
          <c:showVal val="0"/>
          <c:showCatName val="0"/>
          <c:showSerName val="0"/>
          <c:showPercent val="0"/>
          <c:showBubbleSize val="0"/>
        </c:dLbls>
        <c:gapWidth val="100"/>
        <c:axId val="484837352"/>
        <c:axId val="484832648"/>
      </c:barChart>
      <c:catAx>
        <c:axId val="484837352"/>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484832648"/>
        <c:crosses val="autoZero"/>
        <c:auto val="1"/>
        <c:lblAlgn val="ctr"/>
        <c:lblOffset val="100"/>
        <c:noMultiLvlLbl val="0"/>
      </c:catAx>
      <c:valAx>
        <c:axId val="484832648"/>
        <c:scaling>
          <c:orientation val="minMax"/>
        </c:scaling>
        <c:delete val="0"/>
        <c:axPos val="b"/>
        <c:majorGridlines>
          <c:spPr>
            <a:ln w="9525" cap="flat" cmpd="sng" algn="ctr">
              <a:solidFill>
                <a:schemeClr val="tx2">
                  <a:lumMod val="15000"/>
                  <a:lumOff val="85000"/>
                </a:schemeClr>
              </a:solidFill>
              <a:round/>
            </a:ln>
            <a:effectLst/>
          </c:spPr>
        </c:majorGridlines>
        <c:title>
          <c:tx>
            <c:rich>
              <a:bodyPr rot="0" spcFirstLastPara="1" vertOverflow="ellipsis" vert="horz" wrap="square" anchor="ctr" anchorCtr="1"/>
              <a:lstStyle/>
              <a:p>
                <a:pPr>
                  <a:defRPr sz="900" b="1" i="0" u="none" strike="noStrike" kern="1200" baseline="0">
                    <a:solidFill>
                      <a:schemeClr val="tx2"/>
                    </a:solidFill>
                    <a:latin typeface="+mn-lt"/>
                    <a:ea typeface="+mn-ea"/>
                    <a:cs typeface="+mn-cs"/>
                  </a:defRPr>
                </a:pPr>
                <a:r>
                  <a:rPr lang="en-US"/>
                  <a:t>Nb of People</a:t>
                </a:r>
              </a:p>
            </c:rich>
          </c:tx>
          <c:layout>
            <c:manualLayout>
              <c:xMode val="edge"/>
              <c:yMode val="edge"/>
              <c:x val="0.91412593207319459"/>
              <c:y val="0.96470281483177345"/>
            </c:manualLayout>
          </c:layout>
          <c:overlay val="0"/>
          <c:spPr>
            <a:noFill/>
            <a:ln>
              <a:noFill/>
            </a:ln>
            <a:effectLst/>
          </c:spPr>
          <c:txPr>
            <a:bodyPr rot="0" spcFirstLastPara="1" vertOverflow="ellipsis" vert="horz" wrap="square" anchor="ctr" anchorCtr="1"/>
            <a:lstStyle/>
            <a:p>
              <a:pPr>
                <a:defRPr sz="900" b="1" i="0" u="none" strike="noStrike" kern="1200" baseline="0">
                  <a:solidFill>
                    <a:schemeClr val="tx2"/>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484837352"/>
        <c:crosses val="autoZero"/>
        <c:crossBetween val="between"/>
      </c:valAx>
      <c:spPr>
        <a:noFill/>
        <a:ln>
          <a:noFill/>
        </a:ln>
        <a:effectLst/>
      </c:spPr>
    </c:plotArea>
    <c:legend>
      <c:legendPos val="r"/>
      <c:layout>
        <c:manualLayout>
          <c:xMode val="edge"/>
          <c:yMode val="edge"/>
          <c:x val="0.7635998223399264"/>
          <c:y val="0.41667769641598734"/>
          <c:w val="0.23499806298409529"/>
          <c:h val="0.4088781731396390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5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r>
              <a:rPr lang="en-US" sz="1200" b="1" i="0" baseline="0">
                <a:effectLst/>
              </a:rPr>
              <a:t>Hygiene Coverage in active camps</a:t>
            </a:r>
            <a:endParaRPr lang="en-US" sz="1200">
              <a:effectLst/>
            </a:endParaRPr>
          </a:p>
        </c:rich>
      </c:tx>
      <c:layout/>
      <c:overlay val="0"/>
      <c:spPr>
        <a:noFill/>
        <a:ln>
          <a:noFill/>
        </a:ln>
        <a:effectLst/>
      </c:spPr>
      <c:txPr>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n-US"/>
        </a:p>
      </c:txPr>
    </c:title>
    <c:autoTitleDeleted val="0"/>
    <c:plotArea>
      <c:layout/>
      <c:barChart>
        <c:barDir val="col"/>
        <c:grouping val="stacked"/>
        <c:varyColors val="0"/>
        <c:ser>
          <c:idx val="0"/>
          <c:order val="0"/>
          <c:tx>
            <c:strRef>
              <c:f>Analysis!$J$156</c:f>
              <c:strCache>
                <c:ptCount val="1"/>
                <c:pt idx="0">
                  <c:v>Covered</c:v>
                </c:pt>
              </c:strCache>
            </c:strRef>
          </c:tx>
          <c:spPr>
            <a:solidFill>
              <a:schemeClr val="accent6">
                <a:lumMod val="75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a:solidFill>
                        <a:schemeClr val="tx2">
                          <a:lumMod val="35000"/>
                          <a:lumOff val="65000"/>
                        </a:schemeClr>
                      </a:solidFill>
                    </a:ln>
                    <a:effectLst/>
                  </c:spPr>
                </c15:leaderLines>
              </c:ext>
            </c:extLst>
          </c:dLbls>
          <c:cat>
            <c:strRef>
              <c:f>Analysis!$I$157:$I$160</c:f>
              <c:strCache>
                <c:ptCount val="4"/>
                <c:pt idx="0">
                  <c:v>#HH reached by regular dedicated hygiene promotion</c:v>
                </c:pt>
                <c:pt idx="1">
                  <c:v>#HH with access to Hand Washing Station</c:v>
                </c:pt>
                <c:pt idx="2">
                  <c:v># HH received soaps</c:v>
                </c:pt>
                <c:pt idx="3">
                  <c:v># HH received Sanitary Pads</c:v>
                </c:pt>
              </c:strCache>
            </c:strRef>
          </c:cat>
          <c:val>
            <c:numRef>
              <c:f>Analysis!$J$157:$J$160</c:f>
              <c:numCache>
                <c:formatCode>0</c:formatCode>
                <c:ptCount val="4"/>
                <c:pt idx="0">
                  <c:v>11093.2</c:v>
                </c:pt>
                <c:pt idx="1">
                  <c:v>11287.399999999998</c:v>
                </c:pt>
                <c:pt idx="2">
                  <c:v>3868</c:v>
                </c:pt>
                <c:pt idx="3">
                  <c:v>995</c:v>
                </c:pt>
              </c:numCache>
            </c:numRef>
          </c:val>
          <c:extLst xmlns:c16r2="http://schemas.microsoft.com/office/drawing/2015/06/chart">
            <c:ext xmlns:c16="http://schemas.microsoft.com/office/drawing/2014/chart" uri="{C3380CC4-5D6E-409C-BE32-E72D297353CC}">
              <c16:uniqueId val="{00000000-8A12-41BD-89DE-DD9C030FDA43}"/>
            </c:ext>
          </c:extLst>
        </c:ser>
        <c:ser>
          <c:idx val="1"/>
          <c:order val="1"/>
          <c:tx>
            <c:strRef>
              <c:f>Analysis!$K$156</c:f>
              <c:strCache>
                <c:ptCount val="1"/>
                <c:pt idx="0">
                  <c:v>Gap</c:v>
                </c:pt>
              </c:strCache>
            </c:strRef>
          </c:tx>
          <c:spPr>
            <a:solidFill>
              <a:schemeClr val="accent6">
                <a:lumMod val="40000"/>
                <a:lumOff val="60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a:solidFill>
                        <a:schemeClr val="tx2">
                          <a:lumMod val="35000"/>
                          <a:lumOff val="65000"/>
                        </a:schemeClr>
                      </a:solidFill>
                    </a:ln>
                    <a:effectLst/>
                  </c:spPr>
                </c15:leaderLines>
              </c:ext>
            </c:extLst>
          </c:dLbls>
          <c:cat>
            <c:strRef>
              <c:f>Analysis!$I$157:$I$160</c:f>
              <c:strCache>
                <c:ptCount val="4"/>
                <c:pt idx="0">
                  <c:v>#HH reached by regular dedicated hygiene promotion</c:v>
                </c:pt>
                <c:pt idx="1">
                  <c:v>#HH with access to Hand Washing Station</c:v>
                </c:pt>
                <c:pt idx="2">
                  <c:v># HH received soaps</c:v>
                </c:pt>
                <c:pt idx="3">
                  <c:v># HH received Sanitary Pads</c:v>
                </c:pt>
              </c:strCache>
            </c:strRef>
          </c:cat>
          <c:val>
            <c:numRef>
              <c:f>Analysis!$K$157:$K$160</c:f>
              <c:numCache>
                <c:formatCode>0</c:formatCode>
                <c:ptCount val="4"/>
                <c:pt idx="0">
                  <c:v>6362.7999999999993</c:v>
                </c:pt>
                <c:pt idx="1">
                  <c:v>6168.6000000000022</c:v>
                </c:pt>
                <c:pt idx="2">
                  <c:v>13588</c:v>
                </c:pt>
                <c:pt idx="3">
                  <c:v>16461</c:v>
                </c:pt>
              </c:numCache>
            </c:numRef>
          </c:val>
          <c:extLst xmlns:c16r2="http://schemas.microsoft.com/office/drawing/2015/06/chart">
            <c:ext xmlns:c16="http://schemas.microsoft.com/office/drawing/2014/chart" uri="{C3380CC4-5D6E-409C-BE32-E72D297353CC}">
              <c16:uniqueId val="{00000001-8A12-41BD-89DE-DD9C030FDA43}"/>
            </c:ext>
          </c:extLst>
        </c:ser>
        <c:dLbls>
          <c:dLblPos val="ctr"/>
          <c:showLegendKey val="0"/>
          <c:showVal val="1"/>
          <c:showCatName val="0"/>
          <c:showSerName val="0"/>
          <c:showPercent val="0"/>
          <c:showBubbleSize val="0"/>
        </c:dLbls>
        <c:gapWidth val="150"/>
        <c:overlap val="100"/>
        <c:axId val="484833432"/>
        <c:axId val="484837744"/>
      </c:barChart>
      <c:catAx>
        <c:axId val="484833432"/>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484837744"/>
        <c:crosses val="autoZero"/>
        <c:auto val="1"/>
        <c:lblAlgn val="ctr"/>
        <c:lblOffset val="100"/>
        <c:noMultiLvlLbl val="0"/>
      </c:catAx>
      <c:valAx>
        <c:axId val="484837744"/>
        <c:scaling>
          <c:orientation val="minMax"/>
        </c:scaling>
        <c:delete val="0"/>
        <c:axPos val="l"/>
        <c:majorGridlines>
          <c:spPr>
            <a:ln w="9525" cap="flat" cmpd="sng" algn="ctr">
              <a:solidFill>
                <a:schemeClr val="tx2">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484833432"/>
        <c:crosses val="autoZero"/>
        <c:crossBetween val="between"/>
        <c:majorUnit val="4000"/>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pivotSource>
    <c:name>[2018_06_05_Myanmar_WASH_4W_2018_Q1_final.xlsx]Analysis!PivotTable2</c:name>
    <c:fmtId val="16"/>
  </c:pivotSource>
  <c:chart>
    <c:title>
      <c:tx>
        <c:rich>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r>
              <a:rPr lang="en-US" sz="1200" b="1" i="0" baseline="0">
                <a:effectLst/>
              </a:rPr>
              <a:t>Water Point Coverage</a:t>
            </a:r>
            <a:endParaRPr lang="en-US" sz="1200">
              <a:effectLst/>
            </a:endParaRPr>
          </a:p>
          <a:p>
            <a:pPr>
              <a:defRPr sz="1200"/>
            </a:pPr>
            <a:r>
              <a:rPr lang="en-US" sz="1200" b="1" i="0" baseline="0">
                <a:effectLst/>
              </a:rPr>
              <a:t>(in active IDP camps)</a:t>
            </a:r>
            <a:endParaRPr lang="en-US" sz="1200">
              <a:effectLst/>
            </a:endParaRPr>
          </a:p>
        </c:rich>
      </c:tx>
      <c:layout>
        <c:manualLayout>
          <c:xMode val="edge"/>
          <c:yMode val="edge"/>
          <c:x val="0.35102085601667798"/>
          <c:y val="6.6864213502474623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n-US"/>
        </a:p>
      </c:txPr>
    </c:title>
    <c:autoTitleDeleted val="0"/>
    <c:pivotFmts>
      <c:pivotFmt>
        <c:idx val="0"/>
        <c:spPr>
          <a:solidFill>
            <a:srgbClr val="0070C0"/>
          </a:solidFill>
          <a:ln>
            <a:noFill/>
          </a:ln>
          <a:effectLst/>
        </c:spPr>
        <c:marker>
          <c:symbol val="circle"/>
          <c:size val="6"/>
          <c:spPr>
            <a:gradFill rotWithShape="1">
              <a:gsLst>
                <a:gs pos="0">
                  <a:schemeClr val="accent1">
                    <a:shade val="76000"/>
                    <a:satMod val="103000"/>
                    <a:lumMod val="102000"/>
                    <a:tint val="94000"/>
                  </a:schemeClr>
                </a:gs>
                <a:gs pos="50000">
                  <a:schemeClr val="accent1">
                    <a:shade val="76000"/>
                    <a:satMod val="110000"/>
                    <a:lumMod val="100000"/>
                    <a:shade val="100000"/>
                  </a:schemeClr>
                </a:gs>
                <a:gs pos="100000">
                  <a:schemeClr val="accent1">
                    <a:shade val="76000"/>
                    <a:lumMod val="99000"/>
                    <a:satMod val="120000"/>
                    <a:shade val="78000"/>
                  </a:schemeClr>
                </a:gs>
              </a:gsLst>
              <a:lin ang="5400000" scaled="0"/>
            </a:gradFill>
            <a:ln w="12700">
              <a:solidFill>
                <a:schemeClr val="lt2"/>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
        <c:spPr>
          <a:solidFill>
            <a:schemeClr val="accent1">
              <a:lumMod val="40000"/>
              <a:lumOff val="60000"/>
            </a:schemeClr>
          </a:solidFill>
          <a:ln>
            <a:noFill/>
          </a:ln>
          <a:effectLst/>
        </c:spPr>
        <c:marker>
          <c:symbol val="circle"/>
          <c:size val="6"/>
          <c:spPr>
            <a:gradFill rotWithShape="1">
              <a:gsLst>
                <a:gs pos="0">
                  <a:schemeClr val="accent1">
                    <a:tint val="77000"/>
                    <a:satMod val="103000"/>
                    <a:lumMod val="102000"/>
                    <a:tint val="94000"/>
                  </a:schemeClr>
                </a:gs>
                <a:gs pos="50000">
                  <a:schemeClr val="accent1">
                    <a:tint val="77000"/>
                    <a:satMod val="110000"/>
                    <a:lumMod val="100000"/>
                    <a:shade val="100000"/>
                  </a:schemeClr>
                </a:gs>
                <a:gs pos="100000">
                  <a:schemeClr val="accent1">
                    <a:tint val="77000"/>
                    <a:lumMod val="99000"/>
                    <a:satMod val="120000"/>
                    <a:shade val="78000"/>
                  </a:schemeClr>
                </a:gs>
              </a:gsLst>
              <a:lin ang="5400000" scaled="0"/>
            </a:gradFill>
            <a:ln w="12700">
              <a:solidFill>
                <a:schemeClr val="lt2"/>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3"/>
        <c:spPr>
          <a:solidFill>
            <a:srgbClr val="0070C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4"/>
        <c:spPr>
          <a:solidFill>
            <a:schemeClr val="accent1">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5"/>
        <c:spPr>
          <a:solidFill>
            <a:srgbClr val="0070C0"/>
          </a:solidFill>
          <a:ln>
            <a:noFill/>
          </a:ln>
          <a:effectLst/>
        </c:spPr>
        <c:marker>
          <c:symbol val="none"/>
        </c:marker>
        <c:dLbl>
          <c:idx val="0"/>
          <c:layout/>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Lst>
        </c:dLbl>
      </c:pivotFmt>
      <c:pivotFmt>
        <c:idx val="6"/>
        <c:spPr>
          <a:solidFill>
            <a:schemeClr val="accent1">
              <a:lumMod val="40000"/>
              <a:lumOff val="60000"/>
            </a:schemeClr>
          </a:solidFill>
          <a:ln>
            <a:noFill/>
          </a:ln>
          <a:effectLst/>
        </c:spPr>
        <c:marker>
          <c:symbol val="none"/>
        </c:marker>
        <c:dLbl>
          <c:idx val="0"/>
          <c:layout/>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Lst>
        </c:dLbl>
      </c:pivotFmt>
    </c:pivotFmts>
    <c:plotArea>
      <c:layout/>
      <c:barChart>
        <c:barDir val="col"/>
        <c:grouping val="stacked"/>
        <c:varyColors val="0"/>
        <c:ser>
          <c:idx val="0"/>
          <c:order val="0"/>
          <c:tx>
            <c:strRef>
              <c:f>Analysis!$C$40</c:f>
              <c:strCache>
                <c:ptCount val="1"/>
                <c:pt idx="0">
                  <c:v>Coverage</c:v>
                </c:pt>
              </c:strCache>
            </c:strRef>
          </c:tx>
          <c:spPr>
            <a:solidFill>
              <a:srgbClr val="0070C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2">
                          <a:lumMod val="35000"/>
                          <a:lumOff val="65000"/>
                        </a:schemeClr>
                      </a:solidFill>
                    </a:ln>
                    <a:effectLst/>
                  </c:spPr>
                </c15:leaderLines>
              </c:ext>
            </c:extLst>
          </c:dLbls>
          <c:cat>
            <c:strRef>
              <c:f>Analysis!$B$41:$B$42</c:f>
              <c:strCache>
                <c:ptCount val="2"/>
                <c:pt idx="0">
                  <c:v># in GCA active camps (500:1)</c:v>
                </c:pt>
                <c:pt idx="1">
                  <c:v># in NGCA active camps (500:1)</c:v>
                </c:pt>
              </c:strCache>
            </c:strRef>
          </c:cat>
          <c:val>
            <c:numRef>
              <c:f>Analysis!$C$41:$C$42</c:f>
              <c:numCache>
                <c:formatCode>0</c:formatCode>
                <c:ptCount val="2"/>
                <c:pt idx="0">
                  <c:v>90.831999999999951</c:v>
                </c:pt>
                <c:pt idx="1">
                  <c:v>66.072000000000003</c:v>
                </c:pt>
              </c:numCache>
            </c:numRef>
          </c:val>
          <c:extLst xmlns:c16r2="http://schemas.microsoft.com/office/drawing/2015/06/chart">
            <c:ext xmlns:c16="http://schemas.microsoft.com/office/drawing/2014/chart" uri="{C3380CC4-5D6E-409C-BE32-E72D297353CC}">
              <c16:uniqueId val="{00000000-862D-4679-A571-B4BBAA56C028}"/>
            </c:ext>
          </c:extLst>
        </c:ser>
        <c:ser>
          <c:idx val="1"/>
          <c:order val="1"/>
          <c:tx>
            <c:strRef>
              <c:f>Analysis!$D$40</c:f>
              <c:strCache>
                <c:ptCount val="1"/>
                <c:pt idx="0">
                  <c:v>Gap</c:v>
                </c:pt>
              </c:strCache>
            </c:strRef>
          </c:tx>
          <c:spPr>
            <a:solidFill>
              <a:schemeClr val="accent1">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2">
                          <a:lumMod val="35000"/>
                          <a:lumOff val="65000"/>
                        </a:schemeClr>
                      </a:solidFill>
                    </a:ln>
                    <a:effectLst/>
                  </c:spPr>
                </c15:leaderLines>
              </c:ext>
            </c:extLst>
          </c:dLbls>
          <c:cat>
            <c:strRef>
              <c:f>Analysis!$B$41:$B$42</c:f>
              <c:strCache>
                <c:ptCount val="2"/>
                <c:pt idx="0">
                  <c:v># in GCA active camps (500:1)</c:v>
                </c:pt>
                <c:pt idx="1">
                  <c:v># in NGCA active camps (500:1)</c:v>
                </c:pt>
              </c:strCache>
            </c:strRef>
          </c:cat>
          <c:val>
            <c:numRef>
              <c:f>Analysis!$D$41:$D$42</c:f>
              <c:numCache>
                <c:formatCode>0</c:formatCode>
                <c:ptCount val="2"/>
                <c:pt idx="0">
                  <c:v>58.073999999999984</c:v>
                </c:pt>
                <c:pt idx="1">
                  <c:v>14.552000000000001</c:v>
                </c:pt>
              </c:numCache>
            </c:numRef>
          </c:val>
          <c:extLst xmlns:c16r2="http://schemas.microsoft.com/office/drawing/2015/06/chart">
            <c:ext xmlns:c16="http://schemas.microsoft.com/office/drawing/2014/chart" uri="{C3380CC4-5D6E-409C-BE32-E72D297353CC}">
              <c16:uniqueId val="{00000001-862D-4679-A571-B4BBAA56C028}"/>
            </c:ext>
          </c:extLst>
        </c:ser>
        <c:dLbls>
          <c:dLblPos val="ctr"/>
          <c:showLegendKey val="0"/>
          <c:showVal val="1"/>
          <c:showCatName val="0"/>
          <c:showSerName val="0"/>
          <c:showPercent val="0"/>
          <c:showBubbleSize val="0"/>
        </c:dLbls>
        <c:gapWidth val="150"/>
        <c:overlap val="100"/>
        <c:axId val="484838136"/>
        <c:axId val="484831864"/>
      </c:barChart>
      <c:catAx>
        <c:axId val="484838136"/>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484831864"/>
        <c:crosses val="autoZero"/>
        <c:auto val="1"/>
        <c:lblAlgn val="ctr"/>
        <c:lblOffset val="100"/>
        <c:noMultiLvlLbl val="0"/>
      </c:catAx>
      <c:valAx>
        <c:axId val="484831864"/>
        <c:scaling>
          <c:orientation val="minMax"/>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484838136"/>
        <c:crosses val="autoZero"/>
        <c:crossBetween val="between"/>
      </c:valAx>
      <c:spPr>
        <a:noFill/>
        <a:ln>
          <a:noFill/>
        </a:ln>
        <a:effectLst/>
      </c:spPr>
    </c:plotArea>
    <c:legend>
      <c:legendPos val="r"/>
      <c:layout>
        <c:manualLayout>
          <c:xMode val="edge"/>
          <c:yMode val="edge"/>
          <c:x val="0.82758287158549626"/>
          <c:y val="0.39865412656751237"/>
          <c:w val="0.15377539613103919"/>
          <c:h val="0.2138447798191892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extLst xmlns:c16r2="http://schemas.microsoft.com/office/drawing/2015/06/chart">
    <c:ext xmlns:c16="http://schemas.microsoft.com/office/drawing/2014/chart" uri="{E28EC0CA-F0BB-4C9C-879D-F8772B89E7AC}">
      <c16:pivotOptions16>
        <c16:showExpandCollapseFieldButtons val="1"/>
      </c16:pivotOptions16>
    </c:ext>
    <c:ext xmlns:c14="http://schemas.microsoft.com/office/drawing/2007/8/2/chart" uri="{781A3756-C4B2-4CAC-9D66-4F8BD8637D16}">
      <c14:pivotOptions>
        <c14:dropZoneFilter val="1"/>
        <c14:dropZoneCategories val="1"/>
        <c14:dropZoneData val="1"/>
        <c14:dropZoneSeries val="1"/>
      </c14:pivotOptions>
    </c:ext>
  </c:extLst>
</c:chartSpace>
</file>

<file path=xl/charts/chart5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r>
              <a:rPr lang="en-US" sz="1200"/>
              <a:t>Effective drainage</a:t>
            </a:r>
          </a:p>
          <a:p>
            <a:pPr>
              <a:defRPr sz="1200"/>
            </a:pPr>
            <a:r>
              <a:rPr lang="en-US" sz="1200"/>
              <a:t> in active camps</a:t>
            </a:r>
          </a:p>
        </c:rich>
      </c:tx>
      <c:layout>
        <c:manualLayout>
          <c:xMode val="edge"/>
          <c:yMode val="edge"/>
          <c:x val="0.31214285714285717"/>
          <c:y val="0"/>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0.17346050493688289"/>
          <c:y val="0.23390448835405009"/>
          <c:w val="0.40587807654749858"/>
          <c:h val="0.81175615309499716"/>
        </c:manualLayout>
      </c:layout>
      <c:pieChart>
        <c:varyColors val="1"/>
        <c:ser>
          <c:idx val="0"/>
          <c:order val="0"/>
          <c:tx>
            <c:strRef>
              <c:f>Analysis!$B$123</c:f>
              <c:strCache>
                <c:ptCount val="1"/>
                <c:pt idx="0">
                  <c:v>Kachin</c:v>
                </c:pt>
              </c:strCache>
            </c:strRef>
          </c:tx>
          <c:dPt>
            <c:idx val="0"/>
            <c:bubble3D val="0"/>
            <c:spPr>
              <a:gradFill rotWithShape="1">
                <a:gsLst>
                  <a:gs pos="0">
                    <a:schemeClr val="accent2">
                      <a:shade val="58000"/>
                      <a:satMod val="103000"/>
                      <a:lumMod val="102000"/>
                      <a:tint val="94000"/>
                    </a:schemeClr>
                  </a:gs>
                  <a:gs pos="50000">
                    <a:schemeClr val="accent2">
                      <a:shade val="58000"/>
                      <a:satMod val="110000"/>
                      <a:lumMod val="100000"/>
                      <a:shade val="100000"/>
                    </a:schemeClr>
                  </a:gs>
                  <a:gs pos="100000">
                    <a:schemeClr val="accent2">
                      <a:shade val="58000"/>
                      <a:lumMod val="99000"/>
                      <a:satMod val="120000"/>
                      <a:shade val="78000"/>
                    </a:schemeClr>
                  </a:gs>
                </a:gsLst>
                <a:lin ang="5400000" scaled="0"/>
              </a:gradFill>
              <a:ln>
                <a:noFill/>
              </a:ln>
              <a:effectLst/>
            </c:spPr>
            <c:extLst xmlns:c16r2="http://schemas.microsoft.com/office/drawing/2015/06/chart">
              <c:ext xmlns:c16="http://schemas.microsoft.com/office/drawing/2014/chart" uri="{C3380CC4-5D6E-409C-BE32-E72D297353CC}">
                <c16:uniqueId val="{00000001-3A63-4C59-8DE1-219A0638CA1F}"/>
              </c:ext>
            </c:extLst>
          </c:dPt>
          <c:dPt>
            <c:idx val="1"/>
            <c:bubble3D val="0"/>
            <c:spPr>
              <a:gradFill rotWithShape="1">
                <a:gsLst>
                  <a:gs pos="0">
                    <a:schemeClr val="accent2">
                      <a:shade val="86000"/>
                      <a:satMod val="103000"/>
                      <a:lumMod val="102000"/>
                      <a:tint val="94000"/>
                    </a:schemeClr>
                  </a:gs>
                  <a:gs pos="50000">
                    <a:schemeClr val="accent2">
                      <a:shade val="86000"/>
                      <a:satMod val="110000"/>
                      <a:lumMod val="100000"/>
                      <a:shade val="100000"/>
                    </a:schemeClr>
                  </a:gs>
                  <a:gs pos="100000">
                    <a:schemeClr val="accent2">
                      <a:shade val="86000"/>
                      <a:lumMod val="99000"/>
                      <a:satMod val="120000"/>
                      <a:shade val="78000"/>
                    </a:schemeClr>
                  </a:gs>
                </a:gsLst>
                <a:lin ang="5400000" scaled="0"/>
              </a:gradFill>
              <a:ln>
                <a:noFill/>
              </a:ln>
              <a:effectLst/>
            </c:spPr>
            <c:extLst xmlns:c16r2="http://schemas.microsoft.com/office/drawing/2015/06/chart">
              <c:ext xmlns:c16="http://schemas.microsoft.com/office/drawing/2014/chart" uri="{C3380CC4-5D6E-409C-BE32-E72D297353CC}">
                <c16:uniqueId val="{00000003-3A63-4C59-8DE1-219A0638CA1F}"/>
              </c:ext>
            </c:extLst>
          </c:dPt>
          <c:dPt>
            <c:idx val="2"/>
            <c:bubble3D val="0"/>
            <c:spPr>
              <a:gradFill rotWithShape="1">
                <a:gsLst>
                  <a:gs pos="0">
                    <a:schemeClr val="accent2">
                      <a:tint val="86000"/>
                      <a:satMod val="103000"/>
                      <a:lumMod val="102000"/>
                      <a:tint val="94000"/>
                    </a:schemeClr>
                  </a:gs>
                  <a:gs pos="50000">
                    <a:schemeClr val="accent2">
                      <a:tint val="86000"/>
                      <a:satMod val="110000"/>
                      <a:lumMod val="100000"/>
                      <a:shade val="100000"/>
                    </a:schemeClr>
                  </a:gs>
                  <a:gs pos="100000">
                    <a:schemeClr val="accent2">
                      <a:tint val="86000"/>
                      <a:lumMod val="99000"/>
                      <a:satMod val="120000"/>
                      <a:shade val="78000"/>
                    </a:schemeClr>
                  </a:gs>
                </a:gsLst>
                <a:lin ang="5400000" scaled="0"/>
              </a:gradFill>
              <a:ln>
                <a:noFill/>
              </a:ln>
              <a:effectLst/>
            </c:spPr>
            <c:extLst xmlns:c16r2="http://schemas.microsoft.com/office/drawing/2015/06/chart">
              <c:ext xmlns:c16="http://schemas.microsoft.com/office/drawing/2014/chart" uri="{C3380CC4-5D6E-409C-BE32-E72D297353CC}">
                <c16:uniqueId val="{00000005-3A63-4C59-8DE1-219A0638CA1F}"/>
              </c:ext>
            </c:extLst>
          </c:dPt>
          <c:dPt>
            <c:idx val="3"/>
            <c:bubble3D val="0"/>
            <c:spPr>
              <a:gradFill rotWithShape="1">
                <a:gsLst>
                  <a:gs pos="0">
                    <a:schemeClr val="accent2">
                      <a:tint val="58000"/>
                      <a:satMod val="103000"/>
                      <a:lumMod val="102000"/>
                      <a:tint val="94000"/>
                    </a:schemeClr>
                  </a:gs>
                  <a:gs pos="50000">
                    <a:schemeClr val="accent2">
                      <a:tint val="58000"/>
                      <a:satMod val="110000"/>
                      <a:lumMod val="100000"/>
                      <a:shade val="100000"/>
                    </a:schemeClr>
                  </a:gs>
                  <a:gs pos="100000">
                    <a:schemeClr val="accent2">
                      <a:tint val="58000"/>
                      <a:lumMod val="99000"/>
                      <a:satMod val="120000"/>
                      <a:shade val="78000"/>
                    </a:schemeClr>
                  </a:gs>
                </a:gsLst>
                <a:lin ang="5400000" scaled="0"/>
              </a:gradFill>
              <a:ln>
                <a:noFill/>
              </a:ln>
              <a:effectLst/>
            </c:spPr>
            <c:extLst xmlns:c16r2="http://schemas.microsoft.com/office/drawing/2015/06/chart">
              <c:ext xmlns:c16="http://schemas.microsoft.com/office/drawing/2014/chart" uri="{C3380CC4-5D6E-409C-BE32-E72D297353CC}">
                <c16:uniqueId val="{00000007-3A63-4C59-8DE1-219A0638CA1F}"/>
              </c:ext>
            </c:extLst>
          </c:dPt>
          <c:dLbls>
            <c:dLbl>
              <c:idx val="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dLblPos val="bestFit"/>
              <c:showLegendKey val="0"/>
              <c:showVal val="0"/>
              <c:showCatName val="0"/>
              <c:showSerName val="0"/>
              <c:showPercent val="1"/>
              <c:showBubbleSize val="0"/>
            </c:dLbl>
            <c:dLbl>
              <c:idx val="1"/>
              <c:layout>
                <c:manualLayout>
                  <c:x val="4.8964998316561544E-2"/>
                  <c:y val="-8.383508912773556E-2"/>
                </c:manualLayout>
              </c:layout>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dLblPos val="bestFit"/>
              <c:showLegendKey val="0"/>
              <c:showVal val="0"/>
              <c:showCatName val="0"/>
              <c:showSerName val="0"/>
              <c:showPercent val="1"/>
              <c:showBubbleSize val="0"/>
              <c:extLst xmlns:c16r2="http://schemas.microsoft.com/office/drawing/2015/06/chart">
                <c:ext xmlns:c16="http://schemas.microsoft.com/office/drawing/2014/chart" uri="{C3380CC4-5D6E-409C-BE32-E72D297353CC}">
                  <c16:uniqueId val="{00000003-3A63-4C59-8DE1-219A0638CA1F}"/>
                </c:ext>
                <c:ext xmlns:c15="http://schemas.microsoft.com/office/drawing/2012/chart" uri="{CE6537A1-D6FC-4f65-9D91-7224C49458BB}">
                  <c15:layout/>
                </c:ext>
              </c:extLst>
            </c:dLbl>
            <c:dLbl>
              <c:idx val="3"/>
              <c:layout>
                <c:manualLayout>
                  <c:x val="4.4142253079837497E-2"/>
                  <c:y val="0.12624238229460433"/>
                </c:manualLayout>
              </c:layout>
              <c:dLblPos val="bestFit"/>
              <c:showLegendKey val="0"/>
              <c:showVal val="0"/>
              <c:showCatName val="0"/>
              <c:showSerName val="0"/>
              <c:showPercent val="1"/>
              <c:showBubbleSize val="0"/>
              <c:extLst xmlns:c16r2="http://schemas.microsoft.com/office/drawing/2015/06/chart">
                <c:ext xmlns:c16="http://schemas.microsoft.com/office/drawing/2014/chart" uri="{C3380CC4-5D6E-409C-BE32-E72D297353CC}">
                  <c16:uniqueId val="{00000007-3A63-4C59-8DE1-219A0638CA1F}"/>
                </c:ext>
                <c:ext xmlns:c15="http://schemas.microsoft.com/office/drawing/2012/chart" uri="{CE6537A1-D6FC-4f65-9D91-7224C49458BB}">
                  <c15:layout/>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dLblPos val="bestFit"/>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xmlns:c16r2="http://schemas.microsoft.com/office/drawing/2015/06/chart">
              <c:ext xmlns:c15="http://schemas.microsoft.com/office/drawing/2012/chart" uri="{CE6537A1-D6FC-4f65-9D91-7224C49458BB}">
                <c15:layout/>
              </c:ext>
            </c:extLst>
          </c:dLbls>
          <c:cat>
            <c:strRef>
              <c:f>Analysis!$C$122:$F$122</c:f>
              <c:strCache>
                <c:ptCount val="4"/>
                <c:pt idx="0">
                  <c:v>Functional</c:v>
                </c:pt>
                <c:pt idx="1">
                  <c:v>NA</c:v>
                </c:pt>
                <c:pt idx="2">
                  <c:v>Not_Functional</c:v>
                </c:pt>
                <c:pt idx="3">
                  <c:v>Not_inPlace</c:v>
                </c:pt>
              </c:strCache>
            </c:strRef>
          </c:cat>
          <c:val>
            <c:numRef>
              <c:f>Analysis!$C$123:$F$123</c:f>
              <c:numCache>
                <c:formatCode>General</c:formatCode>
                <c:ptCount val="4"/>
                <c:pt idx="0">
                  <c:v>70</c:v>
                </c:pt>
                <c:pt idx="1">
                  <c:v>15</c:v>
                </c:pt>
                <c:pt idx="2">
                  <c:v>51</c:v>
                </c:pt>
                <c:pt idx="3">
                  <c:v>7</c:v>
                </c:pt>
              </c:numCache>
            </c:numRef>
          </c:val>
          <c:extLst xmlns:c16r2="http://schemas.microsoft.com/office/drawing/2015/06/chart">
            <c:ext xmlns:c16="http://schemas.microsoft.com/office/drawing/2014/chart" uri="{C3380CC4-5D6E-409C-BE32-E72D297353CC}">
              <c16:uniqueId val="{00000008-3A63-4C59-8DE1-219A0638CA1F}"/>
            </c:ext>
          </c:extLst>
        </c:ser>
        <c:dLbls>
          <c:dLblPos val="bestFit"/>
          <c:showLegendKey val="0"/>
          <c:showVal val="1"/>
          <c:showCatName val="0"/>
          <c:showSerName val="0"/>
          <c:showPercent val="0"/>
          <c:showBubbleSize val="0"/>
          <c:showLeaderLines val="1"/>
        </c:dLbls>
        <c:firstSliceAng val="0"/>
        <c:extLst xmlns:c16r2="http://schemas.microsoft.com/office/drawing/2015/06/chart">
          <c:ext xmlns:c15="http://schemas.microsoft.com/office/drawing/2012/chart" uri="{02D57815-91ED-43cb-92C2-25804820EDAC}">
            <c15:filteredPieSeries>
              <c15:ser>
                <c:idx val="1"/>
                <c:order val="1"/>
                <c:tx>
                  <c:strRef>
                    <c:extLst xmlns:c16r2="http://schemas.microsoft.com/office/drawing/2015/06/chart">
                      <c:ext uri="{02D57815-91ED-43cb-92C2-25804820EDAC}">
                        <c15:formulaRef>
                          <c15:sqref>Analysis!$B$124</c15:sqref>
                        </c15:formulaRef>
                      </c:ext>
                    </c:extLst>
                    <c:strCache>
                      <c:ptCount val="1"/>
                      <c:pt idx="0">
                        <c:v>Rakhine</c:v>
                      </c:pt>
                    </c:strCache>
                  </c:strRef>
                </c:tx>
                <c:dPt>
                  <c:idx val="0"/>
                  <c:bubble3D val="0"/>
                  <c:spPr>
                    <a:gradFill rotWithShape="1">
                      <a:gsLst>
                        <a:gs pos="0">
                          <a:schemeClr val="accent2">
                            <a:shade val="58000"/>
                            <a:satMod val="103000"/>
                            <a:lumMod val="102000"/>
                            <a:tint val="94000"/>
                          </a:schemeClr>
                        </a:gs>
                        <a:gs pos="50000">
                          <a:schemeClr val="accent2">
                            <a:shade val="58000"/>
                            <a:satMod val="110000"/>
                            <a:lumMod val="100000"/>
                            <a:shade val="100000"/>
                          </a:schemeClr>
                        </a:gs>
                        <a:gs pos="100000">
                          <a:schemeClr val="accent2">
                            <a:shade val="58000"/>
                            <a:lumMod val="99000"/>
                            <a:satMod val="120000"/>
                            <a:shade val="78000"/>
                          </a:schemeClr>
                        </a:gs>
                      </a:gsLst>
                      <a:lin ang="5400000" scaled="0"/>
                    </a:gradFill>
                    <a:ln>
                      <a:noFill/>
                    </a:ln>
                    <a:effectLst/>
                  </c:spPr>
                  <c:extLst xmlns:c16r2="http://schemas.microsoft.com/office/drawing/2015/06/chart">
                    <c:ext xmlns:c16="http://schemas.microsoft.com/office/drawing/2014/chart" uri="{C3380CC4-5D6E-409C-BE32-E72D297353CC}">
                      <c16:uniqueId val="{00000009-E152-4BF4-82EF-9DB679025329}"/>
                    </c:ext>
                  </c:extLst>
                </c:dPt>
                <c:dPt>
                  <c:idx val="1"/>
                  <c:bubble3D val="0"/>
                  <c:spPr>
                    <a:gradFill rotWithShape="1">
                      <a:gsLst>
                        <a:gs pos="0">
                          <a:schemeClr val="accent2">
                            <a:shade val="86000"/>
                            <a:satMod val="103000"/>
                            <a:lumMod val="102000"/>
                            <a:tint val="94000"/>
                          </a:schemeClr>
                        </a:gs>
                        <a:gs pos="50000">
                          <a:schemeClr val="accent2">
                            <a:shade val="86000"/>
                            <a:satMod val="110000"/>
                            <a:lumMod val="100000"/>
                            <a:shade val="100000"/>
                          </a:schemeClr>
                        </a:gs>
                        <a:gs pos="100000">
                          <a:schemeClr val="accent2">
                            <a:shade val="86000"/>
                            <a:lumMod val="99000"/>
                            <a:satMod val="120000"/>
                            <a:shade val="78000"/>
                          </a:schemeClr>
                        </a:gs>
                      </a:gsLst>
                      <a:lin ang="5400000" scaled="0"/>
                    </a:gradFill>
                    <a:ln>
                      <a:noFill/>
                    </a:ln>
                    <a:effectLst/>
                  </c:spPr>
                  <c:extLst xmlns:c16r2="http://schemas.microsoft.com/office/drawing/2015/06/chart">
                    <c:ext xmlns:c16="http://schemas.microsoft.com/office/drawing/2014/chart" uri="{C3380CC4-5D6E-409C-BE32-E72D297353CC}">
                      <c16:uniqueId val="{0000000B-E152-4BF4-82EF-9DB679025329}"/>
                    </c:ext>
                  </c:extLst>
                </c:dPt>
                <c:dPt>
                  <c:idx val="2"/>
                  <c:bubble3D val="0"/>
                  <c:spPr>
                    <a:gradFill rotWithShape="1">
                      <a:gsLst>
                        <a:gs pos="0">
                          <a:schemeClr val="accent2">
                            <a:tint val="86000"/>
                            <a:satMod val="103000"/>
                            <a:lumMod val="102000"/>
                            <a:tint val="94000"/>
                          </a:schemeClr>
                        </a:gs>
                        <a:gs pos="50000">
                          <a:schemeClr val="accent2">
                            <a:tint val="86000"/>
                            <a:satMod val="110000"/>
                            <a:lumMod val="100000"/>
                            <a:shade val="100000"/>
                          </a:schemeClr>
                        </a:gs>
                        <a:gs pos="100000">
                          <a:schemeClr val="accent2">
                            <a:tint val="86000"/>
                            <a:lumMod val="99000"/>
                            <a:satMod val="120000"/>
                            <a:shade val="78000"/>
                          </a:schemeClr>
                        </a:gs>
                      </a:gsLst>
                      <a:lin ang="5400000" scaled="0"/>
                    </a:gradFill>
                    <a:ln>
                      <a:noFill/>
                    </a:ln>
                    <a:effectLst/>
                  </c:spPr>
                  <c:extLst xmlns:c16r2="http://schemas.microsoft.com/office/drawing/2015/06/chart">
                    <c:ext xmlns:c16="http://schemas.microsoft.com/office/drawing/2014/chart" uri="{C3380CC4-5D6E-409C-BE32-E72D297353CC}">
                      <c16:uniqueId val="{0000000D-E152-4BF4-82EF-9DB679025329}"/>
                    </c:ext>
                  </c:extLst>
                </c:dPt>
                <c:dPt>
                  <c:idx val="3"/>
                  <c:bubble3D val="0"/>
                  <c:spPr>
                    <a:gradFill rotWithShape="1">
                      <a:gsLst>
                        <a:gs pos="0">
                          <a:schemeClr val="accent2">
                            <a:tint val="58000"/>
                            <a:satMod val="103000"/>
                            <a:lumMod val="102000"/>
                            <a:tint val="94000"/>
                          </a:schemeClr>
                        </a:gs>
                        <a:gs pos="50000">
                          <a:schemeClr val="accent2">
                            <a:tint val="58000"/>
                            <a:satMod val="110000"/>
                            <a:lumMod val="100000"/>
                            <a:shade val="100000"/>
                          </a:schemeClr>
                        </a:gs>
                        <a:gs pos="100000">
                          <a:schemeClr val="accent2">
                            <a:tint val="58000"/>
                            <a:lumMod val="99000"/>
                            <a:satMod val="120000"/>
                            <a:shade val="78000"/>
                          </a:schemeClr>
                        </a:gs>
                      </a:gsLst>
                      <a:lin ang="5400000" scaled="0"/>
                    </a:gradFill>
                    <a:ln>
                      <a:noFill/>
                    </a:ln>
                    <a:effectLst/>
                  </c:spPr>
                  <c:extLst xmlns:c16r2="http://schemas.microsoft.com/office/drawing/2015/06/chart">
                    <c:ext xmlns:c16="http://schemas.microsoft.com/office/drawing/2014/chart" uri="{C3380CC4-5D6E-409C-BE32-E72D297353CC}">
                      <c16:uniqueId val="{0000000F-E152-4BF4-82EF-9DB679025329}"/>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bestFit"/>
                  <c:showLegendKey val="0"/>
                  <c:showVal val="1"/>
                  <c:showCatName val="0"/>
                  <c:showSerName val="0"/>
                  <c:showPercent val="0"/>
                  <c:showBubbleSize val="0"/>
                  <c:showLeaderLines val="1"/>
                  <c:leaderLines>
                    <c:spPr>
                      <a:ln w="9525">
                        <a:solidFill>
                          <a:schemeClr val="tx2">
                            <a:lumMod val="35000"/>
                            <a:lumOff val="65000"/>
                          </a:schemeClr>
                        </a:solidFill>
                      </a:ln>
                      <a:effectLst/>
                    </c:spPr>
                  </c:leaderLines>
                  <c:extLst xmlns:c16r2="http://schemas.microsoft.com/office/drawing/2015/06/chart">
                    <c:ext uri="{CE6537A1-D6FC-4f65-9D91-7224C49458BB}"/>
                  </c:extLst>
                </c:dLbls>
                <c:cat>
                  <c:strRef>
                    <c:extLst xmlns:c16r2="http://schemas.microsoft.com/office/drawing/2015/06/chart">
                      <c:ext uri="{02D57815-91ED-43cb-92C2-25804820EDAC}">
                        <c15:formulaRef>
                          <c15:sqref>Analysis!$C$122:$F$122</c15:sqref>
                        </c15:formulaRef>
                      </c:ext>
                    </c:extLst>
                    <c:strCache>
                      <c:ptCount val="4"/>
                      <c:pt idx="0">
                        <c:v>Functional</c:v>
                      </c:pt>
                      <c:pt idx="1">
                        <c:v>NA</c:v>
                      </c:pt>
                      <c:pt idx="2">
                        <c:v>Not_Functional</c:v>
                      </c:pt>
                      <c:pt idx="3">
                        <c:v>Not_inPlace</c:v>
                      </c:pt>
                    </c:strCache>
                  </c:strRef>
                </c:cat>
                <c:val>
                  <c:numRef>
                    <c:extLst xmlns:c16r2="http://schemas.microsoft.com/office/drawing/2015/06/chart">
                      <c:ext uri="{02D57815-91ED-43cb-92C2-25804820EDAC}">
                        <c15:formulaRef>
                          <c15:sqref>Analysis!$C$124:$F$124</c15:sqref>
                        </c15:formulaRef>
                      </c:ext>
                    </c:extLst>
                    <c:numCache>
                      <c:formatCode>General</c:formatCode>
                      <c:ptCount val="4"/>
                      <c:pt idx="0">
                        <c:v>17</c:v>
                      </c:pt>
                      <c:pt idx="1">
                        <c:v>98</c:v>
                      </c:pt>
                      <c:pt idx="2">
                        <c:v>38</c:v>
                      </c:pt>
                      <c:pt idx="3">
                        <c:v>47</c:v>
                      </c:pt>
                    </c:numCache>
                  </c:numRef>
                </c:val>
                <c:extLst xmlns:c16r2="http://schemas.microsoft.com/office/drawing/2015/06/chart">
                  <c:ext xmlns:c16="http://schemas.microsoft.com/office/drawing/2014/chart" uri="{C3380CC4-5D6E-409C-BE32-E72D297353CC}">
                    <c16:uniqueId val="{00000010-E152-4BF4-82EF-9DB679025329}"/>
                  </c:ext>
                </c:extLst>
              </c15:ser>
            </c15:filteredPieSeries>
            <c15:filteredPieSeries>
              <c15:ser>
                <c:idx val="2"/>
                <c:order val="2"/>
                <c:tx>
                  <c:strRef>
                    <c:extLst xmlns:c15="http://schemas.microsoft.com/office/drawing/2012/chart" xmlns:c16r2="http://schemas.microsoft.com/office/drawing/2015/06/chart">
                      <c:ext xmlns:c15="http://schemas.microsoft.com/office/drawing/2012/chart" uri="{02D57815-91ED-43cb-92C2-25804820EDAC}">
                        <c15:formulaRef>
                          <c15:sqref>Analysis!$B$125</c15:sqref>
                        </c15:formulaRef>
                      </c:ext>
                    </c:extLst>
                    <c:strCache>
                      <c:ptCount val="1"/>
                      <c:pt idx="0">
                        <c:v>Shan (North)</c:v>
                      </c:pt>
                    </c:strCache>
                  </c:strRef>
                </c:tx>
                <c:dPt>
                  <c:idx val="0"/>
                  <c:bubble3D val="0"/>
                  <c:spPr>
                    <a:gradFill rotWithShape="1">
                      <a:gsLst>
                        <a:gs pos="0">
                          <a:schemeClr val="accent2">
                            <a:shade val="58000"/>
                            <a:satMod val="103000"/>
                            <a:lumMod val="102000"/>
                            <a:tint val="94000"/>
                          </a:schemeClr>
                        </a:gs>
                        <a:gs pos="50000">
                          <a:schemeClr val="accent2">
                            <a:shade val="58000"/>
                            <a:satMod val="110000"/>
                            <a:lumMod val="100000"/>
                            <a:shade val="100000"/>
                          </a:schemeClr>
                        </a:gs>
                        <a:gs pos="100000">
                          <a:schemeClr val="accent2">
                            <a:shade val="58000"/>
                            <a:lumMod val="99000"/>
                            <a:satMod val="120000"/>
                            <a:shade val="78000"/>
                          </a:schemeClr>
                        </a:gs>
                      </a:gsLst>
                      <a:lin ang="5400000" scaled="0"/>
                    </a:gradFill>
                    <a:ln>
                      <a:noFill/>
                    </a:ln>
                    <a:effectLst/>
                  </c:spPr>
                  <c:extLst xmlns:c15="http://schemas.microsoft.com/office/drawing/2012/chart" xmlns:c16r2="http://schemas.microsoft.com/office/drawing/2015/06/chart">
                    <c:ext xmlns:c16="http://schemas.microsoft.com/office/drawing/2014/chart" uri="{C3380CC4-5D6E-409C-BE32-E72D297353CC}">
                      <c16:uniqueId val="{00000012-E152-4BF4-82EF-9DB679025329}"/>
                    </c:ext>
                  </c:extLst>
                </c:dPt>
                <c:dPt>
                  <c:idx val="1"/>
                  <c:bubble3D val="0"/>
                  <c:spPr>
                    <a:gradFill rotWithShape="1">
                      <a:gsLst>
                        <a:gs pos="0">
                          <a:schemeClr val="accent2">
                            <a:shade val="86000"/>
                            <a:satMod val="103000"/>
                            <a:lumMod val="102000"/>
                            <a:tint val="94000"/>
                          </a:schemeClr>
                        </a:gs>
                        <a:gs pos="50000">
                          <a:schemeClr val="accent2">
                            <a:shade val="86000"/>
                            <a:satMod val="110000"/>
                            <a:lumMod val="100000"/>
                            <a:shade val="100000"/>
                          </a:schemeClr>
                        </a:gs>
                        <a:gs pos="100000">
                          <a:schemeClr val="accent2">
                            <a:shade val="86000"/>
                            <a:lumMod val="99000"/>
                            <a:satMod val="120000"/>
                            <a:shade val="78000"/>
                          </a:schemeClr>
                        </a:gs>
                      </a:gsLst>
                      <a:lin ang="5400000" scaled="0"/>
                    </a:gradFill>
                    <a:ln>
                      <a:noFill/>
                    </a:ln>
                    <a:effectLst/>
                  </c:spPr>
                  <c:extLst xmlns:c15="http://schemas.microsoft.com/office/drawing/2012/chart" xmlns:c16r2="http://schemas.microsoft.com/office/drawing/2015/06/chart">
                    <c:ext xmlns:c16="http://schemas.microsoft.com/office/drawing/2014/chart" uri="{C3380CC4-5D6E-409C-BE32-E72D297353CC}">
                      <c16:uniqueId val="{00000014-E152-4BF4-82EF-9DB679025329}"/>
                    </c:ext>
                  </c:extLst>
                </c:dPt>
                <c:dPt>
                  <c:idx val="2"/>
                  <c:bubble3D val="0"/>
                  <c:spPr>
                    <a:gradFill rotWithShape="1">
                      <a:gsLst>
                        <a:gs pos="0">
                          <a:schemeClr val="accent2">
                            <a:tint val="86000"/>
                            <a:satMod val="103000"/>
                            <a:lumMod val="102000"/>
                            <a:tint val="94000"/>
                          </a:schemeClr>
                        </a:gs>
                        <a:gs pos="50000">
                          <a:schemeClr val="accent2">
                            <a:tint val="86000"/>
                            <a:satMod val="110000"/>
                            <a:lumMod val="100000"/>
                            <a:shade val="100000"/>
                          </a:schemeClr>
                        </a:gs>
                        <a:gs pos="100000">
                          <a:schemeClr val="accent2">
                            <a:tint val="86000"/>
                            <a:lumMod val="99000"/>
                            <a:satMod val="120000"/>
                            <a:shade val="78000"/>
                          </a:schemeClr>
                        </a:gs>
                      </a:gsLst>
                      <a:lin ang="5400000" scaled="0"/>
                    </a:gradFill>
                    <a:ln>
                      <a:noFill/>
                    </a:ln>
                    <a:effectLst/>
                  </c:spPr>
                  <c:extLst xmlns:c15="http://schemas.microsoft.com/office/drawing/2012/chart" xmlns:c16r2="http://schemas.microsoft.com/office/drawing/2015/06/chart">
                    <c:ext xmlns:c16="http://schemas.microsoft.com/office/drawing/2014/chart" uri="{C3380CC4-5D6E-409C-BE32-E72D297353CC}">
                      <c16:uniqueId val="{00000016-E152-4BF4-82EF-9DB679025329}"/>
                    </c:ext>
                  </c:extLst>
                </c:dPt>
                <c:dPt>
                  <c:idx val="3"/>
                  <c:bubble3D val="0"/>
                  <c:spPr>
                    <a:gradFill rotWithShape="1">
                      <a:gsLst>
                        <a:gs pos="0">
                          <a:schemeClr val="accent2">
                            <a:tint val="58000"/>
                            <a:satMod val="103000"/>
                            <a:lumMod val="102000"/>
                            <a:tint val="94000"/>
                          </a:schemeClr>
                        </a:gs>
                        <a:gs pos="50000">
                          <a:schemeClr val="accent2">
                            <a:tint val="58000"/>
                            <a:satMod val="110000"/>
                            <a:lumMod val="100000"/>
                            <a:shade val="100000"/>
                          </a:schemeClr>
                        </a:gs>
                        <a:gs pos="100000">
                          <a:schemeClr val="accent2">
                            <a:tint val="58000"/>
                            <a:lumMod val="99000"/>
                            <a:satMod val="120000"/>
                            <a:shade val="78000"/>
                          </a:schemeClr>
                        </a:gs>
                      </a:gsLst>
                      <a:lin ang="5400000" scaled="0"/>
                    </a:gradFill>
                    <a:ln>
                      <a:noFill/>
                    </a:ln>
                    <a:effectLst/>
                  </c:spPr>
                  <c:extLst xmlns:c15="http://schemas.microsoft.com/office/drawing/2012/chart" xmlns:c16r2="http://schemas.microsoft.com/office/drawing/2015/06/chart">
                    <c:ext xmlns:c16="http://schemas.microsoft.com/office/drawing/2014/chart" uri="{C3380CC4-5D6E-409C-BE32-E72D297353CC}">
                      <c16:uniqueId val="{00000018-E152-4BF4-82EF-9DB679025329}"/>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bestFit"/>
                  <c:showLegendKey val="0"/>
                  <c:showVal val="1"/>
                  <c:showCatName val="0"/>
                  <c:showSerName val="0"/>
                  <c:showPercent val="0"/>
                  <c:showBubbleSize val="0"/>
                  <c:showLeaderLines val="1"/>
                  <c:leaderLines>
                    <c:spPr>
                      <a:ln w="9525">
                        <a:solidFill>
                          <a:schemeClr val="tx2">
                            <a:lumMod val="35000"/>
                            <a:lumOff val="65000"/>
                          </a:schemeClr>
                        </a:solidFill>
                      </a:ln>
                      <a:effectLst/>
                    </c:spPr>
                  </c:leaderLines>
                  <c:extLst xmlns:c15="http://schemas.microsoft.com/office/drawing/2012/chart" xmlns:c16r2="http://schemas.microsoft.com/office/drawing/2015/06/chart">
                    <c:ext xmlns:c15="http://schemas.microsoft.com/office/drawing/2012/chart" uri="{CE6537A1-D6FC-4f65-9D91-7224C49458BB}"/>
                  </c:extLst>
                </c:dLbls>
                <c:cat>
                  <c:strRef>
                    <c:extLst xmlns:c15="http://schemas.microsoft.com/office/drawing/2012/chart" xmlns:c16r2="http://schemas.microsoft.com/office/drawing/2015/06/chart">
                      <c:ext xmlns:c15="http://schemas.microsoft.com/office/drawing/2012/chart" uri="{02D57815-91ED-43cb-92C2-25804820EDAC}">
                        <c15:formulaRef>
                          <c15:sqref>Analysis!$C$122:$F$122</c15:sqref>
                        </c15:formulaRef>
                      </c:ext>
                    </c:extLst>
                    <c:strCache>
                      <c:ptCount val="4"/>
                      <c:pt idx="0">
                        <c:v>Functional</c:v>
                      </c:pt>
                      <c:pt idx="1">
                        <c:v>NA</c:v>
                      </c:pt>
                      <c:pt idx="2">
                        <c:v>Not_Functional</c:v>
                      </c:pt>
                      <c:pt idx="3">
                        <c:v>Not_inPlace</c:v>
                      </c:pt>
                    </c:strCache>
                  </c:strRef>
                </c:cat>
                <c:val>
                  <c:numRef>
                    <c:extLst xmlns:c15="http://schemas.microsoft.com/office/drawing/2012/chart" xmlns:c16r2="http://schemas.microsoft.com/office/drawing/2015/06/chart">
                      <c:ext xmlns:c15="http://schemas.microsoft.com/office/drawing/2012/chart" uri="{02D57815-91ED-43cb-92C2-25804820EDAC}">
                        <c15:formulaRef>
                          <c15:sqref>Analysis!$C$125:$F$125</c15:sqref>
                        </c15:formulaRef>
                      </c:ext>
                    </c:extLst>
                    <c:numCache>
                      <c:formatCode>General</c:formatCode>
                      <c:ptCount val="4"/>
                      <c:pt idx="0">
                        <c:v>20</c:v>
                      </c:pt>
                      <c:pt idx="1">
                        <c:v>8</c:v>
                      </c:pt>
                      <c:pt idx="2">
                        <c:v>3</c:v>
                      </c:pt>
                      <c:pt idx="3">
                        <c:v>9</c:v>
                      </c:pt>
                    </c:numCache>
                  </c:numRef>
                </c:val>
                <c:extLst xmlns:c15="http://schemas.microsoft.com/office/drawing/2012/chart" xmlns:c16r2="http://schemas.microsoft.com/office/drawing/2015/06/chart">
                  <c:ext xmlns:c16="http://schemas.microsoft.com/office/drawing/2014/chart" uri="{C3380CC4-5D6E-409C-BE32-E72D297353CC}">
                    <c16:uniqueId val="{00000019-E152-4BF4-82EF-9DB679025329}"/>
                  </c:ext>
                </c:extLst>
              </c15:ser>
            </c15:filteredPieSeries>
          </c:ext>
        </c:extLst>
      </c:pieChart>
      <c:spPr>
        <a:noFill/>
        <a:ln>
          <a:noFill/>
        </a:ln>
        <a:effectLst/>
      </c:spPr>
    </c:plotArea>
    <c:legend>
      <c:legendPos val="r"/>
      <c:layout>
        <c:manualLayout>
          <c:xMode val="edge"/>
          <c:yMode val="edge"/>
          <c:x val="0.5815854414870778"/>
          <c:y val="0.30745147331636707"/>
          <c:w val="0.38181617101742177"/>
          <c:h val="0.5211595153866637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accent1">
          <a:lumMod val="20000"/>
          <a:lumOff val="80000"/>
        </a:schemeClr>
      </a:solidFill>
      <a:round/>
    </a:ln>
    <a:effectLst/>
  </c:spPr>
  <c:txPr>
    <a:bodyPr/>
    <a:lstStyle/>
    <a:p>
      <a:pPr>
        <a:defRPr/>
      </a:pPr>
      <a:endParaRPr lang="en-US"/>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r>
              <a:rPr lang="en-US" sz="1200"/>
              <a:t> Effective solid waste management system in place </a:t>
            </a:r>
          </a:p>
        </c:rich>
      </c:tx>
      <c:layout>
        <c:manualLayout>
          <c:xMode val="edge"/>
          <c:yMode val="edge"/>
          <c:x val="0.14584301962254717"/>
          <c:y val="6.9881201956673656E-3"/>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0.19247594050743658"/>
          <c:y val="0.28495518248898127"/>
          <c:w val="0.45006999125109359"/>
          <c:h val="0.67510498687664044"/>
        </c:manualLayout>
      </c:layout>
      <c:pieChart>
        <c:varyColors val="1"/>
        <c:ser>
          <c:idx val="0"/>
          <c:order val="0"/>
          <c:tx>
            <c:strRef>
              <c:f>Analysis!$B$137</c:f>
              <c:strCache>
                <c:ptCount val="1"/>
                <c:pt idx="0">
                  <c:v>Kachin</c:v>
                </c:pt>
              </c:strCache>
            </c:strRef>
          </c:tx>
          <c:dPt>
            <c:idx val="0"/>
            <c:bubble3D val="0"/>
            <c:spPr>
              <a:gradFill rotWithShape="1">
                <a:gsLst>
                  <a:gs pos="0">
                    <a:schemeClr val="accent2">
                      <a:shade val="58000"/>
                      <a:satMod val="103000"/>
                      <a:lumMod val="102000"/>
                      <a:tint val="94000"/>
                    </a:schemeClr>
                  </a:gs>
                  <a:gs pos="50000">
                    <a:schemeClr val="accent2">
                      <a:shade val="58000"/>
                      <a:satMod val="110000"/>
                      <a:lumMod val="100000"/>
                      <a:shade val="100000"/>
                    </a:schemeClr>
                  </a:gs>
                  <a:gs pos="100000">
                    <a:schemeClr val="accent2">
                      <a:shade val="58000"/>
                      <a:lumMod val="99000"/>
                      <a:satMod val="120000"/>
                      <a:shade val="78000"/>
                    </a:schemeClr>
                  </a:gs>
                </a:gsLst>
                <a:lin ang="5400000" scaled="0"/>
              </a:gradFill>
              <a:ln>
                <a:noFill/>
              </a:ln>
              <a:effectLst/>
            </c:spPr>
            <c:extLst xmlns:c16r2="http://schemas.microsoft.com/office/drawing/2015/06/chart">
              <c:ext xmlns:c16="http://schemas.microsoft.com/office/drawing/2014/chart" uri="{C3380CC4-5D6E-409C-BE32-E72D297353CC}">
                <c16:uniqueId val="{00000001-7D04-4B5A-8D19-1128D053B922}"/>
              </c:ext>
            </c:extLst>
          </c:dPt>
          <c:dPt>
            <c:idx val="1"/>
            <c:bubble3D val="0"/>
            <c:spPr>
              <a:gradFill rotWithShape="1">
                <a:gsLst>
                  <a:gs pos="0">
                    <a:schemeClr val="accent2">
                      <a:shade val="86000"/>
                      <a:satMod val="103000"/>
                      <a:lumMod val="102000"/>
                      <a:tint val="94000"/>
                    </a:schemeClr>
                  </a:gs>
                  <a:gs pos="50000">
                    <a:schemeClr val="accent2">
                      <a:shade val="86000"/>
                      <a:satMod val="110000"/>
                      <a:lumMod val="100000"/>
                      <a:shade val="100000"/>
                    </a:schemeClr>
                  </a:gs>
                  <a:gs pos="100000">
                    <a:schemeClr val="accent2">
                      <a:shade val="86000"/>
                      <a:lumMod val="99000"/>
                      <a:satMod val="120000"/>
                      <a:shade val="78000"/>
                    </a:schemeClr>
                  </a:gs>
                </a:gsLst>
                <a:lin ang="5400000" scaled="0"/>
              </a:gradFill>
              <a:ln>
                <a:noFill/>
              </a:ln>
              <a:effectLst/>
            </c:spPr>
            <c:extLst xmlns:c16r2="http://schemas.microsoft.com/office/drawing/2015/06/chart">
              <c:ext xmlns:c16="http://schemas.microsoft.com/office/drawing/2014/chart" uri="{C3380CC4-5D6E-409C-BE32-E72D297353CC}">
                <c16:uniqueId val="{00000003-7D04-4B5A-8D19-1128D053B922}"/>
              </c:ext>
            </c:extLst>
          </c:dPt>
          <c:dPt>
            <c:idx val="2"/>
            <c:bubble3D val="0"/>
            <c:spPr>
              <a:gradFill rotWithShape="1">
                <a:gsLst>
                  <a:gs pos="0">
                    <a:schemeClr val="accent2">
                      <a:tint val="86000"/>
                      <a:satMod val="103000"/>
                      <a:lumMod val="102000"/>
                      <a:tint val="94000"/>
                    </a:schemeClr>
                  </a:gs>
                  <a:gs pos="50000">
                    <a:schemeClr val="accent2">
                      <a:tint val="86000"/>
                      <a:satMod val="110000"/>
                      <a:lumMod val="100000"/>
                      <a:shade val="100000"/>
                    </a:schemeClr>
                  </a:gs>
                  <a:gs pos="100000">
                    <a:schemeClr val="accent2">
                      <a:tint val="86000"/>
                      <a:lumMod val="99000"/>
                      <a:satMod val="120000"/>
                      <a:shade val="78000"/>
                    </a:schemeClr>
                  </a:gs>
                </a:gsLst>
                <a:lin ang="5400000" scaled="0"/>
              </a:gradFill>
              <a:ln>
                <a:noFill/>
              </a:ln>
              <a:effectLst/>
            </c:spPr>
            <c:extLst xmlns:c16r2="http://schemas.microsoft.com/office/drawing/2015/06/chart">
              <c:ext xmlns:c16="http://schemas.microsoft.com/office/drawing/2014/chart" uri="{C3380CC4-5D6E-409C-BE32-E72D297353CC}">
                <c16:uniqueId val="{00000005-7D04-4B5A-8D19-1128D053B922}"/>
              </c:ext>
            </c:extLst>
          </c:dPt>
          <c:dPt>
            <c:idx val="3"/>
            <c:bubble3D val="0"/>
            <c:spPr>
              <a:gradFill rotWithShape="1">
                <a:gsLst>
                  <a:gs pos="0">
                    <a:schemeClr val="accent2">
                      <a:tint val="58000"/>
                      <a:satMod val="103000"/>
                      <a:lumMod val="102000"/>
                      <a:tint val="94000"/>
                    </a:schemeClr>
                  </a:gs>
                  <a:gs pos="50000">
                    <a:schemeClr val="accent2">
                      <a:tint val="58000"/>
                      <a:satMod val="110000"/>
                      <a:lumMod val="100000"/>
                      <a:shade val="100000"/>
                    </a:schemeClr>
                  </a:gs>
                  <a:gs pos="100000">
                    <a:schemeClr val="accent2">
                      <a:tint val="58000"/>
                      <a:lumMod val="99000"/>
                      <a:satMod val="120000"/>
                      <a:shade val="78000"/>
                    </a:schemeClr>
                  </a:gs>
                </a:gsLst>
                <a:lin ang="5400000" scaled="0"/>
              </a:gradFill>
              <a:ln>
                <a:noFill/>
              </a:ln>
              <a:effectLst/>
            </c:spPr>
            <c:extLst xmlns:c16r2="http://schemas.microsoft.com/office/drawing/2015/06/chart">
              <c:ext xmlns:c16="http://schemas.microsoft.com/office/drawing/2014/chart" uri="{C3380CC4-5D6E-409C-BE32-E72D297353CC}">
                <c16:uniqueId val="{00000007-7D04-4B5A-8D19-1128D053B922}"/>
              </c:ext>
            </c:extLst>
          </c:dPt>
          <c:dLbls>
            <c:dLbl>
              <c:idx val="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dLblPos val="bestFit"/>
              <c:showLegendKey val="0"/>
              <c:showVal val="0"/>
              <c:showCatName val="0"/>
              <c:showSerName val="0"/>
              <c:showPercent val="1"/>
              <c:showBubbleSize val="0"/>
            </c:dLbl>
            <c:dLbl>
              <c:idx val="1"/>
              <c:layout>
                <c:manualLayout>
                  <c:x val="0.10083595800524935"/>
                  <c:y val="7.5856663750364539E-2"/>
                </c:manualLayout>
              </c:layout>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dLblPos val="bestFit"/>
              <c:showLegendKey val="0"/>
              <c:showVal val="0"/>
              <c:showCatName val="0"/>
              <c:showSerName val="0"/>
              <c:showPercent val="1"/>
              <c:showBubbleSize val="0"/>
              <c:extLst xmlns:c16r2="http://schemas.microsoft.com/office/drawing/2015/06/chart">
                <c:ext xmlns:c16="http://schemas.microsoft.com/office/drawing/2014/chart" uri="{C3380CC4-5D6E-409C-BE32-E72D297353CC}">
                  <c16:uniqueId val="{00000003-7D04-4B5A-8D19-1128D053B922}"/>
                </c:ext>
                <c:ext xmlns:c15="http://schemas.microsoft.com/office/drawing/2012/chart" uri="{CE6537A1-D6FC-4f65-9D91-7224C49458BB}">
                  <c15:layout/>
                </c:ext>
              </c:extLst>
            </c:dLbl>
            <c:dLbl>
              <c:idx val="2"/>
              <c:layout>
                <c:manualLayout>
                  <c:x val="4.3363541821423268E-2"/>
                  <c:y val="4.3223972003499561E-2"/>
                </c:manualLayout>
              </c:layout>
              <c:dLblPos val="bestFit"/>
              <c:showLegendKey val="0"/>
              <c:showVal val="0"/>
              <c:showCatName val="0"/>
              <c:showSerName val="0"/>
              <c:showPercent val="1"/>
              <c:showBubbleSize val="0"/>
              <c:extLst xmlns:c16r2="http://schemas.microsoft.com/office/drawing/2015/06/chart">
                <c:ext xmlns:c16="http://schemas.microsoft.com/office/drawing/2014/chart" uri="{C3380CC4-5D6E-409C-BE32-E72D297353CC}">
                  <c16:uniqueId val="{00000005-7D04-4B5A-8D19-1128D053B922}"/>
                </c:ext>
                <c:ext xmlns:c15="http://schemas.microsoft.com/office/drawing/2012/chart" uri="{CE6537A1-D6FC-4f65-9D91-7224C49458BB}">
                  <c15:layout/>
                </c:ext>
              </c:extLst>
            </c:dLbl>
            <c:dLbl>
              <c:idx val="3"/>
              <c:layout>
                <c:manualLayout>
                  <c:x val="5.662479690038745E-2"/>
                  <c:y val="0.14276360835330365"/>
                </c:manualLayout>
              </c:layout>
              <c:dLblPos val="bestFit"/>
              <c:showLegendKey val="0"/>
              <c:showVal val="0"/>
              <c:showCatName val="0"/>
              <c:showSerName val="0"/>
              <c:showPercent val="1"/>
              <c:showBubbleSize val="0"/>
              <c:extLst xmlns:c16r2="http://schemas.microsoft.com/office/drawing/2015/06/chart">
                <c:ext xmlns:c16="http://schemas.microsoft.com/office/drawing/2014/chart" uri="{C3380CC4-5D6E-409C-BE32-E72D297353CC}">
                  <c16:uniqueId val="{00000007-7D04-4B5A-8D19-1128D053B922}"/>
                </c:ext>
                <c:ext xmlns:c15="http://schemas.microsoft.com/office/drawing/2012/chart" uri="{CE6537A1-D6FC-4f65-9D91-7224C49458BB}">
                  <c15:layout/>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dLblPos val="bestFit"/>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xmlns:c16r2="http://schemas.microsoft.com/office/drawing/2015/06/chart">
              <c:ext xmlns:c15="http://schemas.microsoft.com/office/drawing/2012/chart" uri="{CE6537A1-D6FC-4f65-9D91-7224C49458BB}"/>
            </c:extLst>
          </c:dLbls>
          <c:cat>
            <c:strRef>
              <c:f>Analysis!$C$136:$F$136</c:f>
              <c:strCache>
                <c:ptCount val="4"/>
                <c:pt idx="0">
                  <c:v>Functional</c:v>
                </c:pt>
                <c:pt idx="1">
                  <c:v>NA</c:v>
                </c:pt>
                <c:pt idx="2">
                  <c:v>Not_Functional</c:v>
                </c:pt>
                <c:pt idx="3">
                  <c:v>Not_inPlace</c:v>
                </c:pt>
              </c:strCache>
            </c:strRef>
          </c:cat>
          <c:val>
            <c:numRef>
              <c:f>Analysis!$C$137:$F$137</c:f>
              <c:numCache>
                <c:formatCode>General</c:formatCode>
                <c:ptCount val="4"/>
                <c:pt idx="0">
                  <c:v>112</c:v>
                </c:pt>
                <c:pt idx="1">
                  <c:v>15</c:v>
                </c:pt>
                <c:pt idx="2">
                  <c:v>6</c:v>
                </c:pt>
                <c:pt idx="3">
                  <c:v>10</c:v>
                </c:pt>
              </c:numCache>
            </c:numRef>
          </c:val>
          <c:extLst xmlns:c16r2="http://schemas.microsoft.com/office/drawing/2015/06/chart">
            <c:ext xmlns:c16="http://schemas.microsoft.com/office/drawing/2014/chart" uri="{C3380CC4-5D6E-409C-BE32-E72D297353CC}">
              <c16:uniqueId val="{0000000A-7D04-4B5A-8D19-1128D053B922}"/>
            </c:ext>
          </c:extLst>
        </c:ser>
        <c:dLbls>
          <c:showLegendKey val="0"/>
          <c:showVal val="0"/>
          <c:showCatName val="0"/>
          <c:showSerName val="0"/>
          <c:showPercent val="0"/>
          <c:showBubbleSize val="0"/>
          <c:showLeaderLines val="1"/>
        </c:dLbls>
        <c:firstSliceAng val="0"/>
        <c:extLst xmlns:c16r2="http://schemas.microsoft.com/office/drawing/2015/06/chart">
          <c:ext xmlns:c15="http://schemas.microsoft.com/office/drawing/2012/chart" uri="{02D57815-91ED-43cb-92C2-25804820EDAC}">
            <c15:filteredPieSeries>
              <c15:ser>
                <c:idx val="1"/>
                <c:order val="1"/>
                <c:tx>
                  <c:strRef>
                    <c:extLst xmlns:c16r2="http://schemas.microsoft.com/office/drawing/2015/06/chart">
                      <c:ext uri="{02D57815-91ED-43cb-92C2-25804820EDAC}">
                        <c15:formulaRef>
                          <c15:sqref>Analysis!$B$138</c15:sqref>
                        </c15:formulaRef>
                      </c:ext>
                    </c:extLst>
                    <c:strCache>
                      <c:ptCount val="1"/>
                      <c:pt idx="0">
                        <c:v>Rakhine</c:v>
                      </c:pt>
                    </c:strCache>
                  </c:strRef>
                </c:tx>
                <c:dPt>
                  <c:idx val="0"/>
                  <c:bubble3D val="0"/>
                  <c:spPr>
                    <a:gradFill rotWithShape="1">
                      <a:gsLst>
                        <a:gs pos="0">
                          <a:schemeClr val="accent2">
                            <a:shade val="58000"/>
                            <a:satMod val="103000"/>
                            <a:lumMod val="102000"/>
                            <a:tint val="94000"/>
                          </a:schemeClr>
                        </a:gs>
                        <a:gs pos="50000">
                          <a:schemeClr val="accent2">
                            <a:shade val="58000"/>
                            <a:satMod val="110000"/>
                            <a:lumMod val="100000"/>
                            <a:shade val="100000"/>
                          </a:schemeClr>
                        </a:gs>
                        <a:gs pos="100000">
                          <a:schemeClr val="accent2">
                            <a:shade val="58000"/>
                            <a:lumMod val="99000"/>
                            <a:satMod val="120000"/>
                            <a:shade val="78000"/>
                          </a:schemeClr>
                        </a:gs>
                      </a:gsLst>
                      <a:lin ang="5400000" scaled="0"/>
                    </a:gradFill>
                    <a:ln>
                      <a:noFill/>
                    </a:ln>
                    <a:effectLst/>
                  </c:spPr>
                  <c:extLst xmlns:c16r2="http://schemas.microsoft.com/office/drawing/2015/06/chart">
                    <c:ext xmlns:c16="http://schemas.microsoft.com/office/drawing/2014/chart" uri="{C3380CC4-5D6E-409C-BE32-E72D297353CC}">
                      <c16:uniqueId val="{00000009-EAC1-48F1-AA19-3F4A7F775559}"/>
                    </c:ext>
                  </c:extLst>
                </c:dPt>
                <c:dPt>
                  <c:idx val="1"/>
                  <c:bubble3D val="0"/>
                  <c:spPr>
                    <a:gradFill rotWithShape="1">
                      <a:gsLst>
                        <a:gs pos="0">
                          <a:schemeClr val="accent2">
                            <a:shade val="86000"/>
                            <a:satMod val="103000"/>
                            <a:lumMod val="102000"/>
                            <a:tint val="94000"/>
                          </a:schemeClr>
                        </a:gs>
                        <a:gs pos="50000">
                          <a:schemeClr val="accent2">
                            <a:shade val="86000"/>
                            <a:satMod val="110000"/>
                            <a:lumMod val="100000"/>
                            <a:shade val="100000"/>
                          </a:schemeClr>
                        </a:gs>
                        <a:gs pos="100000">
                          <a:schemeClr val="accent2">
                            <a:shade val="86000"/>
                            <a:lumMod val="99000"/>
                            <a:satMod val="120000"/>
                            <a:shade val="78000"/>
                          </a:schemeClr>
                        </a:gs>
                      </a:gsLst>
                      <a:lin ang="5400000" scaled="0"/>
                    </a:gradFill>
                    <a:ln>
                      <a:noFill/>
                    </a:ln>
                    <a:effectLst/>
                  </c:spPr>
                  <c:extLst xmlns:c16r2="http://schemas.microsoft.com/office/drawing/2015/06/chart">
                    <c:ext xmlns:c16="http://schemas.microsoft.com/office/drawing/2014/chart" uri="{C3380CC4-5D6E-409C-BE32-E72D297353CC}">
                      <c16:uniqueId val="{0000000B-EAC1-48F1-AA19-3F4A7F775559}"/>
                    </c:ext>
                  </c:extLst>
                </c:dPt>
                <c:dPt>
                  <c:idx val="2"/>
                  <c:bubble3D val="0"/>
                  <c:spPr>
                    <a:gradFill rotWithShape="1">
                      <a:gsLst>
                        <a:gs pos="0">
                          <a:schemeClr val="accent2">
                            <a:tint val="86000"/>
                            <a:satMod val="103000"/>
                            <a:lumMod val="102000"/>
                            <a:tint val="94000"/>
                          </a:schemeClr>
                        </a:gs>
                        <a:gs pos="50000">
                          <a:schemeClr val="accent2">
                            <a:tint val="86000"/>
                            <a:satMod val="110000"/>
                            <a:lumMod val="100000"/>
                            <a:shade val="100000"/>
                          </a:schemeClr>
                        </a:gs>
                        <a:gs pos="100000">
                          <a:schemeClr val="accent2">
                            <a:tint val="86000"/>
                            <a:lumMod val="99000"/>
                            <a:satMod val="120000"/>
                            <a:shade val="78000"/>
                          </a:schemeClr>
                        </a:gs>
                      </a:gsLst>
                      <a:lin ang="5400000" scaled="0"/>
                    </a:gradFill>
                    <a:ln>
                      <a:noFill/>
                    </a:ln>
                    <a:effectLst/>
                  </c:spPr>
                  <c:extLst xmlns:c16r2="http://schemas.microsoft.com/office/drawing/2015/06/chart">
                    <c:ext xmlns:c16="http://schemas.microsoft.com/office/drawing/2014/chart" uri="{C3380CC4-5D6E-409C-BE32-E72D297353CC}">
                      <c16:uniqueId val="{0000000D-EAC1-48F1-AA19-3F4A7F775559}"/>
                    </c:ext>
                  </c:extLst>
                </c:dPt>
                <c:dPt>
                  <c:idx val="3"/>
                  <c:bubble3D val="0"/>
                  <c:spPr>
                    <a:gradFill rotWithShape="1">
                      <a:gsLst>
                        <a:gs pos="0">
                          <a:schemeClr val="accent2">
                            <a:tint val="58000"/>
                            <a:satMod val="103000"/>
                            <a:lumMod val="102000"/>
                            <a:tint val="94000"/>
                          </a:schemeClr>
                        </a:gs>
                        <a:gs pos="50000">
                          <a:schemeClr val="accent2">
                            <a:tint val="58000"/>
                            <a:satMod val="110000"/>
                            <a:lumMod val="100000"/>
                            <a:shade val="100000"/>
                          </a:schemeClr>
                        </a:gs>
                        <a:gs pos="100000">
                          <a:schemeClr val="accent2">
                            <a:tint val="58000"/>
                            <a:lumMod val="99000"/>
                            <a:satMod val="120000"/>
                            <a:shade val="78000"/>
                          </a:schemeClr>
                        </a:gs>
                      </a:gsLst>
                      <a:lin ang="5400000" scaled="0"/>
                    </a:gradFill>
                    <a:ln>
                      <a:noFill/>
                    </a:ln>
                    <a:effectLst/>
                  </c:spPr>
                  <c:extLst xmlns:c16r2="http://schemas.microsoft.com/office/drawing/2015/06/chart">
                    <c:ext xmlns:c16="http://schemas.microsoft.com/office/drawing/2014/chart" uri="{C3380CC4-5D6E-409C-BE32-E72D297353CC}">
                      <c16:uniqueId val="{0000000F-EAC1-48F1-AA19-3F4A7F775559}"/>
                    </c:ext>
                  </c:extLst>
                </c:dPt>
                <c:cat>
                  <c:strRef>
                    <c:extLst xmlns:c16r2="http://schemas.microsoft.com/office/drawing/2015/06/chart">
                      <c:ext uri="{02D57815-91ED-43cb-92C2-25804820EDAC}">
                        <c15:formulaRef>
                          <c15:sqref>Analysis!$C$136:$F$136</c15:sqref>
                        </c15:formulaRef>
                      </c:ext>
                    </c:extLst>
                    <c:strCache>
                      <c:ptCount val="4"/>
                      <c:pt idx="0">
                        <c:v>Functional</c:v>
                      </c:pt>
                      <c:pt idx="1">
                        <c:v>NA</c:v>
                      </c:pt>
                      <c:pt idx="2">
                        <c:v>Not_Functional</c:v>
                      </c:pt>
                      <c:pt idx="3">
                        <c:v>Not_inPlace</c:v>
                      </c:pt>
                    </c:strCache>
                  </c:strRef>
                </c:cat>
                <c:val>
                  <c:numRef>
                    <c:extLst xmlns:c16r2="http://schemas.microsoft.com/office/drawing/2015/06/chart">
                      <c:ext uri="{02D57815-91ED-43cb-92C2-25804820EDAC}">
                        <c15:formulaRef>
                          <c15:sqref>Analysis!$C$138:$F$138</c15:sqref>
                        </c15:formulaRef>
                      </c:ext>
                    </c:extLst>
                    <c:numCache>
                      <c:formatCode>General</c:formatCode>
                      <c:ptCount val="4"/>
                      <c:pt idx="0">
                        <c:v>25</c:v>
                      </c:pt>
                      <c:pt idx="1">
                        <c:v>98</c:v>
                      </c:pt>
                      <c:pt idx="2">
                        <c:v>26</c:v>
                      </c:pt>
                      <c:pt idx="3">
                        <c:v>51</c:v>
                      </c:pt>
                    </c:numCache>
                  </c:numRef>
                </c:val>
                <c:extLst xmlns:c16r2="http://schemas.microsoft.com/office/drawing/2015/06/chart">
                  <c:ext xmlns:c16="http://schemas.microsoft.com/office/drawing/2014/chart" uri="{C3380CC4-5D6E-409C-BE32-E72D297353CC}">
                    <c16:uniqueId val="{00000010-EAC1-48F1-AA19-3F4A7F775559}"/>
                  </c:ext>
                </c:extLst>
              </c15:ser>
            </c15:filteredPieSeries>
            <c15:filteredPieSeries>
              <c15:ser>
                <c:idx val="2"/>
                <c:order val="2"/>
                <c:tx>
                  <c:strRef>
                    <c:extLst xmlns:c15="http://schemas.microsoft.com/office/drawing/2012/chart" xmlns:c16r2="http://schemas.microsoft.com/office/drawing/2015/06/chart">
                      <c:ext xmlns:c15="http://schemas.microsoft.com/office/drawing/2012/chart" uri="{02D57815-91ED-43cb-92C2-25804820EDAC}">
                        <c15:formulaRef>
                          <c15:sqref>Analysis!$B$139</c15:sqref>
                        </c15:formulaRef>
                      </c:ext>
                    </c:extLst>
                    <c:strCache>
                      <c:ptCount val="1"/>
                      <c:pt idx="0">
                        <c:v>Shan (North)</c:v>
                      </c:pt>
                    </c:strCache>
                  </c:strRef>
                </c:tx>
                <c:dPt>
                  <c:idx val="0"/>
                  <c:bubble3D val="0"/>
                  <c:spPr>
                    <a:gradFill rotWithShape="1">
                      <a:gsLst>
                        <a:gs pos="0">
                          <a:schemeClr val="accent2">
                            <a:shade val="58000"/>
                            <a:satMod val="103000"/>
                            <a:lumMod val="102000"/>
                            <a:tint val="94000"/>
                          </a:schemeClr>
                        </a:gs>
                        <a:gs pos="50000">
                          <a:schemeClr val="accent2">
                            <a:shade val="58000"/>
                            <a:satMod val="110000"/>
                            <a:lumMod val="100000"/>
                            <a:shade val="100000"/>
                          </a:schemeClr>
                        </a:gs>
                        <a:gs pos="100000">
                          <a:schemeClr val="accent2">
                            <a:shade val="58000"/>
                            <a:lumMod val="99000"/>
                            <a:satMod val="120000"/>
                            <a:shade val="78000"/>
                          </a:schemeClr>
                        </a:gs>
                      </a:gsLst>
                      <a:lin ang="5400000" scaled="0"/>
                    </a:gradFill>
                    <a:ln>
                      <a:noFill/>
                    </a:ln>
                    <a:effectLst/>
                  </c:spPr>
                  <c:extLst xmlns:c15="http://schemas.microsoft.com/office/drawing/2012/chart" xmlns:c16r2="http://schemas.microsoft.com/office/drawing/2015/06/chart">
                    <c:ext xmlns:c16="http://schemas.microsoft.com/office/drawing/2014/chart" uri="{C3380CC4-5D6E-409C-BE32-E72D297353CC}">
                      <c16:uniqueId val="{00000012-EAC1-48F1-AA19-3F4A7F775559}"/>
                    </c:ext>
                  </c:extLst>
                </c:dPt>
                <c:dPt>
                  <c:idx val="1"/>
                  <c:bubble3D val="0"/>
                  <c:spPr>
                    <a:gradFill rotWithShape="1">
                      <a:gsLst>
                        <a:gs pos="0">
                          <a:schemeClr val="accent2">
                            <a:shade val="86000"/>
                            <a:satMod val="103000"/>
                            <a:lumMod val="102000"/>
                            <a:tint val="94000"/>
                          </a:schemeClr>
                        </a:gs>
                        <a:gs pos="50000">
                          <a:schemeClr val="accent2">
                            <a:shade val="86000"/>
                            <a:satMod val="110000"/>
                            <a:lumMod val="100000"/>
                            <a:shade val="100000"/>
                          </a:schemeClr>
                        </a:gs>
                        <a:gs pos="100000">
                          <a:schemeClr val="accent2">
                            <a:shade val="86000"/>
                            <a:lumMod val="99000"/>
                            <a:satMod val="120000"/>
                            <a:shade val="78000"/>
                          </a:schemeClr>
                        </a:gs>
                      </a:gsLst>
                      <a:lin ang="5400000" scaled="0"/>
                    </a:gradFill>
                    <a:ln>
                      <a:noFill/>
                    </a:ln>
                    <a:effectLst/>
                  </c:spPr>
                  <c:extLst xmlns:c15="http://schemas.microsoft.com/office/drawing/2012/chart" xmlns:c16r2="http://schemas.microsoft.com/office/drawing/2015/06/chart">
                    <c:ext xmlns:c16="http://schemas.microsoft.com/office/drawing/2014/chart" uri="{C3380CC4-5D6E-409C-BE32-E72D297353CC}">
                      <c16:uniqueId val="{00000014-EAC1-48F1-AA19-3F4A7F775559}"/>
                    </c:ext>
                  </c:extLst>
                </c:dPt>
                <c:dPt>
                  <c:idx val="2"/>
                  <c:bubble3D val="0"/>
                  <c:spPr>
                    <a:gradFill rotWithShape="1">
                      <a:gsLst>
                        <a:gs pos="0">
                          <a:schemeClr val="accent2">
                            <a:tint val="86000"/>
                            <a:satMod val="103000"/>
                            <a:lumMod val="102000"/>
                            <a:tint val="94000"/>
                          </a:schemeClr>
                        </a:gs>
                        <a:gs pos="50000">
                          <a:schemeClr val="accent2">
                            <a:tint val="86000"/>
                            <a:satMod val="110000"/>
                            <a:lumMod val="100000"/>
                            <a:shade val="100000"/>
                          </a:schemeClr>
                        </a:gs>
                        <a:gs pos="100000">
                          <a:schemeClr val="accent2">
                            <a:tint val="86000"/>
                            <a:lumMod val="99000"/>
                            <a:satMod val="120000"/>
                            <a:shade val="78000"/>
                          </a:schemeClr>
                        </a:gs>
                      </a:gsLst>
                      <a:lin ang="5400000" scaled="0"/>
                    </a:gradFill>
                    <a:ln>
                      <a:noFill/>
                    </a:ln>
                    <a:effectLst/>
                  </c:spPr>
                  <c:extLst xmlns:c15="http://schemas.microsoft.com/office/drawing/2012/chart" xmlns:c16r2="http://schemas.microsoft.com/office/drawing/2015/06/chart">
                    <c:ext xmlns:c16="http://schemas.microsoft.com/office/drawing/2014/chart" uri="{C3380CC4-5D6E-409C-BE32-E72D297353CC}">
                      <c16:uniqueId val="{00000016-EAC1-48F1-AA19-3F4A7F775559}"/>
                    </c:ext>
                  </c:extLst>
                </c:dPt>
                <c:dPt>
                  <c:idx val="3"/>
                  <c:bubble3D val="0"/>
                  <c:spPr>
                    <a:gradFill rotWithShape="1">
                      <a:gsLst>
                        <a:gs pos="0">
                          <a:schemeClr val="accent2">
                            <a:tint val="58000"/>
                            <a:satMod val="103000"/>
                            <a:lumMod val="102000"/>
                            <a:tint val="94000"/>
                          </a:schemeClr>
                        </a:gs>
                        <a:gs pos="50000">
                          <a:schemeClr val="accent2">
                            <a:tint val="58000"/>
                            <a:satMod val="110000"/>
                            <a:lumMod val="100000"/>
                            <a:shade val="100000"/>
                          </a:schemeClr>
                        </a:gs>
                        <a:gs pos="100000">
                          <a:schemeClr val="accent2">
                            <a:tint val="58000"/>
                            <a:lumMod val="99000"/>
                            <a:satMod val="120000"/>
                            <a:shade val="78000"/>
                          </a:schemeClr>
                        </a:gs>
                      </a:gsLst>
                      <a:lin ang="5400000" scaled="0"/>
                    </a:gradFill>
                    <a:ln>
                      <a:noFill/>
                    </a:ln>
                    <a:effectLst/>
                  </c:spPr>
                  <c:extLst xmlns:c15="http://schemas.microsoft.com/office/drawing/2012/chart" xmlns:c16r2="http://schemas.microsoft.com/office/drawing/2015/06/chart">
                    <c:ext xmlns:c16="http://schemas.microsoft.com/office/drawing/2014/chart" uri="{C3380CC4-5D6E-409C-BE32-E72D297353CC}">
                      <c16:uniqueId val="{00000018-EAC1-48F1-AA19-3F4A7F775559}"/>
                    </c:ext>
                  </c:extLst>
                </c:dPt>
                <c:cat>
                  <c:strRef>
                    <c:extLst xmlns:c15="http://schemas.microsoft.com/office/drawing/2012/chart" xmlns:c16r2="http://schemas.microsoft.com/office/drawing/2015/06/chart">
                      <c:ext xmlns:c15="http://schemas.microsoft.com/office/drawing/2012/chart" uri="{02D57815-91ED-43cb-92C2-25804820EDAC}">
                        <c15:formulaRef>
                          <c15:sqref>Analysis!$C$136:$F$136</c15:sqref>
                        </c15:formulaRef>
                      </c:ext>
                    </c:extLst>
                    <c:strCache>
                      <c:ptCount val="4"/>
                      <c:pt idx="0">
                        <c:v>Functional</c:v>
                      </c:pt>
                      <c:pt idx="1">
                        <c:v>NA</c:v>
                      </c:pt>
                      <c:pt idx="2">
                        <c:v>Not_Functional</c:v>
                      </c:pt>
                      <c:pt idx="3">
                        <c:v>Not_inPlace</c:v>
                      </c:pt>
                    </c:strCache>
                  </c:strRef>
                </c:cat>
                <c:val>
                  <c:numRef>
                    <c:extLst xmlns:c15="http://schemas.microsoft.com/office/drawing/2012/chart" xmlns:c16r2="http://schemas.microsoft.com/office/drawing/2015/06/chart">
                      <c:ext xmlns:c15="http://schemas.microsoft.com/office/drawing/2012/chart" uri="{02D57815-91ED-43cb-92C2-25804820EDAC}">
                        <c15:formulaRef>
                          <c15:sqref>Analysis!$C$139:$F$139</c15:sqref>
                        </c15:formulaRef>
                      </c:ext>
                    </c:extLst>
                    <c:numCache>
                      <c:formatCode>General</c:formatCode>
                      <c:ptCount val="4"/>
                      <c:pt idx="0">
                        <c:v>26</c:v>
                      </c:pt>
                      <c:pt idx="1">
                        <c:v>8</c:v>
                      </c:pt>
                      <c:pt idx="2">
                        <c:v>2</c:v>
                      </c:pt>
                      <c:pt idx="3">
                        <c:v>4</c:v>
                      </c:pt>
                    </c:numCache>
                  </c:numRef>
                </c:val>
                <c:extLst xmlns:c15="http://schemas.microsoft.com/office/drawing/2012/chart" xmlns:c16r2="http://schemas.microsoft.com/office/drawing/2015/06/chart">
                  <c:ext xmlns:c16="http://schemas.microsoft.com/office/drawing/2014/chart" uri="{C3380CC4-5D6E-409C-BE32-E72D297353CC}">
                    <c16:uniqueId val="{00000019-EAC1-48F1-AA19-3F4A7F775559}"/>
                  </c:ext>
                </c:extLst>
              </c15:ser>
            </c15:filteredPieSeries>
          </c:ext>
        </c:extLst>
      </c:pieChart>
      <c:spPr>
        <a:noFill/>
        <a:ln>
          <a:noFill/>
        </a:ln>
        <a:effectLst/>
      </c:spPr>
    </c:plotArea>
    <c:legend>
      <c:legendPos val="r"/>
      <c:layout>
        <c:manualLayout>
          <c:xMode val="edge"/>
          <c:yMode val="edge"/>
          <c:x val="0.6117222847144107"/>
          <c:y val="0.29039617330442391"/>
          <c:w val="0.36925907526518087"/>
          <c:h val="0.5506067176385560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accent1">
          <a:lumMod val="20000"/>
          <a:lumOff val="80000"/>
        </a:schemeClr>
      </a:solidFill>
      <a:round/>
    </a:ln>
    <a:effectLst/>
  </c:spPr>
  <c:txPr>
    <a:bodyPr/>
    <a:lstStyle/>
    <a:p>
      <a:pPr>
        <a:defRPr/>
      </a:pPr>
      <a:endParaRPr lang="en-US"/>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r>
              <a:rPr lang="en-US" sz="1200"/>
              <a:t>% of Sites</a:t>
            </a:r>
            <a:r>
              <a:rPr lang="en-US" sz="1200" baseline="0"/>
              <a:t> which made w</a:t>
            </a:r>
            <a:r>
              <a:rPr lang="en-US" sz="1200"/>
              <a:t>ater quality test</a:t>
            </a:r>
            <a:r>
              <a:rPr lang="en-US" sz="1200" baseline="0"/>
              <a:t> </a:t>
            </a:r>
          </a:p>
        </c:rich>
      </c:tx>
      <c:layout>
        <c:manualLayout>
          <c:xMode val="edge"/>
          <c:yMode val="edge"/>
          <c:x val="0.17731774662279884"/>
          <c:y val="1.7610064637256933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2.2991472172351889E-2"/>
          <c:y val="0.2477454448712029"/>
          <c:w val="0.38003254039497314"/>
          <c:h val="0.64616707079364943"/>
        </c:manualLayout>
      </c:layout>
      <c:pieChart>
        <c:varyColors val="1"/>
        <c:ser>
          <c:idx val="0"/>
          <c:order val="0"/>
          <c:tx>
            <c:strRef>
              <c:f>Analysis!$B$71</c:f>
              <c:strCache>
                <c:ptCount val="1"/>
                <c:pt idx="0">
                  <c:v>Kachin</c:v>
                </c:pt>
              </c:strCache>
            </c:strRef>
          </c:tx>
          <c:dPt>
            <c:idx val="0"/>
            <c:bubble3D val="0"/>
            <c:spPr>
              <a:solidFill>
                <a:schemeClr val="accent1">
                  <a:lumMod val="40000"/>
                  <a:lumOff val="60000"/>
                </a:schemeClr>
              </a:solidFill>
              <a:ln>
                <a:noFill/>
              </a:ln>
              <a:effectLst/>
            </c:spPr>
            <c:extLst xmlns:c16r2="http://schemas.microsoft.com/office/drawing/2015/06/chart">
              <c:ext xmlns:c16="http://schemas.microsoft.com/office/drawing/2014/chart" uri="{C3380CC4-5D6E-409C-BE32-E72D297353CC}">
                <c16:uniqueId val="{00000001-59BD-40B5-80B0-001A8221DFDE}"/>
              </c:ext>
            </c:extLst>
          </c:dPt>
          <c:dPt>
            <c:idx val="1"/>
            <c:bubble3D val="0"/>
            <c:explosion val="15"/>
            <c:spPr>
              <a:solidFill>
                <a:srgbClr val="0070C0"/>
              </a:solidFill>
              <a:ln>
                <a:noFill/>
              </a:ln>
              <a:effectLst/>
            </c:spPr>
            <c:extLst xmlns:c16r2="http://schemas.microsoft.com/office/drawing/2015/06/chart">
              <c:ext xmlns:c16="http://schemas.microsoft.com/office/drawing/2014/chart" uri="{C3380CC4-5D6E-409C-BE32-E72D297353CC}">
                <c16:uniqueId val="{00000003-59BD-40B5-80B0-001A8221DFDE}"/>
              </c:ext>
            </c:extLst>
          </c:dPt>
          <c:dLbls>
            <c:dLbl>
              <c:idx val="1"/>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xmlns:c16r2="http://schemas.microsoft.com/office/drawing/2015/06/chart">
              <c:ext xmlns:c15="http://schemas.microsoft.com/office/drawing/2012/chart" uri="{CE6537A1-D6FC-4f65-9D91-7224C49458BB}">
                <c15:layout/>
              </c:ext>
            </c:extLst>
          </c:dLbls>
          <c:cat>
            <c:strRef>
              <c:f>Analysis!$C$70:$D$70</c:f>
              <c:strCache>
                <c:ptCount val="2"/>
                <c:pt idx="0">
                  <c:v>No Test</c:v>
                </c:pt>
                <c:pt idx="1">
                  <c:v>Tested</c:v>
                </c:pt>
              </c:strCache>
            </c:strRef>
          </c:cat>
          <c:val>
            <c:numRef>
              <c:f>Analysis!$C$71:$D$71</c:f>
              <c:numCache>
                <c:formatCode>General</c:formatCode>
                <c:ptCount val="2"/>
                <c:pt idx="0">
                  <c:v>114</c:v>
                </c:pt>
                <c:pt idx="1">
                  <c:v>15</c:v>
                </c:pt>
              </c:numCache>
            </c:numRef>
          </c:val>
          <c:extLst xmlns:c16r2="http://schemas.microsoft.com/office/drawing/2015/06/chart">
            <c:ext xmlns:c16="http://schemas.microsoft.com/office/drawing/2014/chart" uri="{C3380CC4-5D6E-409C-BE32-E72D297353CC}">
              <c16:uniqueId val="{00000004-59BD-40B5-80B0-001A8221DFDE}"/>
            </c:ext>
          </c:extLst>
        </c:ser>
        <c:dLbls>
          <c:showLegendKey val="0"/>
          <c:showVal val="0"/>
          <c:showCatName val="0"/>
          <c:showSerName val="0"/>
          <c:showPercent val="0"/>
          <c:showBubbleSize val="0"/>
          <c:showLeaderLines val="1"/>
        </c:dLbls>
        <c:firstSliceAng val="0"/>
        <c:extLst xmlns:c16r2="http://schemas.microsoft.com/office/drawing/2015/06/chart">
          <c:ext xmlns:c15="http://schemas.microsoft.com/office/drawing/2012/chart" uri="{02D57815-91ED-43cb-92C2-25804820EDAC}">
            <c15:filteredPieSeries>
              <c15:ser>
                <c:idx val="1"/>
                <c:order val="1"/>
                <c:tx>
                  <c:strRef>
                    <c:extLst xmlns:c16r2="http://schemas.microsoft.com/office/drawing/2015/06/chart">
                      <c:ext uri="{02D57815-91ED-43cb-92C2-25804820EDAC}">
                        <c15:formulaRef>
                          <c15:sqref>Analysis!$B$72</c15:sqref>
                        </c15:formulaRef>
                      </c:ext>
                    </c:extLst>
                    <c:strCache>
                      <c:ptCount val="1"/>
                      <c:pt idx="0">
                        <c:v>Rakhine</c:v>
                      </c:pt>
                    </c:strCache>
                  </c:strRef>
                </c:tx>
                <c:dPt>
                  <c:idx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extLst xmlns:c16r2="http://schemas.microsoft.com/office/drawing/2015/06/chart">
                    <c:ext xmlns:c16="http://schemas.microsoft.com/office/drawing/2014/chart" uri="{C3380CC4-5D6E-409C-BE32-E72D297353CC}">
                      <c16:uniqueId val="{00000006-59BD-40B5-80B0-001A8221DFDE}"/>
                    </c:ext>
                  </c:extLst>
                </c:dPt>
                <c:dPt>
                  <c:idx val="1"/>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extLst xmlns:c16r2="http://schemas.microsoft.com/office/drawing/2015/06/chart">
                    <c:ext xmlns:c16="http://schemas.microsoft.com/office/drawing/2014/chart" uri="{C3380CC4-5D6E-409C-BE32-E72D297353CC}">
                      <c16:uniqueId val="{00000008-59BD-40B5-80B0-001A8221DFDE}"/>
                    </c:ext>
                  </c:extLst>
                </c:dPt>
                <c:cat>
                  <c:strRef>
                    <c:extLst xmlns:c16r2="http://schemas.microsoft.com/office/drawing/2015/06/chart">
                      <c:ext uri="{02D57815-91ED-43cb-92C2-25804820EDAC}">
                        <c15:formulaRef>
                          <c15:sqref>Analysis!$C$70:$D$70</c15:sqref>
                        </c15:formulaRef>
                      </c:ext>
                    </c:extLst>
                    <c:strCache>
                      <c:ptCount val="2"/>
                      <c:pt idx="0">
                        <c:v>No Test</c:v>
                      </c:pt>
                      <c:pt idx="1">
                        <c:v>Tested</c:v>
                      </c:pt>
                    </c:strCache>
                  </c:strRef>
                </c:cat>
                <c:val>
                  <c:numRef>
                    <c:extLst xmlns:c16r2="http://schemas.microsoft.com/office/drawing/2015/06/chart">
                      <c:ext uri="{02D57815-91ED-43cb-92C2-25804820EDAC}">
                        <c15:formulaRef>
                          <c15:sqref>Analysis!$C$72:$D$72</c15:sqref>
                        </c15:formulaRef>
                      </c:ext>
                    </c:extLst>
                    <c:numCache>
                      <c:formatCode>General</c:formatCode>
                      <c:ptCount val="2"/>
                      <c:pt idx="0">
                        <c:v>15</c:v>
                      </c:pt>
                      <c:pt idx="1">
                        <c:v>9</c:v>
                      </c:pt>
                    </c:numCache>
                  </c:numRef>
                </c:val>
                <c:extLst xmlns:c16r2="http://schemas.microsoft.com/office/drawing/2015/06/chart">
                  <c:ext xmlns:c16="http://schemas.microsoft.com/office/drawing/2014/chart" uri="{C3380CC4-5D6E-409C-BE32-E72D297353CC}">
                    <c16:uniqueId val="{00000009-59BD-40B5-80B0-001A8221DFDE}"/>
                  </c:ext>
                </c:extLst>
              </c15:ser>
            </c15:filteredPieSeries>
            <c15:filteredPieSeries>
              <c15:ser>
                <c:idx val="2"/>
                <c:order val="2"/>
                <c:tx>
                  <c:strRef>
                    <c:extLst xmlns:c15="http://schemas.microsoft.com/office/drawing/2012/chart" xmlns:c16r2="http://schemas.microsoft.com/office/drawing/2015/06/chart">
                      <c:ext xmlns:c15="http://schemas.microsoft.com/office/drawing/2012/chart" uri="{02D57815-91ED-43cb-92C2-25804820EDAC}">
                        <c15:formulaRef>
                          <c15:sqref>Analysis!$B$73</c15:sqref>
                        </c15:formulaRef>
                      </c:ext>
                    </c:extLst>
                    <c:strCache>
                      <c:ptCount val="1"/>
                      <c:pt idx="0">
                        <c:v>Shan (North)</c:v>
                      </c:pt>
                    </c:strCache>
                  </c:strRef>
                </c:tx>
                <c:dPt>
                  <c:idx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extLst xmlns:c15="http://schemas.microsoft.com/office/drawing/2012/chart" xmlns:c16r2="http://schemas.microsoft.com/office/drawing/2015/06/chart">
                    <c:ext xmlns:c16="http://schemas.microsoft.com/office/drawing/2014/chart" uri="{C3380CC4-5D6E-409C-BE32-E72D297353CC}">
                      <c16:uniqueId val="{0000000B-59BD-40B5-80B0-001A8221DFDE}"/>
                    </c:ext>
                  </c:extLst>
                </c:dPt>
                <c:dPt>
                  <c:idx val="1"/>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extLst xmlns:c15="http://schemas.microsoft.com/office/drawing/2012/chart" xmlns:c16r2="http://schemas.microsoft.com/office/drawing/2015/06/chart">
                    <c:ext xmlns:c16="http://schemas.microsoft.com/office/drawing/2014/chart" uri="{C3380CC4-5D6E-409C-BE32-E72D297353CC}">
                      <c16:uniqueId val="{0000000D-59BD-40B5-80B0-001A8221DFDE}"/>
                    </c:ext>
                  </c:extLst>
                </c:dPt>
                <c:cat>
                  <c:strRef>
                    <c:extLst xmlns:c15="http://schemas.microsoft.com/office/drawing/2012/chart" xmlns:c16r2="http://schemas.microsoft.com/office/drawing/2015/06/chart">
                      <c:ext xmlns:c15="http://schemas.microsoft.com/office/drawing/2012/chart" uri="{02D57815-91ED-43cb-92C2-25804820EDAC}">
                        <c15:formulaRef>
                          <c15:sqref>Analysis!$C$70:$D$70</c15:sqref>
                        </c15:formulaRef>
                      </c:ext>
                    </c:extLst>
                    <c:strCache>
                      <c:ptCount val="2"/>
                      <c:pt idx="0">
                        <c:v>No Test</c:v>
                      </c:pt>
                      <c:pt idx="1">
                        <c:v>Tested</c:v>
                      </c:pt>
                    </c:strCache>
                  </c:strRef>
                </c:cat>
                <c:val>
                  <c:numRef>
                    <c:extLst xmlns:c15="http://schemas.microsoft.com/office/drawing/2012/chart" xmlns:c16r2="http://schemas.microsoft.com/office/drawing/2015/06/chart">
                      <c:ext xmlns:c15="http://schemas.microsoft.com/office/drawing/2012/chart" uri="{02D57815-91ED-43cb-92C2-25804820EDAC}">
                        <c15:formulaRef>
                          <c15:sqref>Analysis!$C$73:$D$73</c15:sqref>
                        </c15:formulaRef>
                      </c:ext>
                    </c:extLst>
                    <c:numCache>
                      <c:formatCode>General</c:formatCode>
                      <c:ptCount val="2"/>
                      <c:pt idx="0">
                        <c:v>29</c:v>
                      </c:pt>
                      <c:pt idx="1">
                        <c:v>6</c:v>
                      </c:pt>
                    </c:numCache>
                  </c:numRef>
                </c:val>
                <c:extLst xmlns:c15="http://schemas.microsoft.com/office/drawing/2012/chart" xmlns:c16r2="http://schemas.microsoft.com/office/drawing/2015/06/chart">
                  <c:ext xmlns:c16="http://schemas.microsoft.com/office/drawing/2014/chart" uri="{C3380CC4-5D6E-409C-BE32-E72D297353CC}">
                    <c16:uniqueId val="{0000000E-59BD-40B5-80B0-001A8221DFDE}"/>
                  </c:ext>
                </c:extLst>
              </c15:ser>
            </c15:filteredPieSeries>
          </c:ext>
        </c:extLst>
      </c:pieChart>
      <c:spPr>
        <a:noFill/>
        <a:ln>
          <a:noFill/>
        </a:ln>
        <a:effectLst/>
      </c:spPr>
    </c:plotArea>
    <c:legend>
      <c:legendPos val="r"/>
      <c:layout>
        <c:manualLayout>
          <c:xMode val="edge"/>
          <c:yMode val="edge"/>
          <c:x val="0.71000939382107542"/>
          <c:y val="0.37318708197762412"/>
          <c:w val="0.20923682837940649"/>
          <c:h val="0.34743927779426914"/>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[2018_06_05_Myanmar_WASH_4W_2018_Q1_final.xlsx]Analysis!PivotTable8</c:name>
    <c:fmtId val="4"/>
  </c:pivotSource>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n-US" sz="1200" b="1" i="0" baseline="0">
                <a:effectLst/>
              </a:rPr>
              <a:t>Number of Sites - Coverage/Gaps</a:t>
            </a:r>
            <a:endParaRPr lang="en-US" sz="1200">
              <a:effectLst/>
            </a:endParaRPr>
          </a:p>
        </c:rich>
      </c:tx>
      <c:layout>
        <c:manualLayout>
          <c:xMode val="edge"/>
          <c:yMode val="edge"/>
          <c:x val="1.0308057265226277E-2"/>
          <c:y val="3.2407416858389285E-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n-US"/>
        </a:p>
      </c:txPr>
    </c:title>
    <c:autoTitleDeleted val="0"/>
    <c:pivotFmts>
      <c:pivotFmt>
        <c:idx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12700">
              <a:solidFill>
                <a:schemeClr val="lt2"/>
              </a:solidFill>
              <a:round/>
            </a:ln>
            <a:effectLst/>
          </c:spPr>
        </c:marker>
      </c:pivotFmt>
      <c:pivotFmt>
        <c:idx val="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12700">
              <a:solidFill>
                <a:schemeClr val="lt2"/>
              </a:solidFill>
              <a:round/>
            </a:ln>
            <a:effectLst/>
          </c:spPr>
        </c:marker>
      </c:pivotFmt>
      <c:pivotFmt>
        <c:idx val="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pivotFmt>
      <c:pivotFmt>
        <c:idx val="3"/>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pivotFmt>
      <c:pivotFmt>
        <c:idx val="4"/>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layout/>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Lst>
        </c:dLbl>
      </c:pivotFmt>
      <c:pivotFmt>
        <c:idx val="5"/>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layout/>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Lst>
        </c:dLbl>
      </c:pivotFmt>
    </c:pivotFmts>
    <c:plotArea>
      <c:layout>
        <c:manualLayout>
          <c:layoutTarget val="inner"/>
          <c:xMode val="edge"/>
          <c:yMode val="edge"/>
          <c:x val="0.16875738188976377"/>
          <c:y val="0.23407035114329283"/>
          <c:w val="0.76885553368328952"/>
          <c:h val="0.58652831336492073"/>
        </c:manualLayout>
      </c:layout>
      <c:barChart>
        <c:barDir val="bar"/>
        <c:grouping val="clustered"/>
        <c:varyColors val="0"/>
        <c:ser>
          <c:idx val="0"/>
          <c:order val="0"/>
          <c:tx>
            <c:strRef>
              <c:f>Analysis!$D$177:$D$178</c:f>
              <c:strCache>
                <c:ptCount val="1"/>
                <c:pt idx="0">
                  <c:v>Covered</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2">
                          <a:lumMod val="35000"/>
                          <a:lumOff val="65000"/>
                        </a:schemeClr>
                      </a:solidFill>
                    </a:ln>
                    <a:effectLst/>
                  </c:spPr>
                </c15:leaderLines>
              </c:ext>
            </c:extLst>
          </c:dLbls>
          <c:cat>
            <c:strRef>
              <c:f>Analysis!$C$179:$C$180</c:f>
              <c:strCache>
                <c:ptCount val="2"/>
                <c:pt idx="0">
                  <c:v>Camp</c:v>
                </c:pt>
                <c:pt idx="1">
                  <c:v>Camp_not registered</c:v>
                </c:pt>
              </c:strCache>
            </c:strRef>
          </c:cat>
          <c:val>
            <c:numRef>
              <c:f>Analysis!$D$179:$D$180</c:f>
              <c:numCache>
                <c:formatCode>General</c:formatCode>
                <c:ptCount val="2"/>
                <c:pt idx="0">
                  <c:v>117</c:v>
                </c:pt>
                <c:pt idx="1">
                  <c:v>12</c:v>
                </c:pt>
              </c:numCache>
            </c:numRef>
          </c:val>
          <c:extLst xmlns:c16r2="http://schemas.microsoft.com/office/drawing/2015/06/chart">
            <c:ext xmlns:c16="http://schemas.microsoft.com/office/drawing/2014/chart" uri="{C3380CC4-5D6E-409C-BE32-E72D297353CC}">
              <c16:uniqueId val="{00000000-7AFA-4349-A15D-5544CCBDA196}"/>
            </c:ext>
          </c:extLst>
        </c:ser>
        <c:ser>
          <c:idx val="1"/>
          <c:order val="1"/>
          <c:tx>
            <c:strRef>
              <c:f>Analysis!$E$177:$E$178</c:f>
              <c:strCache>
                <c:ptCount val="1"/>
                <c:pt idx="0">
                  <c:v>Gap</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2">
                          <a:lumMod val="35000"/>
                          <a:lumOff val="65000"/>
                        </a:schemeClr>
                      </a:solidFill>
                    </a:ln>
                    <a:effectLst/>
                  </c:spPr>
                </c15:leaderLines>
              </c:ext>
            </c:extLst>
          </c:dLbls>
          <c:cat>
            <c:strRef>
              <c:f>Analysis!$C$179:$C$180</c:f>
              <c:strCache>
                <c:ptCount val="2"/>
                <c:pt idx="0">
                  <c:v>Camp</c:v>
                </c:pt>
                <c:pt idx="1">
                  <c:v>Camp_not registered</c:v>
                </c:pt>
              </c:strCache>
            </c:strRef>
          </c:cat>
          <c:val>
            <c:numRef>
              <c:f>Analysis!$E$179:$E$180</c:f>
              <c:numCache>
                <c:formatCode>General</c:formatCode>
                <c:ptCount val="2"/>
                <c:pt idx="0">
                  <c:v>14</c:v>
                </c:pt>
              </c:numCache>
            </c:numRef>
          </c:val>
          <c:extLst xmlns:c16r2="http://schemas.microsoft.com/office/drawing/2015/06/chart">
            <c:ext xmlns:c16="http://schemas.microsoft.com/office/drawing/2014/chart" uri="{C3380CC4-5D6E-409C-BE32-E72D297353CC}">
              <c16:uniqueId val="{00000001-7AFA-4349-A15D-5544CCBDA196}"/>
            </c:ext>
          </c:extLst>
        </c:ser>
        <c:dLbls>
          <c:showLegendKey val="0"/>
          <c:showVal val="0"/>
          <c:showCatName val="0"/>
          <c:showSerName val="0"/>
          <c:showPercent val="0"/>
          <c:showBubbleSize val="0"/>
        </c:dLbls>
        <c:gapWidth val="100"/>
        <c:axId val="484839312"/>
        <c:axId val="484843624"/>
      </c:barChart>
      <c:catAx>
        <c:axId val="484839312"/>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484843624"/>
        <c:crosses val="autoZero"/>
        <c:auto val="1"/>
        <c:lblAlgn val="ctr"/>
        <c:lblOffset val="100"/>
        <c:noMultiLvlLbl val="0"/>
      </c:catAx>
      <c:valAx>
        <c:axId val="484843624"/>
        <c:scaling>
          <c:orientation val="minMax"/>
        </c:scaling>
        <c:delete val="0"/>
        <c:axPos val="b"/>
        <c:majorGridlines>
          <c:spPr>
            <a:ln w="9525" cap="flat" cmpd="sng" algn="ctr">
              <a:solidFill>
                <a:schemeClr val="tx2">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484839312"/>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extLst xmlns:c16r2="http://schemas.microsoft.com/office/drawing/2015/06/chart">
    <c:ext xmlns:c14="http://schemas.microsoft.com/office/drawing/2007/8/2/chart" uri="{781A3756-C4B2-4CAC-9D66-4F8BD8637D16}">
      <c14:pivotOptions>
        <c14:dropZoneFilter val="1"/>
        <c14:dropZoneCategories val="1"/>
        <c14:dropZoneData val="1"/>
        <c14:dropZoneSeries val="1"/>
      </c14:pivotOptions>
    </c:ext>
  </c:extLst>
</c:chartSpace>
</file>

<file path=xl/charts/chart5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b="1" i="0" baseline="0">
                <a:effectLst/>
              </a:rPr>
              <a:t>Latrine coverage </a:t>
            </a:r>
            <a:endParaRPr lang="en-US" sz="1200">
              <a:effectLst/>
            </a:endParaRP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8242719660042495"/>
          <c:y val="0.13832875505257186"/>
          <c:w val="0.76664698162729661"/>
          <c:h val="0.66137577336883069"/>
        </c:manualLayout>
      </c:layout>
      <c:barChart>
        <c:barDir val="col"/>
        <c:grouping val="stacked"/>
        <c:varyColors val="0"/>
        <c:ser>
          <c:idx val="0"/>
          <c:order val="0"/>
          <c:tx>
            <c:strRef>
              <c:f>Analysis!$C$92</c:f>
              <c:strCache>
                <c:ptCount val="1"/>
                <c:pt idx="0">
                  <c:v>Coverage</c:v>
                </c:pt>
              </c:strCache>
            </c:strRef>
          </c:tx>
          <c:spPr>
            <a:solidFill>
              <a:schemeClr val="accent2">
                <a:shade val="76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Analysis!$D$91:$E$91</c:f>
              <c:strCache>
                <c:ptCount val="2"/>
                <c:pt idx="0">
                  <c:v># in GCA (20:1)</c:v>
                </c:pt>
                <c:pt idx="1">
                  <c:v># in NGCA (20:1)</c:v>
                </c:pt>
              </c:strCache>
            </c:strRef>
          </c:cat>
          <c:val>
            <c:numRef>
              <c:f>Analysis!$D$92:$E$92</c:f>
              <c:numCache>
                <c:formatCode>_(* #,##0_);_(* \(#,##0\);_(* "-"??_);_(@_)</c:formatCode>
                <c:ptCount val="2"/>
                <c:pt idx="0">
                  <c:v>2072</c:v>
                </c:pt>
                <c:pt idx="1">
                  <c:v>3416</c:v>
                </c:pt>
              </c:numCache>
            </c:numRef>
          </c:val>
          <c:extLst xmlns:c16r2="http://schemas.microsoft.com/office/drawing/2015/06/chart">
            <c:ext xmlns:c16="http://schemas.microsoft.com/office/drawing/2014/chart" uri="{C3380CC4-5D6E-409C-BE32-E72D297353CC}">
              <c16:uniqueId val="{00000000-EB8D-4AB9-A97C-27DB4BB591A4}"/>
            </c:ext>
          </c:extLst>
        </c:ser>
        <c:ser>
          <c:idx val="1"/>
          <c:order val="1"/>
          <c:tx>
            <c:strRef>
              <c:f>Analysis!$C$93</c:f>
              <c:strCache>
                <c:ptCount val="1"/>
                <c:pt idx="0">
                  <c:v>GAP</c:v>
                </c:pt>
              </c:strCache>
            </c:strRef>
          </c:tx>
          <c:spPr>
            <a:solidFill>
              <a:schemeClr val="accent2">
                <a:tint val="77000"/>
              </a:schemeClr>
            </a:solidFill>
            <a:ln>
              <a:noFill/>
            </a:ln>
            <a:effectLst/>
          </c:spPr>
          <c:invertIfNegative val="0"/>
          <c:dLbls>
            <c:dLbl>
              <c:idx val="1"/>
              <c:layout>
                <c:manualLayout>
                  <c:x val="4.6470781953235635E-3"/>
                  <c:y val="-3.4040165608532735E-2"/>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EB8D-4AB9-A97C-27DB4BB591A4}"/>
                </c:ext>
                <c:ext xmlns:c15="http://schemas.microsoft.com/office/drawing/2012/chart" uri="{CE6537A1-D6FC-4f65-9D91-7224C49458BB}">
                  <c15:layout/>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Analysis!$D$91:$E$91</c:f>
              <c:strCache>
                <c:ptCount val="2"/>
                <c:pt idx="0">
                  <c:v># in GCA (20:1)</c:v>
                </c:pt>
                <c:pt idx="1">
                  <c:v># in NGCA (20:1)</c:v>
                </c:pt>
              </c:strCache>
            </c:strRef>
          </c:cat>
          <c:val>
            <c:numRef>
              <c:f>Analysis!$D$93:$E$93</c:f>
              <c:numCache>
                <c:formatCode>_(* #,##0_);_(* \(#,##0\);_(* "-"??_);_(@_)</c:formatCode>
                <c:ptCount val="2"/>
                <c:pt idx="0">
                  <c:v>369</c:v>
                </c:pt>
                <c:pt idx="1">
                  <c:v>0</c:v>
                </c:pt>
              </c:numCache>
            </c:numRef>
          </c:val>
          <c:extLst xmlns:c16r2="http://schemas.microsoft.com/office/drawing/2015/06/chart">
            <c:ext xmlns:c16="http://schemas.microsoft.com/office/drawing/2014/chart" uri="{C3380CC4-5D6E-409C-BE32-E72D297353CC}">
              <c16:uniqueId val="{00000002-EB8D-4AB9-A97C-27DB4BB591A4}"/>
            </c:ext>
          </c:extLst>
        </c:ser>
        <c:dLbls>
          <c:dLblPos val="ctr"/>
          <c:showLegendKey val="0"/>
          <c:showVal val="1"/>
          <c:showCatName val="0"/>
          <c:showSerName val="0"/>
          <c:showPercent val="0"/>
          <c:showBubbleSize val="0"/>
        </c:dLbls>
        <c:gapWidth val="150"/>
        <c:overlap val="100"/>
        <c:axId val="484834608"/>
        <c:axId val="484839704"/>
      </c:barChart>
      <c:catAx>
        <c:axId val="4848346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84839704"/>
        <c:crosses val="autoZero"/>
        <c:auto val="1"/>
        <c:lblAlgn val="ctr"/>
        <c:lblOffset val="100"/>
        <c:noMultiLvlLbl val="0"/>
      </c:catAx>
      <c:valAx>
        <c:axId val="484839704"/>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84834608"/>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accent1">
          <a:lumMod val="20000"/>
          <a:lumOff val="80000"/>
        </a:schemeClr>
      </a:solidFill>
      <a:round/>
    </a:ln>
    <a:effectLst/>
  </c:spPr>
  <c:txPr>
    <a:bodyPr/>
    <a:lstStyle/>
    <a:p>
      <a:pPr>
        <a:defRPr/>
      </a:pPr>
      <a:endParaRPr lang="en-US"/>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r>
              <a:rPr lang="en-US" sz="1200" b="1"/>
              <a:t>Latrines handed over to families</a:t>
            </a:r>
          </a:p>
        </c:rich>
      </c:tx>
      <c:layout>
        <c:manualLayout>
          <c:xMode val="edge"/>
          <c:yMode val="edge"/>
          <c:x val="0.16504216608007097"/>
          <c:y val="5.2908316451865063E-2"/>
        </c:manualLayout>
      </c:layout>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3652480939882514"/>
          <c:y val="0.13832875505257186"/>
          <c:w val="0.89814814814814814"/>
          <c:h val="0.64988813002317358"/>
        </c:manualLayout>
      </c:layout>
      <c:barChart>
        <c:barDir val="col"/>
        <c:grouping val="stacked"/>
        <c:varyColors val="0"/>
        <c:ser>
          <c:idx val="2"/>
          <c:order val="2"/>
          <c:tx>
            <c:strRef>
              <c:f>Analysis!$C$94</c:f>
              <c:strCache>
                <c:ptCount val="1"/>
                <c:pt idx="0">
                  <c:v>Latrines handed over</c:v>
                </c:pt>
              </c:strCache>
            </c:strRef>
          </c:tx>
          <c:spPr>
            <a:solidFill>
              <a:schemeClr val="accent2">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Analysis!$D$91:$E$91</c:f>
              <c:strCache>
                <c:ptCount val="2"/>
                <c:pt idx="0">
                  <c:v># in GCA (20:1)</c:v>
                </c:pt>
                <c:pt idx="1">
                  <c:v># in NGCA (20:1)</c:v>
                </c:pt>
              </c:strCache>
            </c:strRef>
          </c:cat>
          <c:val>
            <c:numRef>
              <c:f>Analysis!$D$94:$E$94</c:f>
              <c:numCache>
                <c:formatCode>_(* #,##0_);_(* \(#,##0\);_(* "-"??_);_(@_)</c:formatCode>
                <c:ptCount val="2"/>
                <c:pt idx="0">
                  <c:v>640</c:v>
                </c:pt>
                <c:pt idx="1">
                  <c:v>55</c:v>
                </c:pt>
              </c:numCache>
            </c:numRef>
          </c:val>
          <c:extLst xmlns:c16r2="http://schemas.microsoft.com/office/drawing/2015/06/chart">
            <c:ext xmlns:c16="http://schemas.microsoft.com/office/drawing/2014/chart" uri="{C3380CC4-5D6E-409C-BE32-E72D297353CC}">
              <c16:uniqueId val="{00000000-89DD-4829-838C-9132D2EEC9DD}"/>
            </c:ext>
          </c:extLst>
        </c:ser>
        <c:ser>
          <c:idx val="3"/>
          <c:order val="3"/>
          <c:tx>
            <c:strRef>
              <c:f>Analysis!$C$95</c:f>
              <c:strCache>
                <c:ptCount val="1"/>
                <c:pt idx="0">
                  <c:v>Latrines not handed over</c:v>
                </c:pt>
              </c:strCache>
            </c:strRef>
          </c:tx>
          <c:spPr>
            <a:solidFill>
              <a:schemeClr val="accent2">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Analysis!$D$91:$E$91</c:f>
              <c:strCache>
                <c:ptCount val="2"/>
                <c:pt idx="0">
                  <c:v># in GCA (20:1)</c:v>
                </c:pt>
                <c:pt idx="1">
                  <c:v># in NGCA (20:1)</c:v>
                </c:pt>
              </c:strCache>
            </c:strRef>
          </c:cat>
          <c:val>
            <c:numRef>
              <c:f>Analysis!$D$95:$E$95</c:f>
              <c:numCache>
                <c:formatCode>_(* #,##0_);_(* \(#,##0\);_(* "-"??_);_(@_)</c:formatCode>
                <c:ptCount val="2"/>
                <c:pt idx="0">
                  <c:v>1801</c:v>
                </c:pt>
                <c:pt idx="1">
                  <c:v>3361</c:v>
                </c:pt>
              </c:numCache>
            </c:numRef>
          </c:val>
          <c:extLst xmlns:c16r2="http://schemas.microsoft.com/office/drawing/2015/06/chart">
            <c:ext xmlns:c16="http://schemas.microsoft.com/office/drawing/2014/chart" uri="{C3380CC4-5D6E-409C-BE32-E72D297353CC}">
              <c16:uniqueId val="{00000001-89DD-4829-838C-9132D2EEC9DD}"/>
            </c:ext>
          </c:extLst>
        </c:ser>
        <c:dLbls>
          <c:showLegendKey val="0"/>
          <c:showVal val="0"/>
          <c:showCatName val="0"/>
          <c:showSerName val="0"/>
          <c:showPercent val="0"/>
          <c:showBubbleSize val="0"/>
        </c:dLbls>
        <c:gapWidth val="150"/>
        <c:overlap val="100"/>
        <c:axId val="484834216"/>
        <c:axId val="484832256"/>
        <c:extLst xmlns:c16r2="http://schemas.microsoft.com/office/drawing/2015/06/chart">
          <c:ext xmlns:c15="http://schemas.microsoft.com/office/drawing/2012/chart" uri="{02D57815-91ED-43cb-92C2-25804820EDAC}">
            <c15:filteredBarSeries>
              <c15:ser>
                <c:idx val="0"/>
                <c:order val="0"/>
                <c:tx>
                  <c:strRef>
                    <c:extLst xmlns:c16r2="http://schemas.microsoft.com/office/drawing/2015/06/chart">
                      <c:ext uri="{02D57815-91ED-43cb-92C2-25804820EDAC}">
                        <c15:formulaRef>
                          <c15:sqref>Analysis!$C$92</c15:sqref>
                        </c15:formulaRef>
                      </c:ext>
                    </c:extLst>
                    <c:strCache>
                      <c:ptCount val="1"/>
                      <c:pt idx="0">
                        <c:v>Coverage</c:v>
                      </c:pt>
                    </c:strCache>
                  </c:strRef>
                </c:tx>
                <c:spPr>
                  <a:solidFill>
                    <a:schemeClr val="accent2">
                      <a:shade val="58000"/>
                    </a:schemeClr>
                  </a:solidFill>
                  <a:ln>
                    <a:noFill/>
                  </a:ln>
                  <a:effectLst/>
                </c:spPr>
                <c:invertIfNegative val="0"/>
                <c:cat>
                  <c:strRef>
                    <c:extLst xmlns:c16r2="http://schemas.microsoft.com/office/drawing/2015/06/chart">
                      <c:ext uri="{02D57815-91ED-43cb-92C2-25804820EDAC}">
                        <c15:formulaRef>
                          <c15:sqref>Analysis!$D$91:$E$91</c15:sqref>
                        </c15:formulaRef>
                      </c:ext>
                    </c:extLst>
                    <c:strCache>
                      <c:ptCount val="2"/>
                      <c:pt idx="0">
                        <c:v># in GCA (20:1)</c:v>
                      </c:pt>
                      <c:pt idx="1">
                        <c:v># in NGCA (20:1)</c:v>
                      </c:pt>
                    </c:strCache>
                  </c:strRef>
                </c:cat>
                <c:val>
                  <c:numRef>
                    <c:extLst xmlns:c16r2="http://schemas.microsoft.com/office/drawing/2015/06/chart">
                      <c:ext uri="{02D57815-91ED-43cb-92C2-25804820EDAC}">
                        <c15:formulaRef>
                          <c15:sqref>Analysis!$D$92:$E$92</c15:sqref>
                        </c15:formulaRef>
                      </c:ext>
                    </c:extLst>
                    <c:numCache>
                      <c:formatCode>_(* #,##0_);_(* \(#,##0\);_(* "-"??_);_(@_)</c:formatCode>
                      <c:ptCount val="2"/>
                      <c:pt idx="0">
                        <c:v>2072</c:v>
                      </c:pt>
                      <c:pt idx="1">
                        <c:v>3416</c:v>
                      </c:pt>
                    </c:numCache>
                  </c:numRef>
                </c:val>
                <c:extLst xmlns:c16r2="http://schemas.microsoft.com/office/drawing/2015/06/chart">
                  <c:ext xmlns:c16="http://schemas.microsoft.com/office/drawing/2014/chart" uri="{C3380CC4-5D6E-409C-BE32-E72D297353CC}">
                    <c16:uniqueId val="{00000000-C16D-4B5C-864C-7CC8470434C5}"/>
                  </c:ext>
                </c:extLst>
              </c15:ser>
            </c15:filteredBarSeries>
            <c15:filteredBarSeries>
              <c15:ser>
                <c:idx val="1"/>
                <c:order val="1"/>
                <c:tx>
                  <c:strRef>
                    <c:extLst xmlns:c15="http://schemas.microsoft.com/office/drawing/2012/chart" xmlns:c16r2="http://schemas.microsoft.com/office/drawing/2015/06/chart">
                      <c:ext xmlns:c15="http://schemas.microsoft.com/office/drawing/2012/chart" uri="{02D57815-91ED-43cb-92C2-25804820EDAC}">
                        <c15:formulaRef>
                          <c15:sqref>Analysis!$C$93</c15:sqref>
                        </c15:formulaRef>
                      </c:ext>
                    </c:extLst>
                    <c:strCache>
                      <c:ptCount val="1"/>
                      <c:pt idx="0">
                        <c:v>GAP</c:v>
                      </c:pt>
                    </c:strCache>
                  </c:strRef>
                </c:tx>
                <c:spPr>
                  <a:solidFill>
                    <a:schemeClr val="accent2">
                      <a:shade val="86000"/>
                    </a:schemeClr>
                  </a:solidFill>
                  <a:ln>
                    <a:noFill/>
                  </a:ln>
                  <a:effectLst/>
                </c:spPr>
                <c:invertIfNegative val="0"/>
                <c:cat>
                  <c:strRef>
                    <c:extLst xmlns:c15="http://schemas.microsoft.com/office/drawing/2012/chart" xmlns:c16r2="http://schemas.microsoft.com/office/drawing/2015/06/chart">
                      <c:ext xmlns:c15="http://schemas.microsoft.com/office/drawing/2012/chart" uri="{02D57815-91ED-43cb-92C2-25804820EDAC}">
                        <c15:formulaRef>
                          <c15:sqref>Analysis!$D$91:$E$91</c15:sqref>
                        </c15:formulaRef>
                      </c:ext>
                    </c:extLst>
                    <c:strCache>
                      <c:ptCount val="2"/>
                      <c:pt idx="0">
                        <c:v># in GCA (20:1)</c:v>
                      </c:pt>
                      <c:pt idx="1">
                        <c:v># in NGCA (20:1)</c:v>
                      </c:pt>
                    </c:strCache>
                  </c:strRef>
                </c:cat>
                <c:val>
                  <c:numRef>
                    <c:extLst xmlns:c15="http://schemas.microsoft.com/office/drawing/2012/chart" xmlns:c16r2="http://schemas.microsoft.com/office/drawing/2015/06/chart">
                      <c:ext xmlns:c15="http://schemas.microsoft.com/office/drawing/2012/chart" uri="{02D57815-91ED-43cb-92C2-25804820EDAC}">
                        <c15:formulaRef>
                          <c15:sqref>Analysis!$D$93:$E$93</c15:sqref>
                        </c15:formulaRef>
                      </c:ext>
                    </c:extLst>
                    <c:numCache>
                      <c:formatCode>_(* #,##0_);_(* \(#,##0\);_(* "-"??_);_(@_)</c:formatCode>
                      <c:ptCount val="2"/>
                      <c:pt idx="0">
                        <c:v>369</c:v>
                      </c:pt>
                      <c:pt idx="1">
                        <c:v>0</c:v>
                      </c:pt>
                    </c:numCache>
                  </c:numRef>
                </c:val>
                <c:extLst xmlns:c15="http://schemas.microsoft.com/office/drawing/2012/chart" xmlns:c16r2="http://schemas.microsoft.com/office/drawing/2015/06/chart">
                  <c:ext xmlns:c16="http://schemas.microsoft.com/office/drawing/2014/chart" uri="{C3380CC4-5D6E-409C-BE32-E72D297353CC}">
                    <c16:uniqueId val="{00000002-C16D-4B5C-864C-7CC8470434C5}"/>
                  </c:ext>
                </c:extLst>
              </c15:ser>
            </c15:filteredBarSeries>
          </c:ext>
        </c:extLst>
      </c:barChart>
      <c:catAx>
        <c:axId val="4848342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84832256"/>
        <c:crosses val="autoZero"/>
        <c:auto val="1"/>
        <c:lblAlgn val="ctr"/>
        <c:lblOffset val="100"/>
        <c:noMultiLvlLbl val="0"/>
      </c:catAx>
      <c:valAx>
        <c:axId val="484832256"/>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84834216"/>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accent1">
          <a:lumMod val="20000"/>
          <a:lumOff val="80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r>
              <a:rPr lang="en-US" sz="1200"/>
              <a:t>Number of people who received regular supply of hygiene items</a:t>
            </a:r>
          </a:p>
        </c:rich>
      </c:tx>
      <c:overlay val="0"/>
      <c:spPr>
        <a:noFill/>
        <a:ln>
          <a:noFill/>
        </a:ln>
        <a:effectLst/>
      </c:spPr>
      <c:txPr>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n-US"/>
        </a:p>
      </c:txPr>
    </c:title>
    <c:autoTitleDeleted val="0"/>
    <c:plotArea>
      <c:layout/>
      <c:barChart>
        <c:barDir val="bar"/>
        <c:grouping val="percentStacked"/>
        <c:varyColors val="0"/>
        <c:ser>
          <c:idx val="1"/>
          <c:order val="1"/>
          <c:tx>
            <c:strRef>
              <c:f>HRP!$D$78</c:f>
              <c:strCache>
                <c:ptCount val="1"/>
                <c:pt idx="0">
                  <c:v>Number of people who received regular supply of hygiene items(Reached)</c:v>
                </c:pt>
              </c:strCache>
            </c:strRef>
          </c:tx>
          <c:spPr>
            <a:solidFill>
              <a:schemeClr val="accent6">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HRP!$B$79:$B$81</c:f>
              <c:strCache>
                <c:ptCount val="3"/>
                <c:pt idx="0">
                  <c:v>Kachin</c:v>
                </c:pt>
                <c:pt idx="1">
                  <c:v>Rakhine</c:v>
                </c:pt>
                <c:pt idx="2">
                  <c:v>Shan (North)</c:v>
                </c:pt>
              </c:strCache>
            </c:strRef>
          </c:cat>
          <c:val>
            <c:numRef>
              <c:f>HRP!$D$79:$D$81</c:f>
              <c:numCache>
                <c:formatCode>_(* #,##0_);_(* \(#,##0\);_(* "-"??_);_(@_)</c:formatCode>
                <c:ptCount val="3"/>
                <c:pt idx="0">
                  <c:v>19340</c:v>
                </c:pt>
                <c:pt idx="1">
                  <c:v>99870</c:v>
                </c:pt>
                <c:pt idx="2">
                  <c:v>5550</c:v>
                </c:pt>
              </c:numCache>
            </c:numRef>
          </c:val>
          <c:extLst xmlns:c16r2="http://schemas.microsoft.com/office/drawing/2015/06/chart">
            <c:ext xmlns:c16="http://schemas.microsoft.com/office/drawing/2014/chart" uri="{C3380CC4-5D6E-409C-BE32-E72D297353CC}">
              <c16:uniqueId val="{00000001-7F50-42A4-B16D-44D06C465042}"/>
            </c:ext>
          </c:extLst>
        </c:ser>
        <c:ser>
          <c:idx val="2"/>
          <c:order val="2"/>
          <c:tx>
            <c:strRef>
              <c:f>HRP!$E$78</c:f>
              <c:strCache>
                <c:ptCount val="1"/>
                <c:pt idx="0">
                  <c:v>Number of people who received regular supply of hygiene items(Gap)</c:v>
                </c:pt>
              </c:strCache>
            </c:strRef>
          </c:tx>
          <c:spPr>
            <a:solidFill>
              <a:schemeClr val="accent6">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HRP!$B$79:$B$81</c:f>
              <c:strCache>
                <c:ptCount val="3"/>
                <c:pt idx="0">
                  <c:v>Kachin</c:v>
                </c:pt>
                <c:pt idx="1">
                  <c:v>Rakhine</c:v>
                </c:pt>
                <c:pt idx="2">
                  <c:v>Shan (North)</c:v>
                </c:pt>
              </c:strCache>
            </c:strRef>
          </c:cat>
          <c:val>
            <c:numRef>
              <c:f>HRP!$E$79:$E$81</c:f>
              <c:numCache>
                <c:formatCode>_(* #,##0_);_(* \(#,##0\);_(* "-"??_);_(@_)</c:formatCode>
                <c:ptCount val="3"/>
                <c:pt idx="0">
                  <c:v>97522</c:v>
                </c:pt>
                <c:pt idx="1">
                  <c:v>237561.93</c:v>
                </c:pt>
                <c:pt idx="2">
                  <c:v>14929</c:v>
                </c:pt>
              </c:numCache>
            </c:numRef>
          </c:val>
          <c:extLst xmlns:c16r2="http://schemas.microsoft.com/office/drawing/2015/06/chart">
            <c:ext xmlns:c16="http://schemas.microsoft.com/office/drawing/2014/chart" uri="{C3380CC4-5D6E-409C-BE32-E72D297353CC}">
              <c16:uniqueId val="{00000002-7F50-42A4-B16D-44D06C465042}"/>
            </c:ext>
          </c:extLst>
        </c:ser>
        <c:dLbls>
          <c:showLegendKey val="0"/>
          <c:showVal val="0"/>
          <c:showCatName val="0"/>
          <c:showSerName val="0"/>
          <c:showPercent val="0"/>
          <c:showBubbleSize val="0"/>
        </c:dLbls>
        <c:gapWidth val="150"/>
        <c:overlap val="100"/>
        <c:axId val="365208408"/>
        <c:axId val="365211544"/>
        <c:extLst xmlns:c16r2="http://schemas.microsoft.com/office/drawing/2015/06/chart">
          <c:ext xmlns:c15="http://schemas.microsoft.com/office/drawing/2012/chart" uri="{02D57815-91ED-43cb-92C2-25804820EDAC}">
            <c15:filteredBarSeries>
              <c15:ser>
                <c:idx val="0"/>
                <c:order val="0"/>
                <c:tx>
                  <c:strRef>
                    <c:extLst xmlns:c16r2="http://schemas.microsoft.com/office/drawing/2015/06/chart">
                      <c:ext uri="{02D57815-91ED-43cb-92C2-25804820EDAC}">
                        <c15:formulaRef>
                          <c15:sqref>HRP!$C$78</c15:sqref>
                        </c15:formulaRef>
                      </c:ext>
                    </c:extLst>
                    <c:strCache>
                      <c:ptCount val="1"/>
                      <c:pt idx="0">
                        <c:v>Number of people who received regular supply of hygiene items(Target)</c:v>
                      </c:pt>
                    </c:strCache>
                  </c:strRef>
                </c:tx>
                <c:spPr>
                  <a:gradFill rotWithShape="1">
                    <a:gsLst>
                      <a:gs pos="0">
                        <a:schemeClr val="accent6">
                          <a:shade val="65000"/>
                          <a:satMod val="103000"/>
                          <a:lumMod val="102000"/>
                          <a:tint val="94000"/>
                        </a:schemeClr>
                      </a:gs>
                      <a:gs pos="50000">
                        <a:schemeClr val="accent6">
                          <a:shade val="65000"/>
                          <a:satMod val="110000"/>
                          <a:lumMod val="100000"/>
                          <a:shade val="100000"/>
                        </a:schemeClr>
                      </a:gs>
                      <a:gs pos="100000">
                        <a:schemeClr val="accent6">
                          <a:shade val="65000"/>
                          <a:lumMod val="99000"/>
                          <a:satMod val="120000"/>
                          <a:shade val="78000"/>
                        </a:schemeClr>
                      </a:gs>
                    </a:gsLst>
                    <a:lin ang="5400000" scaled="0"/>
                  </a:gradFill>
                  <a:ln>
                    <a:noFill/>
                  </a:ln>
                  <a:effectLst/>
                </c:spPr>
                <c:invertIfNegative val="0"/>
                <c:cat>
                  <c:strRef>
                    <c:extLst xmlns:c16r2="http://schemas.microsoft.com/office/drawing/2015/06/chart">
                      <c:ext uri="{02D57815-91ED-43cb-92C2-25804820EDAC}">
                        <c15:formulaRef>
                          <c15:sqref>HRP!$B$79:$B$81</c15:sqref>
                        </c15:formulaRef>
                      </c:ext>
                    </c:extLst>
                    <c:strCache>
                      <c:ptCount val="3"/>
                      <c:pt idx="0">
                        <c:v>Kachin</c:v>
                      </c:pt>
                      <c:pt idx="1">
                        <c:v>Rakhine</c:v>
                      </c:pt>
                      <c:pt idx="2">
                        <c:v>Shan (North)</c:v>
                      </c:pt>
                    </c:strCache>
                  </c:strRef>
                </c:cat>
                <c:val>
                  <c:numRef>
                    <c:extLst xmlns:c16r2="http://schemas.microsoft.com/office/drawing/2015/06/chart">
                      <c:ext uri="{02D57815-91ED-43cb-92C2-25804820EDAC}">
                        <c15:formulaRef>
                          <c15:sqref>HRP!$C$79:$C$81</c15:sqref>
                        </c15:formulaRef>
                      </c:ext>
                    </c:extLst>
                    <c:numCache>
                      <c:formatCode>_(* #,##0_);_(* \(#,##0\);_(* "-"??_);_(@_)</c:formatCode>
                      <c:ptCount val="3"/>
                      <c:pt idx="0">
                        <c:v>116862</c:v>
                      </c:pt>
                      <c:pt idx="1">
                        <c:v>337431.93</c:v>
                      </c:pt>
                      <c:pt idx="2">
                        <c:v>20479</c:v>
                      </c:pt>
                    </c:numCache>
                  </c:numRef>
                </c:val>
                <c:extLst xmlns:c16r2="http://schemas.microsoft.com/office/drawing/2015/06/chart">
                  <c:ext xmlns:c16="http://schemas.microsoft.com/office/drawing/2014/chart" uri="{C3380CC4-5D6E-409C-BE32-E72D297353CC}">
                    <c16:uniqueId val="{00000000-7F50-42A4-B16D-44D06C465042}"/>
                  </c:ext>
                </c:extLst>
              </c15:ser>
            </c15:filteredBarSeries>
          </c:ext>
        </c:extLst>
      </c:barChart>
      <c:catAx>
        <c:axId val="365208408"/>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365211544"/>
        <c:crosses val="autoZero"/>
        <c:auto val="1"/>
        <c:lblAlgn val="ctr"/>
        <c:lblOffset val="100"/>
        <c:noMultiLvlLbl val="0"/>
      </c:catAx>
      <c:valAx>
        <c:axId val="365211544"/>
        <c:scaling>
          <c:orientation val="minMax"/>
        </c:scaling>
        <c:delete val="0"/>
        <c:axPos val="b"/>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36520840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r>
              <a:rPr lang="en-US" sz="1200" b="1"/>
              <a:t>Latrine</a:t>
            </a:r>
            <a:r>
              <a:rPr lang="en-US" sz="1200" b="1" baseline="0"/>
              <a:t> repaired and desludged</a:t>
            </a:r>
            <a:endParaRPr lang="en-US" sz="1200" b="1"/>
          </a:p>
        </c:rich>
      </c:tx>
      <c:layout>
        <c:manualLayout>
          <c:xMode val="edge"/>
          <c:yMode val="edge"/>
          <c:x val="0.19381153420296113"/>
          <c:y val="9.257946434396697E-3"/>
        </c:manualLayout>
      </c:layout>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2936185768361558"/>
          <c:y val="0.10454002389486261"/>
          <c:w val="0.8269872515935508"/>
          <c:h val="0.66112412471738524"/>
        </c:manualLayout>
      </c:layout>
      <c:barChart>
        <c:barDir val="col"/>
        <c:grouping val="clustered"/>
        <c:varyColors val="0"/>
        <c:ser>
          <c:idx val="0"/>
          <c:order val="0"/>
          <c:tx>
            <c:strRef>
              <c:f>Analysis!$C$96</c:f>
              <c:strCache>
                <c:ptCount val="1"/>
                <c:pt idx="0">
                  <c:v># latrines repairs</c:v>
                </c:pt>
              </c:strCache>
            </c:strRef>
          </c:tx>
          <c:spPr>
            <a:solidFill>
              <a:schemeClr val="accent2">
                <a:shade val="76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Analysis!$D$91:$E$91</c:f>
              <c:strCache>
                <c:ptCount val="2"/>
                <c:pt idx="0">
                  <c:v># in GCA (20:1)</c:v>
                </c:pt>
                <c:pt idx="1">
                  <c:v># in NGCA (20:1)</c:v>
                </c:pt>
              </c:strCache>
            </c:strRef>
          </c:cat>
          <c:val>
            <c:numRef>
              <c:f>Analysis!$D$96:$E$96</c:f>
              <c:numCache>
                <c:formatCode>_(* #,##0_);_(* \(#,##0\);_(* "-"??_);_(@_)</c:formatCode>
                <c:ptCount val="2"/>
                <c:pt idx="0">
                  <c:v>189</c:v>
                </c:pt>
                <c:pt idx="1">
                  <c:v>113</c:v>
                </c:pt>
              </c:numCache>
            </c:numRef>
          </c:val>
          <c:extLst xmlns:c16r2="http://schemas.microsoft.com/office/drawing/2015/06/chart">
            <c:ext xmlns:c16="http://schemas.microsoft.com/office/drawing/2014/chart" uri="{C3380CC4-5D6E-409C-BE32-E72D297353CC}">
              <c16:uniqueId val="{00000000-BE5C-460C-9416-9E341743CD67}"/>
            </c:ext>
          </c:extLst>
        </c:ser>
        <c:ser>
          <c:idx val="1"/>
          <c:order val="1"/>
          <c:tx>
            <c:strRef>
              <c:f>Analysis!$C$97</c:f>
              <c:strCache>
                <c:ptCount val="1"/>
                <c:pt idx="0">
                  <c:v># latrines desludged</c:v>
                </c:pt>
              </c:strCache>
            </c:strRef>
          </c:tx>
          <c:spPr>
            <a:solidFill>
              <a:schemeClr val="accent2">
                <a:tint val="77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dLblPos val="in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Analysis!$D$91:$E$91</c:f>
              <c:strCache>
                <c:ptCount val="2"/>
                <c:pt idx="0">
                  <c:v># in GCA (20:1)</c:v>
                </c:pt>
                <c:pt idx="1">
                  <c:v># in NGCA (20:1)</c:v>
                </c:pt>
              </c:strCache>
            </c:strRef>
          </c:cat>
          <c:val>
            <c:numRef>
              <c:f>Analysis!$D$97:$E$97</c:f>
              <c:numCache>
                <c:formatCode>_(* #,##0_);_(* \(#,##0\);_(* "-"??_);_(@_)</c:formatCode>
                <c:ptCount val="2"/>
                <c:pt idx="0">
                  <c:v>327</c:v>
                </c:pt>
                <c:pt idx="1">
                  <c:v>118</c:v>
                </c:pt>
              </c:numCache>
            </c:numRef>
          </c:val>
          <c:extLst xmlns:c16r2="http://schemas.microsoft.com/office/drawing/2015/06/chart">
            <c:ext xmlns:c16="http://schemas.microsoft.com/office/drawing/2014/chart" uri="{C3380CC4-5D6E-409C-BE32-E72D297353CC}">
              <c16:uniqueId val="{00000001-BE5C-460C-9416-9E341743CD67}"/>
            </c:ext>
          </c:extLst>
        </c:ser>
        <c:dLbls>
          <c:dLblPos val="inEnd"/>
          <c:showLegendKey val="0"/>
          <c:showVal val="1"/>
          <c:showCatName val="0"/>
          <c:showSerName val="0"/>
          <c:showPercent val="0"/>
          <c:showBubbleSize val="0"/>
        </c:dLbls>
        <c:gapWidth val="219"/>
        <c:overlap val="-27"/>
        <c:axId val="484844408"/>
        <c:axId val="484844800"/>
      </c:barChart>
      <c:catAx>
        <c:axId val="4848444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84844800"/>
        <c:crosses val="autoZero"/>
        <c:auto val="1"/>
        <c:lblAlgn val="ctr"/>
        <c:lblOffset val="100"/>
        <c:noMultiLvlLbl val="0"/>
      </c:catAx>
      <c:valAx>
        <c:axId val="484844800"/>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84844408"/>
        <c:crosses val="autoZero"/>
        <c:crossBetween val="between"/>
      </c:valAx>
      <c:spPr>
        <a:noFill/>
        <a:ln>
          <a:noFill/>
        </a:ln>
        <a:effectLst/>
      </c:spPr>
    </c:plotArea>
    <c:legend>
      <c:legendPos val="b"/>
      <c:layout>
        <c:manualLayout>
          <c:xMode val="edge"/>
          <c:yMode val="edge"/>
          <c:x val="5.6487633425753664E-2"/>
          <c:y val="0.87119116830826238"/>
          <c:w val="0.81162792150981122"/>
          <c:h val="0.1238307353157916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noFill/>
    <a:ln w="9525" cap="flat" cmpd="sng" algn="ctr">
      <a:solidFill>
        <a:schemeClr val="accent1">
          <a:lumMod val="20000"/>
          <a:lumOff val="80000"/>
        </a:schemeClr>
      </a:solidFill>
      <a:round/>
    </a:ln>
    <a:effectLst/>
  </c:spPr>
  <c:txPr>
    <a:bodyPr/>
    <a:lstStyle/>
    <a:p>
      <a:pPr>
        <a:defRPr/>
      </a:pPr>
      <a:endParaRPr lang="en-US"/>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n-US" sz="1200" b="1" i="0" baseline="0">
                <a:effectLst/>
              </a:rPr>
              <a:t>Number of ppl covered against 2018 HRP targets</a:t>
            </a:r>
            <a:endParaRPr lang="en-US" sz="1200">
              <a:effectLst/>
            </a:endParaRPr>
          </a:p>
          <a:p>
            <a:pPr>
              <a:defRPr/>
            </a:pPr>
            <a:r>
              <a:rPr lang="en-US" sz="1200" b="1" i="0" baseline="0">
                <a:effectLst/>
              </a:rPr>
              <a:t> (in IDP camps)</a:t>
            </a:r>
            <a:endParaRPr lang="en-US" sz="1200">
              <a:effectLst/>
            </a:endParaRPr>
          </a:p>
        </c:rich>
      </c:tx>
      <c:layout/>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n-US"/>
        </a:p>
      </c:txPr>
    </c:title>
    <c:autoTitleDeleted val="0"/>
    <c:plotArea>
      <c:layout/>
      <c:barChart>
        <c:barDir val="bar"/>
        <c:grouping val="percentStacked"/>
        <c:varyColors val="0"/>
        <c:ser>
          <c:idx val="0"/>
          <c:order val="0"/>
          <c:tx>
            <c:strRef>
              <c:f>HRP!$H$137</c:f>
              <c:strCache>
                <c:ptCount val="1"/>
                <c:pt idx="0">
                  <c:v>Coverage</c:v>
                </c:pt>
              </c:strCache>
            </c:strRef>
          </c:tx>
          <c:spPr>
            <a:solidFill>
              <a:srgbClr val="0070C0"/>
            </a:solidFill>
            <a:ln>
              <a:noFill/>
            </a:ln>
            <a:effectLst/>
          </c:spPr>
          <c:invertIfNegative val="0"/>
          <c:dPt>
            <c:idx val="0"/>
            <c:invertIfNegative val="0"/>
            <c:bubble3D val="0"/>
            <c:spPr>
              <a:solidFill>
                <a:schemeClr val="accent6">
                  <a:lumMod val="75000"/>
                </a:schemeClr>
              </a:solidFill>
              <a:ln>
                <a:noFill/>
              </a:ln>
              <a:effectLst/>
            </c:spPr>
            <c:extLst xmlns:c16r2="http://schemas.microsoft.com/office/drawing/2015/06/chart">
              <c:ext xmlns:c16="http://schemas.microsoft.com/office/drawing/2014/chart" uri="{C3380CC4-5D6E-409C-BE32-E72D297353CC}">
                <c16:uniqueId val="{00000001-FD32-408B-BEA6-80B3D1A1C8B5}"/>
              </c:ext>
            </c:extLst>
          </c:dPt>
          <c:dPt>
            <c:idx val="1"/>
            <c:invertIfNegative val="0"/>
            <c:bubble3D val="0"/>
            <c:spPr>
              <a:solidFill>
                <a:schemeClr val="accent6">
                  <a:lumMod val="75000"/>
                </a:schemeClr>
              </a:solidFill>
              <a:ln>
                <a:noFill/>
              </a:ln>
              <a:effectLst/>
            </c:spPr>
            <c:extLst xmlns:c16r2="http://schemas.microsoft.com/office/drawing/2015/06/chart">
              <c:ext xmlns:c16="http://schemas.microsoft.com/office/drawing/2014/chart" uri="{C3380CC4-5D6E-409C-BE32-E72D297353CC}">
                <c16:uniqueId val="{00000003-FD32-408B-BEA6-80B3D1A1C8B5}"/>
              </c:ext>
            </c:extLst>
          </c:dPt>
          <c:dPt>
            <c:idx val="2"/>
            <c:invertIfNegative val="0"/>
            <c:bubble3D val="0"/>
            <c:spPr>
              <a:solidFill>
                <a:schemeClr val="accent2">
                  <a:lumMod val="75000"/>
                </a:schemeClr>
              </a:solidFill>
              <a:ln>
                <a:noFill/>
              </a:ln>
              <a:effectLst/>
            </c:spPr>
            <c:extLst xmlns:c16r2="http://schemas.microsoft.com/office/drawing/2015/06/chart">
              <c:ext xmlns:c16="http://schemas.microsoft.com/office/drawing/2014/chart" uri="{C3380CC4-5D6E-409C-BE32-E72D297353CC}">
                <c16:uniqueId val="{00000005-FD32-408B-BEA6-80B3D1A1C8B5}"/>
              </c:ext>
            </c:extLst>
          </c:dPt>
          <c:dPt>
            <c:idx val="3"/>
            <c:invertIfNegative val="0"/>
            <c:bubble3D val="0"/>
            <c:spPr>
              <a:solidFill>
                <a:schemeClr val="accent2">
                  <a:lumMod val="75000"/>
                </a:schemeClr>
              </a:solidFill>
              <a:ln>
                <a:noFill/>
              </a:ln>
              <a:effectLst/>
            </c:spPr>
            <c:extLst xmlns:c16r2="http://schemas.microsoft.com/office/drawing/2015/06/chart">
              <c:ext xmlns:c16="http://schemas.microsoft.com/office/drawing/2014/chart" uri="{C3380CC4-5D6E-409C-BE32-E72D297353CC}">
                <c16:uniqueId val="{00000007-FD32-408B-BEA6-80B3D1A1C8B5}"/>
              </c:ext>
            </c:extLst>
          </c:dPt>
          <c:dLbls>
            <c:dLbl>
              <c:idx val="3"/>
              <c:layout>
                <c:manualLayout>
                  <c:x val="1.6660959959908683E-2"/>
                  <c:y val="-6.2369169004487385E-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FD32-408B-BEA6-80B3D1A1C8B5}"/>
                </c:ext>
                <c:ext xmlns:c15="http://schemas.microsoft.com/office/drawing/2012/chart" uri="{CE6537A1-D6FC-4f65-9D91-7224C49458BB}">
                  <c15:layout/>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a:solidFill>
                        <a:schemeClr val="tx2">
                          <a:lumMod val="35000"/>
                          <a:lumOff val="65000"/>
                        </a:schemeClr>
                      </a:solidFill>
                    </a:ln>
                    <a:effectLst/>
                  </c:spPr>
                </c15:leaderLines>
              </c:ext>
            </c:extLst>
          </c:dLbls>
          <c:cat>
            <c:strRef>
              <c:f>HRP!$F$138:$F$143</c:f>
              <c:strCache>
                <c:ptCount val="6"/>
                <c:pt idx="0">
                  <c:v>reached by regular dedicated hygiene promotion</c:v>
                </c:pt>
                <c:pt idx="1">
                  <c:v>received regular supply of hygiene items</c:v>
                </c:pt>
                <c:pt idx="2">
                  <c:v>with access to functional sanitation facilities</c:v>
                </c:pt>
                <c:pt idx="3">
                  <c:v>with access to continuous sanitation services</c:v>
                </c:pt>
                <c:pt idx="4">
                  <c:v>with equitable and safe access to sufficient quantity of drinking water</c:v>
                </c:pt>
                <c:pt idx="5">
                  <c:v>with equitable and safe access to sufficient quantity of domestic water</c:v>
                </c:pt>
              </c:strCache>
            </c:strRef>
          </c:cat>
          <c:val>
            <c:numRef>
              <c:f>HRP!$H$138:$H$143</c:f>
              <c:numCache>
                <c:formatCode>_(* #,##0_);_(* \(#,##0\);_(* "-"??_);_(@_)</c:formatCode>
                <c:ptCount val="6"/>
                <c:pt idx="0">
                  <c:v>55466</c:v>
                </c:pt>
                <c:pt idx="1">
                  <c:v>19340</c:v>
                </c:pt>
                <c:pt idx="2">
                  <c:v>71263</c:v>
                </c:pt>
                <c:pt idx="3">
                  <c:v>8845</c:v>
                </c:pt>
                <c:pt idx="4">
                  <c:v>77868.799999999988</c:v>
                </c:pt>
                <c:pt idx="5">
                  <c:v>77868.799999999988</c:v>
                </c:pt>
              </c:numCache>
            </c:numRef>
          </c:val>
          <c:extLst xmlns:c16r2="http://schemas.microsoft.com/office/drawing/2015/06/chart">
            <c:ext xmlns:c16="http://schemas.microsoft.com/office/drawing/2014/chart" uri="{C3380CC4-5D6E-409C-BE32-E72D297353CC}">
              <c16:uniqueId val="{00000008-FD32-408B-BEA6-80B3D1A1C8B5}"/>
            </c:ext>
          </c:extLst>
        </c:ser>
        <c:ser>
          <c:idx val="1"/>
          <c:order val="1"/>
          <c:tx>
            <c:strRef>
              <c:f>HRP!$I$137</c:f>
              <c:strCache>
                <c:ptCount val="1"/>
                <c:pt idx="0">
                  <c:v>Gap</c:v>
                </c:pt>
              </c:strCache>
            </c:strRef>
          </c:tx>
          <c:spPr>
            <a:solidFill>
              <a:schemeClr val="accent1">
                <a:lumMod val="40000"/>
                <a:lumOff val="60000"/>
              </a:schemeClr>
            </a:solidFill>
            <a:ln>
              <a:noFill/>
            </a:ln>
            <a:effectLst/>
          </c:spPr>
          <c:invertIfNegative val="0"/>
          <c:dPt>
            <c:idx val="0"/>
            <c:invertIfNegative val="0"/>
            <c:bubble3D val="0"/>
            <c:spPr>
              <a:solidFill>
                <a:schemeClr val="accent6">
                  <a:lumMod val="40000"/>
                  <a:lumOff val="60000"/>
                </a:schemeClr>
              </a:solidFill>
              <a:ln>
                <a:noFill/>
              </a:ln>
              <a:effectLst/>
            </c:spPr>
            <c:extLst xmlns:c16r2="http://schemas.microsoft.com/office/drawing/2015/06/chart">
              <c:ext xmlns:c16="http://schemas.microsoft.com/office/drawing/2014/chart" uri="{C3380CC4-5D6E-409C-BE32-E72D297353CC}">
                <c16:uniqueId val="{0000000A-FD32-408B-BEA6-80B3D1A1C8B5}"/>
              </c:ext>
            </c:extLst>
          </c:dPt>
          <c:dPt>
            <c:idx val="1"/>
            <c:invertIfNegative val="0"/>
            <c:bubble3D val="0"/>
            <c:spPr>
              <a:solidFill>
                <a:schemeClr val="accent6">
                  <a:lumMod val="40000"/>
                  <a:lumOff val="60000"/>
                </a:schemeClr>
              </a:solidFill>
              <a:ln>
                <a:noFill/>
              </a:ln>
              <a:effectLst/>
            </c:spPr>
            <c:extLst xmlns:c16r2="http://schemas.microsoft.com/office/drawing/2015/06/chart">
              <c:ext xmlns:c16="http://schemas.microsoft.com/office/drawing/2014/chart" uri="{C3380CC4-5D6E-409C-BE32-E72D297353CC}">
                <c16:uniqueId val="{0000000C-FD32-408B-BEA6-80B3D1A1C8B5}"/>
              </c:ext>
            </c:extLst>
          </c:dPt>
          <c:dPt>
            <c:idx val="2"/>
            <c:invertIfNegative val="0"/>
            <c:bubble3D val="0"/>
            <c:spPr>
              <a:solidFill>
                <a:schemeClr val="accent2">
                  <a:lumMod val="40000"/>
                  <a:lumOff val="60000"/>
                </a:schemeClr>
              </a:solidFill>
              <a:ln>
                <a:noFill/>
              </a:ln>
              <a:effectLst/>
            </c:spPr>
            <c:extLst xmlns:c16r2="http://schemas.microsoft.com/office/drawing/2015/06/chart">
              <c:ext xmlns:c16="http://schemas.microsoft.com/office/drawing/2014/chart" uri="{C3380CC4-5D6E-409C-BE32-E72D297353CC}">
                <c16:uniqueId val="{0000000E-FD32-408B-BEA6-80B3D1A1C8B5}"/>
              </c:ext>
            </c:extLst>
          </c:dPt>
          <c:dPt>
            <c:idx val="3"/>
            <c:invertIfNegative val="0"/>
            <c:bubble3D val="0"/>
            <c:spPr>
              <a:solidFill>
                <a:schemeClr val="accent2">
                  <a:lumMod val="40000"/>
                  <a:lumOff val="60000"/>
                </a:schemeClr>
              </a:solidFill>
              <a:ln>
                <a:noFill/>
              </a:ln>
              <a:effectLst/>
            </c:spPr>
            <c:extLst xmlns:c16r2="http://schemas.microsoft.com/office/drawing/2015/06/chart">
              <c:ext xmlns:c16="http://schemas.microsoft.com/office/drawing/2014/chart" uri="{C3380CC4-5D6E-409C-BE32-E72D297353CC}">
                <c16:uniqueId val="{00000010-FD32-408B-BEA6-80B3D1A1C8B5}"/>
              </c:ext>
            </c:extLst>
          </c:dPt>
          <c:dLbls>
            <c:dLbl>
              <c:idx val="4"/>
              <c:layout>
                <c:manualLayout>
                  <c:x val="1.6660959959908744E-3"/>
                  <c:y val="2.975463205820178E-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1-FD32-408B-BEA6-80B3D1A1C8B5}"/>
                </c:ext>
                <c:ext xmlns:c15="http://schemas.microsoft.com/office/drawing/2012/chart" uri="{CE6537A1-D6FC-4f65-9D91-7224C49458BB}">
                  <c15:layout/>
                </c:ext>
              </c:extLst>
            </c:dLbl>
            <c:dLbl>
              <c:idx val="5"/>
              <c:layout>
                <c:manualLayout>
                  <c:x val="1.2217896161754027E-16"/>
                  <c:y val="-2.9754632058202873E-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2-FD32-408B-BEA6-80B3D1A1C8B5}"/>
                </c:ext>
                <c:ext xmlns:c15="http://schemas.microsoft.com/office/drawing/2012/chart" uri="{CE6537A1-D6FC-4f65-9D91-7224C49458BB}">
                  <c15:layout/>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a:solidFill>
                        <a:schemeClr val="tx2">
                          <a:lumMod val="35000"/>
                          <a:lumOff val="65000"/>
                        </a:schemeClr>
                      </a:solidFill>
                    </a:ln>
                    <a:effectLst/>
                  </c:spPr>
                </c15:leaderLines>
              </c:ext>
            </c:extLst>
          </c:dLbls>
          <c:cat>
            <c:strRef>
              <c:f>HRP!$F$138:$F$143</c:f>
              <c:strCache>
                <c:ptCount val="6"/>
                <c:pt idx="0">
                  <c:v>reached by regular dedicated hygiene promotion</c:v>
                </c:pt>
                <c:pt idx="1">
                  <c:v>received regular supply of hygiene items</c:v>
                </c:pt>
                <c:pt idx="2">
                  <c:v>with access to functional sanitation facilities</c:v>
                </c:pt>
                <c:pt idx="3">
                  <c:v>with access to continuous sanitation services</c:v>
                </c:pt>
                <c:pt idx="4">
                  <c:v>with equitable and safe access to sufficient quantity of drinking water</c:v>
                </c:pt>
                <c:pt idx="5">
                  <c:v>with equitable and safe access to sufficient quantity of domestic water</c:v>
                </c:pt>
              </c:strCache>
            </c:strRef>
          </c:cat>
          <c:val>
            <c:numRef>
              <c:f>HRP!$I$138:$I$143</c:f>
              <c:numCache>
                <c:formatCode>_(* #,##0_);_(* \(#,##0\);_(* "-"??_);_(@_)</c:formatCode>
                <c:ptCount val="6"/>
                <c:pt idx="0">
                  <c:v>32381</c:v>
                </c:pt>
                <c:pt idx="1">
                  <c:v>68507</c:v>
                </c:pt>
                <c:pt idx="2">
                  <c:v>16584</c:v>
                </c:pt>
                <c:pt idx="3">
                  <c:v>13116.75</c:v>
                </c:pt>
                <c:pt idx="4">
                  <c:v>9978.2000000000116</c:v>
                </c:pt>
                <c:pt idx="5">
                  <c:v>9978.2000000000116</c:v>
                </c:pt>
              </c:numCache>
            </c:numRef>
          </c:val>
          <c:extLst xmlns:c16r2="http://schemas.microsoft.com/office/drawing/2015/06/chart">
            <c:ext xmlns:c16="http://schemas.microsoft.com/office/drawing/2014/chart" uri="{C3380CC4-5D6E-409C-BE32-E72D297353CC}">
              <c16:uniqueId val="{00000013-FD32-408B-BEA6-80B3D1A1C8B5}"/>
            </c:ext>
          </c:extLst>
        </c:ser>
        <c:dLbls>
          <c:showLegendKey val="0"/>
          <c:showVal val="0"/>
          <c:showCatName val="0"/>
          <c:showSerName val="0"/>
          <c:showPercent val="0"/>
          <c:showBubbleSize val="0"/>
        </c:dLbls>
        <c:gapWidth val="150"/>
        <c:overlap val="100"/>
        <c:axId val="484846368"/>
        <c:axId val="484844016"/>
      </c:barChart>
      <c:catAx>
        <c:axId val="484846368"/>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2"/>
                </a:solidFill>
                <a:latin typeface="+mn-lt"/>
                <a:ea typeface="+mn-ea"/>
                <a:cs typeface="+mn-cs"/>
              </a:defRPr>
            </a:pPr>
            <a:endParaRPr lang="en-US"/>
          </a:p>
        </c:txPr>
        <c:crossAx val="484844016"/>
        <c:crosses val="autoZero"/>
        <c:auto val="1"/>
        <c:lblAlgn val="ctr"/>
        <c:lblOffset val="100"/>
        <c:noMultiLvlLbl val="0"/>
      </c:catAx>
      <c:valAx>
        <c:axId val="484844016"/>
        <c:scaling>
          <c:orientation val="minMax"/>
          <c:max val="1"/>
        </c:scaling>
        <c:delete val="0"/>
        <c:axPos val="b"/>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484846368"/>
        <c:crosses val="autoZero"/>
        <c:crossBetween val="between"/>
        <c:majorUnit val="0.2"/>
      </c:valAx>
      <c:spPr>
        <a:noFill/>
        <a:ln>
          <a:noFill/>
        </a:ln>
        <a:effectLst/>
      </c:spPr>
    </c:plotArea>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r>
              <a:rPr lang="en-US" sz="1200"/>
              <a:t>Latrine</a:t>
            </a:r>
            <a:r>
              <a:rPr lang="en-US" sz="1200" baseline="0"/>
              <a:t> Functionality</a:t>
            </a:r>
            <a:endParaRPr lang="en-US" sz="1200"/>
          </a:p>
        </c:rich>
      </c:tx>
      <c:layout/>
      <c:overlay val="0"/>
      <c:spPr>
        <a:noFill/>
        <a:ln>
          <a:noFill/>
        </a:ln>
        <a:effectLst/>
      </c:spPr>
    </c:title>
    <c:autoTitleDeleted val="0"/>
    <c:plotArea>
      <c:layout>
        <c:manualLayout>
          <c:layoutTarget val="inner"/>
          <c:xMode val="edge"/>
          <c:yMode val="edge"/>
          <c:x val="0.22809930008748908"/>
          <c:y val="0.22236296549887785"/>
          <c:w val="0.38808398950131229"/>
          <c:h val="0.71010081436328043"/>
        </c:manualLayout>
      </c:layout>
      <c:pieChart>
        <c:varyColors val="1"/>
        <c:ser>
          <c:idx val="1"/>
          <c:order val="0"/>
          <c:dPt>
            <c:idx val="0"/>
            <c:bubble3D val="0"/>
            <c:spPr>
              <a:solidFill>
                <a:schemeClr val="accent2">
                  <a:lumMod val="75000"/>
                </a:schemeClr>
              </a:solidFill>
            </c:spPr>
            <c:extLst xmlns:c16r2="http://schemas.microsoft.com/office/drawing/2015/06/chart">
              <c:ext xmlns:c16="http://schemas.microsoft.com/office/drawing/2014/chart" uri="{C3380CC4-5D6E-409C-BE32-E72D297353CC}">
                <c16:uniqueId val="{0000000F-D4AE-42C3-98C8-A49BC4C43D3C}"/>
              </c:ext>
            </c:extLst>
          </c:dPt>
          <c:dPt>
            <c:idx val="1"/>
            <c:bubble3D val="0"/>
            <c:spPr>
              <a:solidFill>
                <a:schemeClr val="accent2">
                  <a:lumMod val="40000"/>
                  <a:lumOff val="60000"/>
                </a:schemeClr>
              </a:solidFill>
            </c:spPr>
            <c:extLst xmlns:c16r2="http://schemas.microsoft.com/office/drawing/2015/06/chart">
              <c:ext xmlns:c16="http://schemas.microsoft.com/office/drawing/2014/chart" uri="{C3380CC4-5D6E-409C-BE32-E72D297353CC}">
                <c16:uniqueId val="{00000010-D4AE-42C3-98C8-A49BC4C43D3C}"/>
              </c:ext>
            </c:extLst>
          </c:dPt>
          <c:dPt>
            <c:idx val="2"/>
            <c:bubble3D val="0"/>
            <c:extLst xmlns:c16r2="http://schemas.microsoft.com/office/drawing/2015/06/chart">
              <c:ext xmlns:c16="http://schemas.microsoft.com/office/drawing/2014/chart" uri="{C3380CC4-5D6E-409C-BE32-E72D297353CC}">
                <c16:uniqueId val="{00000011-D4AE-42C3-98C8-A49BC4C43D3C}"/>
              </c:ext>
            </c:extLst>
          </c:dPt>
          <c:dLbls>
            <c:dLbl>
              <c:idx val="0"/>
              <c:numFmt formatCode="0%" sourceLinked="0"/>
              <c:spPr>
                <a:noFill/>
                <a:ln>
                  <a:noFill/>
                </a:ln>
                <a:effectLst/>
              </c:spPr>
              <c:txPr>
                <a:bodyPr wrap="square" lIns="38100" tIns="19050" rIns="38100" bIns="19050" anchor="ctr">
                  <a:spAutoFit/>
                </a:bodyPr>
                <a:lstStyle/>
                <a:p>
                  <a:pPr>
                    <a:defRPr sz="1000">
                      <a:solidFill>
                        <a:schemeClr val="bg1"/>
                      </a:solidFill>
                    </a:defRPr>
                  </a:pPr>
                  <a:endParaRPr lang="en-US"/>
                </a:p>
              </c:txPr>
              <c:dLblPos val="bestFit"/>
              <c:showLegendKey val="0"/>
              <c:showVal val="0"/>
              <c:showCatName val="0"/>
              <c:showSerName val="0"/>
              <c:showPercent val="1"/>
              <c:showBubbleSize val="0"/>
            </c:dLbl>
            <c:numFmt formatCode="0%" sourceLinked="0"/>
            <c:spPr>
              <a:noFill/>
              <a:ln>
                <a:noFill/>
              </a:ln>
              <a:effectLst/>
            </c:spPr>
            <c:txPr>
              <a:bodyPr wrap="square" lIns="38100" tIns="19050" rIns="38100" bIns="19050" anchor="ctr">
                <a:spAutoFit/>
              </a:bodyPr>
              <a:lstStyle/>
              <a:p>
                <a:pPr>
                  <a:defRPr sz="1000"/>
                </a:pPr>
                <a:endParaRPr lang="en-US"/>
              </a:p>
            </c:txPr>
            <c:dLblPos val="bestFit"/>
            <c:showLegendKey val="0"/>
            <c:showVal val="0"/>
            <c:showCatName val="0"/>
            <c:showSerName val="0"/>
            <c:showPercent val="1"/>
            <c:showBubbleSize val="0"/>
            <c:showLeaderLines val="1"/>
            <c:extLst xmlns:c16r2="http://schemas.microsoft.com/office/drawing/2015/06/chart">
              <c:ext xmlns:c15="http://schemas.microsoft.com/office/drawing/2012/chart" uri="{CE6537A1-D6FC-4f65-9D91-7224C49458BB}">
                <c15:layout/>
              </c:ext>
            </c:extLst>
          </c:dLbls>
          <c:cat>
            <c:strRef>
              <c:f>Analysis!$G$92:$G$94</c:f>
              <c:strCache>
                <c:ptCount val="3"/>
                <c:pt idx="0">
                  <c:v>Functioning</c:v>
                </c:pt>
                <c:pt idx="1">
                  <c:v>Reparis</c:v>
                </c:pt>
                <c:pt idx="2">
                  <c:v>Desludging</c:v>
                </c:pt>
              </c:strCache>
            </c:strRef>
          </c:cat>
          <c:val>
            <c:numRef>
              <c:f>Analysis!$H$92:$H$94</c:f>
              <c:numCache>
                <c:formatCode>_(* #,##0_);_(* \(#,##0\);_(* "-"??_);_(@_)</c:formatCode>
                <c:ptCount val="3"/>
                <c:pt idx="0" formatCode="General">
                  <c:v>5488</c:v>
                </c:pt>
                <c:pt idx="1">
                  <c:v>302</c:v>
                </c:pt>
                <c:pt idx="2" formatCode="General">
                  <c:v>445</c:v>
                </c:pt>
              </c:numCache>
            </c:numRef>
          </c:val>
          <c:extLst xmlns:c16r2="http://schemas.microsoft.com/office/drawing/2015/06/chart">
            <c:ext xmlns:c16="http://schemas.microsoft.com/office/drawing/2014/chart" uri="{C3380CC4-5D6E-409C-BE32-E72D297353CC}">
              <c16:uniqueId val="{0000000E-D4AE-42C3-98C8-A49BC4C43D3C}"/>
            </c:ext>
          </c:extLst>
        </c:ser>
        <c:ser>
          <c:idx val="0"/>
          <c:order val="1"/>
          <c:dPt>
            <c:idx val="0"/>
            <c:bubble3D val="0"/>
            <c:spPr>
              <a:solidFill>
                <a:schemeClr val="accent2">
                  <a:lumMod val="75000"/>
                </a:schemeClr>
              </a:solidFill>
              <a:ln>
                <a:noFill/>
              </a:ln>
              <a:effectLst/>
            </c:spPr>
            <c:extLst xmlns:c16r2="http://schemas.microsoft.com/office/drawing/2015/06/chart">
              <c:ext xmlns:c16="http://schemas.microsoft.com/office/drawing/2014/chart" uri="{C3380CC4-5D6E-409C-BE32-E72D297353CC}">
                <c16:uniqueId val="{00000008-D4AE-42C3-98C8-A49BC4C43D3C}"/>
              </c:ext>
            </c:extLst>
          </c:dPt>
          <c:dPt>
            <c:idx val="1"/>
            <c:bubble3D val="0"/>
            <c:spPr>
              <a:solidFill>
                <a:schemeClr val="accent2">
                  <a:lumMod val="40000"/>
                  <a:lumOff val="60000"/>
                </a:schemeClr>
              </a:solidFill>
              <a:ln>
                <a:noFill/>
              </a:ln>
              <a:effectLst/>
            </c:spPr>
            <c:extLst xmlns:c16r2="http://schemas.microsoft.com/office/drawing/2015/06/chart">
              <c:ext xmlns:c16="http://schemas.microsoft.com/office/drawing/2014/chart" uri="{C3380CC4-5D6E-409C-BE32-E72D297353CC}">
                <c16:uniqueId val="{0000000A-D4AE-42C3-98C8-A49BC4C43D3C}"/>
              </c:ext>
            </c:extLst>
          </c:dPt>
          <c:dPt>
            <c:idx val="2"/>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c:spPr>
            <c:extLst xmlns:c16r2="http://schemas.microsoft.com/office/drawing/2015/06/chart">
              <c:ext xmlns:c16="http://schemas.microsoft.com/office/drawing/2014/chart" uri="{C3380CC4-5D6E-409C-BE32-E72D297353CC}">
                <c16:uniqueId val="{0000000C-D4AE-42C3-98C8-A49BC4C43D3C}"/>
              </c:ext>
            </c:extLst>
          </c:dPt>
          <c:dLbls>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en-US"/>
                </a:p>
              </c:txPr>
              <c:dLblPos val="bestFit"/>
              <c:showLegendKey val="0"/>
              <c:showVal val="0"/>
              <c:showCatName val="0"/>
              <c:showSerName val="0"/>
              <c:showPercent val="1"/>
              <c:showBubbleSize val="0"/>
            </c:dLbl>
            <c:dLbl>
              <c:idx val="2"/>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en-US"/>
                </a:p>
              </c:txPr>
              <c:dLblPos val="bestFit"/>
              <c:showLegendKey val="0"/>
              <c:showVal val="0"/>
              <c:showCatName val="0"/>
              <c:showSerName val="0"/>
              <c:showPercent val="1"/>
              <c:showBubbleSize val="0"/>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2"/>
                    </a:solidFill>
                    <a:latin typeface="+mn-lt"/>
                    <a:ea typeface="+mn-ea"/>
                    <a:cs typeface="+mn-cs"/>
                  </a:defRPr>
                </a:pPr>
                <a:endParaRPr lang="en-US"/>
              </a:p>
            </c:txPr>
            <c:dLblPos val="bestFit"/>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xmlns:c16r2="http://schemas.microsoft.com/office/drawing/2015/06/chart">
              <c:ext xmlns:c15="http://schemas.microsoft.com/office/drawing/2012/chart" uri="{CE6537A1-D6FC-4f65-9D91-7224C49458BB}"/>
            </c:extLst>
          </c:dLbls>
          <c:cat>
            <c:strRef>
              <c:f>Analysis!$G$92:$G$94</c:f>
              <c:strCache>
                <c:ptCount val="3"/>
                <c:pt idx="0">
                  <c:v>Functioning</c:v>
                </c:pt>
                <c:pt idx="1">
                  <c:v>Reparis</c:v>
                </c:pt>
                <c:pt idx="2">
                  <c:v>Desludging</c:v>
                </c:pt>
              </c:strCache>
            </c:strRef>
          </c:cat>
          <c:val>
            <c:numRef>
              <c:f>Analysis!$H$92:$H$94</c:f>
              <c:numCache>
                <c:formatCode>_(* #,##0_);_(* \(#,##0\);_(* "-"??_);_(@_)</c:formatCode>
                <c:ptCount val="3"/>
                <c:pt idx="0" formatCode="General">
                  <c:v>5488</c:v>
                </c:pt>
                <c:pt idx="1">
                  <c:v>302</c:v>
                </c:pt>
                <c:pt idx="2" formatCode="General">
                  <c:v>445</c:v>
                </c:pt>
              </c:numCache>
            </c:numRef>
          </c:val>
          <c:extLst xmlns:c16r2="http://schemas.microsoft.com/office/drawing/2015/06/chart">
            <c:ext xmlns:c16="http://schemas.microsoft.com/office/drawing/2014/chart" uri="{C3380CC4-5D6E-409C-BE32-E72D297353CC}">
              <c16:uniqueId val="{0000000D-D4AE-42C3-98C8-A49BC4C43D3C}"/>
            </c:ext>
          </c:extLst>
        </c:ser>
        <c:dLbls>
          <c:dLblPos val="bestFit"/>
          <c:showLegendKey val="0"/>
          <c:showVal val="1"/>
          <c:showCatName val="0"/>
          <c:showSerName val="0"/>
          <c:showPercent val="0"/>
          <c:showBubbleSize val="0"/>
          <c:showLeaderLines val="1"/>
        </c:dLbls>
        <c:firstSliceAng val="0"/>
      </c:pieChart>
      <c:spPr>
        <a:noFill/>
        <a:ln>
          <a:noFill/>
        </a:ln>
        <a:effectLst/>
      </c:spPr>
    </c:plotArea>
    <c:legend>
      <c:legendPos val="r"/>
      <c:layout>
        <c:manualLayout>
          <c:xMode val="edge"/>
          <c:yMode val="edge"/>
          <c:x val="0.71170291213598302"/>
          <c:y val="0.33213250689701518"/>
          <c:w val="0.25533027121609803"/>
          <c:h val="0.3470460371378156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showDLblsOverMax val="0"/>
  </c:chart>
  <c:spPr>
    <a:ln>
      <a:solidFill>
        <a:schemeClr val="accent1">
          <a:lumMod val="20000"/>
          <a:lumOff val="80000"/>
        </a:schemeClr>
      </a:solidFill>
    </a:ln>
  </c:spPr>
  <c:txPr>
    <a:bodyPr/>
    <a:lstStyle/>
    <a:p>
      <a:pPr>
        <a:defRPr/>
      </a:pPr>
      <a:endParaRPr lang="en-US"/>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r>
              <a:rPr lang="en-US" sz="1200" b="1" i="0" baseline="0">
                <a:effectLst/>
              </a:rPr>
              <a:t>Funding Received/Gap as of 2018-Q1 (US$)</a:t>
            </a:r>
            <a:endParaRPr lang="en-US" sz="1200">
              <a:effectLst/>
            </a:endParaRPr>
          </a:p>
        </c:rich>
      </c:tx>
      <c:layout>
        <c:manualLayout>
          <c:xMode val="edge"/>
          <c:yMode val="edge"/>
          <c:x val="0.12277489704030899"/>
          <c:y val="4.6430939729186375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6.3155235845778909E-2"/>
          <c:y val="0.12570345741369923"/>
          <c:w val="0.85757010831834568"/>
          <c:h val="0.60861019088821189"/>
        </c:manualLayout>
      </c:layout>
      <c:barChart>
        <c:barDir val="bar"/>
        <c:grouping val="percentStacked"/>
        <c:varyColors val="0"/>
        <c:ser>
          <c:idx val="1"/>
          <c:order val="1"/>
          <c:tx>
            <c:strRef>
              <c:f>[8]Fund_Analysis_Rakhine!$C$72</c:f>
              <c:strCache>
                <c:ptCount val="1"/>
                <c:pt idx="0">
                  <c:v>Approximate Fund 2018</c:v>
                </c:pt>
              </c:strCache>
            </c:strRef>
          </c:tx>
          <c:spPr>
            <a:gradFill rotWithShape="1">
              <a:gsLst>
                <a:gs pos="0">
                  <a:schemeClr val="accent3">
                    <a:shade val="86000"/>
                    <a:satMod val="103000"/>
                    <a:lumMod val="102000"/>
                    <a:tint val="94000"/>
                  </a:schemeClr>
                </a:gs>
                <a:gs pos="50000">
                  <a:schemeClr val="accent3">
                    <a:shade val="86000"/>
                    <a:satMod val="110000"/>
                    <a:lumMod val="100000"/>
                    <a:shade val="100000"/>
                  </a:schemeClr>
                </a:gs>
                <a:gs pos="100000">
                  <a:schemeClr val="accent3">
                    <a:shade val="86000"/>
                    <a:lumMod val="99000"/>
                    <a:satMod val="120000"/>
                    <a:shade val="78000"/>
                  </a:schemeClr>
                </a:gs>
              </a:gsLst>
              <a:lin ang="5400000" scaled="0"/>
            </a:gradFill>
            <a:ln>
              <a:noFill/>
            </a:ln>
            <a:effectLst/>
          </c:spPr>
          <c:invertIfNegative val="0"/>
          <c:dLbls>
            <c:numFmt formatCode="&quot;$&quot;#,##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a:solidFill>
                        <a:schemeClr val="tx2">
                          <a:lumMod val="35000"/>
                          <a:lumOff val="65000"/>
                        </a:schemeClr>
                      </a:solidFill>
                    </a:ln>
                    <a:effectLst/>
                  </c:spPr>
                </c15:leaderLines>
              </c:ext>
            </c:extLst>
          </c:dLbls>
          <c:cat>
            <c:strRef>
              <c:extLst>
                <c:ext xmlns:c15="http://schemas.microsoft.com/office/drawing/2012/chart" uri="{02D57815-91ED-43cb-92C2-25804820EDAC}">
                  <c15:fullRef>
                    <c15:sqref>[8]Fund_Analysis_Rakhine!$A$73:$A$75</c15:sqref>
                  </c15:fullRef>
                </c:ext>
              </c:extLst>
              <c:f>[8]Fund_Analysis_Rakhine!$A$73</c:f>
              <c:strCache>
                <c:ptCount val="1"/>
                <c:pt idx="0">
                  <c:v>Kachin/Shan</c:v>
                </c:pt>
              </c:strCache>
            </c:strRef>
          </c:cat>
          <c:val>
            <c:numRef>
              <c:extLst>
                <c:ext xmlns:c15="http://schemas.microsoft.com/office/drawing/2012/chart" uri="{02D57815-91ED-43cb-92C2-25804820EDAC}">
                  <c15:fullRef>
                    <c15:sqref>[8]Fund_Analysis_Rakhine!$C$73:$C$75</c15:sqref>
                  </c15:fullRef>
                </c:ext>
              </c:extLst>
              <c:f>[8]Fund_Analysis_Rakhine!$C$73</c:f>
              <c:numCache>
                <c:formatCode>General</c:formatCode>
                <c:ptCount val="1"/>
                <c:pt idx="0">
                  <c:v>1944515.5121868772</c:v>
                </c:pt>
              </c:numCache>
            </c:numRef>
          </c:val>
          <c:extLst xmlns:c16r2="http://schemas.microsoft.com/office/drawing/2015/06/chart">
            <c:ext xmlns:c16="http://schemas.microsoft.com/office/drawing/2014/chart" uri="{C3380CC4-5D6E-409C-BE32-E72D297353CC}">
              <c16:uniqueId val="{00000000-AC93-4358-AE24-FEEE9B09E622}"/>
            </c:ext>
          </c:extLst>
        </c:ser>
        <c:ser>
          <c:idx val="2"/>
          <c:order val="2"/>
          <c:tx>
            <c:strRef>
              <c:f>[8]Fund_Analysis_Rakhine!$D$72</c:f>
              <c:strCache>
                <c:ptCount val="1"/>
                <c:pt idx="0">
                  <c:v>Gap</c:v>
                </c:pt>
              </c:strCache>
            </c:strRef>
          </c:tx>
          <c:spPr>
            <a:gradFill rotWithShape="1">
              <a:gsLst>
                <a:gs pos="0">
                  <a:schemeClr val="accent3">
                    <a:tint val="86000"/>
                    <a:satMod val="103000"/>
                    <a:lumMod val="102000"/>
                    <a:tint val="94000"/>
                  </a:schemeClr>
                </a:gs>
                <a:gs pos="50000">
                  <a:schemeClr val="accent3">
                    <a:tint val="86000"/>
                    <a:satMod val="110000"/>
                    <a:lumMod val="100000"/>
                    <a:shade val="100000"/>
                  </a:schemeClr>
                </a:gs>
                <a:gs pos="100000">
                  <a:schemeClr val="accent3">
                    <a:tint val="86000"/>
                    <a:lumMod val="99000"/>
                    <a:satMod val="120000"/>
                    <a:shade val="78000"/>
                  </a:schemeClr>
                </a:gs>
              </a:gsLst>
              <a:lin ang="5400000" scaled="0"/>
            </a:gradFill>
            <a:ln>
              <a:noFill/>
            </a:ln>
            <a:effectLst/>
          </c:spPr>
          <c:invertIfNegative val="0"/>
          <c:dLbls>
            <c:numFmt formatCode="&quot;$&quot;#,##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a:solidFill>
                        <a:schemeClr val="tx2">
                          <a:lumMod val="35000"/>
                          <a:lumOff val="65000"/>
                        </a:schemeClr>
                      </a:solidFill>
                    </a:ln>
                    <a:effectLst/>
                  </c:spPr>
                </c15:leaderLines>
              </c:ext>
            </c:extLst>
          </c:dLbls>
          <c:cat>
            <c:strRef>
              <c:extLst>
                <c:ext xmlns:c15="http://schemas.microsoft.com/office/drawing/2012/chart" uri="{02D57815-91ED-43cb-92C2-25804820EDAC}">
                  <c15:fullRef>
                    <c15:sqref>[8]Fund_Analysis_Rakhine!$A$73:$A$75</c15:sqref>
                  </c15:fullRef>
                </c:ext>
              </c:extLst>
              <c:f>[8]Fund_Analysis_Rakhine!$A$73</c:f>
              <c:strCache>
                <c:ptCount val="1"/>
                <c:pt idx="0">
                  <c:v>Kachin/Shan</c:v>
                </c:pt>
              </c:strCache>
            </c:strRef>
          </c:cat>
          <c:val>
            <c:numRef>
              <c:extLst>
                <c:ext xmlns:c15="http://schemas.microsoft.com/office/drawing/2012/chart" uri="{02D57815-91ED-43cb-92C2-25804820EDAC}">
                  <c15:fullRef>
                    <c15:sqref>[8]Fund_Analysis_Rakhine!$D$73:$D$75</c15:sqref>
                  </c15:fullRef>
                </c:ext>
              </c:extLst>
              <c:f>[8]Fund_Analysis_Rakhine!$D$73</c:f>
              <c:numCache>
                <c:formatCode>General</c:formatCode>
                <c:ptCount val="1"/>
                <c:pt idx="0">
                  <c:v>7755484.4878131226</c:v>
                </c:pt>
              </c:numCache>
            </c:numRef>
          </c:val>
          <c:extLst xmlns:c16r2="http://schemas.microsoft.com/office/drawing/2015/06/chart">
            <c:ext xmlns:c16="http://schemas.microsoft.com/office/drawing/2014/chart" uri="{C3380CC4-5D6E-409C-BE32-E72D297353CC}">
              <c16:uniqueId val="{00000001-AC93-4358-AE24-FEEE9B09E622}"/>
            </c:ext>
          </c:extLst>
        </c:ser>
        <c:dLbls>
          <c:dLblPos val="ctr"/>
          <c:showLegendKey val="0"/>
          <c:showVal val="1"/>
          <c:showCatName val="0"/>
          <c:showSerName val="0"/>
          <c:showPercent val="0"/>
          <c:showBubbleSize val="0"/>
        </c:dLbls>
        <c:gapWidth val="150"/>
        <c:overlap val="100"/>
        <c:axId val="484845584"/>
        <c:axId val="486304128"/>
        <c:extLst xmlns:c16r2="http://schemas.microsoft.com/office/drawing/2015/06/chart">
          <c:ext xmlns:c15="http://schemas.microsoft.com/office/drawing/2012/chart" uri="{02D57815-91ED-43cb-92C2-25804820EDAC}">
            <c15:filteredBarSeries>
              <c15:ser>
                <c:idx val="0"/>
                <c:order val="0"/>
                <c:tx>
                  <c:strRef>
                    <c:extLst xmlns:c16r2="http://schemas.microsoft.com/office/drawing/2015/06/chart">
                      <c:ext uri="{02D57815-91ED-43cb-92C2-25804820EDAC}">
                        <c15:formulaRef>
                          <c15:sqref>[8]Fund_Analysis_Rakhine!$B$72</c15:sqref>
                        </c15:formulaRef>
                      </c:ext>
                    </c:extLst>
                    <c:strCache>
                      <c:ptCount val="1"/>
                      <c:pt idx="0">
                        <c:v>Funding requirements</c:v>
                      </c:pt>
                    </c:strCache>
                  </c:strRef>
                </c:tx>
                <c:spPr>
                  <a:gradFill rotWithShape="1">
                    <a:gsLst>
                      <a:gs pos="0">
                        <a:schemeClr val="accent3">
                          <a:shade val="58000"/>
                          <a:satMod val="103000"/>
                          <a:lumMod val="102000"/>
                          <a:tint val="94000"/>
                        </a:schemeClr>
                      </a:gs>
                      <a:gs pos="50000">
                        <a:schemeClr val="accent3">
                          <a:shade val="58000"/>
                          <a:satMod val="110000"/>
                          <a:lumMod val="100000"/>
                          <a:shade val="100000"/>
                        </a:schemeClr>
                      </a:gs>
                      <a:gs pos="100000">
                        <a:schemeClr val="accent3">
                          <a:shade val="58000"/>
                          <a:lumMod val="99000"/>
                          <a:satMod val="120000"/>
                          <a:shade val="78000"/>
                        </a:schemeClr>
                      </a:gs>
                    </a:gsLst>
                    <a:lin ang="5400000" scaled="0"/>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showLeaderLines val="0"/>
                  <c:extLst xmlns:c16r2="http://schemas.microsoft.com/office/drawing/2015/06/chart">
                    <c:ext uri="{CE6537A1-D6FC-4f65-9D91-7224C49458BB}">
                      <c15:showLeaderLines val="1"/>
                      <c15:leaderLines>
                        <c:spPr>
                          <a:ln w="9525">
                            <a:solidFill>
                              <a:schemeClr val="tx2">
                                <a:lumMod val="35000"/>
                                <a:lumOff val="65000"/>
                              </a:schemeClr>
                            </a:solidFill>
                          </a:ln>
                          <a:effectLst/>
                        </c:spPr>
                      </c15:leaderLines>
                    </c:ext>
                  </c:extLst>
                </c:dLbls>
                <c:cat>
                  <c:strRef>
                    <c:extLst>
                      <c:ext uri="{02D57815-91ED-43cb-92C2-25804820EDAC}">
                        <c15:fullRef>
                          <c15:sqref>[8]Fund_Analysis_Rakhine!$A$73:$A$75</c15:sqref>
                        </c15:fullRef>
                        <c15:formulaRef>
                          <c15:sqref>[8]Fund_Analysis_Rakhine!$A$73</c15:sqref>
                        </c15:formulaRef>
                      </c:ext>
                    </c:extLst>
                    <c:strCache>
                      <c:ptCount val="1"/>
                      <c:pt idx="0">
                        <c:v>Kachin/Shan</c:v>
                      </c:pt>
                    </c:strCache>
                  </c:strRef>
                </c:cat>
                <c:val>
                  <c:numRef>
                    <c:extLst>
                      <c:ext uri="{02D57815-91ED-43cb-92C2-25804820EDAC}">
                        <c15:fullRef>
                          <c15:sqref>[8]Fund_Analysis_Rakhine!$B$73:$B$75</c15:sqref>
                        </c15:fullRef>
                        <c15:formulaRef>
                          <c15:sqref>[8]Fund_Analysis_Rakhine!$B$73</c15:sqref>
                        </c15:formulaRef>
                      </c:ext>
                    </c:extLst>
                    <c:numCache>
                      <c:formatCode>General</c:formatCode>
                      <c:ptCount val="1"/>
                      <c:pt idx="0">
                        <c:v>9700000</c:v>
                      </c:pt>
                    </c:numCache>
                  </c:numRef>
                </c:val>
                <c:extLst xmlns:c16r2="http://schemas.microsoft.com/office/drawing/2015/06/chart">
                  <c:ext xmlns:c16="http://schemas.microsoft.com/office/drawing/2014/chart" uri="{C3380CC4-5D6E-409C-BE32-E72D297353CC}">
                    <c16:uniqueId val="{00000002-AC93-4358-AE24-FEEE9B09E622}"/>
                  </c:ext>
                </c:extLst>
              </c15:ser>
            </c15:filteredBarSeries>
            <c15:filteredBarSeries>
              <c15:ser>
                <c:idx val="3"/>
                <c:order val="3"/>
                <c:tx>
                  <c:strRef>
                    <c:extLst xmlns:c15="http://schemas.microsoft.com/office/drawing/2012/chart" xmlns:c16r2="http://schemas.microsoft.com/office/drawing/2015/06/chart">
                      <c:ext xmlns:c15="http://schemas.microsoft.com/office/drawing/2012/chart" uri="{02D57815-91ED-43cb-92C2-25804820EDAC}">
                        <c15:formulaRef>
                          <c15:sqref>[8]Fund_Analysis_Rakhine!$E$72</c15:sqref>
                        </c15:formulaRef>
                      </c:ext>
                    </c:extLst>
                    <c:strCache>
                      <c:ptCount val="1"/>
                      <c:pt idx="0">
                        <c:v>%Gap</c:v>
                      </c:pt>
                    </c:strCache>
                  </c:strRef>
                </c:tx>
                <c:spPr>
                  <a:gradFill rotWithShape="1">
                    <a:gsLst>
                      <a:gs pos="0">
                        <a:schemeClr val="accent3">
                          <a:tint val="58000"/>
                          <a:satMod val="103000"/>
                          <a:lumMod val="102000"/>
                          <a:tint val="94000"/>
                        </a:schemeClr>
                      </a:gs>
                      <a:gs pos="50000">
                        <a:schemeClr val="accent3">
                          <a:tint val="58000"/>
                          <a:satMod val="110000"/>
                          <a:lumMod val="100000"/>
                          <a:shade val="100000"/>
                        </a:schemeClr>
                      </a:gs>
                      <a:gs pos="100000">
                        <a:schemeClr val="accent3">
                          <a:tint val="58000"/>
                          <a:lumMod val="99000"/>
                          <a:satMod val="120000"/>
                          <a:shade val="78000"/>
                        </a:schemeClr>
                      </a:gs>
                    </a:gsLst>
                    <a:lin ang="5400000" scaled="0"/>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xmlns:c16r2="http://schemas.microsoft.com/office/drawing/2015/06/char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extLst>
                      <c:ext xmlns:c15="http://schemas.microsoft.com/office/drawing/2012/chart" uri="{02D57815-91ED-43cb-92C2-25804820EDAC}">
                        <c15:fullRef>
                          <c15:sqref>[8]Fund_Analysis_Rakhine!$A$73:$A$75</c15:sqref>
                        </c15:fullRef>
                        <c15:formulaRef>
                          <c15:sqref>[8]Fund_Analysis_Rakhine!$A$73</c15:sqref>
                        </c15:formulaRef>
                      </c:ext>
                    </c:extLst>
                    <c:strCache>
                      <c:ptCount val="1"/>
                      <c:pt idx="0">
                        <c:v>Kachin/Shan</c:v>
                      </c:pt>
                    </c:strCache>
                  </c:strRef>
                </c:cat>
                <c:val>
                  <c:numRef>
                    <c:extLst>
                      <c:ext xmlns:c15="http://schemas.microsoft.com/office/drawing/2012/chart" uri="{02D57815-91ED-43cb-92C2-25804820EDAC}">
                        <c15:fullRef>
                          <c15:sqref>[8]Fund_Analysis_Rakhine!$E$73:$E$75</c15:sqref>
                        </c15:fullRef>
                        <c15:formulaRef>
                          <c15:sqref>[8]Fund_Analysis_Rakhine!$E$73</c15:sqref>
                        </c15:formulaRef>
                      </c:ext>
                    </c:extLst>
                    <c:numCache>
                      <c:formatCode>General</c:formatCode>
                      <c:ptCount val="1"/>
                      <c:pt idx="0">
                        <c:v>0.79953448327970333</c:v>
                      </c:pt>
                    </c:numCache>
                  </c:numRef>
                </c:val>
                <c:extLst xmlns:c15="http://schemas.microsoft.com/office/drawing/2012/chart" xmlns:c16r2="http://schemas.microsoft.com/office/drawing/2015/06/chart">
                  <c:ext xmlns:c16="http://schemas.microsoft.com/office/drawing/2014/chart" uri="{C3380CC4-5D6E-409C-BE32-E72D297353CC}">
                    <c16:uniqueId val="{00000003-AC93-4358-AE24-FEEE9B09E622}"/>
                  </c:ext>
                </c:extLst>
              </c15:ser>
            </c15:filteredBarSeries>
          </c:ext>
        </c:extLst>
      </c:barChart>
      <c:catAx>
        <c:axId val="484845584"/>
        <c:scaling>
          <c:orientation val="minMax"/>
        </c:scaling>
        <c:delete val="1"/>
        <c:axPos val="l"/>
        <c:numFmt formatCode="General" sourceLinked="1"/>
        <c:majorTickMark val="none"/>
        <c:minorTickMark val="none"/>
        <c:tickLblPos val="nextTo"/>
        <c:crossAx val="486304128"/>
        <c:crosses val="autoZero"/>
        <c:auto val="1"/>
        <c:lblAlgn val="ctr"/>
        <c:lblOffset val="100"/>
        <c:noMultiLvlLbl val="0"/>
      </c:catAx>
      <c:valAx>
        <c:axId val="486304128"/>
        <c:scaling>
          <c:orientation val="minMax"/>
        </c:scaling>
        <c:delete val="0"/>
        <c:axPos val="b"/>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484845584"/>
        <c:crosses val="autoZero"/>
        <c:crossBetween val="between"/>
      </c:valAx>
      <c:spPr>
        <a:noFill/>
        <a:ln>
          <a:noFill/>
        </a:ln>
        <a:effectLst/>
      </c:spPr>
    </c:plotArea>
    <c:legend>
      <c:legendPos val="b"/>
      <c:layout>
        <c:manualLayout>
          <c:xMode val="edge"/>
          <c:yMode val="edge"/>
          <c:x val="0.25072498559631268"/>
          <c:y val="0.86760028951173185"/>
          <c:w val="0.4985500288073747"/>
          <c:h val="0.1249927826194979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r>
              <a:rPr lang="en-US" sz="1200"/>
              <a:t>Funding Splits INGO, LNGO</a:t>
            </a:r>
          </a:p>
        </c:rich>
      </c:tx>
      <c:layout/>
      <c:overlay val="0"/>
      <c:spPr>
        <a:noFill/>
        <a:ln>
          <a:noFill/>
        </a:ln>
        <a:effectLst/>
      </c:spPr>
      <c:txPr>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n-US"/>
        </a:p>
      </c:txPr>
    </c:title>
    <c:autoTitleDeleted val="0"/>
    <c:pivotFmts>
      <c:pivotFmt>
        <c:idx val="0"/>
        <c:spPr>
          <a:solidFill>
            <a:schemeClr val="bg1">
              <a:lumMod val="50000"/>
            </a:schemeClr>
          </a:solidFill>
          <a:ln>
            <a:noFill/>
          </a:ln>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12700">
              <a:solidFill>
                <a:schemeClr val="lt2"/>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
        <c:spPr>
          <a:solidFill>
            <a:schemeClr val="bg1">
              <a:lumMod val="65000"/>
            </a:schemeClr>
          </a:solidFill>
          <a:ln>
            <a:noFill/>
          </a:ln>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12700">
              <a:solidFill>
                <a:schemeClr val="lt2"/>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2"/>
        <c:spPr>
          <a:solidFill>
            <a:schemeClr val="bg1">
              <a:lumMod val="85000"/>
            </a:schemeClr>
          </a:solidFill>
          <a:ln>
            <a:noFill/>
          </a:ln>
          <a:effectLst/>
        </c:spPr>
        <c:marker>
          <c:symbol val="circle"/>
          <c:size val="6"/>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w="12700">
              <a:solidFill>
                <a:schemeClr val="lt2"/>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3"/>
        <c:spPr>
          <a:solidFill>
            <a:schemeClr val="bg1">
              <a:lumMod val="5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4"/>
        <c:spPr>
          <a:solidFill>
            <a:schemeClr val="bg1">
              <a:lumMod val="6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5"/>
        <c:spPr>
          <a:solidFill>
            <a:schemeClr val="bg1">
              <a:lumMod val="8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s>
    <c:plotArea>
      <c:layout>
        <c:manualLayout>
          <c:layoutTarget val="inner"/>
          <c:xMode val="edge"/>
          <c:yMode val="edge"/>
          <c:x val="5.3039725239854396E-2"/>
          <c:y val="0.13778073286052009"/>
          <c:w val="0.87926005940445173"/>
          <c:h val="0.57355654678803447"/>
        </c:manualLayout>
      </c:layout>
      <c:barChart>
        <c:barDir val="bar"/>
        <c:grouping val="percentStacked"/>
        <c:varyColors val="0"/>
        <c:ser>
          <c:idx val="0"/>
          <c:order val="0"/>
          <c:tx>
            <c:v>INGO</c:v>
          </c:tx>
          <c:spPr>
            <a:solidFill>
              <a:schemeClr val="bg1">
                <a:lumMod val="50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a:solidFill>
                        <a:schemeClr val="tx2">
                          <a:lumMod val="35000"/>
                          <a:lumOff val="65000"/>
                        </a:schemeClr>
                      </a:solidFill>
                    </a:ln>
                    <a:effectLst/>
                  </c:spPr>
                </c15:leaderLines>
              </c:ext>
            </c:extLst>
          </c:dLbls>
          <c:cat>
            <c:strLit>
              <c:ptCount val="1"/>
              <c:pt idx="0">
                <c:v>Total</c:v>
              </c:pt>
            </c:strLit>
          </c:cat>
          <c:val>
            <c:numLit>
              <c:formatCode>General</c:formatCode>
              <c:ptCount val="1"/>
              <c:pt idx="0">
                <c:v>0.14474826454372514</c:v>
              </c:pt>
            </c:numLit>
          </c:val>
          <c:extLst xmlns:c16r2="http://schemas.microsoft.com/office/drawing/2015/06/chart">
            <c:ext xmlns:c16="http://schemas.microsoft.com/office/drawing/2014/chart" uri="{C3380CC4-5D6E-409C-BE32-E72D297353CC}">
              <c16:uniqueId val="{00000000-F602-470C-AF04-7E9B653BAFAB}"/>
            </c:ext>
          </c:extLst>
        </c:ser>
        <c:ser>
          <c:idx val="1"/>
          <c:order val="1"/>
          <c:tx>
            <c:v>LNGO</c:v>
          </c:tx>
          <c:spPr>
            <a:solidFill>
              <a:schemeClr val="bg1">
                <a:lumMod val="65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a:solidFill>
                        <a:schemeClr val="tx2">
                          <a:lumMod val="35000"/>
                          <a:lumOff val="65000"/>
                        </a:schemeClr>
                      </a:solidFill>
                    </a:ln>
                    <a:effectLst/>
                  </c:spPr>
                </c15:leaderLines>
              </c:ext>
            </c:extLst>
          </c:dLbls>
          <c:cat>
            <c:strLit>
              <c:ptCount val="1"/>
              <c:pt idx="0">
                <c:v>Total</c:v>
              </c:pt>
            </c:strLit>
          </c:cat>
          <c:val>
            <c:numLit>
              <c:formatCode>General</c:formatCode>
              <c:ptCount val="1"/>
              <c:pt idx="0">
                <c:v>0.1861859752117605</c:v>
              </c:pt>
            </c:numLit>
          </c:val>
          <c:extLst xmlns:c16r2="http://schemas.microsoft.com/office/drawing/2015/06/chart">
            <c:ext xmlns:c16="http://schemas.microsoft.com/office/drawing/2014/chart" uri="{C3380CC4-5D6E-409C-BE32-E72D297353CC}">
              <c16:uniqueId val="{00000001-F602-470C-AF04-7E9B653BAFAB}"/>
            </c:ext>
          </c:extLst>
        </c:ser>
        <c:ser>
          <c:idx val="2"/>
          <c:order val="2"/>
          <c:tx>
            <c:v>INGO/LNGO</c:v>
          </c:tx>
          <c:spPr>
            <a:solidFill>
              <a:schemeClr val="bg1">
                <a:lumMod val="85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a:solidFill>
                        <a:schemeClr val="tx2">
                          <a:lumMod val="35000"/>
                          <a:lumOff val="65000"/>
                        </a:schemeClr>
                      </a:solidFill>
                    </a:ln>
                    <a:effectLst/>
                  </c:spPr>
                </c15:leaderLines>
              </c:ext>
            </c:extLst>
          </c:dLbls>
          <c:cat>
            <c:strLit>
              <c:ptCount val="1"/>
              <c:pt idx="0">
                <c:v>Total</c:v>
              </c:pt>
            </c:strLit>
          </c:cat>
          <c:val>
            <c:numLit>
              <c:formatCode>General</c:formatCode>
              <c:ptCount val="1"/>
              <c:pt idx="0">
                <c:v>0.66906576024451436</c:v>
              </c:pt>
            </c:numLit>
          </c:val>
          <c:extLst xmlns:c16r2="http://schemas.microsoft.com/office/drawing/2015/06/chart">
            <c:ext xmlns:c16="http://schemas.microsoft.com/office/drawing/2014/chart" uri="{C3380CC4-5D6E-409C-BE32-E72D297353CC}">
              <c16:uniqueId val="{00000002-F602-470C-AF04-7E9B653BAFAB}"/>
            </c:ext>
          </c:extLst>
        </c:ser>
        <c:dLbls>
          <c:dLblPos val="ctr"/>
          <c:showLegendKey val="0"/>
          <c:showVal val="1"/>
          <c:showCatName val="0"/>
          <c:showSerName val="0"/>
          <c:showPercent val="0"/>
          <c:showBubbleSize val="0"/>
        </c:dLbls>
        <c:gapWidth val="150"/>
        <c:overlap val="100"/>
        <c:axId val="486296680"/>
        <c:axId val="486293152"/>
      </c:barChart>
      <c:catAx>
        <c:axId val="486296680"/>
        <c:scaling>
          <c:orientation val="minMax"/>
        </c:scaling>
        <c:delete val="1"/>
        <c:axPos val="l"/>
        <c:numFmt formatCode="General" sourceLinked="1"/>
        <c:majorTickMark val="none"/>
        <c:minorTickMark val="none"/>
        <c:tickLblPos val="nextTo"/>
        <c:crossAx val="486293152"/>
        <c:crosses val="autoZero"/>
        <c:auto val="1"/>
        <c:lblAlgn val="ctr"/>
        <c:lblOffset val="100"/>
        <c:noMultiLvlLbl val="0"/>
      </c:catAx>
      <c:valAx>
        <c:axId val="486293152"/>
        <c:scaling>
          <c:orientation val="minMax"/>
        </c:scaling>
        <c:delete val="0"/>
        <c:axPos val="b"/>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486296680"/>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extLst xmlns:c16r2="http://schemas.microsoft.com/office/drawing/2015/06/chart"/>
</c:chartSpace>
</file>

<file path=xl/charts/chart6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1"/>
    <c:plotArea>
      <c:layout/>
      <c:barChart>
        <c:barDir val="col"/>
        <c:grouping val="stacked"/>
        <c:varyColors val="0"/>
        <c:ser>
          <c:idx val="0"/>
          <c:order val="0"/>
          <c:tx>
            <c:strRef>
              <c:f>Analysis!$H$55</c:f>
              <c:strCache>
                <c:ptCount val="1"/>
                <c:pt idx="0">
                  <c:v>Kachin</c:v>
                </c:pt>
              </c:strCache>
            </c:strRef>
          </c:tx>
          <c:spPr>
            <a:gradFill rotWithShape="1">
              <a:gsLst>
                <a:gs pos="0">
                  <a:schemeClr val="accent5">
                    <a:shade val="65000"/>
                    <a:satMod val="103000"/>
                    <a:lumMod val="102000"/>
                    <a:tint val="94000"/>
                  </a:schemeClr>
                </a:gs>
                <a:gs pos="50000">
                  <a:schemeClr val="accent5">
                    <a:shade val="65000"/>
                    <a:satMod val="110000"/>
                    <a:lumMod val="100000"/>
                    <a:shade val="100000"/>
                  </a:schemeClr>
                </a:gs>
                <a:gs pos="100000">
                  <a:schemeClr val="accent5">
                    <a:shade val="65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Analysis!$I$54:$J$54</c:f>
              <c:strCache>
                <c:ptCount val="2"/>
                <c:pt idx="0">
                  <c:v>% of FAIL water samples at HH</c:v>
                </c:pt>
                <c:pt idx="1">
                  <c:v>% of FAIL water samples at water source</c:v>
                </c:pt>
              </c:strCache>
            </c:strRef>
          </c:cat>
          <c:val>
            <c:numRef>
              <c:f>Analysis!$I$55:$J$55</c:f>
              <c:numCache>
                <c:formatCode>0%</c:formatCode>
                <c:ptCount val="2"/>
                <c:pt idx="0">
                  <c:v>0.38700817700817702</c:v>
                </c:pt>
                <c:pt idx="1">
                  <c:v>0.67777777777777781</c:v>
                </c:pt>
              </c:numCache>
            </c:numRef>
          </c:val>
          <c:extLst xmlns:c16r2="http://schemas.microsoft.com/office/drawing/2015/06/chart">
            <c:ext xmlns:c16="http://schemas.microsoft.com/office/drawing/2014/chart" uri="{C3380CC4-5D6E-409C-BE32-E72D297353CC}">
              <c16:uniqueId val="{00000000-C8CB-4E55-B486-7E9000988768}"/>
            </c:ext>
          </c:extLst>
        </c:ser>
        <c:dLbls>
          <c:dLblPos val="ctr"/>
          <c:showLegendKey val="0"/>
          <c:showVal val="1"/>
          <c:showCatName val="0"/>
          <c:showSerName val="0"/>
          <c:showPercent val="0"/>
          <c:showBubbleSize val="0"/>
        </c:dLbls>
        <c:gapWidth val="150"/>
        <c:overlap val="100"/>
        <c:axId val="486302952"/>
        <c:axId val="486301384"/>
        <c:extLst xmlns:c16r2="http://schemas.microsoft.com/office/drawing/2015/06/chart">
          <c:ext xmlns:c15="http://schemas.microsoft.com/office/drawing/2012/chart" uri="{02D57815-91ED-43cb-92C2-25804820EDAC}">
            <c15:filteredBarSeries>
              <c15:ser>
                <c:idx val="1"/>
                <c:order val="1"/>
                <c:tx>
                  <c:strRef>
                    <c:extLst xmlns:c16r2="http://schemas.microsoft.com/office/drawing/2015/06/chart">
                      <c:ext uri="{02D57815-91ED-43cb-92C2-25804820EDAC}">
                        <c15:formulaRef>
                          <c15:sqref>Analysis!$H$56</c15:sqref>
                        </c15:formulaRef>
                      </c:ext>
                    </c:extLst>
                    <c:strCache>
                      <c:ptCount val="1"/>
                      <c:pt idx="0">
                        <c:v>Rakhine</c:v>
                      </c:pt>
                    </c:strCache>
                  </c:strRef>
                </c:tx>
                <c:spPr>
                  <a:gradFill rotWithShape="1">
                    <a:gsLst>
                      <a:gs pos="0">
                        <a:schemeClr val="accent5">
                          <a:satMod val="103000"/>
                          <a:lumMod val="102000"/>
                          <a:tint val="94000"/>
                        </a:schemeClr>
                      </a:gs>
                      <a:gs pos="50000">
                        <a:schemeClr val="accent5">
                          <a:satMod val="110000"/>
                          <a:lumMod val="100000"/>
                          <a:shade val="100000"/>
                        </a:schemeClr>
                      </a:gs>
                      <a:gs pos="100000">
                        <a:schemeClr val="accent5">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6r2="http://schemas.microsoft.com/office/drawing/2015/06/char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6r2="http://schemas.microsoft.com/office/drawing/2015/06/chart">
                      <c:ext uri="{02D57815-91ED-43cb-92C2-25804820EDAC}">
                        <c15:formulaRef>
                          <c15:sqref>Analysis!$I$54:$J$54</c15:sqref>
                        </c15:formulaRef>
                      </c:ext>
                    </c:extLst>
                    <c:strCache>
                      <c:ptCount val="2"/>
                      <c:pt idx="0">
                        <c:v>% of FAIL water samples at HH</c:v>
                      </c:pt>
                      <c:pt idx="1">
                        <c:v>% of FAIL water samples at water source</c:v>
                      </c:pt>
                    </c:strCache>
                  </c:strRef>
                </c:cat>
                <c:val>
                  <c:numRef>
                    <c:extLst xmlns:c16r2="http://schemas.microsoft.com/office/drawing/2015/06/chart">
                      <c:ext uri="{02D57815-91ED-43cb-92C2-25804820EDAC}">
                        <c15:formulaRef>
                          <c15:sqref>Analysis!$I$56:$J$56</c15:sqref>
                        </c15:formulaRef>
                      </c:ext>
                    </c:extLst>
                    <c:numCache>
                      <c:formatCode>0%</c:formatCode>
                      <c:ptCount val="2"/>
                      <c:pt idx="0">
                        <c:v>0.28040167854790887</c:v>
                      </c:pt>
                      <c:pt idx="1">
                        <c:v>0.14664529898793155</c:v>
                      </c:pt>
                    </c:numCache>
                  </c:numRef>
                </c:val>
                <c:extLst xmlns:c16r2="http://schemas.microsoft.com/office/drawing/2015/06/chart">
                  <c:ext xmlns:c16="http://schemas.microsoft.com/office/drawing/2014/chart" uri="{C3380CC4-5D6E-409C-BE32-E72D297353CC}">
                    <c16:uniqueId val="{00000001-C8CB-4E55-B486-7E9000988768}"/>
                  </c:ext>
                </c:extLst>
              </c15:ser>
            </c15:filteredBarSeries>
            <c15:filteredBarSeries>
              <c15:ser>
                <c:idx val="2"/>
                <c:order val="2"/>
                <c:tx>
                  <c:strRef>
                    <c:extLst xmlns:c15="http://schemas.microsoft.com/office/drawing/2012/chart" xmlns:c16r2="http://schemas.microsoft.com/office/drawing/2015/06/chart">
                      <c:ext xmlns:c15="http://schemas.microsoft.com/office/drawing/2012/chart" uri="{02D57815-91ED-43cb-92C2-25804820EDAC}">
                        <c15:formulaRef>
                          <c15:sqref>Analysis!$H$57</c15:sqref>
                        </c15:formulaRef>
                      </c:ext>
                    </c:extLst>
                    <c:strCache>
                      <c:ptCount val="1"/>
                      <c:pt idx="0">
                        <c:v>Shan (North)</c:v>
                      </c:pt>
                    </c:strCache>
                  </c:strRef>
                </c:tx>
                <c:spPr>
                  <a:gradFill rotWithShape="1">
                    <a:gsLst>
                      <a:gs pos="0">
                        <a:schemeClr val="accent5">
                          <a:tint val="65000"/>
                          <a:satMod val="103000"/>
                          <a:lumMod val="102000"/>
                          <a:tint val="94000"/>
                        </a:schemeClr>
                      </a:gs>
                      <a:gs pos="50000">
                        <a:schemeClr val="accent5">
                          <a:tint val="65000"/>
                          <a:satMod val="110000"/>
                          <a:lumMod val="100000"/>
                          <a:shade val="100000"/>
                        </a:schemeClr>
                      </a:gs>
                      <a:gs pos="100000">
                        <a:schemeClr val="accent5">
                          <a:tint val="65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xmlns:c16r2="http://schemas.microsoft.com/office/drawing/2015/06/chart">
                      <c:ext xmlns:c15="http://schemas.microsoft.com/office/drawing/2012/chart" uri="{02D57815-91ED-43cb-92C2-25804820EDAC}">
                        <c15:formulaRef>
                          <c15:sqref>Analysis!$I$54:$J$54</c15:sqref>
                        </c15:formulaRef>
                      </c:ext>
                    </c:extLst>
                    <c:strCache>
                      <c:ptCount val="2"/>
                      <c:pt idx="0">
                        <c:v>% of FAIL water samples at HH</c:v>
                      </c:pt>
                      <c:pt idx="1">
                        <c:v>% of FAIL water samples at water source</c:v>
                      </c:pt>
                    </c:strCache>
                  </c:strRef>
                </c:cat>
                <c:val>
                  <c:numRef>
                    <c:extLst xmlns:c15="http://schemas.microsoft.com/office/drawing/2012/chart" xmlns:c16r2="http://schemas.microsoft.com/office/drawing/2015/06/chart">
                      <c:ext xmlns:c15="http://schemas.microsoft.com/office/drawing/2012/chart" uri="{02D57815-91ED-43cb-92C2-25804820EDAC}">
                        <c15:formulaRef>
                          <c15:sqref>Analysis!$I$57:$J$57</c15:sqref>
                        </c15:formulaRef>
                      </c:ext>
                    </c:extLst>
                    <c:numCache>
                      <c:formatCode>0%</c:formatCode>
                      <c:ptCount val="2"/>
                      <c:pt idx="0">
                        <c:v>0</c:v>
                      </c:pt>
                      <c:pt idx="1">
                        <c:v>1</c:v>
                      </c:pt>
                    </c:numCache>
                  </c:numRef>
                </c:val>
                <c:extLst xmlns:c15="http://schemas.microsoft.com/office/drawing/2012/chart" xmlns:c16r2="http://schemas.microsoft.com/office/drawing/2015/06/chart">
                  <c:ext xmlns:c16="http://schemas.microsoft.com/office/drawing/2014/chart" uri="{C3380CC4-5D6E-409C-BE32-E72D297353CC}">
                    <c16:uniqueId val="{00000002-C8CB-4E55-B486-7E9000988768}"/>
                  </c:ext>
                </c:extLst>
              </c15:ser>
            </c15:filteredBarSeries>
          </c:ext>
        </c:extLst>
      </c:barChart>
      <c:catAx>
        <c:axId val="486302952"/>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86301384"/>
        <c:crosses val="autoZero"/>
        <c:auto val="1"/>
        <c:lblAlgn val="ctr"/>
        <c:lblOffset val="100"/>
        <c:noMultiLvlLbl val="0"/>
      </c:catAx>
      <c:valAx>
        <c:axId val="48630138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8630295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n-US" sz="1200" b="1" i="0" baseline="0">
                <a:effectLst/>
              </a:rPr>
              <a:t>WASH in Temporary Learning Spaces </a:t>
            </a:r>
            <a:endParaRPr lang="en-US" sz="1200" b="1">
              <a:effectLst/>
            </a:endParaRPr>
          </a:p>
        </c:rich>
      </c:tx>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tx>
            <c:strRef>
              <c:f>Analysis!$C$293</c:f>
              <c:strCache>
                <c:ptCount val="1"/>
                <c:pt idx="0">
                  <c:v>Kachin</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Pt>
            <c:idx val="0"/>
            <c:invertIfNegative val="0"/>
            <c:bubble3D val="0"/>
            <c:spPr>
              <a:solidFill>
                <a:schemeClr val="accent6">
                  <a:lumMod val="60000"/>
                  <a:lumOff val="40000"/>
                </a:schemeClr>
              </a:solidFill>
              <a:ln>
                <a:noFill/>
              </a:ln>
              <a:effectLst>
                <a:outerShdw blurRad="57150" dist="19050" dir="5400000" algn="ctr" rotWithShape="0">
                  <a:srgbClr val="000000">
                    <a:alpha val="63000"/>
                  </a:srgbClr>
                </a:outerShdw>
              </a:effectLst>
            </c:spPr>
            <c:extLst xmlns:c16r2="http://schemas.microsoft.com/office/drawing/2015/06/chart">
              <c:ext xmlns:c16="http://schemas.microsoft.com/office/drawing/2014/chart" uri="{C3380CC4-5D6E-409C-BE32-E72D297353CC}">
                <c16:uniqueId val="{00000001-BD0A-434C-BFE9-8ABE13DC62FB}"/>
              </c:ext>
            </c:extLst>
          </c:dPt>
          <c:dPt>
            <c:idx val="1"/>
            <c:invertIfNegative val="0"/>
            <c:bubble3D val="0"/>
            <c:spPr>
              <a:solidFill>
                <a:schemeClr val="accent2">
                  <a:lumMod val="60000"/>
                  <a:lumOff val="40000"/>
                </a:schemeClr>
              </a:solidFill>
              <a:ln>
                <a:noFill/>
              </a:ln>
              <a:effectLst>
                <a:outerShdw blurRad="57150" dist="19050" dir="5400000" algn="ctr" rotWithShape="0">
                  <a:srgbClr val="000000">
                    <a:alpha val="63000"/>
                  </a:srgbClr>
                </a:outerShdw>
              </a:effectLst>
            </c:spPr>
            <c:extLst xmlns:c16r2="http://schemas.microsoft.com/office/drawing/2015/06/chart">
              <c:ext xmlns:c16="http://schemas.microsoft.com/office/drawing/2014/chart" uri="{C3380CC4-5D6E-409C-BE32-E72D297353CC}">
                <c16:uniqueId val="{0000000D-B709-46A6-BC97-AA9E33A7C330}"/>
              </c:ext>
            </c:extLst>
          </c:dPt>
          <c:dPt>
            <c:idx val="2"/>
            <c:invertIfNegative val="0"/>
            <c:bubble3D val="0"/>
            <c:spPr>
              <a:solidFill>
                <a:schemeClr val="accent2">
                  <a:lumMod val="75000"/>
                </a:schemeClr>
              </a:solidFill>
              <a:ln>
                <a:noFill/>
              </a:ln>
              <a:effectLst>
                <a:outerShdw blurRad="57150" dist="19050" dir="5400000" algn="ctr" rotWithShape="0">
                  <a:srgbClr val="000000">
                    <a:alpha val="63000"/>
                  </a:srgbClr>
                </a:outerShdw>
              </a:effectLst>
            </c:spPr>
            <c:extLst xmlns:c16r2="http://schemas.microsoft.com/office/drawing/2015/06/chart">
              <c:ext xmlns:c16="http://schemas.microsoft.com/office/drawing/2014/chart" uri="{C3380CC4-5D6E-409C-BE32-E72D297353CC}">
                <c16:uniqueId val="{00000003-BD0A-434C-BFE9-8ABE13DC62FB}"/>
              </c:ext>
            </c:extLst>
          </c:dPt>
          <c:dPt>
            <c:idx val="3"/>
            <c:invertIfNegative val="0"/>
            <c:bubble3D val="0"/>
            <c:spPr>
              <a:solidFill>
                <a:schemeClr val="accent6"/>
              </a:solidFill>
              <a:ln>
                <a:noFill/>
              </a:ln>
              <a:effectLst>
                <a:outerShdw blurRad="57150" dist="19050" dir="5400000" algn="ctr" rotWithShape="0">
                  <a:srgbClr val="000000">
                    <a:alpha val="63000"/>
                  </a:srgbClr>
                </a:outerShdw>
              </a:effectLst>
            </c:spPr>
            <c:extLst xmlns:c16r2="http://schemas.microsoft.com/office/drawing/2015/06/chart">
              <c:ext xmlns:c16="http://schemas.microsoft.com/office/drawing/2014/chart" uri="{C3380CC4-5D6E-409C-BE32-E72D297353CC}">
                <c16:uniqueId val="{00000007-B709-46A6-BC97-AA9E33A7C330}"/>
              </c:ext>
            </c:extLst>
          </c:dPt>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Analysis!$D$292:$G$292</c:f>
              <c:strCache>
                <c:ptCount val="4"/>
                <c:pt idx="0">
                  <c:v> # of hand washing stations with soap</c:v>
                </c:pt>
                <c:pt idx="1">
                  <c:v> # of children Latrine s</c:v>
                </c:pt>
                <c:pt idx="2">
                  <c:v> # of latrines in TLS (schools)</c:v>
                </c:pt>
                <c:pt idx="3">
                  <c:v> # of hand washing stations for TLS</c:v>
                </c:pt>
              </c:strCache>
            </c:strRef>
          </c:cat>
          <c:val>
            <c:numRef>
              <c:f>Analysis!$D$293:$G$293</c:f>
              <c:numCache>
                <c:formatCode>General</c:formatCode>
                <c:ptCount val="4"/>
                <c:pt idx="0">
                  <c:v>28</c:v>
                </c:pt>
                <c:pt idx="1">
                  <c:v>0</c:v>
                </c:pt>
                <c:pt idx="2">
                  <c:v>35</c:v>
                </c:pt>
                <c:pt idx="3">
                  <c:v>90</c:v>
                </c:pt>
              </c:numCache>
            </c:numRef>
          </c:val>
          <c:extLst xmlns:c16r2="http://schemas.microsoft.com/office/drawing/2015/06/chart">
            <c:ext xmlns:c16="http://schemas.microsoft.com/office/drawing/2014/chart" uri="{C3380CC4-5D6E-409C-BE32-E72D297353CC}">
              <c16:uniqueId val="{00000004-BD0A-434C-BFE9-8ABE13DC62FB}"/>
            </c:ext>
          </c:extLst>
        </c:ser>
        <c:dLbls>
          <c:showLegendKey val="0"/>
          <c:showVal val="0"/>
          <c:showCatName val="0"/>
          <c:showSerName val="0"/>
          <c:showPercent val="0"/>
          <c:showBubbleSize val="0"/>
        </c:dLbls>
        <c:gapWidth val="115"/>
        <c:overlap val="-20"/>
        <c:axId val="486294720"/>
        <c:axId val="486298640"/>
      </c:barChart>
      <c:catAx>
        <c:axId val="486294720"/>
        <c:scaling>
          <c:orientation val="minMax"/>
        </c:scaling>
        <c:delete val="1"/>
        <c:axPos val="l"/>
        <c:numFmt formatCode="General" sourceLinked="1"/>
        <c:majorTickMark val="none"/>
        <c:minorTickMark val="none"/>
        <c:tickLblPos val="nextTo"/>
        <c:crossAx val="486298640"/>
        <c:crosses val="autoZero"/>
        <c:auto val="1"/>
        <c:lblAlgn val="ctr"/>
        <c:lblOffset val="100"/>
        <c:noMultiLvlLbl val="0"/>
      </c:catAx>
      <c:valAx>
        <c:axId val="486298640"/>
        <c:scaling>
          <c:orientation val="minMax"/>
        </c:scaling>
        <c:delete val="1"/>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486294720"/>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accent1">
          <a:lumMod val="20000"/>
          <a:lumOff val="80000"/>
        </a:schemeClr>
      </a:solidFill>
      <a:round/>
    </a:ln>
    <a:effectLst/>
  </c:spPr>
  <c:txPr>
    <a:bodyPr/>
    <a:lstStyle/>
    <a:p>
      <a:pPr>
        <a:defRPr/>
      </a:pPr>
      <a:endParaRPr lang="en-US"/>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b="1" i="0" baseline="0">
                <a:effectLst/>
              </a:rPr>
              <a:t>Latrines handed over to families</a:t>
            </a:r>
            <a:endParaRPr lang="en-US" sz="120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Analysis!$N$94</c:f>
              <c:strCache>
                <c:ptCount val="1"/>
                <c:pt idx="0">
                  <c:v>Latrines handed over</c:v>
                </c:pt>
              </c:strCache>
            </c:strRef>
          </c:tx>
          <c:spPr>
            <a:solidFill>
              <a:schemeClr val="accent2">
                <a:shade val="76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Analysis!$O$91:$P$91</c:f>
              <c:strCache>
                <c:ptCount val="2"/>
                <c:pt idx="0">
                  <c:v># in active camps (20:1)</c:v>
                </c:pt>
                <c:pt idx="1">
                  <c:v># in villages (6:1)</c:v>
                </c:pt>
              </c:strCache>
            </c:strRef>
          </c:cat>
          <c:val>
            <c:numRef>
              <c:f>Analysis!$O$94:$P$94</c:f>
              <c:numCache>
                <c:formatCode>_(* #,##0_);_(* \(#,##0\);_(* "-"??_);_(@_)</c:formatCode>
                <c:ptCount val="2"/>
                <c:pt idx="0">
                  <c:v>4192</c:v>
                </c:pt>
                <c:pt idx="1">
                  <c:v>1651</c:v>
                </c:pt>
              </c:numCache>
            </c:numRef>
          </c:val>
          <c:extLst xmlns:c16r2="http://schemas.microsoft.com/office/drawing/2015/06/chart">
            <c:ext xmlns:c16="http://schemas.microsoft.com/office/drawing/2014/chart" uri="{C3380CC4-5D6E-409C-BE32-E72D297353CC}">
              <c16:uniqueId val="{00000000-D438-4C53-93B3-9FA74B8C19A7}"/>
            </c:ext>
          </c:extLst>
        </c:ser>
        <c:ser>
          <c:idx val="1"/>
          <c:order val="1"/>
          <c:tx>
            <c:strRef>
              <c:f>Analysis!$N$95</c:f>
              <c:strCache>
                <c:ptCount val="1"/>
                <c:pt idx="0">
                  <c:v>Latrines not handed over</c:v>
                </c:pt>
              </c:strCache>
            </c:strRef>
          </c:tx>
          <c:spPr>
            <a:solidFill>
              <a:schemeClr val="accent2">
                <a:tint val="77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Analysis!$O$91:$P$91</c:f>
              <c:strCache>
                <c:ptCount val="2"/>
                <c:pt idx="0">
                  <c:v># in active camps (20:1)</c:v>
                </c:pt>
                <c:pt idx="1">
                  <c:v># in villages (6:1)</c:v>
                </c:pt>
              </c:strCache>
            </c:strRef>
          </c:cat>
          <c:val>
            <c:numRef>
              <c:f>Analysis!$O$95:$P$95</c:f>
              <c:numCache>
                <c:formatCode>_(* #,##0_);_(* \(#,##0\);_(* "-"??_);_(@_)</c:formatCode>
                <c:ptCount val="2"/>
                <c:pt idx="0">
                  <c:v>1884</c:v>
                </c:pt>
                <c:pt idx="1">
                  <c:v>8509</c:v>
                </c:pt>
              </c:numCache>
            </c:numRef>
          </c:val>
          <c:extLst xmlns:c16r2="http://schemas.microsoft.com/office/drawing/2015/06/chart">
            <c:ext xmlns:c16="http://schemas.microsoft.com/office/drawing/2014/chart" uri="{C3380CC4-5D6E-409C-BE32-E72D297353CC}">
              <c16:uniqueId val="{00000001-D438-4C53-93B3-9FA74B8C19A7}"/>
            </c:ext>
          </c:extLst>
        </c:ser>
        <c:dLbls>
          <c:dLblPos val="ctr"/>
          <c:showLegendKey val="0"/>
          <c:showVal val="1"/>
          <c:showCatName val="0"/>
          <c:showSerName val="0"/>
          <c:showPercent val="0"/>
          <c:showBubbleSize val="0"/>
        </c:dLbls>
        <c:gapWidth val="150"/>
        <c:overlap val="100"/>
        <c:axId val="486294328"/>
        <c:axId val="486296288"/>
      </c:barChart>
      <c:catAx>
        <c:axId val="4862943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86296288"/>
        <c:crosses val="autoZero"/>
        <c:auto val="1"/>
        <c:lblAlgn val="ctr"/>
        <c:lblOffset val="100"/>
        <c:noMultiLvlLbl val="0"/>
      </c:catAx>
      <c:valAx>
        <c:axId val="486296288"/>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8629432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accent1">
          <a:lumMod val="20000"/>
          <a:lumOff val="80000"/>
        </a:schemeClr>
      </a:solidFill>
      <a:round/>
    </a:ln>
    <a:effectLst/>
  </c:spPr>
  <c:txPr>
    <a:bodyPr/>
    <a:lstStyle/>
    <a:p>
      <a:pPr>
        <a:defRPr/>
      </a:pPr>
      <a:endParaRPr lang="en-US"/>
    </a:p>
  </c:tx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n-US" sz="1200" b="1" i="0" baseline="0">
                <a:effectLst/>
              </a:rPr>
              <a:t>Hygiene Coverage in active camps</a:t>
            </a:r>
            <a:endParaRPr lang="en-US" sz="1200">
              <a:effectLst/>
            </a:endParaRP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n-US"/>
        </a:p>
      </c:txPr>
    </c:title>
    <c:autoTitleDeleted val="0"/>
    <c:plotArea>
      <c:layout/>
      <c:barChart>
        <c:barDir val="col"/>
        <c:grouping val="stacked"/>
        <c:varyColors val="0"/>
        <c:ser>
          <c:idx val="0"/>
          <c:order val="0"/>
          <c:tx>
            <c:strRef>
              <c:f>Analysis!$Q$156</c:f>
              <c:strCache>
                <c:ptCount val="1"/>
                <c:pt idx="0">
                  <c:v>Covered</c:v>
                </c:pt>
              </c:strCache>
            </c:strRef>
          </c:tx>
          <c:spPr>
            <a:solidFill>
              <a:schemeClr val="accent6">
                <a:lumMod val="75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Analysis!$P$157:$P$160</c:f>
              <c:strCache>
                <c:ptCount val="4"/>
                <c:pt idx="0">
                  <c:v>#HH reached by regular dedicated hygiene promotion</c:v>
                </c:pt>
                <c:pt idx="1">
                  <c:v>#HH with access to Hand Washing Station</c:v>
                </c:pt>
                <c:pt idx="2">
                  <c:v># HH received soaps</c:v>
                </c:pt>
                <c:pt idx="3">
                  <c:v># HH received Sanitary Pads</c:v>
                </c:pt>
              </c:strCache>
            </c:strRef>
          </c:cat>
          <c:val>
            <c:numRef>
              <c:f>Analysis!$Q$157:$Q$160</c:f>
              <c:numCache>
                <c:formatCode>_(* #,##0_);_(* \(#,##0\);_(* "-"??_);_(@_)</c:formatCode>
                <c:ptCount val="4"/>
                <c:pt idx="0">
                  <c:v>18518.599999999999</c:v>
                </c:pt>
                <c:pt idx="1">
                  <c:v>8164.2</c:v>
                </c:pt>
                <c:pt idx="2">
                  <c:v>18379</c:v>
                </c:pt>
                <c:pt idx="3">
                  <c:v>19055</c:v>
                </c:pt>
              </c:numCache>
            </c:numRef>
          </c:val>
          <c:extLst xmlns:c16r2="http://schemas.microsoft.com/office/drawing/2015/06/chart">
            <c:ext xmlns:c16="http://schemas.microsoft.com/office/drawing/2014/chart" uri="{C3380CC4-5D6E-409C-BE32-E72D297353CC}">
              <c16:uniqueId val="{00000000-F5FF-4313-84A4-722007FD5F1B}"/>
            </c:ext>
          </c:extLst>
        </c:ser>
        <c:ser>
          <c:idx val="1"/>
          <c:order val="1"/>
          <c:tx>
            <c:strRef>
              <c:f>Analysis!$R$156</c:f>
              <c:strCache>
                <c:ptCount val="1"/>
                <c:pt idx="0">
                  <c:v>Gap</c:v>
                </c:pt>
              </c:strCache>
            </c:strRef>
          </c:tx>
          <c:spPr>
            <a:gradFill rotWithShape="1">
              <a:gsLst>
                <a:gs pos="0">
                  <a:schemeClr val="accent6">
                    <a:tint val="77000"/>
                    <a:satMod val="103000"/>
                    <a:lumMod val="102000"/>
                    <a:tint val="94000"/>
                  </a:schemeClr>
                </a:gs>
                <a:gs pos="50000">
                  <a:schemeClr val="accent6">
                    <a:tint val="77000"/>
                    <a:satMod val="110000"/>
                    <a:lumMod val="100000"/>
                    <a:shade val="100000"/>
                  </a:schemeClr>
                </a:gs>
                <a:gs pos="100000">
                  <a:schemeClr val="accent6">
                    <a:tint val="77000"/>
                    <a:lumMod val="99000"/>
                    <a:satMod val="120000"/>
                    <a:shade val="78000"/>
                  </a:schemeClr>
                </a:gs>
              </a:gsLst>
              <a:lin ang="5400000" scaled="0"/>
            </a:gra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Analysis!$P$157:$P$160</c:f>
              <c:strCache>
                <c:ptCount val="4"/>
                <c:pt idx="0">
                  <c:v>#HH reached by regular dedicated hygiene promotion</c:v>
                </c:pt>
                <c:pt idx="1">
                  <c:v>#HH with access to Hand Washing Station</c:v>
                </c:pt>
                <c:pt idx="2">
                  <c:v># HH received soaps</c:v>
                </c:pt>
                <c:pt idx="3">
                  <c:v># HH received Sanitary Pads</c:v>
                </c:pt>
              </c:strCache>
            </c:strRef>
          </c:cat>
          <c:val>
            <c:numRef>
              <c:f>Analysis!$R$157:$R$160</c:f>
              <c:numCache>
                <c:formatCode>_(* #,##0_);_(* \(#,##0\);_(* "-"??_);_(@_)</c:formatCode>
                <c:ptCount val="4"/>
                <c:pt idx="0">
                  <c:v>4552.4000000000015</c:v>
                </c:pt>
                <c:pt idx="1">
                  <c:v>14906.8</c:v>
                </c:pt>
                <c:pt idx="2">
                  <c:v>4692</c:v>
                </c:pt>
                <c:pt idx="3">
                  <c:v>4016</c:v>
                </c:pt>
              </c:numCache>
            </c:numRef>
          </c:val>
          <c:extLst xmlns:c16r2="http://schemas.microsoft.com/office/drawing/2015/06/chart">
            <c:ext xmlns:c16="http://schemas.microsoft.com/office/drawing/2014/chart" uri="{C3380CC4-5D6E-409C-BE32-E72D297353CC}">
              <c16:uniqueId val="{00000001-F5FF-4313-84A4-722007FD5F1B}"/>
            </c:ext>
          </c:extLst>
        </c:ser>
        <c:dLbls>
          <c:showLegendKey val="0"/>
          <c:showVal val="0"/>
          <c:showCatName val="0"/>
          <c:showSerName val="0"/>
          <c:showPercent val="0"/>
          <c:showBubbleSize val="0"/>
        </c:dLbls>
        <c:gapWidth val="150"/>
        <c:overlap val="100"/>
        <c:axId val="486297072"/>
        <c:axId val="486295112"/>
      </c:barChart>
      <c:catAx>
        <c:axId val="486297072"/>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486295112"/>
        <c:crosses val="autoZero"/>
        <c:auto val="1"/>
        <c:lblAlgn val="ctr"/>
        <c:lblOffset val="100"/>
        <c:noMultiLvlLbl val="0"/>
      </c:catAx>
      <c:valAx>
        <c:axId val="486295112"/>
        <c:scaling>
          <c:orientation val="minMax"/>
        </c:scaling>
        <c:delete val="0"/>
        <c:axPos val="l"/>
        <c:majorGridlines>
          <c:spPr>
            <a:ln w="9525" cap="flat" cmpd="sng" algn="ctr">
              <a:solidFill>
                <a:schemeClr val="tx2">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486297072"/>
        <c:crosses val="autoZero"/>
        <c:crossBetween val="between"/>
      </c:valAx>
      <c:spPr>
        <a:noFill/>
        <a:ln>
          <a:noFill/>
        </a:ln>
        <a:effectLst/>
      </c:spPr>
    </c:plotArea>
    <c:legend>
      <c:legendPos val="b"/>
      <c:legendEntry>
        <c:idx val="1"/>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Entry>
      <c:layout>
        <c:manualLayout>
          <c:xMode val="edge"/>
          <c:yMode val="edge"/>
          <c:x val="0.39631435292145367"/>
          <c:y val="0.88868555664118631"/>
          <c:w val="0.18971575565758234"/>
          <c:h val="8.211736306684291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pivotSource>
    <c:name>[2018_06_05_Myanmar_WASH_4W_2018_Q1_final.xlsx]Analysis!PivotTable3</c:name>
    <c:fmtId val="11"/>
  </c:pivotSource>
  <c:chart>
    <c:title>
      <c:tx>
        <c:rich>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r>
              <a:rPr lang="en-US" sz="1200" b="1" i="0" baseline="0">
                <a:effectLst/>
              </a:rPr>
              <a:t>Water Point Coverage</a:t>
            </a:r>
          </a:p>
          <a:p>
            <a:pPr>
              <a:defRPr sz="1200"/>
            </a:pPr>
            <a:r>
              <a:rPr lang="en-US" sz="1200" b="1" i="0" baseline="0">
                <a:effectLst/>
              </a:rPr>
              <a:t>(in active IDP camps)</a:t>
            </a:r>
          </a:p>
        </c:rich>
      </c:tx>
      <c:layout>
        <c:manualLayout>
          <c:xMode val="edge"/>
          <c:yMode val="edge"/>
          <c:x val="0.34569490198553171"/>
          <c:y val="1.1025611975724554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n-US"/>
        </a:p>
      </c:txPr>
    </c:title>
    <c:autoTitleDeleted val="0"/>
    <c:pivotFmts>
      <c:pivotFmt>
        <c:idx val="0"/>
        <c:spPr>
          <a:solidFill>
            <a:srgbClr val="0070C0"/>
          </a:solidFill>
          <a:ln>
            <a:noFill/>
          </a:ln>
          <a:effectLst/>
        </c:spPr>
        <c:marker>
          <c:symbol val="circle"/>
          <c:size val="6"/>
          <c:spPr>
            <a:gradFill rotWithShape="1">
              <a:gsLst>
                <a:gs pos="0">
                  <a:schemeClr val="accent1">
                    <a:shade val="76000"/>
                    <a:satMod val="103000"/>
                    <a:lumMod val="102000"/>
                    <a:tint val="94000"/>
                  </a:schemeClr>
                </a:gs>
                <a:gs pos="50000">
                  <a:schemeClr val="accent1">
                    <a:shade val="76000"/>
                    <a:satMod val="110000"/>
                    <a:lumMod val="100000"/>
                    <a:shade val="100000"/>
                  </a:schemeClr>
                </a:gs>
                <a:gs pos="100000">
                  <a:schemeClr val="accent1">
                    <a:shade val="76000"/>
                    <a:lumMod val="99000"/>
                    <a:satMod val="120000"/>
                    <a:shade val="78000"/>
                  </a:schemeClr>
                </a:gs>
              </a:gsLst>
              <a:lin ang="5400000" scaled="0"/>
            </a:gradFill>
            <a:ln w="12700">
              <a:solidFill>
                <a:schemeClr val="lt2"/>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
        <c:spPr>
          <a:solidFill>
            <a:schemeClr val="accent1">
              <a:lumMod val="40000"/>
              <a:lumOff val="60000"/>
            </a:schemeClr>
          </a:solidFill>
          <a:ln>
            <a:noFill/>
          </a:ln>
          <a:effectLst/>
        </c:spPr>
        <c:marker>
          <c:symbol val="circle"/>
          <c:size val="6"/>
          <c:spPr>
            <a:gradFill rotWithShape="1">
              <a:gsLst>
                <a:gs pos="0">
                  <a:schemeClr val="accent1">
                    <a:tint val="77000"/>
                    <a:satMod val="103000"/>
                    <a:lumMod val="102000"/>
                    <a:tint val="94000"/>
                  </a:schemeClr>
                </a:gs>
                <a:gs pos="50000">
                  <a:schemeClr val="accent1">
                    <a:tint val="77000"/>
                    <a:satMod val="110000"/>
                    <a:lumMod val="100000"/>
                    <a:shade val="100000"/>
                  </a:schemeClr>
                </a:gs>
                <a:gs pos="100000">
                  <a:schemeClr val="accent1">
                    <a:tint val="77000"/>
                    <a:lumMod val="99000"/>
                    <a:satMod val="120000"/>
                    <a:shade val="78000"/>
                  </a:schemeClr>
                </a:gs>
              </a:gsLst>
              <a:lin ang="5400000" scaled="0"/>
            </a:gradFill>
            <a:ln w="12700">
              <a:solidFill>
                <a:schemeClr val="lt2"/>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2"/>
        <c:spPr>
          <a:solidFill>
            <a:srgbClr val="0070C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3"/>
        <c:spPr>
          <a:solidFill>
            <a:schemeClr val="accent1">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4"/>
        <c:spPr>
          <a:solidFill>
            <a:srgbClr val="0070C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5"/>
        <c:spPr>
          <a:solidFill>
            <a:schemeClr val="accent1">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s>
    <c:plotArea>
      <c:layout>
        <c:manualLayout>
          <c:layoutTarget val="inner"/>
          <c:xMode val="edge"/>
          <c:yMode val="edge"/>
          <c:x val="7.724496922737123E-2"/>
          <c:y val="0.20011485735940066"/>
          <c:w val="0.74096349838355224"/>
          <c:h val="0.64443356352553927"/>
        </c:manualLayout>
      </c:layout>
      <c:barChart>
        <c:barDir val="col"/>
        <c:grouping val="stacked"/>
        <c:varyColors val="0"/>
        <c:ser>
          <c:idx val="0"/>
          <c:order val="0"/>
          <c:tx>
            <c:strRef>
              <c:f>Analysis!$H$40</c:f>
              <c:strCache>
                <c:ptCount val="1"/>
                <c:pt idx="0">
                  <c:v>Coverage</c:v>
                </c:pt>
              </c:strCache>
            </c:strRef>
          </c:tx>
          <c:spPr>
            <a:solidFill>
              <a:srgbClr val="0070C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Analysis!$G$41:$G$42</c:f>
              <c:strCache>
                <c:ptCount val="2"/>
                <c:pt idx="0">
                  <c:v># in active camps (500:1)</c:v>
                </c:pt>
                <c:pt idx="1">
                  <c:v># in villages (500:1)</c:v>
                </c:pt>
              </c:strCache>
            </c:strRef>
          </c:cat>
          <c:val>
            <c:numRef>
              <c:f>Analysis!$H$41:$H$42</c:f>
              <c:numCache>
                <c:formatCode>0</c:formatCode>
                <c:ptCount val="2"/>
                <c:pt idx="0">
                  <c:v>237.46799999999999</c:v>
                </c:pt>
                <c:pt idx="1">
                  <c:v>74.329999999999984</c:v>
                </c:pt>
              </c:numCache>
            </c:numRef>
          </c:val>
          <c:extLst xmlns:c16r2="http://schemas.microsoft.com/office/drawing/2015/06/chart">
            <c:ext xmlns:c16="http://schemas.microsoft.com/office/drawing/2014/chart" uri="{C3380CC4-5D6E-409C-BE32-E72D297353CC}">
              <c16:uniqueId val="{00000000-160F-4B72-87E9-D63AE3C2B454}"/>
            </c:ext>
          </c:extLst>
        </c:ser>
        <c:ser>
          <c:idx val="1"/>
          <c:order val="1"/>
          <c:tx>
            <c:strRef>
              <c:f>Analysis!$I$40</c:f>
              <c:strCache>
                <c:ptCount val="1"/>
                <c:pt idx="0">
                  <c:v>Gap</c:v>
                </c:pt>
              </c:strCache>
            </c:strRef>
          </c:tx>
          <c:spPr>
            <a:solidFill>
              <a:schemeClr val="accent1">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Analysis!$G$41:$G$42</c:f>
              <c:strCache>
                <c:ptCount val="2"/>
                <c:pt idx="0">
                  <c:v># in active camps (500:1)</c:v>
                </c:pt>
                <c:pt idx="1">
                  <c:v># in villages (500:1)</c:v>
                </c:pt>
              </c:strCache>
            </c:strRef>
          </c:cat>
          <c:val>
            <c:numRef>
              <c:f>Analysis!$I$41:$I$42</c:f>
              <c:numCache>
                <c:formatCode>0</c:formatCode>
                <c:ptCount val="2"/>
                <c:pt idx="0">
                  <c:v>7.7539999999999987</c:v>
                </c:pt>
                <c:pt idx="1">
                  <c:v>58.012</c:v>
                </c:pt>
              </c:numCache>
            </c:numRef>
          </c:val>
          <c:extLst xmlns:c16r2="http://schemas.microsoft.com/office/drawing/2015/06/chart">
            <c:ext xmlns:c16="http://schemas.microsoft.com/office/drawing/2014/chart" uri="{C3380CC4-5D6E-409C-BE32-E72D297353CC}">
              <c16:uniqueId val="{00000001-160F-4B72-87E9-D63AE3C2B454}"/>
            </c:ext>
          </c:extLst>
        </c:ser>
        <c:dLbls>
          <c:dLblPos val="ctr"/>
          <c:showLegendKey val="0"/>
          <c:showVal val="1"/>
          <c:showCatName val="0"/>
          <c:showSerName val="0"/>
          <c:showPercent val="0"/>
          <c:showBubbleSize val="0"/>
        </c:dLbls>
        <c:gapWidth val="150"/>
        <c:overlap val="100"/>
        <c:axId val="486297856"/>
        <c:axId val="486304912"/>
      </c:barChart>
      <c:catAx>
        <c:axId val="486297856"/>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486304912"/>
        <c:crosses val="autoZero"/>
        <c:auto val="1"/>
        <c:lblAlgn val="ctr"/>
        <c:lblOffset val="100"/>
        <c:noMultiLvlLbl val="0"/>
      </c:catAx>
      <c:valAx>
        <c:axId val="486304912"/>
        <c:scaling>
          <c:orientation val="minMax"/>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48629785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extLst xmlns:c16r2="http://schemas.microsoft.com/office/drawing/2015/06/chart">
    <c:ext xmlns:c16="http://schemas.microsoft.com/office/drawing/2014/chart" uri="{E28EC0CA-F0BB-4C9C-879D-F8772B89E7AC}">
      <c16:pivotOptions16>
        <c16:showExpandCollapseFieldButtons val="1"/>
      </c16:pivotOptions16>
    </c:ext>
    <c:ext xmlns:c14="http://schemas.microsoft.com/office/drawing/2007/8/2/chart" uri="{781A3756-C4B2-4CAC-9D66-4F8BD8637D16}">
      <c14:pivotOptions>
        <c14:dropZoneFilter val="1"/>
        <c14:dropZoneCategories val="1"/>
        <c14:dropZoneData val="1"/>
        <c14:dropZoneSeries val="1"/>
      </c14:pivotOptions>
    </c:ext>
  </c:extLst>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 Covered upon HRP targets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HRP!$L$86</c:f>
              <c:strCache>
                <c:ptCount val="1"/>
                <c:pt idx="0">
                  <c:v>Number of people with equitable and safe access to sufficient quantity of drinking water</c:v>
                </c:pt>
              </c:strCache>
            </c:strRef>
          </c:tx>
          <c:spPr>
            <a:solidFill>
              <a:srgbClr val="0070C0"/>
            </a:soli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HRP!$C$87:$C$89</c15:sqref>
                  </c15:fullRef>
                </c:ext>
              </c:extLst>
              <c:f>HRP!$C$87</c:f>
              <c:strCache>
                <c:ptCount val="1"/>
                <c:pt idx="0">
                  <c:v>Kachin</c:v>
                </c:pt>
              </c:strCache>
            </c:strRef>
          </c:cat>
          <c:val>
            <c:numRef>
              <c:extLst>
                <c:ext xmlns:c15="http://schemas.microsoft.com/office/drawing/2012/chart" uri="{02D57815-91ED-43cb-92C2-25804820EDAC}">
                  <c15:fullRef>
                    <c15:sqref>HRP!$L$87:$L$89</c15:sqref>
                  </c15:fullRef>
                </c:ext>
              </c:extLst>
              <c:f>HRP!$L$87</c:f>
              <c:numCache>
                <c:formatCode>0%</c:formatCode>
                <c:ptCount val="1"/>
                <c:pt idx="0">
                  <c:v>0.66633122828635472</c:v>
                </c:pt>
              </c:numCache>
            </c:numRef>
          </c:val>
          <c:extLst xmlns:c16r2="http://schemas.microsoft.com/office/drawing/2015/06/chart">
            <c:ext xmlns:c16="http://schemas.microsoft.com/office/drawing/2014/chart" uri="{C3380CC4-5D6E-409C-BE32-E72D297353CC}">
              <c16:uniqueId val="{00000000-F480-4DCE-801A-53F23E268200}"/>
            </c:ext>
          </c:extLst>
        </c:ser>
        <c:ser>
          <c:idx val="1"/>
          <c:order val="1"/>
          <c:tx>
            <c:strRef>
              <c:f>HRP!$M$86</c:f>
              <c:strCache>
                <c:ptCount val="1"/>
                <c:pt idx="0">
                  <c:v>Number of people with equitable and safe access to sufficient quantity of domestic water</c:v>
                </c:pt>
              </c:strCache>
            </c:strRef>
          </c:tx>
          <c:spPr>
            <a:solidFill>
              <a:srgbClr val="0070C0"/>
            </a:soli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HRP!$C$87:$C$89</c15:sqref>
                  </c15:fullRef>
                </c:ext>
              </c:extLst>
              <c:f>HRP!$C$87</c:f>
              <c:strCache>
                <c:ptCount val="1"/>
                <c:pt idx="0">
                  <c:v>Kachin</c:v>
                </c:pt>
              </c:strCache>
            </c:strRef>
          </c:cat>
          <c:val>
            <c:numRef>
              <c:extLst>
                <c:ext xmlns:c15="http://schemas.microsoft.com/office/drawing/2012/chart" uri="{02D57815-91ED-43cb-92C2-25804820EDAC}">
                  <c15:fullRef>
                    <c15:sqref>HRP!$M$87:$M$89</c15:sqref>
                  </c15:fullRef>
                </c:ext>
              </c:extLst>
              <c:f>HRP!$M$87</c:f>
              <c:numCache>
                <c:formatCode>0%</c:formatCode>
                <c:ptCount val="1"/>
                <c:pt idx="0">
                  <c:v>0.66633122828635472</c:v>
                </c:pt>
              </c:numCache>
            </c:numRef>
          </c:val>
          <c:extLst xmlns:c16r2="http://schemas.microsoft.com/office/drawing/2015/06/chart">
            <c:ext xmlns:c16="http://schemas.microsoft.com/office/drawing/2014/chart" uri="{C3380CC4-5D6E-409C-BE32-E72D297353CC}">
              <c16:uniqueId val="{00000001-F480-4DCE-801A-53F23E268200}"/>
            </c:ext>
          </c:extLst>
        </c:ser>
        <c:ser>
          <c:idx val="2"/>
          <c:order val="2"/>
          <c:tx>
            <c:strRef>
              <c:f>HRP!$N$86</c:f>
              <c:strCache>
                <c:ptCount val="1"/>
                <c:pt idx="0">
                  <c:v>Number of people with access to functional sanitation facilities</c:v>
                </c:pt>
              </c:strCache>
            </c:strRef>
          </c:tx>
          <c:spPr>
            <a:solidFill>
              <a:schemeClr val="accent2">
                <a:lumMod val="75000"/>
              </a:schemeClr>
            </a:soli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HRP!$C$87:$C$89</c15:sqref>
                  </c15:fullRef>
                </c:ext>
              </c:extLst>
              <c:f>HRP!$C$87</c:f>
              <c:strCache>
                <c:ptCount val="1"/>
                <c:pt idx="0">
                  <c:v>Kachin</c:v>
                </c:pt>
              </c:strCache>
            </c:strRef>
          </c:cat>
          <c:val>
            <c:numRef>
              <c:extLst>
                <c:ext xmlns:c15="http://schemas.microsoft.com/office/drawing/2012/chart" uri="{02D57815-91ED-43cb-92C2-25804820EDAC}">
                  <c15:fullRef>
                    <c15:sqref>HRP!$N$87:$N$89</c15:sqref>
                  </c15:fullRef>
                </c:ext>
              </c:extLst>
              <c:f>HRP!$N$87</c:f>
              <c:numCache>
                <c:formatCode>0%</c:formatCode>
                <c:ptCount val="1"/>
                <c:pt idx="0">
                  <c:v>0.6098047269428899</c:v>
                </c:pt>
              </c:numCache>
            </c:numRef>
          </c:val>
          <c:extLst xmlns:c16r2="http://schemas.microsoft.com/office/drawing/2015/06/chart">
            <c:ext xmlns:c16="http://schemas.microsoft.com/office/drawing/2014/chart" uri="{C3380CC4-5D6E-409C-BE32-E72D297353CC}">
              <c16:uniqueId val="{00000002-F480-4DCE-801A-53F23E268200}"/>
            </c:ext>
          </c:extLst>
        </c:ser>
        <c:ser>
          <c:idx val="3"/>
          <c:order val="3"/>
          <c:tx>
            <c:strRef>
              <c:f>HRP!$O$86</c:f>
              <c:strCache>
                <c:ptCount val="1"/>
                <c:pt idx="0">
                  <c:v>Number of people with access to continuous sanitation services</c:v>
                </c:pt>
              </c:strCache>
            </c:strRef>
          </c:tx>
          <c:spPr>
            <a:solidFill>
              <a:schemeClr val="accent2">
                <a:lumMod val="75000"/>
              </a:schemeClr>
            </a:soli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HRP!$C$87:$C$89</c15:sqref>
                  </c15:fullRef>
                </c:ext>
              </c:extLst>
              <c:f>HRP!$C$87</c:f>
              <c:strCache>
                <c:ptCount val="1"/>
                <c:pt idx="0">
                  <c:v>Kachin</c:v>
                </c:pt>
              </c:strCache>
            </c:strRef>
          </c:cat>
          <c:val>
            <c:numRef>
              <c:extLst>
                <c:ext xmlns:c15="http://schemas.microsoft.com/office/drawing/2012/chart" uri="{02D57815-91ED-43cb-92C2-25804820EDAC}">
                  <c15:fullRef>
                    <c15:sqref>HRP!$O$87:$O$89</c15:sqref>
                  </c15:fullRef>
                </c:ext>
              </c:extLst>
              <c:f>HRP!$O$87</c:f>
              <c:numCache>
                <c:formatCode>0%</c:formatCode>
                <c:ptCount val="1"/>
                <c:pt idx="0">
                  <c:v>0.30275025243449538</c:v>
                </c:pt>
              </c:numCache>
            </c:numRef>
          </c:val>
          <c:extLst xmlns:c16r2="http://schemas.microsoft.com/office/drawing/2015/06/chart">
            <c:ext xmlns:c16="http://schemas.microsoft.com/office/drawing/2014/chart" uri="{C3380CC4-5D6E-409C-BE32-E72D297353CC}">
              <c16:uniqueId val="{00000003-F480-4DCE-801A-53F23E268200}"/>
            </c:ext>
          </c:extLst>
        </c:ser>
        <c:ser>
          <c:idx val="4"/>
          <c:order val="4"/>
          <c:tx>
            <c:strRef>
              <c:f>HRP!$P$86</c:f>
              <c:strCache>
                <c:ptCount val="1"/>
                <c:pt idx="0">
                  <c:v>Number of people reached by regular dedicated hygiene promotion/behavior change activities</c:v>
                </c:pt>
              </c:strCache>
            </c:strRef>
          </c:tx>
          <c:spPr>
            <a:solidFill>
              <a:schemeClr val="accent6">
                <a:lumMod val="75000"/>
              </a:schemeClr>
            </a:soli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HRP!$C$87:$C$89</c15:sqref>
                  </c15:fullRef>
                </c:ext>
              </c:extLst>
              <c:f>HRP!$C$87</c:f>
              <c:strCache>
                <c:ptCount val="1"/>
                <c:pt idx="0">
                  <c:v>Kachin</c:v>
                </c:pt>
              </c:strCache>
            </c:strRef>
          </c:cat>
          <c:val>
            <c:numRef>
              <c:extLst>
                <c:ext xmlns:c15="http://schemas.microsoft.com/office/drawing/2012/chart" uri="{02D57815-91ED-43cb-92C2-25804820EDAC}">
                  <c15:fullRef>
                    <c15:sqref>HRP!$P$87:$P$89</c15:sqref>
                  </c15:fullRef>
                </c:ext>
              </c:extLst>
              <c:f>HRP!$P$87</c:f>
              <c:numCache>
                <c:formatCode>0%</c:formatCode>
                <c:ptCount val="1"/>
                <c:pt idx="0">
                  <c:v>0.47462819393814926</c:v>
                </c:pt>
              </c:numCache>
            </c:numRef>
          </c:val>
          <c:extLst xmlns:c16r2="http://schemas.microsoft.com/office/drawing/2015/06/chart">
            <c:ext xmlns:c16="http://schemas.microsoft.com/office/drawing/2014/chart" uri="{C3380CC4-5D6E-409C-BE32-E72D297353CC}">
              <c16:uniqueId val="{00000004-F480-4DCE-801A-53F23E268200}"/>
            </c:ext>
          </c:extLst>
        </c:ser>
        <c:ser>
          <c:idx val="5"/>
          <c:order val="5"/>
          <c:tx>
            <c:strRef>
              <c:f>HRP!$Q$86</c:f>
              <c:strCache>
                <c:ptCount val="1"/>
                <c:pt idx="0">
                  <c:v>Number of people who received regular supply of hygiene items</c:v>
                </c:pt>
              </c:strCache>
            </c:strRef>
          </c:tx>
          <c:spPr>
            <a:solidFill>
              <a:schemeClr val="accent6">
                <a:lumMod val="75000"/>
              </a:schemeClr>
            </a:soli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HRP!$C$87:$C$89</c15:sqref>
                  </c15:fullRef>
                </c:ext>
              </c:extLst>
              <c:f>HRP!$C$87</c:f>
              <c:strCache>
                <c:ptCount val="1"/>
                <c:pt idx="0">
                  <c:v>Kachin</c:v>
                </c:pt>
              </c:strCache>
            </c:strRef>
          </c:cat>
          <c:val>
            <c:numRef>
              <c:extLst>
                <c:ext xmlns:c15="http://schemas.microsoft.com/office/drawing/2012/chart" uri="{02D57815-91ED-43cb-92C2-25804820EDAC}">
                  <c15:fullRef>
                    <c15:sqref>HRP!$Q$87:$Q$89</c15:sqref>
                  </c15:fullRef>
                </c:ext>
              </c:extLst>
              <c:f>HRP!$Q$87</c:f>
              <c:numCache>
                <c:formatCode>0%</c:formatCode>
                <c:ptCount val="1"/>
                <c:pt idx="0">
                  <c:v>0.16549434375588301</c:v>
                </c:pt>
              </c:numCache>
            </c:numRef>
          </c:val>
          <c:extLst xmlns:c16r2="http://schemas.microsoft.com/office/drawing/2015/06/chart">
            <c:ext xmlns:c16="http://schemas.microsoft.com/office/drawing/2014/chart" uri="{C3380CC4-5D6E-409C-BE32-E72D297353CC}">
              <c16:uniqueId val="{00000005-F480-4DCE-801A-53F23E268200}"/>
            </c:ext>
          </c:extLst>
        </c:ser>
        <c:dLbls>
          <c:dLblPos val="outEnd"/>
          <c:showLegendKey val="0"/>
          <c:showVal val="1"/>
          <c:showCatName val="0"/>
          <c:showSerName val="0"/>
          <c:showPercent val="0"/>
          <c:showBubbleSize val="0"/>
        </c:dLbls>
        <c:gapWidth val="100"/>
        <c:overlap val="-24"/>
        <c:axId val="365211152"/>
        <c:axId val="365213112"/>
      </c:barChart>
      <c:catAx>
        <c:axId val="365211152"/>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365213112"/>
        <c:crosses val="autoZero"/>
        <c:auto val="1"/>
        <c:lblAlgn val="ctr"/>
        <c:lblOffset val="100"/>
        <c:noMultiLvlLbl val="0"/>
      </c:catAx>
      <c:valAx>
        <c:axId val="3652131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6521115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r>
              <a:rPr lang="en-US" sz="1200"/>
              <a:t>Effective drainage</a:t>
            </a:r>
          </a:p>
          <a:p>
            <a:pPr>
              <a:defRPr sz="1200"/>
            </a:pPr>
            <a:r>
              <a:rPr lang="en-US" sz="1200"/>
              <a:t> in active camps</a:t>
            </a:r>
          </a:p>
        </c:rich>
      </c:tx>
      <c:layout>
        <c:manualLayout>
          <c:xMode val="edge"/>
          <c:yMode val="edge"/>
          <c:x val="0.31744740740028904"/>
          <c:y val="1.88516803230020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0.25898566962892472"/>
          <c:y val="0.21514912650547194"/>
          <c:w val="0.42659225812820534"/>
          <c:h val="0.72483671772948577"/>
        </c:manualLayout>
      </c:layout>
      <c:pieChart>
        <c:varyColors val="1"/>
        <c:ser>
          <c:idx val="1"/>
          <c:order val="1"/>
          <c:tx>
            <c:strRef>
              <c:f>Analysis!$B$124</c:f>
              <c:strCache>
                <c:ptCount val="1"/>
                <c:pt idx="0">
                  <c:v>Rakhine</c:v>
                </c:pt>
              </c:strCache>
              <c:extLst xmlns:c15="http://schemas.microsoft.com/office/drawing/2012/chart" xmlns:c16r2="http://schemas.microsoft.com/office/drawing/2015/06/chart"/>
            </c:strRef>
          </c:tx>
          <c:dPt>
            <c:idx val="0"/>
            <c:bubble3D val="0"/>
            <c:spPr>
              <a:gradFill rotWithShape="1">
                <a:gsLst>
                  <a:gs pos="0">
                    <a:schemeClr val="accent2">
                      <a:shade val="58000"/>
                      <a:satMod val="103000"/>
                      <a:lumMod val="102000"/>
                      <a:tint val="94000"/>
                    </a:schemeClr>
                  </a:gs>
                  <a:gs pos="50000">
                    <a:schemeClr val="accent2">
                      <a:shade val="58000"/>
                      <a:satMod val="110000"/>
                      <a:lumMod val="100000"/>
                      <a:shade val="100000"/>
                    </a:schemeClr>
                  </a:gs>
                  <a:gs pos="100000">
                    <a:schemeClr val="accent2">
                      <a:shade val="58000"/>
                      <a:lumMod val="99000"/>
                      <a:satMod val="120000"/>
                      <a:shade val="78000"/>
                    </a:schemeClr>
                  </a:gs>
                </a:gsLst>
                <a:lin ang="5400000" scaled="0"/>
              </a:gradFill>
              <a:ln>
                <a:noFill/>
              </a:ln>
              <a:effectLst/>
            </c:spPr>
            <c:extLst xmlns:c16r2="http://schemas.microsoft.com/office/drawing/2015/06/chart">
              <c:ext xmlns:c16="http://schemas.microsoft.com/office/drawing/2014/chart" uri="{C3380CC4-5D6E-409C-BE32-E72D297353CC}">
                <c16:uniqueId val="{00000001-122C-4636-A191-0ADF6FD821A0}"/>
              </c:ext>
            </c:extLst>
          </c:dPt>
          <c:dPt>
            <c:idx val="1"/>
            <c:bubble3D val="0"/>
            <c:spPr>
              <a:gradFill rotWithShape="1">
                <a:gsLst>
                  <a:gs pos="0">
                    <a:schemeClr val="accent2">
                      <a:shade val="86000"/>
                      <a:satMod val="103000"/>
                      <a:lumMod val="102000"/>
                      <a:tint val="94000"/>
                    </a:schemeClr>
                  </a:gs>
                  <a:gs pos="50000">
                    <a:schemeClr val="accent2">
                      <a:shade val="86000"/>
                      <a:satMod val="110000"/>
                      <a:lumMod val="100000"/>
                      <a:shade val="100000"/>
                    </a:schemeClr>
                  </a:gs>
                  <a:gs pos="100000">
                    <a:schemeClr val="accent2">
                      <a:shade val="86000"/>
                      <a:lumMod val="99000"/>
                      <a:satMod val="120000"/>
                      <a:shade val="78000"/>
                    </a:schemeClr>
                  </a:gs>
                </a:gsLst>
                <a:lin ang="5400000" scaled="0"/>
              </a:gradFill>
              <a:ln>
                <a:noFill/>
              </a:ln>
              <a:effectLst/>
            </c:spPr>
            <c:extLst xmlns:c16r2="http://schemas.microsoft.com/office/drawing/2015/06/chart">
              <c:ext xmlns:c16="http://schemas.microsoft.com/office/drawing/2014/chart" uri="{C3380CC4-5D6E-409C-BE32-E72D297353CC}">
                <c16:uniqueId val="{00000003-122C-4636-A191-0ADF6FD821A0}"/>
              </c:ext>
            </c:extLst>
          </c:dPt>
          <c:dPt>
            <c:idx val="2"/>
            <c:bubble3D val="0"/>
            <c:spPr>
              <a:gradFill rotWithShape="1">
                <a:gsLst>
                  <a:gs pos="0">
                    <a:schemeClr val="accent2">
                      <a:tint val="86000"/>
                      <a:satMod val="103000"/>
                      <a:lumMod val="102000"/>
                      <a:tint val="94000"/>
                    </a:schemeClr>
                  </a:gs>
                  <a:gs pos="50000">
                    <a:schemeClr val="accent2">
                      <a:tint val="86000"/>
                      <a:satMod val="110000"/>
                      <a:lumMod val="100000"/>
                      <a:shade val="100000"/>
                    </a:schemeClr>
                  </a:gs>
                  <a:gs pos="100000">
                    <a:schemeClr val="accent2">
                      <a:tint val="86000"/>
                      <a:lumMod val="99000"/>
                      <a:satMod val="120000"/>
                      <a:shade val="78000"/>
                    </a:schemeClr>
                  </a:gs>
                </a:gsLst>
                <a:lin ang="5400000" scaled="0"/>
              </a:gradFill>
              <a:ln>
                <a:noFill/>
              </a:ln>
              <a:effectLst/>
            </c:spPr>
            <c:extLst xmlns:c16r2="http://schemas.microsoft.com/office/drawing/2015/06/chart">
              <c:ext xmlns:c16="http://schemas.microsoft.com/office/drawing/2014/chart" uri="{C3380CC4-5D6E-409C-BE32-E72D297353CC}">
                <c16:uniqueId val="{00000005-122C-4636-A191-0ADF6FD821A0}"/>
              </c:ext>
            </c:extLst>
          </c:dPt>
          <c:dPt>
            <c:idx val="3"/>
            <c:bubble3D val="0"/>
            <c:spPr>
              <a:gradFill rotWithShape="1">
                <a:gsLst>
                  <a:gs pos="0">
                    <a:schemeClr val="accent2">
                      <a:tint val="58000"/>
                      <a:satMod val="103000"/>
                      <a:lumMod val="102000"/>
                      <a:tint val="94000"/>
                    </a:schemeClr>
                  </a:gs>
                  <a:gs pos="50000">
                    <a:schemeClr val="accent2">
                      <a:tint val="58000"/>
                      <a:satMod val="110000"/>
                      <a:lumMod val="100000"/>
                      <a:shade val="100000"/>
                    </a:schemeClr>
                  </a:gs>
                  <a:gs pos="100000">
                    <a:schemeClr val="accent2">
                      <a:tint val="58000"/>
                      <a:lumMod val="99000"/>
                      <a:satMod val="120000"/>
                      <a:shade val="78000"/>
                    </a:schemeClr>
                  </a:gs>
                </a:gsLst>
                <a:lin ang="5400000" scaled="0"/>
              </a:gradFill>
              <a:ln>
                <a:noFill/>
              </a:ln>
              <a:effectLst/>
            </c:spPr>
            <c:extLst xmlns:c16r2="http://schemas.microsoft.com/office/drawing/2015/06/chart">
              <c:ext xmlns:c16="http://schemas.microsoft.com/office/drawing/2014/chart" uri="{C3380CC4-5D6E-409C-BE32-E72D297353CC}">
                <c16:uniqueId val="{00000007-122C-4636-A191-0ADF6FD821A0}"/>
              </c:ext>
            </c:extLst>
          </c:dPt>
          <c:dLbls>
            <c:dLbl>
              <c:idx val="0"/>
              <c:layout>
                <c:manualLayout>
                  <c:x val="-2.519505369412511E-2"/>
                  <c:y val="0.12156101629667651"/>
                </c:manualLayout>
              </c:layout>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dLblPos val="bestFit"/>
              <c:showLegendKey val="0"/>
              <c:showVal val="0"/>
              <c:showCatName val="0"/>
              <c:showSerName val="0"/>
              <c:showPercent val="1"/>
              <c:showBubbleSize val="0"/>
              <c:extLst xmlns:c16r2="http://schemas.microsoft.com/office/drawing/2015/06/chart">
                <c:ext xmlns:c16="http://schemas.microsoft.com/office/drawing/2014/chart" uri="{C3380CC4-5D6E-409C-BE32-E72D297353CC}">
                  <c16:uniqueId val="{00000001-122C-4636-A191-0ADF6FD821A0}"/>
                </c:ext>
                <c:ext xmlns:c15="http://schemas.microsoft.com/office/drawing/2012/chart" uri="{CE6537A1-D6FC-4f65-9D91-7224C49458BB}"/>
              </c:extLst>
            </c:dLbl>
            <c:dLbl>
              <c:idx val="1"/>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dLblPos val="bestFit"/>
              <c:showLegendKey val="0"/>
              <c:showVal val="0"/>
              <c:showCatName val="0"/>
              <c:showSerName val="0"/>
              <c:showPercent val="1"/>
              <c:showBubbleSize val="0"/>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dLblPos val="bestFit"/>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xmlns:c15="http://schemas.microsoft.com/office/drawing/2012/chart" xmlns:c16r2="http://schemas.microsoft.com/office/drawing/2015/06/chart">
              <c:ext xmlns:c15="http://schemas.microsoft.com/office/drawing/2012/chart" uri="{CE6537A1-D6FC-4f65-9D91-7224C49458BB}"/>
            </c:extLst>
          </c:dLbls>
          <c:cat>
            <c:strRef>
              <c:f>Analysis!$C$122:$F$122</c:f>
              <c:strCache>
                <c:ptCount val="4"/>
                <c:pt idx="0">
                  <c:v>Functional</c:v>
                </c:pt>
                <c:pt idx="1">
                  <c:v>NA</c:v>
                </c:pt>
                <c:pt idx="2">
                  <c:v>Not_Functional</c:v>
                </c:pt>
                <c:pt idx="3">
                  <c:v>Not_inPlace</c:v>
                </c:pt>
              </c:strCache>
              <c:extLst xmlns:c15="http://schemas.microsoft.com/office/drawing/2012/chart" xmlns:c16r2="http://schemas.microsoft.com/office/drawing/2015/06/chart"/>
            </c:strRef>
          </c:cat>
          <c:val>
            <c:numRef>
              <c:f>Analysis!$C$124:$F$124</c:f>
              <c:numCache>
                <c:formatCode>General</c:formatCode>
                <c:ptCount val="4"/>
                <c:pt idx="0">
                  <c:v>17</c:v>
                </c:pt>
                <c:pt idx="1">
                  <c:v>98</c:v>
                </c:pt>
                <c:pt idx="2">
                  <c:v>38</c:v>
                </c:pt>
                <c:pt idx="3">
                  <c:v>47</c:v>
                </c:pt>
              </c:numCache>
              <c:extLst xmlns:c15="http://schemas.microsoft.com/office/drawing/2012/chart" xmlns:c16r2="http://schemas.microsoft.com/office/drawing/2015/06/chart"/>
            </c:numRef>
          </c:val>
          <c:extLst xmlns:c16r2="http://schemas.microsoft.com/office/drawing/2015/06/chart">
            <c:ext xmlns:c16="http://schemas.microsoft.com/office/drawing/2014/chart" uri="{C3380CC4-5D6E-409C-BE32-E72D297353CC}">
              <c16:uniqueId val="{00000008-122C-4636-A191-0ADF6FD821A0}"/>
            </c:ext>
          </c:extLst>
        </c:ser>
        <c:dLbls>
          <c:dLblPos val="bestFit"/>
          <c:showLegendKey val="0"/>
          <c:showVal val="1"/>
          <c:showCatName val="0"/>
          <c:showSerName val="0"/>
          <c:showPercent val="0"/>
          <c:showBubbleSize val="0"/>
          <c:showLeaderLines val="1"/>
        </c:dLbls>
        <c:firstSliceAng val="0"/>
        <c:extLst xmlns:c16r2="http://schemas.microsoft.com/office/drawing/2015/06/chart">
          <c:ext xmlns:c15="http://schemas.microsoft.com/office/drawing/2012/chart" uri="{02D57815-91ED-43cb-92C2-25804820EDAC}">
            <c15:filteredPieSeries>
              <c15:ser>
                <c:idx val="0"/>
                <c:order val="0"/>
                <c:tx>
                  <c:strRef>
                    <c:extLst xmlns:c16r2="http://schemas.microsoft.com/office/drawing/2015/06/chart">
                      <c:ext uri="{02D57815-91ED-43cb-92C2-25804820EDAC}">
                        <c15:formulaRef>
                          <c15:sqref>Analysis!$B$123</c15:sqref>
                        </c15:formulaRef>
                      </c:ext>
                    </c:extLst>
                    <c:strCache>
                      <c:ptCount val="1"/>
                      <c:pt idx="0">
                        <c:v>Kachin</c:v>
                      </c:pt>
                    </c:strCache>
                  </c:strRef>
                </c:tx>
                <c:dPt>
                  <c:idx val="0"/>
                  <c:bubble3D val="0"/>
                  <c:spPr>
                    <a:gradFill rotWithShape="1">
                      <a:gsLst>
                        <a:gs pos="0">
                          <a:schemeClr val="accent2">
                            <a:shade val="58000"/>
                            <a:satMod val="103000"/>
                            <a:lumMod val="102000"/>
                            <a:tint val="94000"/>
                          </a:schemeClr>
                        </a:gs>
                        <a:gs pos="50000">
                          <a:schemeClr val="accent2">
                            <a:shade val="58000"/>
                            <a:satMod val="110000"/>
                            <a:lumMod val="100000"/>
                            <a:shade val="100000"/>
                          </a:schemeClr>
                        </a:gs>
                        <a:gs pos="100000">
                          <a:schemeClr val="accent2">
                            <a:shade val="58000"/>
                            <a:lumMod val="99000"/>
                            <a:satMod val="120000"/>
                            <a:shade val="78000"/>
                          </a:schemeClr>
                        </a:gs>
                      </a:gsLst>
                      <a:lin ang="5400000" scaled="0"/>
                    </a:gradFill>
                    <a:ln>
                      <a:noFill/>
                    </a:ln>
                    <a:effectLst/>
                  </c:spPr>
                  <c:extLst xmlns:c16r2="http://schemas.microsoft.com/office/drawing/2015/06/chart">
                    <c:ext xmlns:c16="http://schemas.microsoft.com/office/drawing/2014/chart" uri="{C3380CC4-5D6E-409C-BE32-E72D297353CC}">
                      <c16:uniqueId val="{00000001-3A63-4C59-8DE1-219A0638CA1F}"/>
                    </c:ext>
                  </c:extLst>
                </c:dPt>
                <c:dPt>
                  <c:idx val="1"/>
                  <c:bubble3D val="0"/>
                  <c:spPr>
                    <a:gradFill rotWithShape="1">
                      <a:gsLst>
                        <a:gs pos="0">
                          <a:schemeClr val="accent2">
                            <a:shade val="86000"/>
                            <a:satMod val="103000"/>
                            <a:lumMod val="102000"/>
                            <a:tint val="94000"/>
                          </a:schemeClr>
                        </a:gs>
                        <a:gs pos="50000">
                          <a:schemeClr val="accent2">
                            <a:shade val="86000"/>
                            <a:satMod val="110000"/>
                            <a:lumMod val="100000"/>
                            <a:shade val="100000"/>
                          </a:schemeClr>
                        </a:gs>
                        <a:gs pos="100000">
                          <a:schemeClr val="accent2">
                            <a:shade val="86000"/>
                            <a:lumMod val="99000"/>
                            <a:satMod val="120000"/>
                            <a:shade val="78000"/>
                          </a:schemeClr>
                        </a:gs>
                      </a:gsLst>
                      <a:lin ang="5400000" scaled="0"/>
                    </a:gradFill>
                    <a:ln>
                      <a:noFill/>
                    </a:ln>
                    <a:effectLst/>
                  </c:spPr>
                  <c:extLst xmlns:c16r2="http://schemas.microsoft.com/office/drawing/2015/06/chart">
                    <c:ext xmlns:c16="http://schemas.microsoft.com/office/drawing/2014/chart" uri="{C3380CC4-5D6E-409C-BE32-E72D297353CC}">
                      <c16:uniqueId val="{00000003-3A63-4C59-8DE1-219A0638CA1F}"/>
                    </c:ext>
                  </c:extLst>
                </c:dPt>
                <c:dPt>
                  <c:idx val="2"/>
                  <c:bubble3D val="0"/>
                  <c:spPr>
                    <a:gradFill rotWithShape="1">
                      <a:gsLst>
                        <a:gs pos="0">
                          <a:schemeClr val="accent2">
                            <a:tint val="86000"/>
                            <a:satMod val="103000"/>
                            <a:lumMod val="102000"/>
                            <a:tint val="94000"/>
                          </a:schemeClr>
                        </a:gs>
                        <a:gs pos="50000">
                          <a:schemeClr val="accent2">
                            <a:tint val="86000"/>
                            <a:satMod val="110000"/>
                            <a:lumMod val="100000"/>
                            <a:shade val="100000"/>
                          </a:schemeClr>
                        </a:gs>
                        <a:gs pos="100000">
                          <a:schemeClr val="accent2">
                            <a:tint val="86000"/>
                            <a:lumMod val="99000"/>
                            <a:satMod val="120000"/>
                            <a:shade val="78000"/>
                          </a:schemeClr>
                        </a:gs>
                      </a:gsLst>
                      <a:lin ang="5400000" scaled="0"/>
                    </a:gradFill>
                    <a:ln>
                      <a:noFill/>
                    </a:ln>
                    <a:effectLst/>
                  </c:spPr>
                  <c:extLst xmlns:c16r2="http://schemas.microsoft.com/office/drawing/2015/06/chart">
                    <c:ext xmlns:c16="http://schemas.microsoft.com/office/drawing/2014/chart" uri="{C3380CC4-5D6E-409C-BE32-E72D297353CC}">
                      <c16:uniqueId val="{00000005-3A63-4C59-8DE1-219A0638CA1F}"/>
                    </c:ext>
                  </c:extLst>
                </c:dPt>
                <c:dPt>
                  <c:idx val="3"/>
                  <c:bubble3D val="0"/>
                  <c:spPr>
                    <a:gradFill rotWithShape="1">
                      <a:gsLst>
                        <a:gs pos="0">
                          <a:schemeClr val="accent2">
                            <a:tint val="58000"/>
                            <a:satMod val="103000"/>
                            <a:lumMod val="102000"/>
                            <a:tint val="94000"/>
                          </a:schemeClr>
                        </a:gs>
                        <a:gs pos="50000">
                          <a:schemeClr val="accent2">
                            <a:tint val="58000"/>
                            <a:satMod val="110000"/>
                            <a:lumMod val="100000"/>
                            <a:shade val="100000"/>
                          </a:schemeClr>
                        </a:gs>
                        <a:gs pos="100000">
                          <a:schemeClr val="accent2">
                            <a:tint val="58000"/>
                            <a:lumMod val="99000"/>
                            <a:satMod val="120000"/>
                            <a:shade val="78000"/>
                          </a:schemeClr>
                        </a:gs>
                      </a:gsLst>
                      <a:lin ang="5400000" scaled="0"/>
                    </a:gradFill>
                    <a:ln>
                      <a:noFill/>
                    </a:ln>
                    <a:effectLst/>
                  </c:spPr>
                  <c:extLst xmlns:c16r2="http://schemas.microsoft.com/office/drawing/2015/06/chart">
                    <c:ext xmlns:c16="http://schemas.microsoft.com/office/drawing/2014/chart" uri="{C3380CC4-5D6E-409C-BE32-E72D297353CC}">
                      <c16:uniqueId val="{00000007-3A63-4C59-8DE1-219A0638CA1F}"/>
                    </c:ext>
                  </c:extLst>
                </c:dPt>
                <c:dLbls>
                  <c:dLbl>
                    <c:idx val="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bg1"/>
                            </a:solidFill>
                            <a:latin typeface="+mn-lt"/>
                            <a:ea typeface="+mn-ea"/>
                            <a:cs typeface="+mn-cs"/>
                          </a:defRPr>
                        </a:pPr>
                        <a:endParaRPr lang="en-US"/>
                      </a:p>
                    </c:txPr>
                    <c:dLblPos val="bestFit"/>
                    <c:showLegendKey val="0"/>
                    <c:showVal val="0"/>
                    <c:showCatName val="0"/>
                    <c:showSerName val="0"/>
                    <c:showPercent val="1"/>
                    <c:showBubbleSize val="0"/>
                  </c:dLbl>
                  <c:dLbl>
                    <c:idx val="1"/>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bg1"/>
                            </a:solidFill>
                            <a:latin typeface="+mn-lt"/>
                            <a:ea typeface="+mn-ea"/>
                            <a:cs typeface="+mn-cs"/>
                          </a:defRPr>
                        </a:pPr>
                        <a:endParaRPr lang="en-US"/>
                      </a:p>
                    </c:txPr>
                    <c:dLblPos val="bestFit"/>
                    <c:showLegendKey val="0"/>
                    <c:showVal val="0"/>
                    <c:showCatName val="0"/>
                    <c:showSerName val="0"/>
                    <c:showPercent val="1"/>
                    <c:showBubbleSize val="0"/>
                  </c:dLbl>
                  <c:dLbl>
                    <c:idx val="3"/>
                    <c:layout>
                      <c:manualLayout>
                        <c:x val="4.4142253079837497E-2"/>
                        <c:y val="0.12624238229460433"/>
                      </c:manualLayout>
                    </c:layout>
                    <c:dLblPos val="bestFit"/>
                    <c:showLegendKey val="0"/>
                    <c:showVal val="0"/>
                    <c:showCatName val="0"/>
                    <c:showSerName val="0"/>
                    <c:showPercent val="1"/>
                    <c:showBubbleSize val="0"/>
                    <c:extLst xmlns:c16r2="http://schemas.microsoft.com/office/drawing/2015/06/chart">
                      <c:ext xmlns:c16="http://schemas.microsoft.com/office/drawing/2014/chart" uri="{C3380CC4-5D6E-409C-BE32-E72D297353CC}">
                        <c16:uniqueId val="{00000007-3A63-4C59-8DE1-219A0638CA1F}"/>
                      </c:ext>
                      <c:ex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2"/>
                          </a:solidFill>
                          <a:latin typeface="+mn-lt"/>
                          <a:ea typeface="+mn-ea"/>
                          <a:cs typeface="+mn-cs"/>
                        </a:defRPr>
                      </a:pPr>
                      <a:endParaRPr lang="en-US"/>
                    </a:p>
                  </c:txPr>
                  <c:dLblPos val="bestFit"/>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xmlns:c16r2="http://schemas.microsoft.com/office/drawing/2015/06/chart">
                    <c:ext uri="{CE6537A1-D6FC-4f65-9D91-7224C49458BB}"/>
                  </c:extLst>
                </c:dLbls>
                <c:cat>
                  <c:strRef>
                    <c:extLst xmlns:c16r2="http://schemas.microsoft.com/office/drawing/2015/06/chart">
                      <c:ext uri="{02D57815-91ED-43cb-92C2-25804820EDAC}">
                        <c15:formulaRef>
                          <c15:sqref>Analysis!$C$122:$F$122</c15:sqref>
                        </c15:formulaRef>
                      </c:ext>
                    </c:extLst>
                    <c:strCache>
                      <c:ptCount val="4"/>
                      <c:pt idx="0">
                        <c:v>Functional</c:v>
                      </c:pt>
                      <c:pt idx="1">
                        <c:v>NA</c:v>
                      </c:pt>
                      <c:pt idx="2">
                        <c:v>Not_Functional</c:v>
                      </c:pt>
                      <c:pt idx="3">
                        <c:v>Not_inPlace</c:v>
                      </c:pt>
                    </c:strCache>
                  </c:strRef>
                </c:cat>
                <c:val>
                  <c:numRef>
                    <c:extLst xmlns:c16r2="http://schemas.microsoft.com/office/drawing/2015/06/chart">
                      <c:ext uri="{02D57815-91ED-43cb-92C2-25804820EDAC}">
                        <c15:formulaRef>
                          <c15:sqref>Analysis!$C$123:$F$123</c15:sqref>
                        </c15:formulaRef>
                      </c:ext>
                    </c:extLst>
                    <c:numCache>
                      <c:formatCode>General</c:formatCode>
                      <c:ptCount val="4"/>
                      <c:pt idx="0">
                        <c:v>70</c:v>
                      </c:pt>
                      <c:pt idx="1">
                        <c:v>15</c:v>
                      </c:pt>
                      <c:pt idx="2">
                        <c:v>51</c:v>
                      </c:pt>
                      <c:pt idx="3">
                        <c:v>7</c:v>
                      </c:pt>
                    </c:numCache>
                  </c:numRef>
                </c:val>
                <c:extLst xmlns:c16r2="http://schemas.microsoft.com/office/drawing/2015/06/chart">
                  <c:ext xmlns:c16="http://schemas.microsoft.com/office/drawing/2014/chart" uri="{C3380CC4-5D6E-409C-BE32-E72D297353CC}">
                    <c16:uniqueId val="{00000008-3A63-4C59-8DE1-219A0638CA1F}"/>
                  </c:ext>
                </c:extLst>
              </c15:ser>
            </c15:filteredPieSeries>
            <c15:filteredPieSeries>
              <c15:ser>
                <c:idx val="2"/>
                <c:order val="2"/>
                <c:tx>
                  <c:strRef>
                    <c:extLst xmlns:c15="http://schemas.microsoft.com/office/drawing/2012/chart" xmlns:c16r2="http://schemas.microsoft.com/office/drawing/2015/06/chart">
                      <c:ext xmlns:c15="http://schemas.microsoft.com/office/drawing/2012/chart" uri="{02D57815-91ED-43cb-92C2-25804820EDAC}">
                        <c15:formulaRef>
                          <c15:sqref>Analysis!$B$125</c15:sqref>
                        </c15:formulaRef>
                      </c:ext>
                    </c:extLst>
                    <c:strCache>
                      <c:ptCount val="1"/>
                      <c:pt idx="0">
                        <c:v>Shan (North)</c:v>
                      </c:pt>
                    </c:strCache>
                  </c:strRef>
                </c:tx>
                <c:dPt>
                  <c:idx val="0"/>
                  <c:bubble3D val="0"/>
                  <c:spPr>
                    <a:gradFill rotWithShape="1">
                      <a:gsLst>
                        <a:gs pos="0">
                          <a:schemeClr val="accent2">
                            <a:shade val="58000"/>
                            <a:satMod val="103000"/>
                            <a:lumMod val="102000"/>
                            <a:tint val="94000"/>
                          </a:schemeClr>
                        </a:gs>
                        <a:gs pos="50000">
                          <a:schemeClr val="accent2">
                            <a:shade val="58000"/>
                            <a:satMod val="110000"/>
                            <a:lumMod val="100000"/>
                            <a:shade val="100000"/>
                          </a:schemeClr>
                        </a:gs>
                        <a:gs pos="100000">
                          <a:schemeClr val="accent2">
                            <a:shade val="58000"/>
                            <a:lumMod val="99000"/>
                            <a:satMod val="120000"/>
                            <a:shade val="78000"/>
                          </a:schemeClr>
                        </a:gs>
                      </a:gsLst>
                      <a:lin ang="5400000" scaled="0"/>
                    </a:gradFill>
                    <a:ln>
                      <a:noFill/>
                    </a:ln>
                    <a:effectLst/>
                  </c:spPr>
                  <c:extLst xmlns:c15="http://schemas.microsoft.com/office/drawing/2012/chart" xmlns:c16r2="http://schemas.microsoft.com/office/drawing/2015/06/chart">
                    <c:ext xmlns:c16="http://schemas.microsoft.com/office/drawing/2014/chart" uri="{C3380CC4-5D6E-409C-BE32-E72D297353CC}">
                      <c16:uniqueId val="{00000012-122C-4636-A191-0ADF6FD821A0}"/>
                    </c:ext>
                  </c:extLst>
                </c:dPt>
                <c:dPt>
                  <c:idx val="1"/>
                  <c:bubble3D val="0"/>
                  <c:spPr>
                    <a:gradFill rotWithShape="1">
                      <a:gsLst>
                        <a:gs pos="0">
                          <a:schemeClr val="accent2">
                            <a:shade val="86000"/>
                            <a:satMod val="103000"/>
                            <a:lumMod val="102000"/>
                            <a:tint val="94000"/>
                          </a:schemeClr>
                        </a:gs>
                        <a:gs pos="50000">
                          <a:schemeClr val="accent2">
                            <a:shade val="86000"/>
                            <a:satMod val="110000"/>
                            <a:lumMod val="100000"/>
                            <a:shade val="100000"/>
                          </a:schemeClr>
                        </a:gs>
                        <a:gs pos="100000">
                          <a:schemeClr val="accent2">
                            <a:shade val="86000"/>
                            <a:lumMod val="99000"/>
                            <a:satMod val="120000"/>
                            <a:shade val="78000"/>
                          </a:schemeClr>
                        </a:gs>
                      </a:gsLst>
                      <a:lin ang="5400000" scaled="0"/>
                    </a:gradFill>
                    <a:ln>
                      <a:noFill/>
                    </a:ln>
                    <a:effectLst/>
                  </c:spPr>
                  <c:extLst xmlns:c15="http://schemas.microsoft.com/office/drawing/2012/chart" xmlns:c16r2="http://schemas.microsoft.com/office/drawing/2015/06/chart">
                    <c:ext xmlns:c16="http://schemas.microsoft.com/office/drawing/2014/chart" uri="{C3380CC4-5D6E-409C-BE32-E72D297353CC}">
                      <c16:uniqueId val="{00000014-122C-4636-A191-0ADF6FD821A0}"/>
                    </c:ext>
                  </c:extLst>
                </c:dPt>
                <c:dPt>
                  <c:idx val="2"/>
                  <c:bubble3D val="0"/>
                  <c:spPr>
                    <a:gradFill rotWithShape="1">
                      <a:gsLst>
                        <a:gs pos="0">
                          <a:schemeClr val="accent2">
                            <a:tint val="86000"/>
                            <a:satMod val="103000"/>
                            <a:lumMod val="102000"/>
                            <a:tint val="94000"/>
                          </a:schemeClr>
                        </a:gs>
                        <a:gs pos="50000">
                          <a:schemeClr val="accent2">
                            <a:tint val="86000"/>
                            <a:satMod val="110000"/>
                            <a:lumMod val="100000"/>
                            <a:shade val="100000"/>
                          </a:schemeClr>
                        </a:gs>
                        <a:gs pos="100000">
                          <a:schemeClr val="accent2">
                            <a:tint val="86000"/>
                            <a:lumMod val="99000"/>
                            <a:satMod val="120000"/>
                            <a:shade val="78000"/>
                          </a:schemeClr>
                        </a:gs>
                      </a:gsLst>
                      <a:lin ang="5400000" scaled="0"/>
                    </a:gradFill>
                    <a:ln>
                      <a:noFill/>
                    </a:ln>
                    <a:effectLst/>
                  </c:spPr>
                  <c:extLst xmlns:c15="http://schemas.microsoft.com/office/drawing/2012/chart" xmlns:c16r2="http://schemas.microsoft.com/office/drawing/2015/06/chart">
                    <c:ext xmlns:c16="http://schemas.microsoft.com/office/drawing/2014/chart" uri="{C3380CC4-5D6E-409C-BE32-E72D297353CC}">
                      <c16:uniqueId val="{00000016-122C-4636-A191-0ADF6FD821A0}"/>
                    </c:ext>
                  </c:extLst>
                </c:dPt>
                <c:dPt>
                  <c:idx val="3"/>
                  <c:bubble3D val="0"/>
                  <c:spPr>
                    <a:gradFill rotWithShape="1">
                      <a:gsLst>
                        <a:gs pos="0">
                          <a:schemeClr val="accent2">
                            <a:tint val="58000"/>
                            <a:satMod val="103000"/>
                            <a:lumMod val="102000"/>
                            <a:tint val="94000"/>
                          </a:schemeClr>
                        </a:gs>
                        <a:gs pos="50000">
                          <a:schemeClr val="accent2">
                            <a:tint val="58000"/>
                            <a:satMod val="110000"/>
                            <a:lumMod val="100000"/>
                            <a:shade val="100000"/>
                          </a:schemeClr>
                        </a:gs>
                        <a:gs pos="100000">
                          <a:schemeClr val="accent2">
                            <a:tint val="58000"/>
                            <a:lumMod val="99000"/>
                            <a:satMod val="120000"/>
                            <a:shade val="78000"/>
                          </a:schemeClr>
                        </a:gs>
                      </a:gsLst>
                      <a:lin ang="5400000" scaled="0"/>
                    </a:gradFill>
                    <a:ln>
                      <a:noFill/>
                    </a:ln>
                    <a:effectLst/>
                  </c:spPr>
                  <c:extLst xmlns:c15="http://schemas.microsoft.com/office/drawing/2012/chart" xmlns:c16r2="http://schemas.microsoft.com/office/drawing/2015/06/chart">
                    <c:ext xmlns:c16="http://schemas.microsoft.com/office/drawing/2014/chart" uri="{C3380CC4-5D6E-409C-BE32-E72D297353CC}">
                      <c16:uniqueId val="{00000018-122C-4636-A191-0ADF6FD821A0}"/>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bestFit"/>
                  <c:showLegendKey val="0"/>
                  <c:showVal val="1"/>
                  <c:showCatName val="0"/>
                  <c:showSerName val="0"/>
                  <c:showPercent val="0"/>
                  <c:showBubbleSize val="0"/>
                  <c:showLeaderLines val="1"/>
                  <c:leaderLines>
                    <c:spPr>
                      <a:ln w="9525">
                        <a:solidFill>
                          <a:schemeClr val="tx2">
                            <a:lumMod val="35000"/>
                            <a:lumOff val="65000"/>
                          </a:schemeClr>
                        </a:solidFill>
                      </a:ln>
                      <a:effectLst/>
                    </c:spPr>
                  </c:leaderLines>
                  <c:extLst xmlns:c15="http://schemas.microsoft.com/office/drawing/2012/chart" xmlns:c16r2="http://schemas.microsoft.com/office/drawing/2015/06/chart">
                    <c:ext xmlns:c15="http://schemas.microsoft.com/office/drawing/2012/chart" uri="{CE6537A1-D6FC-4f65-9D91-7224C49458BB}"/>
                  </c:extLst>
                </c:dLbls>
                <c:cat>
                  <c:strRef>
                    <c:extLst xmlns:c15="http://schemas.microsoft.com/office/drawing/2012/chart" xmlns:c16r2="http://schemas.microsoft.com/office/drawing/2015/06/chart">
                      <c:ext xmlns:c15="http://schemas.microsoft.com/office/drawing/2012/chart" uri="{02D57815-91ED-43cb-92C2-25804820EDAC}">
                        <c15:formulaRef>
                          <c15:sqref>Analysis!$C$122:$F$122</c15:sqref>
                        </c15:formulaRef>
                      </c:ext>
                    </c:extLst>
                    <c:strCache>
                      <c:ptCount val="4"/>
                      <c:pt idx="0">
                        <c:v>Functional</c:v>
                      </c:pt>
                      <c:pt idx="1">
                        <c:v>NA</c:v>
                      </c:pt>
                      <c:pt idx="2">
                        <c:v>Not_Functional</c:v>
                      </c:pt>
                      <c:pt idx="3">
                        <c:v>Not_inPlace</c:v>
                      </c:pt>
                    </c:strCache>
                  </c:strRef>
                </c:cat>
                <c:val>
                  <c:numRef>
                    <c:extLst xmlns:c15="http://schemas.microsoft.com/office/drawing/2012/chart" xmlns:c16r2="http://schemas.microsoft.com/office/drawing/2015/06/chart">
                      <c:ext xmlns:c15="http://schemas.microsoft.com/office/drawing/2012/chart" uri="{02D57815-91ED-43cb-92C2-25804820EDAC}">
                        <c15:formulaRef>
                          <c15:sqref>Analysis!$C$125:$F$125</c15:sqref>
                        </c15:formulaRef>
                      </c:ext>
                    </c:extLst>
                    <c:numCache>
                      <c:formatCode>General</c:formatCode>
                      <c:ptCount val="4"/>
                      <c:pt idx="0">
                        <c:v>20</c:v>
                      </c:pt>
                      <c:pt idx="1">
                        <c:v>8</c:v>
                      </c:pt>
                      <c:pt idx="2">
                        <c:v>3</c:v>
                      </c:pt>
                      <c:pt idx="3">
                        <c:v>9</c:v>
                      </c:pt>
                    </c:numCache>
                  </c:numRef>
                </c:val>
                <c:extLst xmlns:c15="http://schemas.microsoft.com/office/drawing/2012/chart" xmlns:c16r2="http://schemas.microsoft.com/office/drawing/2015/06/chart">
                  <c:ext xmlns:c16="http://schemas.microsoft.com/office/drawing/2014/chart" uri="{C3380CC4-5D6E-409C-BE32-E72D297353CC}">
                    <c16:uniqueId val="{00000019-122C-4636-A191-0ADF6FD821A0}"/>
                  </c:ext>
                </c:extLst>
              </c15:ser>
            </c15:filteredPieSeries>
          </c:ext>
        </c:extLst>
      </c:pieChart>
      <c:spPr>
        <a:noFill/>
        <a:ln>
          <a:noFill/>
        </a:ln>
        <a:effectLst/>
      </c:spPr>
    </c:plotArea>
    <c:legend>
      <c:legendPos val="r"/>
      <c:layout>
        <c:manualLayout>
          <c:xMode val="edge"/>
          <c:yMode val="edge"/>
          <c:x val="0.63697532474841267"/>
          <c:y val="0.31178621840112924"/>
          <c:w val="0.3578265654579012"/>
          <c:h val="0.4443576143645357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accent1">
          <a:lumMod val="20000"/>
          <a:lumOff val="80000"/>
        </a:schemeClr>
      </a:solidFill>
      <a:round/>
    </a:ln>
    <a:effectLst/>
  </c:spPr>
  <c:txPr>
    <a:bodyPr/>
    <a:lstStyle/>
    <a:p>
      <a:pPr>
        <a:defRPr/>
      </a:pPr>
      <a:endParaRPr lang="en-US"/>
    </a:p>
  </c:tx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r>
              <a:rPr lang="en-US" sz="1200"/>
              <a:t> Effective solid waste management system in place </a:t>
            </a:r>
          </a:p>
        </c:rich>
      </c:tx>
      <c:layout>
        <c:manualLayout>
          <c:xMode val="edge"/>
          <c:yMode val="edge"/>
          <c:x val="0.14399283986715838"/>
          <c:y val="1.8677871428592438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0.22354594719545173"/>
          <c:y val="0.20453647540031139"/>
          <c:w val="0.42806429617580249"/>
          <c:h val="0.72063198857561395"/>
        </c:manualLayout>
      </c:layout>
      <c:pieChart>
        <c:varyColors val="1"/>
        <c:ser>
          <c:idx val="1"/>
          <c:order val="1"/>
          <c:tx>
            <c:strRef>
              <c:f>Analysis!$B$138</c:f>
              <c:strCache>
                <c:ptCount val="1"/>
                <c:pt idx="0">
                  <c:v>Rakhine</c:v>
                </c:pt>
              </c:strCache>
              <c:extLst xmlns:c15="http://schemas.microsoft.com/office/drawing/2012/chart" xmlns:c16r2="http://schemas.microsoft.com/office/drawing/2015/06/chart"/>
            </c:strRef>
          </c:tx>
          <c:dPt>
            <c:idx val="0"/>
            <c:bubble3D val="0"/>
            <c:spPr>
              <a:gradFill rotWithShape="1">
                <a:gsLst>
                  <a:gs pos="0">
                    <a:schemeClr val="accent2">
                      <a:shade val="58000"/>
                      <a:satMod val="103000"/>
                      <a:lumMod val="102000"/>
                      <a:tint val="94000"/>
                    </a:schemeClr>
                  </a:gs>
                  <a:gs pos="50000">
                    <a:schemeClr val="accent2">
                      <a:shade val="58000"/>
                      <a:satMod val="110000"/>
                      <a:lumMod val="100000"/>
                      <a:shade val="100000"/>
                    </a:schemeClr>
                  </a:gs>
                  <a:gs pos="100000">
                    <a:schemeClr val="accent2">
                      <a:shade val="58000"/>
                      <a:lumMod val="99000"/>
                      <a:satMod val="120000"/>
                      <a:shade val="78000"/>
                    </a:schemeClr>
                  </a:gs>
                </a:gsLst>
                <a:lin ang="5400000" scaled="0"/>
              </a:gradFill>
              <a:ln>
                <a:noFill/>
              </a:ln>
              <a:effectLst/>
            </c:spPr>
            <c:extLst xmlns:c16r2="http://schemas.microsoft.com/office/drawing/2015/06/chart">
              <c:ext xmlns:c16="http://schemas.microsoft.com/office/drawing/2014/chart" uri="{C3380CC4-5D6E-409C-BE32-E72D297353CC}">
                <c16:uniqueId val="{00000001-E2F0-4F09-9FE6-B32474432E6F}"/>
              </c:ext>
            </c:extLst>
          </c:dPt>
          <c:dPt>
            <c:idx val="1"/>
            <c:bubble3D val="0"/>
            <c:spPr>
              <a:gradFill rotWithShape="1">
                <a:gsLst>
                  <a:gs pos="0">
                    <a:schemeClr val="accent2">
                      <a:shade val="86000"/>
                      <a:satMod val="103000"/>
                      <a:lumMod val="102000"/>
                      <a:tint val="94000"/>
                    </a:schemeClr>
                  </a:gs>
                  <a:gs pos="50000">
                    <a:schemeClr val="accent2">
                      <a:shade val="86000"/>
                      <a:satMod val="110000"/>
                      <a:lumMod val="100000"/>
                      <a:shade val="100000"/>
                    </a:schemeClr>
                  </a:gs>
                  <a:gs pos="100000">
                    <a:schemeClr val="accent2">
                      <a:shade val="86000"/>
                      <a:lumMod val="99000"/>
                      <a:satMod val="120000"/>
                      <a:shade val="78000"/>
                    </a:schemeClr>
                  </a:gs>
                </a:gsLst>
                <a:lin ang="5400000" scaled="0"/>
              </a:gradFill>
              <a:ln>
                <a:noFill/>
              </a:ln>
              <a:effectLst/>
            </c:spPr>
            <c:extLst xmlns:c16r2="http://schemas.microsoft.com/office/drawing/2015/06/chart">
              <c:ext xmlns:c16="http://schemas.microsoft.com/office/drawing/2014/chart" uri="{C3380CC4-5D6E-409C-BE32-E72D297353CC}">
                <c16:uniqueId val="{00000003-E2F0-4F09-9FE6-B32474432E6F}"/>
              </c:ext>
            </c:extLst>
          </c:dPt>
          <c:dPt>
            <c:idx val="2"/>
            <c:bubble3D val="0"/>
            <c:spPr>
              <a:gradFill rotWithShape="1">
                <a:gsLst>
                  <a:gs pos="0">
                    <a:schemeClr val="accent2">
                      <a:tint val="86000"/>
                      <a:satMod val="103000"/>
                      <a:lumMod val="102000"/>
                      <a:tint val="94000"/>
                    </a:schemeClr>
                  </a:gs>
                  <a:gs pos="50000">
                    <a:schemeClr val="accent2">
                      <a:tint val="86000"/>
                      <a:satMod val="110000"/>
                      <a:lumMod val="100000"/>
                      <a:shade val="100000"/>
                    </a:schemeClr>
                  </a:gs>
                  <a:gs pos="100000">
                    <a:schemeClr val="accent2">
                      <a:tint val="86000"/>
                      <a:lumMod val="99000"/>
                      <a:satMod val="120000"/>
                      <a:shade val="78000"/>
                    </a:schemeClr>
                  </a:gs>
                </a:gsLst>
                <a:lin ang="5400000" scaled="0"/>
              </a:gradFill>
              <a:ln>
                <a:noFill/>
              </a:ln>
              <a:effectLst/>
            </c:spPr>
            <c:extLst xmlns:c16r2="http://schemas.microsoft.com/office/drawing/2015/06/chart">
              <c:ext xmlns:c16="http://schemas.microsoft.com/office/drawing/2014/chart" uri="{C3380CC4-5D6E-409C-BE32-E72D297353CC}">
                <c16:uniqueId val="{00000005-E2F0-4F09-9FE6-B32474432E6F}"/>
              </c:ext>
            </c:extLst>
          </c:dPt>
          <c:dPt>
            <c:idx val="3"/>
            <c:bubble3D val="0"/>
            <c:spPr>
              <a:gradFill rotWithShape="1">
                <a:gsLst>
                  <a:gs pos="0">
                    <a:schemeClr val="accent2">
                      <a:tint val="58000"/>
                      <a:satMod val="103000"/>
                      <a:lumMod val="102000"/>
                      <a:tint val="94000"/>
                    </a:schemeClr>
                  </a:gs>
                  <a:gs pos="50000">
                    <a:schemeClr val="accent2">
                      <a:tint val="58000"/>
                      <a:satMod val="110000"/>
                      <a:lumMod val="100000"/>
                      <a:shade val="100000"/>
                    </a:schemeClr>
                  </a:gs>
                  <a:gs pos="100000">
                    <a:schemeClr val="accent2">
                      <a:tint val="58000"/>
                      <a:lumMod val="99000"/>
                      <a:satMod val="120000"/>
                      <a:shade val="78000"/>
                    </a:schemeClr>
                  </a:gs>
                </a:gsLst>
                <a:lin ang="5400000" scaled="0"/>
              </a:gradFill>
              <a:ln>
                <a:noFill/>
              </a:ln>
              <a:effectLst/>
            </c:spPr>
            <c:extLst xmlns:c16r2="http://schemas.microsoft.com/office/drawing/2015/06/chart">
              <c:ext xmlns:c16="http://schemas.microsoft.com/office/drawing/2014/chart" uri="{C3380CC4-5D6E-409C-BE32-E72D297353CC}">
                <c16:uniqueId val="{00000007-E2F0-4F09-9FE6-B32474432E6F}"/>
              </c:ext>
            </c:extLst>
          </c:dPt>
          <c:dLbls>
            <c:dLbl>
              <c:idx val="0"/>
              <c:layout>
                <c:manualLayout>
                  <c:x val="-4.5449023418303792E-2"/>
                  <c:y val="0.12671618183632652"/>
                </c:manualLayout>
              </c:layout>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extLst xmlns:c16r2="http://schemas.microsoft.com/office/drawing/2015/06/chart">
                <c:ext xmlns:c16="http://schemas.microsoft.com/office/drawing/2014/chart" uri="{C3380CC4-5D6E-409C-BE32-E72D297353CC}">
                  <c16:uniqueId val="{00000001-E2F0-4F09-9FE6-B32474432E6F}"/>
                </c:ext>
                <c:ext xmlns:c15="http://schemas.microsoft.com/office/drawing/2012/chart" uri="{CE6537A1-D6FC-4f65-9D91-7224C49458BB}"/>
              </c:extLst>
            </c:dLbl>
            <c:dLbl>
              <c:idx val="1"/>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xmlns:c16r2="http://schemas.microsoft.com/office/drawing/2015/06/chart">
              <c:ext xmlns:c15="http://schemas.microsoft.com/office/drawing/2012/chart" uri="{CE6537A1-D6FC-4f65-9D91-7224C49458BB}"/>
            </c:extLst>
          </c:dLbls>
          <c:cat>
            <c:strRef>
              <c:f>Analysis!$C$136:$F$136</c:f>
              <c:strCache>
                <c:ptCount val="4"/>
                <c:pt idx="0">
                  <c:v>Functional</c:v>
                </c:pt>
                <c:pt idx="1">
                  <c:v>NA</c:v>
                </c:pt>
                <c:pt idx="2">
                  <c:v>Not_Functional</c:v>
                </c:pt>
                <c:pt idx="3">
                  <c:v>Not_inPlace</c:v>
                </c:pt>
              </c:strCache>
              <c:extLst xmlns:c15="http://schemas.microsoft.com/office/drawing/2012/chart" xmlns:c16r2="http://schemas.microsoft.com/office/drawing/2015/06/chart"/>
            </c:strRef>
          </c:cat>
          <c:val>
            <c:numRef>
              <c:f>Analysis!$C$138:$F$138</c:f>
              <c:numCache>
                <c:formatCode>General</c:formatCode>
                <c:ptCount val="4"/>
                <c:pt idx="0">
                  <c:v>25</c:v>
                </c:pt>
                <c:pt idx="1">
                  <c:v>98</c:v>
                </c:pt>
                <c:pt idx="2">
                  <c:v>26</c:v>
                </c:pt>
                <c:pt idx="3">
                  <c:v>51</c:v>
                </c:pt>
              </c:numCache>
              <c:extLst xmlns:c15="http://schemas.microsoft.com/office/drawing/2012/chart" xmlns:c16r2="http://schemas.microsoft.com/office/drawing/2015/06/chart"/>
            </c:numRef>
          </c:val>
          <c:extLst xmlns:c16r2="http://schemas.microsoft.com/office/drawing/2015/06/chart">
            <c:ext xmlns:c16="http://schemas.microsoft.com/office/drawing/2014/chart" uri="{C3380CC4-5D6E-409C-BE32-E72D297353CC}">
              <c16:uniqueId val="{00000008-E2F0-4F09-9FE6-B32474432E6F}"/>
            </c:ext>
          </c:extLst>
        </c:ser>
        <c:dLbls>
          <c:showLegendKey val="0"/>
          <c:showVal val="0"/>
          <c:showCatName val="0"/>
          <c:showSerName val="0"/>
          <c:showPercent val="0"/>
          <c:showBubbleSize val="0"/>
          <c:showLeaderLines val="1"/>
        </c:dLbls>
        <c:firstSliceAng val="0"/>
        <c:extLst xmlns:c16r2="http://schemas.microsoft.com/office/drawing/2015/06/chart">
          <c:ext xmlns:c15="http://schemas.microsoft.com/office/drawing/2012/chart" uri="{02D57815-91ED-43cb-92C2-25804820EDAC}">
            <c15:filteredPieSeries>
              <c15:ser>
                <c:idx val="0"/>
                <c:order val="0"/>
                <c:tx>
                  <c:strRef>
                    <c:extLst xmlns:c16r2="http://schemas.microsoft.com/office/drawing/2015/06/chart">
                      <c:ext uri="{02D57815-91ED-43cb-92C2-25804820EDAC}">
                        <c15:formulaRef>
                          <c15:sqref>Analysis!$B$137</c15:sqref>
                        </c15:formulaRef>
                      </c:ext>
                    </c:extLst>
                    <c:strCache>
                      <c:ptCount val="1"/>
                      <c:pt idx="0">
                        <c:v>Kachin</c:v>
                      </c:pt>
                    </c:strCache>
                  </c:strRef>
                </c:tx>
                <c:dPt>
                  <c:idx val="0"/>
                  <c:bubble3D val="0"/>
                  <c:spPr>
                    <a:gradFill rotWithShape="1">
                      <a:gsLst>
                        <a:gs pos="0">
                          <a:schemeClr val="accent2">
                            <a:shade val="58000"/>
                            <a:satMod val="103000"/>
                            <a:lumMod val="102000"/>
                            <a:tint val="94000"/>
                          </a:schemeClr>
                        </a:gs>
                        <a:gs pos="50000">
                          <a:schemeClr val="accent2">
                            <a:shade val="58000"/>
                            <a:satMod val="110000"/>
                            <a:lumMod val="100000"/>
                            <a:shade val="100000"/>
                          </a:schemeClr>
                        </a:gs>
                        <a:gs pos="100000">
                          <a:schemeClr val="accent2">
                            <a:shade val="58000"/>
                            <a:lumMod val="99000"/>
                            <a:satMod val="120000"/>
                            <a:shade val="78000"/>
                          </a:schemeClr>
                        </a:gs>
                      </a:gsLst>
                      <a:lin ang="5400000" scaled="0"/>
                    </a:gradFill>
                    <a:ln>
                      <a:noFill/>
                    </a:ln>
                    <a:effectLst/>
                  </c:spPr>
                  <c:extLst xmlns:c16r2="http://schemas.microsoft.com/office/drawing/2015/06/chart">
                    <c:ext xmlns:c16="http://schemas.microsoft.com/office/drawing/2014/chart" uri="{C3380CC4-5D6E-409C-BE32-E72D297353CC}">
                      <c16:uniqueId val="{00000001-7D04-4B5A-8D19-1128D053B922}"/>
                    </c:ext>
                  </c:extLst>
                </c:dPt>
                <c:dPt>
                  <c:idx val="1"/>
                  <c:bubble3D val="0"/>
                  <c:spPr>
                    <a:gradFill rotWithShape="1">
                      <a:gsLst>
                        <a:gs pos="0">
                          <a:schemeClr val="accent2">
                            <a:shade val="86000"/>
                            <a:satMod val="103000"/>
                            <a:lumMod val="102000"/>
                            <a:tint val="94000"/>
                          </a:schemeClr>
                        </a:gs>
                        <a:gs pos="50000">
                          <a:schemeClr val="accent2">
                            <a:shade val="86000"/>
                            <a:satMod val="110000"/>
                            <a:lumMod val="100000"/>
                            <a:shade val="100000"/>
                          </a:schemeClr>
                        </a:gs>
                        <a:gs pos="100000">
                          <a:schemeClr val="accent2">
                            <a:shade val="86000"/>
                            <a:lumMod val="99000"/>
                            <a:satMod val="120000"/>
                            <a:shade val="78000"/>
                          </a:schemeClr>
                        </a:gs>
                      </a:gsLst>
                      <a:lin ang="5400000" scaled="0"/>
                    </a:gradFill>
                    <a:ln>
                      <a:noFill/>
                    </a:ln>
                    <a:effectLst/>
                  </c:spPr>
                  <c:extLst xmlns:c16r2="http://schemas.microsoft.com/office/drawing/2015/06/chart">
                    <c:ext xmlns:c16="http://schemas.microsoft.com/office/drawing/2014/chart" uri="{C3380CC4-5D6E-409C-BE32-E72D297353CC}">
                      <c16:uniqueId val="{00000003-7D04-4B5A-8D19-1128D053B922}"/>
                    </c:ext>
                  </c:extLst>
                </c:dPt>
                <c:dPt>
                  <c:idx val="2"/>
                  <c:bubble3D val="0"/>
                  <c:spPr>
                    <a:gradFill rotWithShape="1">
                      <a:gsLst>
                        <a:gs pos="0">
                          <a:schemeClr val="accent2">
                            <a:tint val="86000"/>
                            <a:satMod val="103000"/>
                            <a:lumMod val="102000"/>
                            <a:tint val="94000"/>
                          </a:schemeClr>
                        </a:gs>
                        <a:gs pos="50000">
                          <a:schemeClr val="accent2">
                            <a:tint val="86000"/>
                            <a:satMod val="110000"/>
                            <a:lumMod val="100000"/>
                            <a:shade val="100000"/>
                          </a:schemeClr>
                        </a:gs>
                        <a:gs pos="100000">
                          <a:schemeClr val="accent2">
                            <a:tint val="86000"/>
                            <a:lumMod val="99000"/>
                            <a:satMod val="120000"/>
                            <a:shade val="78000"/>
                          </a:schemeClr>
                        </a:gs>
                      </a:gsLst>
                      <a:lin ang="5400000" scaled="0"/>
                    </a:gradFill>
                    <a:ln>
                      <a:noFill/>
                    </a:ln>
                    <a:effectLst/>
                  </c:spPr>
                  <c:extLst xmlns:c16r2="http://schemas.microsoft.com/office/drawing/2015/06/chart">
                    <c:ext xmlns:c16="http://schemas.microsoft.com/office/drawing/2014/chart" uri="{C3380CC4-5D6E-409C-BE32-E72D297353CC}">
                      <c16:uniqueId val="{00000005-7D04-4B5A-8D19-1128D053B922}"/>
                    </c:ext>
                  </c:extLst>
                </c:dPt>
                <c:dPt>
                  <c:idx val="3"/>
                  <c:bubble3D val="0"/>
                  <c:spPr>
                    <a:gradFill rotWithShape="1">
                      <a:gsLst>
                        <a:gs pos="0">
                          <a:schemeClr val="accent2">
                            <a:tint val="58000"/>
                            <a:satMod val="103000"/>
                            <a:lumMod val="102000"/>
                            <a:tint val="94000"/>
                          </a:schemeClr>
                        </a:gs>
                        <a:gs pos="50000">
                          <a:schemeClr val="accent2">
                            <a:tint val="58000"/>
                            <a:satMod val="110000"/>
                            <a:lumMod val="100000"/>
                            <a:shade val="100000"/>
                          </a:schemeClr>
                        </a:gs>
                        <a:gs pos="100000">
                          <a:schemeClr val="accent2">
                            <a:tint val="58000"/>
                            <a:lumMod val="99000"/>
                            <a:satMod val="120000"/>
                            <a:shade val="78000"/>
                          </a:schemeClr>
                        </a:gs>
                      </a:gsLst>
                      <a:lin ang="5400000" scaled="0"/>
                    </a:gradFill>
                    <a:ln>
                      <a:noFill/>
                    </a:ln>
                    <a:effectLst/>
                  </c:spPr>
                  <c:extLst xmlns:c16r2="http://schemas.microsoft.com/office/drawing/2015/06/chart">
                    <c:ext xmlns:c16="http://schemas.microsoft.com/office/drawing/2014/chart" uri="{C3380CC4-5D6E-409C-BE32-E72D297353CC}">
                      <c16:uniqueId val="{00000007-7D04-4B5A-8D19-1128D053B922}"/>
                    </c:ext>
                  </c:extLst>
                </c:dPt>
                <c:dLbls>
                  <c:dLbl>
                    <c:idx val="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solidFill>
                            <a:latin typeface="+mn-lt"/>
                            <a:ea typeface="+mn-ea"/>
                            <a:cs typeface="+mn-cs"/>
                          </a:defRPr>
                        </a:pPr>
                        <a:endParaRPr lang="en-US"/>
                      </a:p>
                    </c:txPr>
                    <c:dLblPos val="bestFit"/>
                    <c:showLegendKey val="0"/>
                    <c:showVal val="0"/>
                    <c:showCatName val="0"/>
                    <c:showSerName val="0"/>
                    <c:showPercent val="1"/>
                    <c:showBubbleSize val="0"/>
                  </c:dLbl>
                  <c:dLbl>
                    <c:idx val="1"/>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solidFill>
                            <a:latin typeface="+mn-lt"/>
                            <a:ea typeface="+mn-ea"/>
                            <a:cs typeface="+mn-cs"/>
                          </a:defRPr>
                        </a:pPr>
                        <a:endParaRPr lang="en-US"/>
                      </a:p>
                    </c:txPr>
                    <c:dLblPos val="bestFit"/>
                    <c:showLegendKey val="0"/>
                    <c:showVal val="0"/>
                    <c:showCatName val="0"/>
                    <c:showSerName val="0"/>
                    <c:showPercent val="1"/>
                    <c:showBubbleSize val="0"/>
                  </c:dLbl>
                  <c:dLbl>
                    <c:idx val="2"/>
                    <c:layout>
                      <c:manualLayout>
                        <c:x val="4.3363541821423268E-2"/>
                        <c:y val="4.3223972003499561E-2"/>
                      </c:manualLayout>
                    </c:layout>
                    <c:dLblPos val="bestFit"/>
                    <c:showLegendKey val="0"/>
                    <c:showVal val="0"/>
                    <c:showCatName val="0"/>
                    <c:showSerName val="0"/>
                    <c:showPercent val="1"/>
                    <c:showBubbleSize val="0"/>
                    <c:extLst xmlns:c16r2="http://schemas.microsoft.com/office/drawing/2015/06/chart">
                      <c:ext xmlns:c16="http://schemas.microsoft.com/office/drawing/2014/chart" uri="{C3380CC4-5D6E-409C-BE32-E72D297353CC}">
                        <c16:uniqueId val="{00000005-7D04-4B5A-8D19-1128D053B922}"/>
                      </c:ext>
                      <c:ex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tx2"/>
                          </a:solidFill>
                          <a:latin typeface="+mn-lt"/>
                          <a:ea typeface="+mn-ea"/>
                          <a:cs typeface="+mn-cs"/>
                        </a:defRPr>
                      </a:pPr>
                      <a:endParaRPr lang="en-US"/>
                    </a:p>
                  </c:txPr>
                  <c:dLblPos val="bestFit"/>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xmlns:c16r2="http://schemas.microsoft.com/office/drawing/2015/06/chart">
                    <c:ext uri="{CE6537A1-D6FC-4f65-9D91-7224C49458BB}"/>
                  </c:extLst>
                </c:dLbls>
                <c:cat>
                  <c:strRef>
                    <c:extLst xmlns:c16r2="http://schemas.microsoft.com/office/drawing/2015/06/chart">
                      <c:ext uri="{02D57815-91ED-43cb-92C2-25804820EDAC}">
                        <c15:formulaRef>
                          <c15:sqref>Analysis!$C$136:$F$136</c15:sqref>
                        </c15:formulaRef>
                      </c:ext>
                    </c:extLst>
                    <c:strCache>
                      <c:ptCount val="4"/>
                      <c:pt idx="0">
                        <c:v>Functional</c:v>
                      </c:pt>
                      <c:pt idx="1">
                        <c:v>NA</c:v>
                      </c:pt>
                      <c:pt idx="2">
                        <c:v>Not_Functional</c:v>
                      </c:pt>
                      <c:pt idx="3">
                        <c:v>Not_inPlace</c:v>
                      </c:pt>
                    </c:strCache>
                  </c:strRef>
                </c:cat>
                <c:val>
                  <c:numRef>
                    <c:extLst xmlns:c16r2="http://schemas.microsoft.com/office/drawing/2015/06/chart">
                      <c:ext uri="{02D57815-91ED-43cb-92C2-25804820EDAC}">
                        <c15:formulaRef>
                          <c15:sqref>Analysis!$C$137:$F$137</c15:sqref>
                        </c15:formulaRef>
                      </c:ext>
                    </c:extLst>
                    <c:numCache>
                      <c:formatCode>General</c:formatCode>
                      <c:ptCount val="4"/>
                      <c:pt idx="0">
                        <c:v>112</c:v>
                      </c:pt>
                      <c:pt idx="1">
                        <c:v>15</c:v>
                      </c:pt>
                      <c:pt idx="2">
                        <c:v>6</c:v>
                      </c:pt>
                      <c:pt idx="3">
                        <c:v>10</c:v>
                      </c:pt>
                    </c:numCache>
                  </c:numRef>
                </c:val>
                <c:extLst xmlns:c16r2="http://schemas.microsoft.com/office/drawing/2015/06/chart">
                  <c:ext xmlns:c16="http://schemas.microsoft.com/office/drawing/2014/chart" uri="{C3380CC4-5D6E-409C-BE32-E72D297353CC}">
                    <c16:uniqueId val="{0000000A-7D04-4B5A-8D19-1128D053B922}"/>
                  </c:ext>
                </c:extLst>
              </c15:ser>
            </c15:filteredPieSeries>
            <c15:filteredPieSeries>
              <c15:ser>
                <c:idx val="2"/>
                <c:order val="2"/>
                <c:tx>
                  <c:strRef>
                    <c:extLst xmlns:c15="http://schemas.microsoft.com/office/drawing/2012/chart" xmlns:c16r2="http://schemas.microsoft.com/office/drawing/2015/06/chart">
                      <c:ext xmlns:c15="http://schemas.microsoft.com/office/drawing/2012/chart" uri="{02D57815-91ED-43cb-92C2-25804820EDAC}">
                        <c15:formulaRef>
                          <c15:sqref>Analysis!$B$139</c15:sqref>
                        </c15:formulaRef>
                      </c:ext>
                    </c:extLst>
                    <c:strCache>
                      <c:ptCount val="1"/>
                      <c:pt idx="0">
                        <c:v>Shan (North)</c:v>
                      </c:pt>
                    </c:strCache>
                  </c:strRef>
                </c:tx>
                <c:dPt>
                  <c:idx val="0"/>
                  <c:bubble3D val="0"/>
                  <c:spPr>
                    <a:gradFill rotWithShape="1">
                      <a:gsLst>
                        <a:gs pos="0">
                          <a:schemeClr val="accent2">
                            <a:shade val="58000"/>
                            <a:satMod val="103000"/>
                            <a:lumMod val="102000"/>
                            <a:tint val="94000"/>
                          </a:schemeClr>
                        </a:gs>
                        <a:gs pos="50000">
                          <a:schemeClr val="accent2">
                            <a:shade val="58000"/>
                            <a:satMod val="110000"/>
                            <a:lumMod val="100000"/>
                            <a:shade val="100000"/>
                          </a:schemeClr>
                        </a:gs>
                        <a:gs pos="100000">
                          <a:schemeClr val="accent2">
                            <a:shade val="58000"/>
                            <a:lumMod val="99000"/>
                            <a:satMod val="120000"/>
                            <a:shade val="78000"/>
                          </a:schemeClr>
                        </a:gs>
                      </a:gsLst>
                      <a:lin ang="5400000" scaled="0"/>
                    </a:gradFill>
                    <a:ln>
                      <a:noFill/>
                    </a:ln>
                    <a:effectLst/>
                  </c:spPr>
                  <c:extLst xmlns:c15="http://schemas.microsoft.com/office/drawing/2012/chart" xmlns:c16r2="http://schemas.microsoft.com/office/drawing/2015/06/chart">
                    <c:ext xmlns:c16="http://schemas.microsoft.com/office/drawing/2014/chart" uri="{C3380CC4-5D6E-409C-BE32-E72D297353CC}">
                      <c16:uniqueId val="{00000012-E2F0-4F09-9FE6-B32474432E6F}"/>
                    </c:ext>
                  </c:extLst>
                </c:dPt>
                <c:dPt>
                  <c:idx val="1"/>
                  <c:bubble3D val="0"/>
                  <c:spPr>
                    <a:gradFill rotWithShape="1">
                      <a:gsLst>
                        <a:gs pos="0">
                          <a:schemeClr val="accent2">
                            <a:shade val="86000"/>
                            <a:satMod val="103000"/>
                            <a:lumMod val="102000"/>
                            <a:tint val="94000"/>
                          </a:schemeClr>
                        </a:gs>
                        <a:gs pos="50000">
                          <a:schemeClr val="accent2">
                            <a:shade val="86000"/>
                            <a:satMod val="110000"/>
                            <a:lumMod val="100000"/>
                            <a:shade val="100000"/>
                          </a:schemeClr>
                        </a:gs>
                        <a:gs pos="100000">
                          <a:schemeClr val="accent2">
                            <a:shade val="86000"/>
                            <a:lumMod val="99000"/>
                            <a:satMod val="120000"/>
                            <a:shade val="78000"/>
                          </a:schemeClr>
                        </a:gs>
                      </a:gsLst>
                      <a:lin ang="5400000" scaled="0"/>
                    </a:gradFill>
                    <a:ln>
                      <a:noFill/>
                    </a:ln>
                    <a:effectLst/>
                  </c:spPr>
                  <c:extLst xmlns:c15="http://schemas.microsoft.com/office/drawing/2012/chart" xmlns:c16r2="http://schemas.microsoft.com/office/drawing/2015/06/chart">
                    <c:ext xmlns:c16="http://schemas.microsoft.com/office/drawing/2014/chart" uri="{C3380CC4-5D6E-409C-BE32-E72D297353CC}">
                      <c16:uniqueId val="{00000014-E2F0-4F09-9FE6-B32474432E6F}"/>
                    </c:ext>
                  </c:extLst>
                </c:dPt>
                <c:dPt>
                  <c:idx val="2"/>
                  <c:bubble3D val="0"/>
                  <c:spPr>
                    <a:gradFill rotWithShape="1">
                      <a:gsLst>
                        <a:gs pos="0">
                          <a:schemeClr val="accent2">
                            <a:tint val="86000"/>
                            <a:satMod val="103000"/>
                            <a:lumMod val="102000"/>
                            <a:tint val="94000"/>
                          </a:schemeClr>
                        </a:gs>
                        <a:gs pos="50000">
                          <a:schemeClr val="accent2">
                            <a:tint val="86000"/>
                            <a:satMod val="110000"/>
                            <a:lumMod val="100000"/>
                            <a:shade val="100000"/>
                          </a:schemeClr>
                        </a:gs>
                        <a:gs pos="100000">
                          <a:schemeClr val="accent2">
                            <a:tint val="86000"/>
                            <a:lumMod val="99000"/>
                            <a:satMod val="120000"/>
                            <a:shade val="78000"/>
                          </a:schemeClr>
                        </a:gs>
                      </a:gsLst>
                      <a:lin ang="5400000" scaled="0"/>
                    </a:gradFill>
                    <a:ln>
                      <a:noFill/>
                    </a:ln>
                    <a:effectLst/>
                  </c:spPr>
                  <c:extLst xmlns:c15="http://schemas.microsoft.com/office/drawing/2012/chart" xmlns:c16r2="http://schemas.microsoft.com/office/drawing/2015/06/chart">
                    <c:ext xmlns:c16="http://schemas.microsoft.com/office/drawing/2014/chart" uri="{C3380CC4-5D6E-409C-BE32-E72D297353CC}">
                      <c16:uniqueId val="{00000016-E2F0-4F09-9FE6-B32474432E6F}"/>
                    </c:ext>
                  </c:extLst>
                </c:dPt>
                <c:dPt>
                  <c:idx val="3"/>
                  <c:bubble3D val="0"/>
                  <c:spPr>
                    <a:gradFill rotWithShape="1">
                      <a:gsLst>
                        <a:gs pos="0">
                          <a:schemeClr val="accent2">
                            <a:tint val="58000"/>
                            <a:satMod val="103000"/>
                            <a:lumMod val="102000"/>
                            <a:tint val="94000"/>
                          </a:schemeClr>
                        </a:gs>
                        <a:gs pos="50000">
                          <a:schemeClr val="accent2">
                            <a:tint val="58000"/>
                            <a:satMod val="110000"/>
                            <a:lumMod val="100000"/>
                            <a:shade val="100000"/>
                          </a:schemeClr>
                        </a:gs>
                        <a:gs pos="100000">
                          <a:schemeClr val="accent2">
                            <a:tint val="58000"/>
                            <a:lumMod val="99000"/>
                            <a:satMod val="120000"/>
                            <a:shade val="78000"/>
                          </a:schemeClr>
                        </a:gs>
                      </a:gsLst>
                      <a:lin ang="5400000" scaled="0"/>
                    </a:gradFill>
                    <a:ln>
                      <a:noFill/>
                    </a:ln>
                    <a:effectLst/>
                  </c:spPr>
                  <c:extLst xmlns:c15="http://schemas.microsoft.com/office/drawing/2012/chart" xmlns:c16r2="http://schemas.microsoft.com/office/drawing/2015/06/chart">
                    <c:ext xmlns:c16="http://schemas.microsoft.com/office/drawing/2014/chart" uri="{C3380CC4-5D6E-409C-BE32-E72D297353CC}">
                      <c16:uniqueId val="{00000018-E2F0-4F09-9FE6-B32474432E6F}"/>
                    </c:ext>
                  </c:extLst>
                </c:dPt>
                <c:cat>
                  <c:strRef>
                    <c:extLst xmlns:c15="http://schemas.microsoft.com/office/drawing/2012/chart" xmlns:c16r2="http://schemas.microsoft.com/office/drawing/2015/06/chart">
                      <c:ext xmlns:c15="http://schemas.microsoft.com/office/drawing/2012/chart" uri="{02D57815-91ED-43cb-92C2-25804820EDAC}">
                        <c15:formulaRef>
                          <c15:sqref>Analysis!$C$136:$F$136</c15:sqref>
                        </c15:formulaRef>
                      </c:ext>
                    </c:extLst>
                    <c:strCache>
                      <c:ptCount val="4"/>
                      <c:pt idx="0">
                        <c:v>Functional</c:v>
                      </c:pt>
                      <c:pt idx="1">
                        <c:v>NA</c:v>
                      </c:pt>
                      <c:pt idx="2">
                        <c:v>Not_Functional</c:v>
                      </c:pt>
                      <c:pt idx="3">
                        <c:v>Not_inPlace</c:v>
                      </c:pt>
                    </c:strCache>
                  </c:strRef>
                </c:cat>
                <c:val>
                  <c:numRef>
                    <c:extLst xmlns:c15="http://schemas.microsoft.com/office/drawing/2012/chart" xmlns:c16r2="http://schemas.microsoft.com/office/drawing/2015/06/chart">
                      <c:ext xmlns:c15="http://schemas.microsoft.com/office/drawing/2012/chart" uri="{02D57815-91ED-43cb-92C2-25804820EDAC}">
                        <c15:formulaRef>
                          <c15:sqref>Analysis!$C$139:$F$139</c15:sqref>
                        </c15:formulaRef>
                      </c:ext>
                    </c:extLst>
                    <c:numCache>
                      <c:formatCode>General</c:formatCode>
                      <c:ptCount val="4"/>
                      <c:pt idx="0">
                        <c:v>26</c:v>
                      </c:pt>
                      <c:pt idx="1">
                        <c:v>8</c:v>
                      </c:pt>
                      <c:pt idx="2">
                        <c:v>2</c:v>
                      </c:pt>
                      <c:pt idx="3">
                        <c:v>4</c:v>
                      </c:pt>
                    </c:numCache>
                  </c:numRef>
                </c:val>
                <c:extLst xmlns:c15="http://schemas.microsoft.com/office/drawing/2012/chart" xmlns:c16r2="http://schemas.microsoft.com/office/drawing/2015/06/chart">
                  <c:ext xmlns:c16="http://schemas.microsoft.com/office/drawing/2014/chart" uri="{C3380CC4-5D6E-409C-BE32-E72D297353CC}">
                    <c16:uniqueId val="{00000019-E2F0-4F09-9FE6-B32474432E6F}"/>
                  </c:ext>
                </c:extLst>
              </c15:ser>
            </c15:filteredPieSeries>
          </c:ext>
        </c:extLst>
      </c:pieChart>
      <c:spPr>
        <a:noFill/>
        <a:ln>
          <a:noFill/>
        </a:ln>
        <a:effectLst/>
      </c:spPr>
    </c:plotArea>
    <c:legend>
      <c:legendPos val="r"/>
      <c:layout>
        <c:manualLayout>
          <c:xMode val="edge"/>
          <c:yMode val="edge"/>
          <c:x val="0.62438798869685197"/>
          <c:y val="0.26674987548297341"/>
          <c:w val="0.35849056603773582"/>
          <c:h val="0.4460717410323709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accent1">
          <a:lumMod val="20000"/>
          <a:lumOff val="80000"/>
        </a:schemeClr>
      </a:solidFill>
      <a:round/>
    </a:ln>
    <a:effectLst/>
  </c:spPr>
  <c:txPr>
    <a:bodyPr/>
    <a:lstStyle/>
    <a:p>
      <a:pPr>
        <a:defRPr/>
      </a:pPr>
      <a:endParaRPr lang="en-US"/>
    </a:p>
  </c:tx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r>
              <a:rPr lang="en-US" sz="1200"/>
              <a:t>% of Sites</a:t>
            </a:r>
            <a:r>
              <a:rPr lang="en-US" sz="1200" baseline="0"/>
              <a:t> which made w</a:t>
            </a:r>
            <a:r>
              <a:rPr lang="en-US" sz="1200"/>
              <a:t>ater quality test</a:t>
            </a:r>
            <a:r>
              <a:rPr lang="en-US" sz="1200" baseline="0"/>
              <a:t> </a:t>
            </a:r>
          </a:p>
        </c:rich>
      </c:tx>
      <c:layout>
        <c:manualLayout>
          <c:xMode val="edge"/>
          <c:yMode val="edge"/>
          <c:x val="0.17731774662279884"/>
          <c:y val="1.7610064637256933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2.7661803785919085E-2"/>
          <c:y val="0.16823952763306455"/>
          <c:w val="0.41540332014422748"/>
          <c:h val="0.69515189158829216"/>
        </c:manualLayout>
      </c:layout>
      <c:pieChart>
        <c:varyColors val="1"/>
        <c:ser>
          <c:idx val="1"/>
          <c:order val="1"/>
          <c:tx>
            <c:strRef>
              <c:f>Analysis!$B$72</c:f>
              <c:strCache>
                <c:ptCount val="1"/>
                <c:pt idx="0">
                  <c:v>Rakhine</c:v>
                </c:pt>
              </c:strCache>
              <c:extLst xmlns:c15="http://schemas.microsoft.com/office/drawing/2012/chart" xmlns:c16r2="http://schemas.microsoft.com/office/drawing/2015/06/chart"/>
            </c:strRef>
          </c:tx>
          <c:dPt>
            <c:idx val="0"/>
            <c:bubble3D val="0"/>
            <c:spPr>
              <a:solidFill>
                <a:schemeClr val="accent1">
                  <a:lumMod val="40000"/>
                  <a:lumOff val="60000"/>
                </a:schemeClr>
              </a:solidFill>
              <a:ln>
                <a:noFill/>
              </a:ln>
              <a:effectLst/>
            </c:spPr>
            <c:extLst xmlns:c16r2="http://schemas.microsoft.com/office/drawing/2015/06/chart">
              <c:ext xmlns:c16="http://schemas.microsoft.com/office/drawing/2014/chart" uri="{C3380CC4-5D6E-409C-BE32-E72D297353CC}">
                <c16:uniqueId val="{00000001-85B8-463C-A064-D3371E89311C}"/>
              </c:ext>
            </c:extLst>
          </c:dPt>
          <c:dPt>
            <c:idx val="1"/>
            <c:bubble3D val="0"/>
            <c:explosion val="11"/>
            <c:spPr>
              <a:solidFill>
                <a:srgbClr val="0070C0"/>
              </a:solidFill>
              <a:ln>
                <a:noFill/>
              </a:ln>
              <a:effectLst/>
            </c:spPr>
            <c:extLst xmlns:c16r2="http://schemas.microsoft.com/office/drawing/2015/06/chart">
              <c:ext xmlns:c16="http://schemas.microsoft.com/office/drawing/2014/chart" uri="{C3380CC4-5D6E-409C-BE32-E72D297353CC}">
                <c16:uniqueId val="{00000003-85B8-463C-A064-D3371E89311C}"/>
              </c:ext>
            </c:extLst>
          </c:dPt>
          <c:dLbls>
            <c:dLbl>
              <c:idx val="0"/>
              <c:layout>
                <c:manualLayout>
                  <c:x val="-0.12589577645375377"/>
                  <c:y val="-8.9614389367445535E-2"/>
                </c:manualLayout>
              </c:layout>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extLst xmlns:c16r2="http://schemas.microsoft.com/office/drawing/2015/06/chart">
                <c:ext xmlns:c16="http://schemas.microsoft.com/office/drawing/2014/chart" uri="{C3380CC4-5D6E-409C-BE32-E72D297353CC}">
                  <c16:uniqueId val="{00000001-85B8-463C-A064-D3371E89311C}"/>
                </c:ext>
                <c:ext xmlns:c15="http://schemas.microsoft.com/office/drawing/2012/chart" uri="{CE6537A1-D6FC-4f65-9D91-7224C49458BB}"/>
              </c:extLst>
            </c:dLbl>
            <c:dLbl>
              <c:idx val="1"/>
              <c:layout>
                <c:manualLayout>
                  <c:x val="7.1454379856949746E-2"/>
                  <c:y val="4.7357049110801623E-2"/>
                </c:manualLayout>
              </c:layout>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extLst xmlns:c16r2="http://schemas.microsoft.com/office/drawing/2015/06/chart">
                <c:ext xmlns:c16="http://schemas.microsoft.com/office/drawing/2014/chart" uri="{C3380CC4-5D6E-409C-BE32-E72D297353CC}">
                  <c16:uniqueId val="{00000003-85B8-463C-A064-D3371E89311C}"/>
                </c:ex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xmlns:c16r2="http://schemas.microsoft.com/office/drawing/2015/06/chart">
              <c:ext xmlns:c15="http://schemas.microsoft.com/office/drawing/2012/chart" uri="{CE6537A1-D6FC-4f65-9D91-7224C49458BB}"/>
            </c:extLst>
          </c:dLbls>
          <c:cat>
            <c:strRef>
              <c:f>Analysis!$C$70:$D$70</c:f>
              <c:strCache>
                <c:ptCount val="2"/>
                <c:pt idx="0">
                  <c:v>No Test</c:v>
                </c:pt>
                <c:pt idx="1">
                  <c:v>Tested</c:v>
                </c:pt>
              </c:strCache>
              <c:extLst xmlns:c15="http://schemas.microsoft.com/office/drawing/2012/chart" xmlns:c16r2="http://schemas.microsoft.com/office/drawing/2015/06/chart"/>
            </c:strRef>
          </c:cat>
          <c:val>
            <c:numRef>
              <c:f>Analysis!$C$72:$D$72</c:f>
              <c:numCache>
                <c:formatCode>General</c:formatCode>
                <c:ptCount val="2"/>
                <c:pt idx="0">
                  <c:v>15</c:v>
                </c:pt>
                <c:pt idx="1">
                  <c:v>9</c:v>
                </c:pt>
              </c:numCache>
              <c:extLst xmlns:c15="http://schemas.microsoft.com/office/drawing/2012/chart" xmlns:c16r2="http://schemas.microsoft.com/office/drawing/2015/06/chart"/>
            </c:numRef>
          </c:val>
          <c:extLst xmlns:c16r2="http://schemas.microsoft.com/office/drawing/2015/06/chart">
            <c:ext xmlns:c16="http://schemas.microsoft.com/office/drawing/2014/chart" uri="{C3380CC4-5D6E-409C-BE32-E72D297353CC}">
              <c16:uniqueId val="{00000004-85B8-463C-A064-D3371E89311C}"/>
            </c:ext>
          </c:extLst>
        </c:ser>
        <c:dLbls>
          <c:showLegendKey val="0"/>
          <c:showVal val="0"/>
          <c:showCatName val="0"/>
          <c:showSerName val="0"/>
          <c:showPercent val="0"/>
          <c:showBubbleSize val="0"/>
          <c:showLeaderLines val="1"/>
        </c:dLbls>
        <c:firstSliceAng val="0"/>
        <c:extLst xmlns:c16r2="http://schemas.microsoft.com/office/drawing/2015/06/chart">
          <c:ext xmlns:c15="http://schemas.microsoft.com/office/drawing/2012/chart" uri="{02D57815-91ED-43cb-92C2-25804820EDAC}">
            <c15:filteredPieSeries>
              <c15:ser>
                <c:idx val="0"/>
                <c:order val="0"/>
                <c:tx>
                  <c:strRef>
                    <c:extLst xmlns:c16r2="http://schemas.microsoft.com/office/drawing/2015/06/chart">
                      <c:ext uri="{02D57815-91ED-43cb-92C2-25804820EDAC}">
                        <c15:formulaRef>
                          <c15:sqref>Analysis!$B$71</c15:sqref>
                        </c15:formulaRef>
                      </c:ext>
                    </c:extLst>
                    <c:strCache>
                      <c:ptCount val="1"/>
                      <c:pt idx="0">
                        <c:v>Kachin</c:v>
                      </c:pt>
                    </c:strCache>
                  </c:strRef>
                </c:tx>
                <c:dPt>
                  <c:idx val="0"/>
                  <c:bubble3D val="0"/>
                  <c:spPr>
                    <a:solidFill>
                      <a:schemeClr val="accent1">
                        <a:lumMod val="40000"/>
                        <a:lumOff val="60000"/>
                      </a:schemeClr>
                    </a:solidFill>
                    <a:ln>
                      <a:noFill/>
                    </a:ln>
                    <a:effectLst/>
                  </c:spPr>
                  <c:extLst xmlns:c16r2="http://schemas.microsoft.com/office/drawing/2015/06/chart">
                    <c:ext xmlns:c16="http://schemas.microsoft.com/office/drawing/2014/chart" uri="{C3380CC4-5D6E-409C-BE32-E72D297353CC}">
                      <c16:uniqueId val="{00000006-85B8-463C-A064-D3371E89311C}"/>
                    </c:ext>
                  </c:extLst>
                </c:dPt>
                <c:dPt>
                  <c:idx val="1"/>
                  <c:bubble3D val="0"/>
                  <c:spPr>
                    <a:solidFill>
                      <a:srgbClr val="0070C0"/>
                    </a:solidFill>
                    <a:ln>
                      <a:noFill/>
                    </a:ln>
                    <a:effectLst/>
                  </c:spPr>
                  <c:extLst xmlns:c16r2="http://schemas.microsoft.com/office/drawing/2015/06/chart">
                    <c:ext xmlns:c16="http://schemas.microsoft.com/office/drawing/2014/chart" uri="{C3380CC4-5D6E-409C-BE32-E72D297353CC}">
                      <c16:uniqueId val="{00000008-85B8-463C-A064-D3371E89311C}"/>
                    </c:ext>
                  </c:extLst>
                </c:dPt>
                <c:dLbls>
                  <c:dLbl>
                    <c:idx val="1"/>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dLbl>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xmlns:c16r2="http://schemas.microsoft.com/office/drawing/2015/06/chart">
                    <c:ext uri="{CE6537A1-D6FC-4f65-9D91-7224C49458BB}"/>
                  </c:extLst>
                </c:dLbls>
                <c:cat>
                  <c:strRef>
                    <c:extLst xmlns:c16r2="http://schemas.microsoft.com/office/drawing/2015/06/chart">
                      <c:ext uri="{02D57815-91ED-43cb-92C2-25804820EDAC}">
                        <c15:formulaRef>
                          <c15:sqref>Analysis!$C$70:$D$70</c15:sqref>
                        </c15:formulaRef>
                      </c:ext>
                    </c:extLst>
                    <c:strCache>
                      <c:ptCount val="2"/>
                      <c:pt idx="0">
                        <c:v>No Test</c:v>
                      </c:pt>
                      <c:pt idx="1">
                        <c:v>Tested</c:v>
                      </c:pt>
                    </c:strCache>
                  </c:strRef>
                </c:cat>
                <c:val>
                  <c:numRef>
                    <c:extLst xmlns:c16r2="http://schemas.microsoft.com/office/drawing/2015/06/chart">
                      <c:ext uri="{02D57815-91ED-43cb-92C2-25804820EDAC}">
                        <c15:formulaRef>
                          <c15:sqref>Analysis!$C$71:$D$71</c15:sqref>
                        </c15:formulaRef>
                      </c:ext>
                    </c:extLst>
                    <c:numCache>
                      <c:formatCode>General</c:formatCode>
                      <c:ptCount val="2"/>
                      <c:pt idx="0">
                        <c:v>114</c:v>
                      </c:pt>
                      <c:pt idx="1">
                        <c:v>15</c:v>
                      </c:pt>
                    </c:numCache>
                  </c:numRef>
                </c:val>
                <c:extLst xmlns:c16r2="http://schemas.microsoft.com/office/drawing/2015/06/chart">
                  <c:ext xmlns:c16="http://schemas.microsoft.com/office/drawing/2014/chart" uri="{C3380CC4-5D6E-409C-BE32-E72D297353CC}">
                    <c16:uniqueId val="{00000009-85B8-463C-A064-D3371E89311C}"/>
                  </c:ext>
                </c:extLst>
              </c15:ser>
            </c15:filteredPieSeries>
            <c15:filteredPieSeries>
              <c15:ser>
                <c:idx val="2"/>
                <c:order val="2"/>
                <c:tx>
                  <c:strRef>
                    <c:extLst xmlns:c15="http://schemas.microsoft.com/office/drawing/2012/chart" xmlns:c16r2="http://schemas.microsoft.com/office/drawing/2015/06/chart">
                      <c:ext xmlns:c15="http://schemas.microsoft.com/office/drawing/2012/chart" uri="{02D57815-91ED-43cb-92C2-25804820EDAC}">
                        <c15:formulaRef>
                          <c15:sqref>Analysis!$B$73</c15:sqref>
                        </c15:formulaRef>
                      </c:ext>
                    </c:extLst>
                    <c:strCache>
                      <c:ptCount val="1"/>
                      <c:pt idx="0">
                        <c:v>Shan (North)</c:v>
                      </c:pt>
                    </c:strCache>
                  </c:strRef>
                </c:tx>
                <c:dPt>
                  <c:idx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extLst xmlns:c15="http://schemas.microsoft.com/office/drawing/2012/chart" xmlns:c16r2="http://schemas.microsoft.com/office/drawing/2015/06/chart">
                    <c:ext xmlns:c16="http://schemas.microsoft.com/office/drawing/2014/chart" uri="{C3380CC4-5D6E-409C-BE32-E72D297353CC}">
                      <c16:uniqueId val="{0000000B-85B8-463C-A064-D3371E89311C}"/>
                    </c:ext>
                  </c:extLst>
                </c:dPt>
                <c:dPt>
                  <c:idx val="1"/>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extLst xmlns:c15="http://schemas.microsoft.com/office/drawing/2012/chart" xmlns:c16r2="http://schemas.microsoft.com/office/drawing/2015/06/chart">
                    <c:ext xmlns:c16="http://schemas.microsoft.com/office/drawing/2014/chart" uri="{C3380CC4-5D6E-409C-BE32-E72D297353CC}">
                      <c16:uniqueId val="{0000000D-85B8-463C-A064-D3371E89311C}"/>
                    </c:ext>
                  </c:extLst>
                </c:dPt>
                <c:cat>
                  <c:strRef>
                    <c:extLst xmlns:c15="http://schemas.microsoft.com/office/drawing/2012/chart" xmlns:c16r2="http://schemas.microsoft.com/office/drawing/2015/06/chart">
                      <c:ext xmlns:c15="http://schemas.microsoft.com/office/drawing/2012/chart" uri="{02D57815-91ED-43cb-92C2-25804820EDAC}">
                        <c15:formulaRef>
                          <c15:sqref>Analysis!$C$70:$D$70</c15:sqref>
                        </c15:formulaRef>
                      </c:ext>
                    </c:extLst>
                    <c:strCache>
                      <c:ptCount val="2"/>
                      <c:pt idx="0">
                        <c:v>No Test</c:v>
                      </c:pt>
                      <c:pt idx="1">
                        <c:v>Tested</c:v>
                      </c:pt>
                    </c:strCache>
                  </c:strRef>
                </c:cat>
                <c:val>
                  <c:numRef>
                    <c:extLst xmlns:c15="http://schemas.microsoft.com/office/drawing/2012/chart" xmlns:c16r2="http://schemas.microsoft.com/office/drawing/2015/06/chart">
                      <c:ext xmlns:c15="http://schemas.microsoft.com/office/drawing/2012/chart" uri="{02D57815-91ED-43cb-92C2-25804820EDAC}">
                        <c15:formulaRef>
                          <c15:sqref>Analysis!$C$73:$D$73</c15:sqref>
                        </c15:formulaRef>
                      </c:ext>
                    </c:extLst>
                    <c:numCache>
                      <c:formatCode>General</c:formatCode>
                      <c:ptCount val="2"/>
                      <c:pt idx="0">
                        <c:v>29</c:v>
                      </c:pt>
                      <c:pt idx="1">
                        <c:v>6</c:v>
                      </c:pt>
                    </c:numCache>
                  </c:numRef>
                </c:val>
                <c:extLst xmlns:c15="http://schemas.microsoft.com/office/drawing/2012/chart" xmlns:c16r2="http://schemas.microsoft.com/office/drawing/2015/06/chart">
                  <c:ext xmlns:c16="http://schemas.microsoft.com/office/drawing/2014/chart" uri="{C3380CC4-5D6E-409C-BE32-E72D297353CC}">
                    <c16:uniqueId val="{0000000E-85B8-463C-A064-D3371E89311C}"/>
                  </c:ext>
                </c:extLst>
              </c15:ser>
            </c15:filteredPieSeries>
          </c:ext>
        </c:extLst>
      </c:pieChart>
      <c:spPr>
        <a:noFill/>
        <a:ln>
          <a:noFill/>
        </a:ln>
        <a:effectLst/>
      </c:spPr>
    </c:plotArea>
    <c:legend>
      <c:legendPos val="r"/>
      <c:layout>
        <c:manualLayout>
          <c:xMode val="edge"/>
          <c:yMode val="edge"/>
          <c:x val="6.5737400158611764E-2"/>
          <c:y val="0.84629913802490786"/>
          <c:w val="0.21193132108486443"/>
          <c:h val="0.15366110165460245"/>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7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sz="1200"/>
              <a:t>Funding Received/Gap as of 2018-Q1 </a:t>
            </a:r>
            <a:r>
              <a:rPr lang="en-US" sz="1200" b="1" i="0" u="none" strike="noStrike" baseline="0">
                <a:effectLst/>
              </a:rPr>
              <a:t>(US$)</a:t>
            </a:r>
            <a:endParaRPr lang="en-US" sz="1200"/>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percentStacked"/>
        <c:varyColors val="0"/>
        <c:ser>
          <c:idx val="1"/>
          <c:order val="1"/>
          <c:tx>
            <c:strRef>
              <c:f>[9]Fund_Analysis_Rakhine!$C$72</c:f>
              <c:strCache>
                <c:ptCount val="1"/>
                <c:pt idx="0">
                  <c:v>Approximate Fund 2018</c:v>
                </c:pt>
              </c:strCache>
            </c:strRef>
          </c:tx>
          <c:spPr>
            <a:solidFill>
              <a:schemeClr val="bg1">
                <a:lumMod val="50000"/>
              </a:schemeClr>
            </a:solidFill>
            <a:ln>
              <a:noFill/>
            </a:ln>
            <a:effectLst>
              <a:outerShdw blurRad="57150" dist="19050" dir="5400000" algn="ctr" rotWithShape="0">
                <a:srgbClr val="000000">
                  <a:alpha val="63000"/>
                </a:srgbClr>
              </a:outerShdw>
            </a:effectLst>
          </c:spPr>
          <c:invertIfNegative val="0"/>
          <c:dLbls>
            <c:numFmt formatCode="&quot;$&quot;#,##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[9]Fund_Analysis_Rakhine!$A$73:$A$75</c15:sqref>
                  </c15:fullRef>
                </c:ext>
              </c:extLst>
              <c:f>[9]Fund_Analysis_Rakhine!$A$74</c:f>
              <c:strCache>
                <c:ptCount val="1"/>
                <c:pt idx="0">
                  <c:v>Rakhine</c:v>
                </c:pt>
              </c:strCache>
            </c:strRef>
          </c:cat>
          <c:val>
            <c:numRef>
              <c:extLst>
                <c:ext xmlns:c15="http://schemas.microsoft.com/office/drawing/2012/chart" uri="{02D57815-91ED-43cb-92C2-25804820EDAC}">
                  <c15:fullRef>
                    <c15:sqref>[9]Fund_Analysis_Rakhine!$C$73:$C$75</c15:sqref>
                  </c15:fullRef>
                </c:ext>
              </c:extLst>
              <c:f>[9]Fund_Analysis_Rakhine!$C$74</c:f>
              <c:numCache>
                <c:formatCode>General</c:formatCode>
                <c:ptCount val="1"/>
                <c:pt idx="0">
                  <c:v>6050988.2278582146</c:v>
                </c:pt>
              </c:numCache>
            </c:numRef>
          </c:val>
          <c:extLst xmlns:c16r2="http://schemas.microsoft.com/office/drawing/2015/06/chart">
            <c:ext xmlns:c16="http://schemas.microsoft.com/office/drawing/2014/chart" uri="{C3380CC4-5D6E-409C-BE32-E72D297353CC}">
              <c16:uniqueId val="{00000001-5296-4004-994E-50883005351E}"/>
            </c:ext>
          </c:extLst>
        </c:ser>
        <c:ser>
          <c:idx val="2"/>
          <c:order val="2"/>
          <c:tx>
            <c:strRef>
              <c:f>[9]Fund_Analysis_Rakhine!$D$72</c:f>
              <c:strCache>
                <c:ptCount val="1"/>
                <c:pt idx="0">
                  <c:v>Gap</c:v>
                </c:pt>
              </c:strCache>
            </c:strRef>
          </c:tx>
          <c:spPr>
            <a:solidFill>
              <a:schemeClr val="bg1">
                <a:lumMod val="85000"/>
              </a:schemeClr>
            </a:solidFill>
            <a:ln>
              <a:noFill/>
            </a:ln>
            <a:effectLst>
              <a:outerShdw blurRad="57150" dist="19050" dir="5400000" algn="ctr" rotWithShape="0">
                <a:srgbClr val="000000">
                  <a:alpha val="63000"/>
                </a:srgbClr>
              </a:outerShdw>
            </a:effectLst>
          </c:spPr>
          <c:invertIfNegative val="0"/>
          <c:dLbls>
            <c:numFmt formatCode="&quot;$&quot;#,##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[9]Fund_Analysis_Rakhine!$A$73:$A$75</c15:sqref>
                  </c15:fullRef>
                </c:ext>
              </c:extLst>
              <c:f>[9]Fund_Analysis_Rakhine!$A$74</c:f>
              <c:strCache>
                <c:ptCount val="1"/>
                <c:pt idx="0">
                  <c:v>Rakhine</c:v>
                </c:pt>
              </c:strCache>
            </c:strRef>
          </c:cat>
          <c:val>
            <c:numRef>
              <c:extLst>
                <c:ext xmlns:c15="http://schemas.microsoft.com/office/drawing/2012/chart" uri="{02D57815-91ED-43cb-92C2-25804820EDAC}">
                  <c15:fullRef>
                    <c15:sqref>[9]Fund_Analysis_Rakhine!$D$73:$D$75</c15:sqref>
                  </c15:fullRef>
                </c:ext>
              </c:extLst>
              <c:f>[9]Fund_Analysis_Rakhine!$D$74</c:f>
              <c:numCache>
                <c:formatCode>General</c:formatCode>
                <c:ptCount val="1"/>
                <c:pt idx="0">
                  <c:v>15549011.772141784</c:v>
                </c:pt>
              </c:numCache>
            </c:numRef>
          </c:val>
          <c:extLst xmlns:c16r2="http://schemas.microsoft.com/office/drawing/2015/06/chart">
            <c:ext xmlns:c16="http://schemas.microsoft.com/office/drawing/2014/chart" uri="{C3380CC4-5D6E-409C-BE32-E72D297353CC}">
              <c16:uniqueId val="{00000002-5296-4004-994E-50883005351E}"/>
            </c:ext>
          </c:extLst>
        </c:ser>
        <c:dLbls>
          <c:dLblPos val="ctr"/>
          <c:showLegendKey val="0"/>
          <c:showVal val="1"/>
          <c:showCatName val="0"/>
          <c:showSerName val="0"/>
          <c:showPercent val="0"/>
          <c:showBubbleSize val="0"/>
        </c:dLbls>
        <c:gapWidth val="150"/>
        <c:overlap val="100"/>
        <c:axId val="486300208"/>
        <c:axId val="486300600"/>
        <c:extLst xmlns:c16r2="http://schemas.microsoft.com/office/drawing/2015/06/chart">
          <c:ext xmlns:c15="http://schemas.microsoft.com/office/drawing/2012/chart" uri="{02D57815-91ED-43cb-92C2-25804820EDAC}">
            <c15:filteredBarSeries>
              <c15:ser>
                <c:idx val="0"/>
                <c:order val="0"/>
                <c:tx>
                  <c:strRef>
                    <c:extLst xmlns:c16r2="http://schemas.microsoft.com/office/drawing/2015/06/chart">
                      <c:ext uri="{02D57815-91ED-43cb-92C2-25804820EDAC}">
                        <c15:formulaRef>
                          <c15:sqref>[9]Fund_Analysis_Rakhine!$B$72</c15:sqref>
                        </c15:formulaRef>
                      </c:ext>
                    </c:extLst>
                    <c:strCache>
                      <c:ptCount val="1"/>
                      <c:pt idx="0">
                        <c:v>Funding requirements</c:v>
                      </c:pt>
                    </c:strCache>
                  </c:strRef>
                </c:tx>
                <c:spPr>
                  <a:gradFill rotWithShape="1">
                    <a:gsLst>
                      <a:gs pos="0">
                        <a:schemeClr val="accent1">
                          <a:shade val="58000"/>
                          <a:satMod val="103000"/>
                          <a:lumMod val="102000"/>
                          <a:tint val="94000"/>
                        </a:schemeClr>
                      </a:gs>
                      <a:gs pos="50000">
                        <a:schemeClr val="accent1">
                          <a:shade val="58000"/>
                          <a:satMod val="110000"/>
                          <a:lumMod val="100000"/>
                          <a:shade val="100000"/>
                        </a:schemeClr>
                      </a:gs>
                      <a:gs pos="100000">
                        <a:schemeClr val="accent1">
                          <a:shade val="58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6r2="http://schemas.microsoft.com/office/drawing/2015/06/char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[9]Fund_Analysis_Rakhine!$A$73:$A$75</c15:sqref>
                        </c15:fullRef>
                        <c15:formulaRef>
                          <c15:sqref>[9]Fund_Analysis_Rakhine!$A$74</c15:sqref>
                        </c15:formulaRef>
                      </c:ext>
                    </c:extLst>
                    <c:strCache>
                      <c:ptCount val="1"/>
                      <c:pt idx="0">
                        <c:v>Rakhine</c:v>
                      </c:pt>
                    </c:strCache>
                  </c:strRef>
                </c:cat>
                <c:val>
                  <c:numRef>
                    <c:extLst>
                      <c:ext uri="{02D57815-91ED-43cb-92C2-25804820EDAC}">
                        <c15:fullRef>
                          <c15:sqref>[9]Fund_Analysis_Rakhine!$B$73:$B$75</c15:sqref>
                        </c15:fullRef>
                        <c15:formulaRef>
                          <c15:sqref>[9]Fund_Analysis_Rakhine!$B$74</c15:sqref>
                        </c15:formulaRef>
                      </c:ext>
                    </c:extLst>
                    <c:numCache>
                      <c:formatCode>General</c:formatCode>
                      <c:ptCount val="1"/>
                      <c:pt idx="0">
                        <c:v>21600000</c:v>
                      </c:pt>
                    </c:numCache>
                  </c:numRef>
                </c:val>
                <c:extLst xmlns:c16r2="http://schemas.microsoft.com/office/drawing/2015/06/chart">
                  <c:ext xmlns:c16="http://schemas.microsoft.com/office/drawing/2014/chart" uri="{C3380CC4-5D6E-409C-BE32-E72D297353CC}">
                    <c16:uniqueId val="{00000000-5296-4004-994E-50883005351E}"/>
                  </c:ext>
                </c:extLst>
              </c15:ser>
            </c15:filteredBarSeries>
            <c15:filteredBarSeries>
              <c15:ser>
                <c:idx val="3"/>
                <c:order val="3"/>
                <c:tx>
                  <c:strRef>
                    <c:extLst xmlns:c15="http://schemas.microsoft.com/office/drawing/2012/chart" xmlns:c16r2="http://schemas.microsoft.com/office/drawing/2015/06/chart">
                      <c:ext xmlns:c15="http://schemas.microsoft.com/office/drawing/2012/chart" uri="{02D57815-91ED-43cb-92C2-25804820EDAC}">
                        <c15:formulaRef>
                          <c15:sqref>[9]Fund_Analysis_Rakhine!$E$72</c15:sqref>
                        </c15:formulaRef>
                      </c:ext>
                    </c:extLst>
                    <c:strCache>
                      <c:ptCount val="1"/>
                      <c:pt idx="0">
                        <c:v>%Gap</c:v>
                      </c:pt>
                    </c:strCache>
                  </c:strRef>
                </c:tx>
                <c:spPr>
                  <a:gradFill rotWithShape="1">
                    <a:gsLst>
                      <a:gs pos="0">
                        <a:schemeClr val="accent1">
                          <a:tint val="58000"/>
                          <a:satMod val="103000"/>
                          <a:lumMod val="102000"/>
                          <a:tint val="94000"/>
                        </a:schemeClr>
                      </a:gs>
                      <a:gs pos="50000">
                        <a:schemeClr val="accent1">
                          <a:tint val="58000"/>
                          <a:satMod val="110000"/>
                          <a:lumMod val="100000"/>
                          <a:shade val="100000"/>
                        </a:schemeClr>
                      </a:gs>
                      <a:gs pos="100000">
                        <a:schemeClr val="accent1">
                          <a:tint val="58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[9]Fund_Analysis_Rakhine!$A$73:$A$75</c15:sqref>
                        </c15:fullRef>
                        <c15:formulaRef>
                          <c15:sqref>[9]Fund_Analysis_Rakhine!$A$74</c15:sqref>
                        </c15:formulaRef>
                      </c:ext>
                    </c:extLst>
                    <c:strCache>
                      <c:ptCount val="1"/>
                      <c:pt idx="0">
                        <c:v>Rakhine</c:v>
                      </c:pt>
                    </c:strCache>
                  </c:strRef>
                </c:cat>
                <c:val>
                  <c:numRef>
                    <c:extLst>
                      <c:ext xmlns:c15="http://schemas.microsoft.com/office/drawing/2012/chart" uri="{02D57815-91ED-43cb-92C2-25804820EDAC}">
                        <c15:fullRef>
                          <c15:sqref>[9]Fund_Analysis_Rakhine!$E$73:$E$75</c15:sqref>
                        </c15:fullRef>
                        <c15:formulaRef>
                          <c15:sqref>[9]Fund_Analysis_Rakhine!$E$74</c15:sqref>
                        </c15:formulaRef>
                      </c:ext>
                    </c:extLst>
                    <c:numCache>
                      <c:formatCode>General</c:formatCode>
                      <c:ptCount val="1"/>
                      <c:pt idx="0">
                        <c:v>0.71986165611767516</c:v>
                      </c:pt>
                    </c:numCache>
                  </c:numRef>
                </c:val>
                <c:extLst xmlns:c15="http://schemas.microsoft.com/office/drawing/2012/chart" xmlns:c16r2="http://schemas.microsoft.com/office/drawing/2015/06/chart">
                  <c:ext xmlns:c16="http://schemas.microsoft.com/office/drawing/2014/chart" uri="{C3380CC4-5D6E-409C-BE32-E72D297353CC}">
                    <c16:uniqueId val="{00000003-5296-4004-994E-50883005351E}"/>
                  </c:ext>
                </c:extLst>
              </c15:ser>
            </c15:filteredBarSeries>
          </c:ext>
        </c:extLst>
      </c:barChart>
      <c:catAx>
        <c:axId val="486300208"/>
        <c:scaling>
          <c:orientation val="minMax"/>
        </c:scaling>
        <c:delete val="1"/>
        <c:axPos val="l"/>
        <c:numFmt formatCode="General" sourceLinked="1"/>
        <c:majorTickMark val="none"/>
        <c:minorTickMark val="none"/>
        <c:tickLblPos val="nextTo"/>
        <c:crossAx val="486300600"/>
        <c:crosses val="autoZero"/>
        <c:auto val="1"/>
        <c:lblAlgn val="ctr"/>
        <c:lblOffset val="100"/>
        <c:noMultiLvlLbl val="0"/>
      </c:catAx>
      <c:valAx>
        <c:axId val="486300600"/>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8630020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r>
              <a:rPr lang="en-US" sz="1200"/>
              <a:t> Funding Splits INGO,</a:t>
            </a:r>
            <a:r>
              <a:rPr lang="en-US" sz="1200" baseline="0"/>
              <a:t> </a:t>
            </a:r>
            <a:r>
              <a:rPr lang="en-US" sz="1200"/>
              <a:t>LNGO, UN</a:t>
            </a:r>
          </a:p>
        </c:rich>
      </c:tx>
      <c:overlay val="0"/>
      <c:spPr>
        <a:noFill/>
        <a:ln>
          <a:noFill/>
        </a:ln>
        <a:effectLst/>
      </c:spPr>
      <c:txPr>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n-US"/>
        </a:p>
      </c:txPr>
    </c:title>
    <c:autoTitleDeleted val="0"/>
    <c:pivotFmts>
      <c:pivotFmt>
        <c:idx val="0"/>
      </c:pivotFmt>
      <c:pivotFmt>
        <c:idx val="1"/>
        <c:spPr>
          <a:solidFill>
            <a:schemeClr val="bg1">
              <a:lumMod val="5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2"/>
        <c:spPr>
          <a:solidFill>
            <a:schemeClr val="bg1">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3"/>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pivotFmt>
      <c:pivotFmt>
        <c:idx val="4"/>
        <c:spPr>
          <a:solidFill>
            <a:schemeClr val="bg1">
              <a:lumMod val="5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5"/>
        <c:spPr>
          <a:solidFill>
            <a:schemeClr val="bg1">
              <a:lumMod val="7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pivotFmt>
    </c:pivotFmts>
    <c:plotArea>
      <c:layout/>
      <c:barChart>
        <c:barDir val="bar"/>
        <c:grouping val="percentStacked"/>
        <c:varyColors val="0"/>
        <c:ser>
          <c:idx val="0"/>
          <c:order val="0"/>
          <c:tx>
            <c:v>INGO</c:v>
          </c:tx>
          <c:spPr>
            <a:solidFill>
              <a:schemeClr val="bg1">
                <a:lumMod val="50000"/>
              </a:schemeClr>
            </a:solidFill>
            <a:ln>
              <a:noFill/>
            </a:ln>
            <a:effectLst/>
          </c:spPr>
          <c:invertIfNegative val="0"/>
          <c:dLbls>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Lit>
              <c:ptCount val="1"/>
              <c:pt idx="0">
                <c:v>Total</c:v>
              </c:pt>
            </c:strLit>
          </c:cat>
          <c:val>
            <c:numLit>
              <c:formatCode>General</c:formatCode>
              <c:ptCount val="1"/>
              <c:pt idx="0">
                <c:v>0.99405370961742368</c:v>
              </c:pt>
            </c:numLit>
          </c:val>
          <c:extLst xmlns:c16r2="http://schemas.microsoft.com/office/drawing/2015/06/chart">
            <c:ext xmlns:c16="http://schemas.microsoft.com/office/drawing/2014/chart" uri="{C3380CC4-5D6E-409C-BE32-E72D297353CC}">
              <c16:uniqueId val="{00000000-FB36-4FC4-A6F7-5220EEBA99AB}"/>
            </c:ext>
          </c:extLst>
        </c:ser>
        <c:ser>
          <c:idx val="1"/>
          <c:order val="1"/>
          <c:tx>
            <c:v>LNGO</c:v>
          </c:tx>
          <c:spPr>
            <a:solidFill>
              <a:schemeClr val="bg1">
                <a:lumMod val="75000"/>
              </a:schemeClr>
            </a:solidFill>
            <a:ln>
              <a:noFill/>
            </a:ln>
            <a:effectLst/>
          </c:spPr>
          <c:invertIfNegative val="0"/>
          <c:dLbls>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dLbl>
            <c:numFmt formatCode="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Lit>
              <c:ptCount val="1"/>
              <c:pt idx="0">
                <c:v>Total</c:v>
              </c:pt>
            </c:strLit>
          </c:cat>
          <c:val>
            <c:numLit>
              <c:formatCode>General</c:formatCode>
              <c:ptCount val="1"/>
              <c:pt idx="0">
                <c:v>5.9462903825762831E-3</c:v>
              </c:pt>
            </c:numLit>
          </c:val>
          <c:extLst xmlns:c16r2="http://schemas.microsoft.com/office/drawing/2015/06/chart">
            <c:ext xmlns:c16="http://schemas.microsoft.com/office/drawing/2014/chart" uri="{C3380CC4-5D6E-409C-BE32-E72D297353CC}">
              <c16:uniqueId val="{00000001-FB36-4FC4-A6F7-5220EEBA99AB}"/>
            </c:ext>
          </c:extLst>
        </c:ser>
        <c:ser>
          <c:idx val="2"/>
          <c:order val="2"/>
          <c:tx>
            <c:v>GOV</c:v>
          </c:tx>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c:spPr>
          <c:invertIfNegative val="0"/>
          <c:cat>
            <c:strLit>
              <c:ptCount val="1"/>
              <c:pt idx="0">
                <c:v>Total</c:v>
              </c:pt>
            </c:strLit>
          </c:cat>
          <c:val>
            <c:numLit>
              <c:formatCode>General</c:formatCode>
              <c:ptCount val="1"/>
              <c:pt idx="0">
                <c:v>0</c:v>
              </c:pt>
            </c:numLit>
          </c:val>
          <c:extLst xmlns:c16r2="http://schemas.microsoft.com/office/drawing/2015/06/chart">
            <c:ext xmlns:c16="http://schemas.microsoft.com/office/drawing/2014/chart" uri="{C3380CC4-5D6E-409C-BE32-E72D297353CC}">
              <c16:uniqueId val="{00000002-FB36-4FC4-A6F7-5220EEBA99AB}"/>
            </c:ext>
          </c:extLst>
        </c:ser>
        <c:dLbls>
          <c:showLegendKey val="0"/>
          <c:showVal val="0"/>
          <c:showCatName val="0"/>
          <c:showSerName val="0"/>
          <c:showPercent val="0"/>
          <c:showBubbleSize val="0"/>
        </c:dLbls>
        <c:gapWidth val="150"/>
        <c:overlap val="100"/>
        <c:axId val="486302560"/>
        <c:axId val="486303344"/>
      </c:barChart>
      <c:catAx>
        <c:axId val="486302560"/>
        <c:scaling>
          <c:orientation val="minMax"/>
        </c:scaling>
        <c:delete val="1"/>
        <c:axPos val="l"/>
        <c:numFmt formatCode="General" sourceLinked="1"/>
        <c:majorTickMark val="none"/>
        <c:minorTickMark val="none"/>
        <c:tickLblPos val="nextTo"/>
        <c:crossAx val="486303344"/>
        <c:crosses val="autoZero"/>
        <c:auto val="1"/>
        <c:lblAlgn val="ctr"/>
        <c:lblOffset val="100"/>
        <c:noMultiLvlLbl val="0"/>
      </c:catAx>
      <c:valAx>
        <c:axId val="486303344"/>
        <c:scaling>
          <c:orientation val="minMax"/>
          <c:min val="0"/>
        </c:scaling>
        <c:delete val="0"/>
        <c:axPos val="b"/>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486302560"/>
        <c:crosses val="autoZero"/>
        <c:crossBetween val="between"/>
      </c:valAx>
      <c:spPr>
        <a:noFill/>
        <a:ln>
          <a:noFill/>
        </a:ln>
        <a:effectLst/>
      </c:spPr>
    </c:plotArea>
    <c:legend>
      <c:legendPos val="b"/>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extLst xmlns:c16r2="http://schemas.microsoft.com/office/drawing/2015/06/chart"/>
</c:chartSpace>
</file>

<file path=xl/charts/chart7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[2018_06_05_Myanmar_WASH_4W_2018_Q1_final.xlsx]Analysis!PivotTable9</c:name>
    <c:fmtId val="4"/>
  </c:pivotSource>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n-US" sz="1200" b="1" i="0" baseline="0">
                <a:effectLst/>
              </a:rPr>
              <a:t>Number of Sites - Coverage/Gaps</a:t>
            </a:r>
          </a:p>
        </c:rich>
      </c:tx>
      <c:layout>
        <c:manualLayout>
          <c:xMode val="edge"/>
          <c:yMode val="edge"/>
          <c:x val="2.6571560019236821E-2"/>
          <c:y val="2.1873494044381492E-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n-US"/>
        </a:p>
      </c:txPr>
    </c:title>
    <c:autoTitleDeleted val="0"/>
    <c:pivotFmts>
      <c:pivotFmt>
        <c:idx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12700">
              <a:solidFill>
                <a:schemeClr val="lt2"/>
              </a:solidFill>
              <a:round/>
            </a:ln>
            <a:effectLst/>
          </c:spPr>
        </c:marker>
      </c:pivotFmt>
      <c:pivotFmt>
        <c:idx val="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12700">
              <a:solidFill>
                <a:schemeClr val="lt2"/>
              </a:solidFill>
              <a:round/>
            </a:ln>
            <a:effectLst/>
          </c:spPr>
        </c:marker>
      </c:pivotFmt>
      <c:pivotFmt>
        <c:idx val="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pivotFmt>
      <c:pivotFmt>
        <c:idx val="3"/>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pivotFmt>
      <c:pivotFmt>
        <c:idx val="4"/>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5"/>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s>
    <c:plotArea>
      <c:layout>
        <c:manualLayout>
          <c:layoutTarget val="inner"/>
          <c:xMode val="edge"/>
          <c:yMode val="edge"/>
          <c:x val="0.1596085594489122"/>
          <c:y val="0.18660326982618372"/>
          <c:w val="0.69059629037582515"/>
          <c:h val="0.59374132694776072"/>
        </c:manualLayout>
      </c:layout>
      <c:barChart>
        <c:barDir val="bar"/>
        <c:grouping val="clustered"/>
        <c:varyColors val="0"/>
        <c:ser>
          <c:idx val="0"/>
          <c:order val="0"/>
          <c:tx>
            <c:strRef>
              <c:f>Analysis!$I$177:$I$178</c:f>
              <c:strCache>
                <c:ptCount val="1"/>
                <c:pt idx="0">
                  <c:v>Covered</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Analysis!$H$179:$H$181</c:f>
              <c:strCache>
                <c:ptCount val="3"/>
                <c:pt idx="0">
                  <c:v>Camp</c:v>
                </c:pt>
                <c:pt idx="1">
                  <c:v>Village</c:v>
                </c:pt>
                <c:pt idx="2">
                  <c:v>Village_Not HRP</c:v>
                </c:pt>
              </c:strCache>
            </c:strRef>
          </c:cat>
          <c:val>
            <c:numRef>
              <c:f>Analysis!$I$179:$I$181</c:f>
              <c:numCache>
                <c:formatCode>General</c:formatCode>
                <c:ptCount val="3"/>
                <c:pt idx="0">
                  <c:v>24</c:v>
                </c:pt>
                <c:pt idx="1">
                  <c:v>59</c:v>
                </c:pt>
                <c:pt idx="2">
                  <c:v>61</c:v>
                </c:pt>
              </c:numCache>
            </c:numRef>
          </c:val>
          <c:extLst xmlns:c16r2="http://schemas.microsoft.com/office/drawing/2015/06/chart">
            <c:ext xmlns:c16="http://schemas.microsoft.com/office/drawing/2014/chart" uri="{C3380CC4-5D6E-409C-BE32-E72D297353CC}">
              <c16:uniqueId val="{00000000-0AA8-4E59-AB19-578F9A59F917}"/>
            </c:ext>
          </c:extLst>
        </c:ser>
        <c:ser>
          <c:idx val="1"/>
          <c:order val="1"/>
          <c:tx>
            <c:strRef>
              <c:f>Analysis!$J$177:$J$178</c:f>
              <c:strCache>
                <c:ptCount val="1"/>
                <c:pt idx="0">
                  <c:v>Gap</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Analysis!$H$179:$H$181</c:f>
              <c:strCache>
                <c:ptCount val="3"/>
                <c:pt idx="0">
                  <c:v>Camp</c:v>
                </c:pt>
                <c:pt idx="1">
                  <c:v>Village</c:v>
                </c:pt>
                <c:pt idx="2">
                  <c:v>Village_Not HRP</c:v>
                </c:pt>
              </c:strCache>
            </c:strRef>
          </c:cat>
          <c:val>
            <c:numRef>
              <c:f>Analysis!$J$179:$J$181</c:f>
              <c:numCache>
                <c:formatCode>General</c:formatCode>
                <c:ptCount val="3"/>
                <c:pt idx="0">
                  <c:v>1</c:v>
                </c:pt>
                <c:pt idx="1">
                  <c:v>55</c:v>
                </c:pt>
              </c:numCache>
            </c:numRef>
          </c:val>
          <c:extLst xmlns:c16r2="http://schemas.microsoft.com/office/drawing/2015/06/chart">
            <c:ext xmlns:c16="http://schemas.microsoft.com/office/drawing/2014/chart" uri="{C3380CC4-5D6E-409C-BE32-E72D297353CC}">
              <c16:uniqueId val="{00000001-0AA8-4E59-AB19-578F9A59F917}"/>
            </c:ext>
          </c:extLst>
        </c:ser>
        <c:dLbls>
          <c:showLegendKey val="0"/>
          <c:showVal val="0"/>
          <c:showCatName val="0"/>
          <c:showSerName val="0"/>
          <c:showPercent val="0"/>
          <c:showBubbleSize val="0"/>
        </c:dLbls>
        <c:gapWidth val="100"/>
        <c:axId val="486303736"/>
        <c:axId val="486292760"/>
      </c:barChart>
      <c:catAx>
        <c:axId val="486303736"/>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486292760"/>
        <c:crosses val="autoZero"/>
        <c:auto val="1"/>
        <c:lblAlgn val="ctr"/>
        <c:lblOffset val="100"/>
        <c:noMultiLvlLbl val="0"/>
      </c:catAx>
      <c:valAx>
        <c:axId val="486292760"/>
        <c:scaling>
          <c:orientation val="minMax"/>
        </c:scaling>
        <c:delete val="0"/>
        <c:axPos val="b"/>
        <c:majorGridlines>
          <c:spPr>
            <a:ln w="9525" cap="flat" cmpd="sng" algn="ctr">
              <a:solidFill>
                <a:schemeClr val="tx2">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486303736"/>
        <c:crosses val="autoZero"/>
        <c:crossBetween val="between"/>
      </c:valAx>
      <c:spPr>
        <a:noFill/>
        <a:ln>
          <a:noFill/>
        </a:ln>
        <a:effectLst/>
      </c:spPr>
    </c:plotArea>
    <c:legend>
      <c:legendPos val="b"/>
      <c:layout>
        <c:manualLayout>
          <c:xMode val="edge"/>
          <c:yMode val="edge"/>
          <c:x val="0.43556289595093733"/>
          <c:y val="0.8634962878691762"/>
          <c:w val="0.1288740778671712"/>
          <c:h val="0.1288671912816186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extLst xmlns:c16r2="http://schemas.microsoft.com/office/drawing/2015/06/chart">
    <c:ext xmlns:c14="http://schemas.microsoft.com/office/drawing/2007/8/2/chart" uri="{781A3756-C4B2-4CAC-9D66-4F8BD8637D16}">
      <c14:pivotOptions>
        <c14:dropZoneFilter val="1"/>
        <c14:dropZoneCategories val="1"/>
        <c14:dropZoneData val="1"/>
        <c14:dropZoneSeries val="1"/>
      </c14:pivotOptions>
    </c:ext>
  </c:extLst>
</c:chartSpace>
</file>

<file path=xl/charts/chart7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r>
              <a:rPr lang="en-US" sz="1200"/>
              <a:t> Number of ppl Covered</a:t>
            </a:r>
            <a:r>
              <a:rPr lang="en-US" sz="1200" baseline="0"/>
              <a:t> against 2018 HRP targets</a:t>
            </a:r>
          </a:p>
          <a:p>
            <a:pPr>
              <a:defRPr sz="1200"/>
            </a:pPr>
            <a:r>
              <a:rPr lang="en-US" sz="1200"/>
              <a:t> (in</a:t>
            </a:r>
            <a:r>
              <a:rPr lang="en-US" sz="1200" baseline="0"/>
              <a:t> IDP camps)</a:t>
            </a:r>
            <a:endParaRPr lang="en-US" sz="1200"/>
          </a:p>
        </c:rich>
      </c:tx>
      <c:overlay val="0"/>
      <c:spPr>
        <a:noFill/>
        <a:ln>
          <a:noFill/>
        </a:ln>
        <a:effectLst/>
      </c:spPr>
      <c:txPr>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n-US"/>
        </a:p>
      </c:txPr>
    </c:title>
    <c:autoTitleDeleted val="0"/>
    <c:plotArea>
      <c:layout/>
      <c:barChart>
        <c:barDir val="bar"/>
        <c:grouping val="percentStacked"/>
        <c:varyColors val="0"/>
        <c:ser>
          <c:idx val="0"/>
          <c:order val="0"/>
          <c:tx>
            <c:strRef>
              <c:f>HRP!$H$155</c:f>
              <c:strCache>
                <c:ptCount val="1"/>
                <c:pt idx="0">
                  <c:v>Coverage</c:v>
                </c:pt>
              </c:strCache>
            </c:strRef>
          </c:tx>
          <c:spPr>
            <a:solidFill>
              <a:srgbClr val="0070C0"/>
            </a:solidFill>
            <a:ln>
              <a:noFill/>
            </a:ln>
            <a:effectLst/>
          </c:spPr>
          <c:invertIfNegative val="0"/>
          <c:dPt>
            <c:idx val="0"/>
            <c:invertIfNegative val="0"/>
            <c:bubble3D val="0"/>
            <c:spPr>
              <a:solidFill>
                <a:schemeClr val="accent6">
                  <a:lumMod val="75000"/>
                </a:schemeClr>
              </a:solidFill>
              <a:ln>
                <a:noFill/>
              </a:ln>
              <a:effectLst/>
            </c:spPr>
            <c:extLst xmlns:c16r2="http://schemas.microsoft.com/office/drawing/2015/06/chart">
              <c:ext xmlns:c16="http://schemas.microsoft.com/office/drawing/2014/chart" uri="{C3380CC4-5D6E-409C-BE32-E72D297353CC}">
                <c16:uniqueId val="{00000001-80AE-4D26-A150-8FAE5CF11C26}"/>
              </c:ext>
            </c:extLst>
          </c:dPt>
          <c:dPt>
            <c:idx val="1"/>
            <c:invertIfNegative val="0"/>
            <c:bubble3D val="0"/>
            <c:spPr>
              <a:solidFill>
                <a:schemeClr val="accent6">
                  <a:lumMod val="75000"/>
                </a:schemeClr>
              </a:solidFill>
              <a:ln>
                <a:noFill/>
              </a:ln>
              <a:effectLst/>
            </c:spPr>
            <c:extLst xmlns:c16r2="http://schemas.microsoft.com/office/drawing/2015/06/chart">
              <c:ext xmlns:c16="http://schemas.microsoft.com/office/drawing/2014/chart" uri="{C3380CC4-5D6E-409C-BE32-E72D297353CC}">
                <c16:uniqueId val="{00000003-80AE-4D26-A150-8FAE5CF11C26}"/>
              </c:ext>
            </c:extLst>
          </c:dPt>
          <c:dPt>
            <c:idx val="2"/>
            <c:invertIfNegative val="0"/>
            <c:bubble3D val="0"/>
            <c:spPr>
              <a:solidFill>
                <a:schemeClr val="accent2">
                  <a:lumMod val="75000"/>
                </a:schemeClr>
              </a:solidFill>
              <a:ln>
                <a:noFill/>
              </a:ln>
              <a:effectLst/>
            </c:spPr>
            <c:extLst xmlns:c16r2="http://schemas.microsoft.com/office/drawing/2015/06/chart">
              <c:ext xmlns:c16="http://schemas.microsoft.com/office/drawing/2014/chart" uri="{C3380CC4-5D6E-409C-BE32-E72D297353CC}">
                <c16:uniqueId val="{00000005-80AE-4D26-A150-8FAE5CF11C26}"/>
              </c:ext>
            </c:extLst>
          </c:dPt>
          <c:dPt>
            <c:idx val="3"/>
            <c:invertIfNegative val="0"/>
            <c:bubble3D val="0"/>
            <c:spPr>
              <a:solidFill>
                <a:schemeClr val="accent2">
                  <a:lumMod val="75000"/>
                </a:schemeClr>
              </a:solidFill>
              <a:ln>
                <a:noFill/>
              </a:ln>
              <a:effectLst/>
            </c:spPr>
            <c:extLst xmlns:c16r2="http://schemas.microsoft.com/office/drawing/2015/06/chart">
              <c:ext xmlns:c16="http://schemas.microsoft.com/office/drawing/2014/chart" uri="{C3380CC4-5D6E-409C-BE32-E72D297353CC}">
                <c16:uniqueId val="{00000007-80AE-4D26-A150-8FAE5CF11C26}"/>
              </c:ext>
            </c:extLst>
          </c:dPt>
          <c:dLbls>
            <c:numFmt formatCode="#,##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HRP!$F$156:$F$161</c:f>
              <c:strCache>
                <c:ptCount val="6"/>
                <c:pt idx="0">
                  <c:v>reached by regular dedicated hygiene promotion</c:v>
                </c:pt>
                <c:pt idx="1">
                  <c:v>received regular supply of hygiene items</c:v>
                </c:pt>
                <c:pt idx="2">
                  <c:v>with access to functional sanitation facilities</c:v>
                </c:pt>
                <c:pt idx="3">
                  <c:v>with access to continuous sanitation services</c:v>
                </c:pt>
                <c:pt idx="4">
                  <c:v>with equitable and safe access to sufficient quantity of drinking water</c:v>
                </c:pt>
                <c:pt idx="5">
                  <c:v>with equitable and safe access to sufficient quantity of domestic water</c:v>
                </c:pt>
              </c:strCache>
            </c:strRef>
          </c:cat>
          <c:val>
            <c:numRef>
              <c:f>HRP!$H$156:$H$161</c:f>
              <c:numCache>
                <c:formatCode>_(* #,##0_);_(* \(#,##0\);_(* "-"??_);_(@_)</c:formatCode>
                <c:ptCount val="6"/>
                <c:pt idx="0">
                  <c:v>92593</c:v>
                </c:pt>
                <c:pt idx="1">
                  <c:v>95695</c:v>
                </c:pt>
                <c:pt idx="2">
                  <c:v>93743</c:v>
                </c:pt>
                <c:pt idx="3">
                  <c:v>15540</c:v>
                </c:pt>
                <c:pt idx="4">
                  <c:v>115820.33333333333</c:v>
                </c:pt>
                <c:pt idx="5">
                  <c:v>118151.33333333333</c:v>
                </c:pt>
              </c:numCache>
            </c:numRef>
          </c:val>
          <c:extLst xmlns:c16r2="http://schemas.microsoft.com/office/drawing/2015/06/chart">
            <c:ext xmlns:c16="http://schemas.microsoft.com/office/drawing/2014/chart" uri="{C3380CC4-5D6E-409C-BE32-E72D297353CC}">
              <c16:uniqueId val="{00000008-80AE-4D26-A150-8FAE5CF11C26}"/>
            </c:ext>
          </c:extLst>
        </c:ser>
        <c:ser>
          <c:idx val="1"/>
          <c:order val="1"/>
          <c:tx>
            <c:strRef>
              <c:f>HRP!$I$155</c:f>
              <c:strCache>
                <c:ptCount val="1"/>
                <c:pt idx="0">
                  <c:v>Gap</c:v>
                </c:pt>
              </c:strCache>
            </c:strRef>
          </c:tx>
          <c:spPr>
            <a:solidFill>
              <a:schemeClr val="accent1">
                <a:lumMod val="40000"/>
                <a:lumOff val="60000"/>
              </a:schemeClr>
            </a:solidFill>
            <a:ln>
              <a:noFill/>
            </a:ln>
            <a:effectLst/>
          </c:spPr>
          <c:invertIfNegative val="0"/>
          <c:dPt>
            <c:idx val="0"/>
            <c:invertIfNegative val="0"/>
            <c:bubble3D val="0"/>
            <c:spPr>
              <a:solidFill>
                <a:schemeClr val="accent6">
                  <a:lumMod val="40000"/>
                  <a:lumOff val="60000"/>
                </a:schemeClr>
              </a:solidFill>
              <a:ln>
                <a:noFill/>
              </a:ln>
              <a:effectLst/>
            </c:spPr>
            <c:extLst xmlns:c16r2="http://schemas.microsoft.com/office/drawing/2015/06/chart">
              <c:ext xmlns:c16="http://schemas.microsoft.com/office/drawing/2014/chart" uri="{C3380CC4-5D6E-409C-BE32-E72D297353CC}">
                <c16:uniqueId val="{0000000A-80AE-4D26-A150-8FAE5CF11C26}"/>
              </c:ext>
            </c:extLst>
          </c:dPt>
          <c:dPt>
            <c:idx val="1"/>
            <c:invertIfNegative val="0"/>
            <c:bubble3D val="0"/>
            <c:spPr>
              <a:solidFill>
                <a:schemeClr val="accent6">
                  <a:lumMod val="40000"/>
                  <a:lumOff val="60000"/>
                </a:schemeClr>
              </a:solidFill>
              <a:ln>
                <a:noFill/>
              </a:ln>
              <a:effectLst/>
            </c:spPr>
            <c:extLst xmlns:c16r2="http://schemas.microsoft.com/office/drawing/2015/06/chart">
              <c:ext xmlns:c16="http://schemas.microsoft.com/office/drawing/2014/chart" uri="{C3380CC4-5D6E-409C-BE32-E72D297353CC}">
                <c16:uniqueId val="{0000000C-80AE-4D26-A150-8FAE5CF11C26}"/>
              </c:ext>
            </c:extLst>
          </c:dPt>
          <c:dPt>
            <c:idx val="2"/>
            <c:invertIfNegative val="0"/>
            <c:bubble3D val="0"/>
            <c:spPr>
              <a:solidFill>
                <a:schemeClr val="accent2">
                  <a:lumMod val="40000"/>
                  <a:lumOff val="60000"/>
                </a:schemeClr>
              </a:solidFill>
              <a:ln>
                <a:noFill/>
              </a:ln>
              <a:effectLst/>
            </c:spPr>
            <c:extLst xmlns:c16r2="http://schemas.microsoft.com/office/drawing/2015/06/chart">
              <c:ext xmlns:c16="http://schemas.microsoft.com/office/drawing/2014/chart" uri="{C3380CC4-5D6E-409C-BE32-E72D297353CC}">
                <c16:uniqueId val="{0000000E-80AE-4D26-A150-8FAE5CF11C26}"/>
              </c:ext>
            </c:extLst>
          </c:dPt>
          <c:dPt>
            <c:idx val="3"/>
            <c:invertIfNegative val="0"/>
            <c:bubble3D val="0"/>
            <c:spPr>
              <a:solidFill>
                <a:schemeClr val="accent2">
                  <a:lumMod val="40000"/>
                  <a:lumOff val="60000"/>
                </a:schemeClr>
              </a:solidFill>
              <a:ln>
                <a:noFill/>
              </a:ln>
              <a:effectLst/>
            </c:spPr>
            <c:extLst xmlns:c16r2="http://schemas.microsoft.com/office/drawing/2015/06/chart">
              <c:ext xmlns:c16="http://schemas.microsoft.com/office/drawing/2014/chart" uri="{C3380CC4-5D6E-409C-BE32-E72D297353CC}">
                <c16:uniqueId val="{00000010-80AE-4D26-A150-8FAE5CF11C26}"/>
              </c:ext>
            </c:extLst>
          </c:dPt>
          <c:dLbls>
            <c:dLbl>
              <c:idx val="4"/>
              <c:layout>
                <c:manualLayout>
                  <c:x val="-1.2107536113273226E-16"/>
                  <c:y val="-2.8112128878394677E-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1-80AE-4D26-A150-8FAE5CF11C26}"/>
                </c:ext>
                <c:ext xmlns:c15="http://schemas.microsoft.com/office/drawing/2012/chart" uri="{CE6537A1-D6FC-4f65-9D91-7224C49458BB}"/>
              </c:extLst>
            </c:dLbl>
            <c:dLbl>
              <c:idx val="5"/>
              <c:layout>
                <c:manualLayout>
                  <c:x val="6.7653914605783341E-3"/>
                  <c:y val="-2.8366687525718725E-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2-80AE-4D26-A150-8FAE5CF11C26}"/>
                </c:ext>
                <c:ext xmlns:c15="http://schemas.microsoft.com/office/drawing/2012/chart" uri="{CE6537A1-D6FC-4f65-9D91-7224C49458BB}"/>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HRP!$F$156:$F$161</c:f>
              <c:strCache>
                <c:ptCount val="6"/>
                <c:pt idx="0">
                  <c:v>reached by regular dedicated hygiene promotion</c:v>
                </c:pt>
                <c:pt idx="1">
                  <c:v>received regular supply of hygiene items</c:v>
                </c:pt>
                <c:pt idx="2">
                  <c:v>with access to functional sanitation facilities</c:v>
                </c:pt>
                <c:pt idx="3">
                  <c:v>with access to continuous sanitation services</c:v>
                </c:pt>
                <c:pt idx="4">
                  <c:v>with equitable and safe access to sufficient quantity of drinking water</c:v>
                </c:pt>
                <c:pt idx="5">
                  <c:v>with equitable and safe access to sufficient quantity of domestic water</c:v>
                </c:pt>
              </c:strCache>
            </c:strRef>
          </c:cat>
          <c:val>
            <c:numRef>
              <c:f>HRP!$I$156:$I$161</c:f>
              <c:numCache>
                <c:formatCode>_(* #,##0_);_(* \(#,##0\);_(* "-"??_);_(@_)</c:formatCode>
                <c:ptCount val="6"/>
                <c:pt idx="0">
                  <c:v>27510</c:v>
                </c:pt>
                <c:pt idx="1">
                  <c:v>11196.669999999998</c:v>
                </c:pt>
                <c:pt idx="2">
                  <c:v>26360</c:v>
                </c:pt>
                <c:pt idx="3">
                  <c:v>14485.75</c:v>
                </c:pt>
                <c:pt idx="4">
                  <c:v>4282.6666666666715</c:v>
                </c:pt>
                <c:pt idx="5">
                  <c:v>1951.6666666666715</c:v>
                </c:pt>
              </c:numCache>
            </c:numRef>
          </c:val>
          <c:extLst xmlns:c16r2="http://schemas.microsoft.com/office/drawing/2015/06/chart">
            <c:ext xmlns:c16="http://schemas.microsoft.com/office/drawing/2014/chart" uri="{C3380CC4-5D6E-409C-BE32-E72D297353CC}">
              <c16:uniqueId val="{00000013-80AE-4D26-A150-8FAE5CF11C26}"/>
            </c:ext>
          </c:extLst>
        </c:ser>
        <c:dLbls>
          <c:showLegendKey val="0"/>
          <c:showVal val="0"/>
          <c:showCatName val="0"/>
          <c:showSerName val="0"/>
          <c:showPercent val="0"/>
          <c:showBubbleSize val="0"/>
        </c:dLbls>
        <c:gapWidth val="150"/>
        <c:overlap val="100"/>
        <c:axId val="486308440"/>
        <c:axId val="486305696"/>
      </c:barChart>
      <c:catAx>
        <c:axId val="486308440"/>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2"/>
                </a:solidFill>
                <a:latin typeface="+mn-lt"/>
                <a:ea typeface="+mn-ea"/>
                <a:cs typeface="+mn-cs"/>
              </a:defRPr>
            </a:pPr>
            <a:endParaRPr lang="en-US"/>
          </a:p>
        </c:txPr>
        <c:crossAx val="486305696"/>
        <c:crosses val="autoZero"/>
        <c:auto val="1"/>
        <c:lblAlgn val="ctr"/>
        <c:lblOffset val="100"/>
        <c:noMultiLvlLbl val="0"/>
      </c:catAx>
      <c:valAx>
        <c:axId val="486305696"/>
        <c:scaling>
          <c:orientation val="minMax"/>
          <c:max val="1"/>
        </c:scaling>
        <c:delete val="0"/>
        <c:axPos val="b"/>
        <c:majorGridlines>
          <c:spPr>
            <a:ln w="9525" cap="flat" cmpd="sng" algn="ctr">
              <a:solidFill>
                <a:schemeClr val="tx2">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486308440"/>
        <c:crosses val="autoZero"/>
        <c:crossBetween val="between"/>
        <c:majorUnit val="0.2"/>
      </c:valAx>
      <c:spPr>
        <a:noFill/>
        <a:ln>
          <a:noFill/>
        </a:ln>
        <a:effectLst/>
      </c:spPr>
    </c:plotArea>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b="1" i="0" baseline="0">
                <a:effectLst/>
              </a:rPr>
              <a:t>Latrine coverage </a:t>
            </a:r>
            <a:endParaRPr lang="en-US" sz="1200">
              <a:effectLst/>
            </a:endParaRPr>
          </a:p>
        </c:rich>
      </c:tx>
      <c:layout>
        <c:manualLayout>
          <c:xMode val="edge"/>
          <c:yMode val="edge"/>
          <c:x val="0.37097858446173054"/>
          <c:y val="8.2941451940249891E-2"/>
        </c:manualLayout>
      </c:layout>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Analysis!$N$92</c:f>
              <c:strCache>
                <c:ptCount val="1"/>
                <c:pt idx="0">
                  <c:v>Coverage</c:v>
                </c:pt>
              </c:strCache>
            </c:strRef>
          </c:tx>
          <c:spPr>
            <a:solidFill>
              <a:schemeClr val="accent2">
                <a:shade val="76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Analysis!$O$91:$P$91</c:f>
              <c:strCache>
                <c:ptCount val="2"/>
                <c:pt idx="0">
                  <c:v># in active camps (20:1)</c:v>
                </c:pt>
                <c:pt idx="1">
                  <c:v># in villages (6:1)</c:v>
                </c:pt>
              </c:strCache>
            </c:strRef>
          </c:cat>
          <c:val>
            <c:numRef>
              <c:f>Analysis!$O$92:$P$92</c:f>
              <c:numCache>
                <c:formatCode>_(* #,##0_);_(* \(#,##0\);_(* "-"??_);_(@_)</c:formatCode>
                <c:ptCount val="2"/>
                <c:pt idx="0">
                  <c:v>5102</c:v>
                </c:pt>
                <c:pt idx="1">
                  <c:v>2372</c:v>
                </c:pt>
              </c:numCache>
            </c:numRef>
          </c:val>
          <c:extLst xmlns:c16r2="http://schemas.microsoft.com/office/drawing/2015/06/chart">
            <c:ext xmlns:c16="http://schemas.microsoft.com/office/drawing/2014/chart" uri="{C3380CC4-5D6E-409C-BE32-E72D297353CC}">
              <c16:uniqueId val="{00000000-ED9B-4783-A8F8-A5280364F22C}"/>
            </c:ext>
          </c:extLst>
        </c:ser>
        <c:ser>
          <c:idx val="1"/>
          <c:order val="1"/>
          <c:tx>
            <c:strRef>
              <c:f>Analysis!$N$93</c:f>
              <c:strCache>
                <c:ptCount val="1"/>
                <c:pt idx="0">
                  <c:v>GAP</c:v>
                </c:pt>
              </c:strCache>
            </c:strRef>
          </c:tx>
          <c:spPr>
            <a:solidFill>
              <a:schemeClr val="accent2">
                <a:tint val="77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Analysis!$O$91:$P$91</c:f>
              <c:strCache>
                <c:ptCount val="2"/>
                <c:pt idx="0">
                  <c:v># in active camps (20:1)</c:v>
                </c:pt>
                <c:pt idx="1">
                  <c:v># in villages (6:1)</c:v>
                </c:pt>
              </c:strCache>
            </c:strRef>
          </c:cat>
          <c:val>
            <c:numRef>
              <c:f>Analysis!$O$93:$P$93</c:f>
              <c:numCache>
                <c:formatCode>_(* #,##0_);_(* \(#,##0\);_(* "-"??_);_(@_)</c:formatCode>
                <c:ptCount val="2"/>
                <c:pt idx="0">
                  <c:v>974</c:v>
                </c:pt>
                <c:pt idx="1">
                  <c:v>7788</c:v>
                </c:pt>
              </c:numCache>
            </c:numRef>
          </c:val>
          <c:extLst xmlns:c16r2="http://schemas.microsoft.com/office/drawing/2015/06/chart">
            <c:ext xmlns:c16="http://schemas.microsoft.com/office/drawing/2014/chart" uri="{C3380CC4-5D6E-409C-BE32-E72D297353CC}">
              <c16:uniqueId val="{00000001-ED9B-4783-A8F8-A5280364F22C}"/>
            </c:ext>
          </c:extLst>
        </c:ser>
        <c:dLbls>
          <c:dLblPos val="ctr"/>
          <c:showLegendKey val="0"/>
          <c:showVal val="1"/>
          <c:showCatName val="0"/>
          <c:showSerName val="0"/>
          <c:showPercent val="0"/>
          <c:showBubbleSize val="0"/>
        </c:dLbls>
        <c:gapWidth val="150"/>
        <c:overlap val="100"/>
        <c:axId val="486306872"/>
        <c:axId val="486306088"/>
      </c:barChart>
      <c:catAx>
        <c:axId val="4863068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86306088"/>
        <c:crosses val="autoZero"/>
        <c:auto val="1"/>
        <c:lblAlgn val="ctr"/>
        <c:lblOffset val="100"/>
        <c:noMultiLvlLbl val="0"/>
      </c:catAx>
      <c:valAx>
        <c:axId val="486306088"/>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8630687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accent1">
          <a:lumMod val="20000"/>
          <a:lumOff val="80000"/>
        </a:schemeClr>
      </a:solidFill>
      <a:round/>
    </a:ln>
    <a:effectLst/>
  </c:spPr>
  <c:txPr>
    <a:bodyPr/>
    <a:lstStyle/>
    <a:p>
      <a:pPr>
        <a:defRPr/>
      </a:pPr>
      <a:endParaRPr lang="en-US"/>
    </a:p>
  </c:txPr>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b="1" i="0" baseline="0">
                <a:effectLst/>
              </a:rPr>
              <a:t>Latrine repaired and desludged</a:t>
            </a:r>
            <a:endParaRPr lang="en-US" sz="120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Analysis!$N$96</c:f>
              <c:strCache>
                <c:ptCount val="1"/>
                <c:pt idx="0">
                  <c:v># latrines repairs</c:v>
                </c:pt>
              </c:strCache>
            </c:strRef>
          </c:tx>
          <c:spPr>
            <a:solidFill>
              <a:schemeClr val="accent2">
                <a:shade val="76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Analysis!$O$91:$P$91</c:f>
              <c:strCache>
                <c:ptCount val="2"/>
                <c:pt idx="0">
                  <c:v># in active camps (20:1)</c:v>
                </c:pt>
                <c:pt idx="1">
                  <c:v># in villages (6:1)</c:v>
                </c:pt>
              </c:strCache>
            </c:strRef>
          </c:cat>
          <c:val>
            <c:numRef>
              <c:f>Analysis!$O$96:$P$96</c:f>
              <c:numCache>
                <c:formatCode>_(* #,##0_);_(* \(#,##0\);_(* "-"??_);_(@_)</c:formatCode>
                <c:ptCount val="2"/>
                <c:pt idx="0">
                  <c:v>1345</c:v>
                </c:pt>
                <c:pt idx="1">
                  <c:v>538</c:v>
                </c:pt>
              </c:numCache>
            </c:numRef>
          </c:val>
          <c:extLst xmlns:c16r2="http://schemas.microsoft.com/office/drawing/2015/06/chart">
            <c:ext xmlns:c16="http://schemas.microsoft.com/office/drawing/2014/chart" uri="{C3380CC4-5D6E-409C-BE32-E72D297353CC}">
              <c16:uniqueId val="{00000000-F748-468C-8F17-12F68AC79064}"/>
            </c:ext>
          </c:extLst>
        </c:ser>
        <c:ser>
          <c:idx val="1"/>
          <c:order val="1"/>
          <c:tx>
            <c:strRef>
              <c:f>Analysis!$N$97</c:f>
              <c:strCache>
                <c:ptCount val="1"/>
                <c:pt idx="0">
                  <c:v># latrines desludged</c:v>
                </c:pt>
              </c:strCache>
            </c:strRef>
          </c:tx>
          <c:spPr>
            <a:solidFill>
              <a:schemeClr val="accent2">
                <a:tint val="77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Analysis!$O$91:$P$91</c:f>
              <c:strCache>
                <c:ptCount val="2"/>
                <c:pt idx="0">
                  <c:v># in active camps (20:1)</c:v>
                </c:pt>
                <c:pt idx="1">
                  <c:v># in villages (6:1)</c:v>
                </c:pt>
              </c:strCache>
            </c:strRef>
          </c:cat>
          <c:val>
            <c:numRef>
              <c:f>Analysis!$O$97:$P$97</c:f>
              <c:numCache>
                <c:formatCode>_(* #,##0_);_(* \(#,##0\);_(* "-"??_);_(@_)</c:formatCode>
                <c:ptCount val="2"/>
                <c:pt idx="0">
                  <c:v>777</c:v>
                </c:pt>
                <c:pt idx="1">
                  <c:v>0</c:v>
                </c:pt>
              </c:numCache>
            </c:numRef>
          </c:val>
          <c:extLst xmlns:c16r2="http://schemas.microsoft.com/office/drawing/2015/06/chart">
            <c:ext xmlns:c16="http://schemas.microsoft.com/office/drawing/2014/chart" uri="{C3380CC4-5D6E-409C-BE32-E72D297353CC}">
              <c16:uniqueId val="{00000001-F748-468C-8F17-12F68AC79064}"/>
            </c:ext>
          </c:extLst>
        </c:ser>
        <c:dLbls>
          <c:dLblPos val="ctr"/>
          <c:showLegendKey val="0"/>
          <c:showVal val="1"/>
          <c:showCatName val="0"/>
          <c:showSerName val="0"/>
          <c:showPercent val="0"/>
          <c:showBubbleSize val="0"/>
        </c:dLbls>
        <c:gapWidth val="150"/>
        <c:axId val="486305304"/>
        <c:axId val="486308048"/>
      </c:barChart>
      <c:catAx>
        <c:axId val="4863053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86308048"/>
        <c:crosses val="autoZero"/>
        <c:auto val="1"/>
        <c:lblAlgn val="ctr"/>
        <c:lblOffset val="100"/>
        <c:noMultiLvlLbl val="0"/>
      </c:catAx>
      <c:valAx>
        <c:axId val="486308048"/>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86305304"/>
        <c:crosses val="autoZero"/>
        <c:crossBetween val="between"/>
        <c:majorUnit val="40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accent1">
          <a:lumMod val="20000"/>
          <a:lumOff val="80000"/>
        </a:schemeClr>
      </a:solidFill>
      <a:round/>
    </a:ln>
    <a:effectLst/>
  </c:spPr>
  <c:txPr>
    <a:bodyPr/>
    <a:lstStyle/>
    <a:p>
      <a:pPr>
        <a:defRPr/>
      </a:pPr>
      <a:endParaRPr lang="en-US"/>
    </a:p>
  </c:txPr>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r>
              <a:rPr lang="en-US" sz="1200" b="1" i="0" baseline="0">
                <a:effectLst/>
              </a:rPr>
              <a:t>Latrine Functionality</a:t>
            </a:r>
            <a:endParaRPr lang="en-US" sz="1200">
              <a:effectLst/>
            </a:endParaRPr>
          </a:p>
        </c:rich>
      </c:tx>
      <c:overlay val="0"/>
      <c:spPr>
        <a:noFill/>
        <a:ln>
          <a:noFill/>
        </a:ln>
        <a:effectLst/>
      </c:spPr>
      <c:txPr>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n-US"/>
        </a:p>
      </c:txPr>
    </c:title>
    <c:autoTitleDeleted val="0"/>
    <c:plotArea>
      <c:layout/>
      <c:pieChart>
        <c:varyColors val="1"/>
        <c:ser>
          <c:idx val="0"/>
          <c:order val="0"/>
          <c:dPt>
            <c:idx val="0"/>
            <c:bubble3D val="0"/>
            <c:spPr>
              <a:solidFill>
                <a:schemeClr val="accent2">
                  <a:lumMod val="75000"/>
                </a:schemeClr>
              </a:solidFill>
              <a:ln>
                <a:noFill/>
              </a:ln>
              <a:effectLst/>
            </c:spPr>
            <c:extLst xmlns:c16r2="http://schemas.microsoft.com/office/drawing/2015/06/chart">
              <c:ext xmlns:c16="http://schemas.microsoft.com/office/drawing/2014/chart" uri="{C3380CC4-5D6E-409C-BE32-E72D297353CC}">
                <c16:uniqueId val="{00000001-1361-4C52-9488-B12D2B6D9B0F}"/>
              </c:ext>
            </c:extLst>
          </c:dPt>
          <c:dPt>
            <c:idx val="1"/>
            <c:bubble3D val="0"/>
            <c:spPr>
              <a:solidFill>
                <a:schemeClr val="accent2">
                  <a:lumMod val="40000"/>
                  <a:lumOff val="60000"/>
                </a:schemeClr>
              </a:solidFill>
              <a:ln>
                <a:noFill/>
              </a:ln>
              <a:effectLst/>
            </c:spPr>
            <c:extLst xmlns:c16r2="http://schemas.microsoft.com/office/drawing/2015/06/chart">
              <c:ext xmlns:c16="http://schemas.microsoft.com/office/drawing/2014/chart" uri="{C3380CC4-5D6E-409C-BE32-E72D297353CC}">
                <c16:uniqueId val="{00000003-1361-4C52-9488-B12D2B6D9B0F}"/>
              </c:ext>
            </c:extLst>
          </c:dPt>
          <c:dPt>
            <c:idx val="2"/>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c:spPr>
            <c:extLst xmlns:c16r2="http://schemas.microsoft.com/office/drawing/2015/06/chart">
              <c:ext xmlns:c16="http://schemas.microsoft.com/office/drawing/2014/chart" uri="{C3380CC4-5D6E-409C-BE32-E72D297353CC}">
                <c16:uniqueId val="{00000005-1361-4C52-9488-B12D2B6D9B0F}"/>
              </c:ext>
            </c:extLst>
          </c:dPt>
          <c:dLbls>
            <c:dLbl>
              <c:idx val="0"/>
              <c:layout>
                <c:manualLayout>
                  <c:x val="-9.3214457567804027E-2"/>
                  <c:y val="-0.20900444736074658"/>
                </c:manualLayout>
              </c:layout>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extLst xmlns:c16r2="http://schemas.microsoft.com/office/drawing/2015/06/chart">
                <c:ext xmlns:c16="http://schemas.microsoft.com/office/drawing/2014/chart" uri="{C3380CC4-5D6E-409C-BE32-E72D297353CC}">
                  <c16:uniqueId val="{00000001-1361-4C52-9488-B12D2B6D9B0F}"/>
                </c:ext>
                <c:ext xmlns:c15="http://schemas.microsoft.com/office/drawing/2012/chart" uri="{CE6537A1-D6FC-4f65-9D91-7224C49458BB}"/>
              </c:extLst>
            </c:dLbl>
            <c:dLbl>
              <c:idx val="2"/>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xmlns:c16r2="http://schemas.microsoft.com/office/drawing/2015/06/chart">
              <c:ext xmlns:c15="http://schemas.microsoft.com/office/drawing/2012/chart" uri="{CE6537A1-D6FC-4f65-9D91-7224C49458BB}"/>
            </c:extLst>
          </c:dLbls>
          <c:cat>
            <c:strRef>
              <c:f>Analysis!$R$92:$R$94</c:f>
              <c:strCache>
                <c:ptCount val="3"/>
                <c:pt idx="0">
                  <c:v>Functioning</c:v>
                </c:pt>
                <c:pt idx="1">
                  <c:v>Reparis</c:v>
                </c:pt>
                <c:pt idx="2">
                  <c:v>Desludging</c:v>
                </c:pt>
              </c:strCache>
            </c:strRef>
          </c:cat>
          <c:val>
            <c:numRef>
              <c:f>Analysis!$S$92:$S$94</c:f>
              <c:numCache>
                <c:formatCode>_(* #,##0_);_(* \(#,##0\);_(* "-"??_);_(@_)</c:formatCode>
                <c:ptCount val="3"/>
                <c:pt idx="0">
                  <c:v>5102</c:v>
                </c:pt>
                <c:pt idx="1">
                  <c:v>1345</c:v>
                </c:pt>
                <c:pt idx="2">
                  <c:v>777</c:v>
                </c:pt>
              </c:numCache>
            </c:numRef>
          </c:val>
          <c:extLst xmlns:c16r2="http://schemas.microsoft.com/office/drawing/2015/06/chart">
            <c:ext xmlns:c16="http://schemas.microsoft.com/office/drawing/2014/chart" uri="{C3380CC4-5D6E-409C-BE32-E72D297353CC}">
              <c16:uniqueId val="{00000006-1361-4C52-9488-B12D2B6D9B0F}"/>
            </c:ext>
          </c:extLst>
        </c:ser>
        <c:dLbls>
          <c:showLegendKey val="0"/>
          <c:showVal val="0"/>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accent1">
          <a:lumMod val="20000"/>
          <a:lumOff val="80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 Covered upon HRP targets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HRP!$L$86</c:f>
              <c:strCache>
                <c:ptCount val="1"/>
                <c:pt idx="0">
                  <c:v>Number of people with equitable and safe access to sufficient quantity of drinking water</c:v>
                </c:pt>
              </c:strCache>
            </c:strRef>
          </c:tx>
          <c:spPr>
            <a:solidFill>
              <a:srgbClr val="0070C0"/>
            </a:soli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HRP!$C$87:$C$89</c15:sqref>
                  </c15:fullRef>
                </c:ext>
              </c:extLst>
              <c:f>HRP!$C$88</c:f>
              <c:strCache>
                <c:ptCount val="1"/>
                <c:pt idx="0">
                  <c:v>Rakhine</c:v>
                </c:pt>
              </c:strCache>
            </c:strRef>
          </c:cat>
          <c:val>
            <c:numRef>
              <c:extLst>
                <c:ext xmlns:c15="http://schemas.microsoft.com/office/drawing/2012/chart" uri="{02D57815-91ED-43cb-92C2-25804820EDAC}">
                  <c15:fullRef>
                    <c15:sqref>HRP!$L$87:$L$89</c15:sqref>
                  </c15:fullRef>
                </c:ext>
              </c:extLst>
              <c:f>HRP!$L$88</c:f>
              <c:numCache>
                <c:formatCode>0%</c:formatCode>
                <c:ptCount val="1"/>
                <c:pt idx="0">
                  <c:v>0.3744301751961252</c:v>
                </c:pt>
              </c:numCache>
            </c:numRef>
          </c:val>
          <c:extLst xmlns:c16r2="http://schemas.microsoft.com/office/drawing/2015/06/chart">
            <c:ext xmlns:c16="http://schemas.microsoft.com/office/drawing/2014/chart" uri="{C3380CC4-5D6E-409C-BE32-E72D297353CC}">
              <c16:uniqueId val="{00000000-F480-4DCE-801A-53F23E268200}"/>
            </c:ext>
          </c:extLst>
        </c:ser>
        <c:ser>
          <c:idx val="1"/>
          <c:order val="1"/>
          <c:tx>
            <c:strRef>
              <c:f>HRP!$M$86</c:f>
              <c:strCache>
                <c:ptCount val="1"/>
                <c:pt idx="0">
                  <c:v>Number of people with equitable and safe access to sufficient quantity of domestic water</c:v>
                </c:pt>
              </c:strCache>
            </c:strRef>
          </c:tx>
          <c:spPr>
            <a:solidFill>
              <a:srgbClr val="0070C0"/>
            </a:soli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HRP!$C$87:$C$89</c15:sqref>
                  </c15:fullRef>
                </c:ext>
              </c:extLst>
              <c:f>HRP!$C$88</c:f>
              <c:strCache>
                <c:ptCount val="1"/>
                <c:pt idx="0">
                  <c:v>Rakhine</c:v>
                </c:pt>
              </c:strCache>
            </c:strRef>
          </c:cat>
          <c:val>
            <c:numRef>
              <c:extLst>
                <c:ext xmlns:c15="http://schemas.microsoft.com/office/drawing/2012/chart" uri="{02D57815-91ED-43cb-92C2-25804820EDAC}">
                  <c15:fullRef>
                    <c15:sqref>HRP!$M$87:$M$89</c15:sqref>
                  </c15:fullRef>
                </c:ext>
              </c:extLst>
              <c:f>HRP!$M$88</c:f>
              <c:numCache>
                <c:formatCode>0%</c:formatCode>
                <c:ptCount val="1"/>
                <c:pt idx="0">
                  <c:v>0.40803016675590437</c:v>
                </c:pt>
              </c:numCache>
            </c:numRef>
          </c:val>
          <c:extLst xmlns:c16r2="http://schemas.microsoft.com/office/drawing/2015/06/chart">
            <c:ext xmlns:c16="http://schemas.microsoft.com/office/drawing/2014/chart" uri="{C3380CC4-5D6E-409C-BE32-E72D297353CC}">
              <c16:uniqueId val="{00000001-F480-4DCE-801A-53F23E268200}"/>
            </c:ext>
          </c:extLst>
        </c:ser>
        <c:ser>
          <c:idx val="2"/>
          <c:order val="2"/>
          <c:tx>
            <c:strRef>
              <c:f>HRP!$N$86</c:f>
              <c:strCache>
                <c:ptCount val="1"/>
                <c:pt idx="0">
                  <c:v>Number of people with access to functional sanitation facilities</c:v>
                </c:pt>
              </c:strCache>
            </c:strRef>
          </c:tx>
          <c:spPr>
            <a:solidFill>
              <a:schemeClr val="accent2">
                <a:lumMod val="75000"/>
              </a:schemeClr>
            </a:soli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HRP!$C$87:$C$89</c15:sqref>
                  </c15:fullRef>
                </c:ext>
              </c:extLst>
              <c:f>HRP!$C$88</c:f>
              <c:strCache>
                <c:ptCount val="1"/>
                <c:pt idx="0">
                  <c:v>Rakhine</c:v>
                </c:pt>
              </c:strCache>
            </c:strRef>
          </c:cat>
          <c:val>
            <c:numRef>
              <c:extLst>
                <c:ext xmlns:c15="http://schemas.microsoft.com/office/drawing/2012/chart" uri="{02D57815-91ED-43cb-92C2-25804820EDAC}">
                  <c15:fullRef>
                    <c15:sqref>HRP!$N$87:$N$89</c15:sqref>
                  </c15:fullRef>
                </c:ext>
              </c:extLst>
              <c:f>HRP!$N$88</c:f>
              <c:numCache>
                <c:formatCode>0%</c:formatCode>
                <c:ptCount val="1"/>
                <c:pt idx="0">
                  <c:v>0.28153147806729495</c:v>
                </c:pt>
              </c:numCache>
            </c:numRef>
          </c:val>
          <c:extLst xmlns:c16r2="http://schemas.microsoft.com/office/drawing/2015/06/chart">
            <c:ext xmlns:c16="http://schemas.microsoft.com/office/drawing/2014/chart" uri="{C3380CC4-5D6E-409C-BE32-E72D297353CC}">
              <c16:uniqueId val="{00000002-F480-4DCE-801A-53F23E268200}"/>
            </c:ext>
          </c:extLst>
        </c:ser>
        <c:ser>
          <c:idx val="3"/>
          <c:order val="3"/>
          <c:tx>
            <c:strRef>
              <c:f>HRP!$O$86</c:f>
              <c:strCache>
                <c:ptCount val="1"/>
                <c:pt idx="0">
                  <c:v>Number of people with access to continuous sanitation services</c:v>
                </c:pt>
              </c:strCache>
            </c:strRef>
          </c:tx>
          <c:spPr>
            <a:solidFill>
              <a:schemeClr val="accent2">
                <a:lumMod val="75000"/>
              </a:schemeClr>
            </a:soli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HRP!$C$87:$C$89</c15:sqref>
                  </c15:fullRef>
                </c:ext>
              </c:extLst>
              <c:f>HRP!$C$88</c:f>
              <c:strCache>
                <c:ptCount val="1"/>
                <c:pt idx="0">
                  <c:v>Rakhine</c:v>
                </c:pt>
              </c:strCache>
            </c:strRef>
          </c:cat>
          <c:val>
            <c:numRef>
              <c:extLst>
                <c:ext xmlns:c15="http://schemas.microsoft.com/office/drawing/2012/chart" uri="{02D57815-91ED-43cb-92C2-25804820EDAC}">
                  <c15:fullRef>
                    <c15:sqref>HRP!$O$87:$O$89</c15:sqref>
                  </c15:fullRef>
                </c:ext>
              </c:extLst>
              <c:f>HRP!$O$88</c:f>
              <c:numCache>
                <c:formatCode>0%</c:formatCode>
                <c:ptCount val="1"/>
                <c:pt idx="0">
                  <c:v>0.16395128937560829</c:v>
                </c:pt>
              </c:numCache>
            </c:numRef>
          </c:val>
          <c:extLst xmlns:c16r2="http://schemas.microsoft.com/office/drawing/2015/06/chart">
            <c:ext xmlns:c16="http://schemas.microsoft.com/office/drawing/2014/chart" uri="{C3380CC4-5D6E-409C-BE32-E72D297353CC}">
              <c16:uniqueId val="{00000003-F480-4DCE-801A-53F23E268200}"/>
            </c:ext>
          </c:extLst>
        </c:ser>
        <c:ser>
          <c:idx val="4"/>
          <c:order val="4"/>
          <c:tx>
            <c:strRef>
              <c:f>HRP!$P$86</c:f>
              <c:strCache>
                <c:ptCount val="1"/>
                <c:pt idx="0">
                  <c:v>Number of people reached by regular dedicated hygiene promotion/behavior change activities</c:v>
                </c:pt>
              </c:strCache>
            </c:strRef>
          </c:tx>
          <c:spPr>
            <a:solidFill>
              <a:schemeClr val="accent6">
                <a:lumMod val="75000"/>
              </a:schemeClr>
            </a:soli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HRP!$C$87:$C$89</c15:sqref>
                  </c15:fullRef>
                </c:ext>
              </c:extLst>
              <c:f>HRP!$C$88</c:f>
              <c:strCache>
                <c:ptCount val="1"/>
                <c:pt idx="0">
                  <c:v>Rakhine</c:v>
                </c:pt>
              </c:strCache>
            </c:strRef>
          </c:cat>
          <c:val>
            <c:numRef>
              <c:extLst>
                <c:ext xmlns:c15="http://schemas.microsoft.com/office/drawing/2012/chart" uri="{02D57815-91ED-43cb-92C2-25804820EDAC}">
                  <c15:fullRef>
                    <c15:sqref>HRP!$P$87:$P$89</c15:sqref>
                  </c15:fullRef>
                </c:ext>
              </c:extLst>
              <c:f>HRP!$P$88</c:f>
              <c:numCache>
                <c:formatCode>0%</c:formatCode>
                <c:ptCount val="1"/>
                <c:pt idx="0">
                  <c:v>0.36835233701801723</c:v>
                </c:pt>
              </c:numCache>
            </c:numRef>
          </c:val>
          <c:extLst xmlns:c16r2="http://schemas.microsoft.com/office/drawing/2015/06/chart">
            <c:ext xmlns:c16="http://schemas.microsoft.com/office/drawing/2014/chart" uri="{C3380CC4-5D6E-409C-BE32-E72D297353CC}">
              <c16:uniqueId val="{00000004-F480-4DCE-801A-53F23E268200}"/>
            </c:ext>
          </c:extLst>
        </c:ser>
        <c:ser>
          <c:idx val="5"/>
          <c:order val="5"/>
          <c:tx>
            <c:strRef>
              <c:f>HRP!$Q$86</c:f>
              <c:strCache>
                <c:ptCount val="1"/>
                <c:pt idx="0">
                  <c:v>Number of people who received regular supply of hygiene items</c:v>
                </c:pt>
              </c:strCache>
            </c:strRef>
          </c:tx>
          <c:spPr>
            <a:solidFill>
              <a:schemeClr val="accent6">
                <a:lumMod val="75000"/>
              </a:schemeClr>
            </a:soli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HRP!$C$87:$C$89</c15:sqref>
                  </c15:fullRef>
                </c:ext>
              </c:extLst>
              <c:f>HRP!$C$88</c:f>
              <c:strCache>
                <c:ptCount val="1"/>
                <c:pt idx="0">
                  <c:v>Rakhine</c:v>
                </c:pt>
              </c:strCache>
            </c:strRef>
          </c:cat>
          <c:val>
            <c:numRef>
              <c:extLst>
                <c:ext xmlns:c15="http://schemas.microsoft.com/office/drawing/2012/chart" uri="{02D57815-91ED-43cb-92C2-25804820EDAC}">
                  <c15:fullRef>
                    <c15:sqref>HRP!$Q$87:$Q$89</c15:sqref>
                  </c15:fullRef>
                </c:ext>
              </c:extLst>
              <c:f>HRP!$Q$88</c:f>
              <c:numCache>
                <c:formatCode>0%</c:formatCode>
                <c:ptCount val="1"/>
                <c:pt idx="0">
                  <c:v>0.29597080513394214</c:v>
                </c:pt>
              </c:numCache>
            </c:numRef>
          </c:val>
          <c:extLst xmlns:c16r2="http://schemas.microsoft.com/office/drawing/2015/06/chart">
            <c:ext xmlns:c16="http://schemas.microsoft.com/office/drawing/2014/chart" uri="{C3380CC4-5D6E-409C-BE32-E72D297353CC}">
              <c16:uniqueId val="{00000005-F480-4DCE-801A-53F23E268200}"/>
            </c:ext>
          </c:extLst>
        </c:ser>
        <c:dLbls>
          <c:dLblPos val="outEnd"/>
          <c:showLegendKey val="0"/>
          <c:showVal val="1"/>
          <c:showCatName val="0"/>
          <c:showSerName val="0"/>
          <c:showPercent val="0"/>
          <c:showBubbleSize val="0"/>
        </c:dLbls>
        <c:gapWidth val="100"/>
        <c:overlap val="-24"/>
        <c:axId val="365210760"/>
        <c:axId val="365212328"/>
      </c:barChart>
      <c:catAx>
        <c:axId val="365210760"/>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365212328"/>
        <c:crosses val="autoZero"/>
        <c:auto val="1"/>
        <c:lblAlgn val="ctr"/>
        <c:lblOffset val="100"/>
        <c:noMultiLvlLbl val="0"/>
      </c:catAx>
      <c:valAx>
        <c:axId val="36521232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65210760"/>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1"/>
    <c:plotArea>
      <c:layout/>
      <c:barChart>
        <c:barDir val="col"/>
        <c:grouping val="stacked"/>
        <c:varyColors val="0"/>
        <c:ser>
          <c:idx val="1"/>
          <c:order val="1"/>
          <c:tx>
            <c:strRef>
              <c:f>Analysis!$H$56</c:f>
              <c:strCache>
                <c:ptCount val="1"/>
                <c:pt idx="0">
                  <c:v>Rakhine</c:v>
                </c:pt>
              </c:strCache>
              <c:extLst xmlns:c15="http://schemas.microsoft.com/office/drawing/2012/chart" xmlns:c16r2="http://schemas.microsoft.com/office/drawing/2015/06/chart"/>
            </c:strRef>
          </c:tx>
          <c:spPr>
            <a:gradFill rotWithShape="1">
              <a:gsLst>
                <a:gs pos="0">
                  <a:schemeClr val="accent5">
                    <a:satMod val="103000"/>
                    <a:lumMod val="102000"/>
                    <a:tint val="94000"/>
                  </a:schemeClr>
                </a:gs>
                <a:gs pos="50000">
                  <a:schemeClr val="accent5">
                    <a:satMod val="110000"/>
                    <a:lumMod val="100000"/>
                    <a:shade val="100000"/>
                  </a:schemeClr>
                </a:gs>
                <a:gs pos="100000">
                  <a:schemeClr val="accent5">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Analysis!$I$54:$J$54</c:f>
              <c:strCache>
                <c:ptCount val="2"/>
                <c:pt idx="0">
                  <c:v>% of FAIL water samples at HH</c:v>
                </c:pt>
                <c:pt idx="1">
                  <c:v>% of FAIL water samples at water source</c:v>
                </c:pt>
              </c:strCache>
              <c:extLst xmlns:c15="http://schemas.microsoft.com/office/drawing/2012/chart" xmlns:c16r2="http://schemas.microsoft.com/office/drawing/2015/06/chart"/>
            </c:strRef>
          </c:cat>
          <c:val>
            <c:numRef>
              <c:f>Analysis!$I$56:$J$56</c:f>
              <c:numCache>
                <c:formatCode>0%</c:formatCode>
                <c:ptCount val="2"/>
                <c:pt idx="0">
                  <c:v>0.28040167854790887</c:v>
                </c:pt>
                <c:pt idx="1">
                  <c:v>0.14664529898793155</c:v>
                </c:pt>
              </c:numCache>
              <c:extLst xmlns:c15="http://schemas.microsoft.com/office/drawing/2012/chart" xmlns:c16r2="http://schemas.microsoft.com/office/drawing/2015/06/chart"/>
            </c:numRef>
          </c:val>
          <c:extLst xmlns:c16r2="http://schemas.microsoft.com/office/drawing/2015/06/chart">
            <c:ext xmlns:c16="http://schemas.microsoft.com/office/drawing/2014/chart" uri="{C3380CC4-5D6E-409C-BE32-E72D297353CC}">
              <c16:uniqueId val="{00000000-9FCF-4E88-A999-D43CA3C5E3CC}"/>
            </c:ext>
          </c:extLst>
        </c:ser>
        <c:dLbls>
          <c:dLblPos val="ctr"/>
          <c:showLegendKey val="0"/>
          <c:showVal val="1"/>
          <c:showCatName val="0"/>
          <c:showSerName val="0"/>
          <c:showPercent val="0"/>
          <c:showBubbleSize val="0"/>
        </c:dLbls>
        <c:gapWidth val="150"/>
        <c:overlap val="100"/>
        <c:axId val="489130664"/>
        <c:axId val="489131448"/>
        <c:extLst xmlns:c16r2="http://schemas.microsoft.com/office/drawing/2015/06/chart">
          <c:ext xmlns:c15="http://schemas.microsoft.com/office/drawing/2012/chart" uri="{02D57815-91ED-43cb-92C2-25804820EDAC}">
            <c15:filteredBarSeries>
              <c15:ser>
                <c:idx val="0"/>
                <c:order val="0"/>
                <c:tx>
                  <c:strRef>
                    <c:extLst xmlns:c16r2="http://schemas.microsoft.com/office/drawing/2015/06/chart">
                      <c:ext uri="{02D57815-91ED-43cb-92C2-25804820EDAC}">
                        <c15:formulaRef>
                          <c15:sqref>Analysis!$H$55</c15:sqref>
                        </c15:formulaRef>
                      </c:ext>
                    </c:extLst>
                    <c:strCache>
                      <c:ptCount val="1"/>
                      <c:pt idx="0">
                        <c:v>Kachin</c:v>
                      </c:pt>
                    </c:strCache>
                  </c:strRef>
                </c:tx>
                <c:spPr>
                  <a:gradFill rotWithShape="1">
                    <a:gsLst>
                      <a:gs pos="0">
                        <a:schemeClr val="accent5">
                          <a:shade val="65000"/>
                          <a:satMod val="103000"/>
                          <a:lumMod val="102000"/>
                          <a:tint val="94000"/>
                        </a:schemeClr>
                      </a:gs>
                      <a:gs pos="50000">
                        <a:schemeClr val="accent5">
                          <a:shade val="65000"/>
                          <a:satMod val="110000"/>
                          <a:lumMod val="100000"/>
                          <a:shade val="100000"/>
                        </a:schemeClr>
                      </a:gs>
                      <a:gs pos="100000">
                        <a:schemeClr val="accent5">
                          <a:shade val="65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6r2="http://schemas.microsoft.com/office/drawing/2015/06/char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6r2="http://schemas.microsoft.com/office/drawing/2015/06/chart">
                      <c:ext uri="{02D57815-91ED-43cb-92C2-25804820EDAC}">
                        <c15:formulaRef>
                          <c15:sqref>Analysis!$I$54:$J$54</c15:sqref>
                        </c15:formulaRef>
                      </c:ext>
                    </c:extLst>
                    <c:strCache>
                      <c:ptCount val="2"/>
                      <c:pt idx="0">
                        <c:v>% of FAIL water samples at HH</c:v>
                      </c:pt>
                      <c:pt idx="1">
                        <c:v>% of FAIL water samples at water source</c:v>
                      </c:pt>
                    </c:strCache>
                  </c:strRef>
                </c:cat>
                <c:val>
                  <c:numRef>
                    <c:extLst xmlns:c16r2="http://schemas.microsoft.com/office/drawing/2015/06/chart">
                      <c:ext uri="{02D57815-91ED-43cb-92C2-25804820EDAC}">
                        <c15:formulaRef>
                          <c15:sqref>Analysis!$I$55:$J$55</c15:sqref>
                        </c15:formulaRef>
                      </c:ext>
                    </c:extLst>
                    <c:numCache>
                      <c:formatCode>0%</c:formatCode>
                      <c:ptCount val="2"/>
                      <c:pt idx="0">
                        <c:v>0.38700817700817702</c:v>
                      </c:pt>
                      <c:pt idx="1">
                        <c:v>0.67777777777777781</c:v>
                      </c:pt>
                    </c:numCache>
                  </c:numRef>
                </c:val>
                <c:extLst xmlns:c16r2="http://schemas.microsoft.com/office/drawing/2015/06/chart">
                  <c:ext xmlns:c16="http://schemas.microsoft.com/office/drawing/2014/chart" uri="{C3380CC4-5D6E-409C-BE32-E72D297353CC}">
                    <c16:uniqueId val="{00000001-9FCF-4E88-A999-D43CA3C5E3CC}"/>
                  </c:ext>
                </c:extLst>
              </c15:ser>
            </c15:filteredBarSeries>
            <c15:filteredBarSeries>
              <c15:ser>
                <c:idx val="2"/>
                <c:order val="2"/>
                <c:tx>
                  <c:strRef>
                    <c:extLst xmlns:c15="http://schemas.microsoft.com/office/drawing/2012/chart" xmlns:c16r2="http://schemas.microsoft.com/office/drawing/2015/06/chart">
                      <c:ext xmlns:c15="http://schemas.microsoft.com/office/drawing/2012/chart" uri="{02D57815-91ED-43cb-92C2-25804820EDAC}">
                        <c15:formulaRef>
                          <c15:sqref>Analysis!$H$57</c15:sqref>
                        </c15:formulaRef>
                      </c:ext>
                    </c:extLst>
                    <c:strCache>
                      <c:ptCount val="1"/>
                      <c:pt idx="0">
                        <c:v>Shan (North)</c:v>
                      </c:pt>
                    </c:strCache>
                  </c:strRef>
                </c:tx>
                <c:spPr>
                  <a:gradFill rotWithShape="1">
                    <a:gsLst>
                      <a:gs pos="0">
                        <a:schemeClr val="accent5">
                          <a:tint val="65000"/>
                          <a:satMod val="103000"/>
                          <a:lumMod val="102000"/>
                          <a:tint val="94000"/>
                        </a:schemeClr>
                      </a:gs>
                      <a:gs pos="50000">
                        <a:schemeClr val="accent5">
                          <a:tint val="65000"/>
                          <a:satMod val="110000"/>
                          <a:lumMod val="100000"/>
                          <a:shade val="100000"/>
                        </a:schemeClr>
                      </a:gs>
                      <a:gs pos="100000">
                        <a:schemeClr val="accent5">
                          <a:tint val="65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xmlns:c16r2="http://schemas.microsoft.com/office/drawing/2015/06/chart">
                      <c:ext xmlns:c15="http://schemas.microsoft.com/office/drawing/2012/chart" uri="{02D57815-91ED-43cb-92C2-25804820EDAC}">
                        <c15:formulaRef>
                          <c15:sqref>Analysis!$I$54:$J$54</c15:sqref>
                        </c15:formulaRef>
                      </c:ext>
                    </c:extLst>
                    <c:strCache>
                      <c:ptCount val="2"/>
                      <c:pt idx="0">
                        <c:v>% of FAIL water samples at HH</c:v>
                      </c:pt>
                      <c:pt idx="1">
                        <c:v>% of FAIL water samples at water source</c:v>
                      </c:pt>
                    </c:strCache>
                  </c:strRef>
                </c:cat>
                <c:val>
                  <c:numRef>
                    <c:extLst xmlns:c15="http://schemas.microsoft.com/office/drawing/2012/chart" xmlns:c16r2="http://schemas.microsoft.com/office/drawing/2015/06/chart">
                      <c:ext xmlns:c15="http://schemas.microsoft.com/office/drawing/2012/chart" uri="{02D57815-91ED-43cb-92C2-25804820EDAC}">
                        <c15:formulaRef>
                          <c15:sqref>Analysis!$I$57:$J$57</c15:sqref>
                        </c15:formulaRef>
                      </c:ext>
                    </c:extLst>
                    <c:numCache>
                      <c:formatCode>0%</c:formatCode>
                      <c:ptCount val="2"/>
                      <c:pt idx="0">
                        <c:v>0</c:v>
                      </c:pt>
                      <c:pt idx="1">
                        <c:v>1</c:v>
                      </c:pt>
                    </c:numCache>
                  </c:numRef>
                </c:val>
                <c:extLst xmlns:c15="http://schemas.microsoft.com/office/drawing/2012/chart" xmlns:c16r2="http://schemas.microsoft.com/office/drawing/2015/06/chart">
                  <c:ext xmlns:c16="http://schemas.microsoft.com/office/drawing/2014/chart" uri="{C3380CC4-5D6E-409C-BE32-E72D297353CC}">
                    <c16:uniqueId val="{00000002-9FCF-4E88-A999-D43CA3C5E3CC}"/>
                  </c:ext>
                </c:extLst>
              </c15:ser>
            </c15:filteredBarSeries>
          </c:ext>
        </c:extLst>
      </c:barChart>
      <c:catAx>
        <c:axId val="489130664"/>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89131448"/>
        <c:crosses val="autoZero"/>
        <c:auto val="1"/>
        <c:lblAlgn val="ctr"/>
        <c:lblOffset val="100"/>
        <c:noMultiLvlLbl val="0"/>
      </c:catAx>
      <c:valAx>
        <c:axId val="4891314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8913066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n-US" sz="1200" b="1" i="0" baseline="0">
                <a:effectLst/>
              </a:rPr>
              <a:t>WASH in Temporary Learning Spaces </a:t>
            </a:r>
            <a:endParaRPr lang="en-US" sz="1200" b="1">
              <a:effectLst/>
            </a:endParaRPr>
          </a:p>
        </c:rich>
      </c:tx>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tx>
            <c:strRef>
              <c:f>Analysis!$C$294</c:f>
              <c:strCache>
                <c:ptCount val="1"/>
                <c:pt idx="0">
                  <c:v>Rakhine</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Pt>
            <c:idx val="0"/>
            <c:invertIfNegative val="0"/>
            <c:bubble3D val="0"/>
            <c:spPr>
              <a:solidFill>
                <a:schemeClr val="accent6">
                  <a:lumMod val="60000"/>
                  <a:lumOff val="40000"/>
                </a:schemeClr>
              </a:solidFill>
              <a:ln>
                <a:noFill/>
              </a:ln>
              <a:effectLst>
                <a:outerShdw blurRad="57150" dist="19050" dir="5400000" algn="ctr" rotWithShape="0">
                  <a:srgbClr val="000000">
                    <a:alpha val="63000"/>
                  </a:srgbClr>
                </a:outerShdw>
              </a:effectLst>
            </c:spPr>
            <c:extLst xmlns:c16r2="http://schemas.microsoft.com/office/drawing/2015/06/chart">
              <c:ext xmlns:c16="http://schemas.microsoft.com/office/drawing/2014/chart" uri="{C3380CC4-5D6E-409C-BE32-E72D297353CC}">
                <c16:uniqueId val="{00000001-2EA1-4578-B2E8-5263550BFBBA}"/>
              </c:ext>
            </c:extLst>
          </c:dPt>
          <c:dPt>
            <c:idx val="1"/>
            <c:invertIfNegative val="0"/>
            <c:bubble3D val="0"/>
            <c:spPr>
              <a:solidFill>
                <a:schemeClr val="accent2">
                  <a:lumMod val="60000"/>
                  <a:lumOff val="40000"/>
                </a:schemeClr>
              </a:solidFill>
              <a:ln>
                <a:noFill/>
              </a:ln>
              <a:effectLst>
                <a:outerShdw blurRad="57150" dist="19050" dir="5400000" algn="ctr" rotWithShape="0">
                  <a:srgbClr val="000000">
                    <a:alpha val="63000"/>
                  </a:srgbClr>
                </a:outerShdw>
              </a:effectLst>
            </c:spPr>
            <c:extLst xmlns:c16r2="http://schemas.microsoft.com/office/drawing/2015/06/chart">
              <c:ext xmlns:c16="http://schemas.microsoft.com/office/drawing/2014/chart" uri="{C3380CC4-5D6E-409C-BE32-E72D297353CC}">
                <c16:uniqueId val="{00000005-9EC5-43F1-A2CA-3245AB393898}"/>
              </c:ext>
            </c:extLst>
          </c:dPt>
          <c:dPt>
            <c:idx val="2"/>
            <c:invertIfNegative val="0"/>
            <c:bubble3D val="0"/>
            <c:spPr>
              <a:solidFill>
                <a:schemeClr val="accent2">
                  <a:lumMod val="75000"/>
                </a:schemeClr>
              </a:solidFill>
              <a:ln>
                <a:noFill/>
              </a:ln>
              <a:effectLst>
                <a:outerShdw blurRad="57150" dist="19050" dir="5400000" algn="ctr" rotWithShape="0">
                  <a:srgbClr val="000000">
                    <a:alpha val="63000"/>
                  </a:srgbClr>
                </a:outerShdw>
              </a:effectLst>
            </c:spPr>
            <c:extLst xmlns:c16r2="http://schemas.microsoft.com/office/drawing/2015/06/chart">
              <c:ext xmlns:c16="http://schemas.microsoft.com/office/drawing/2014/chart" uri="{C3380CC4-5D6E-409C-BE32-E72D297353CC}">
                <c16:uniqueId val="{00000003-2EA1-4578-B2E8-5263550BFBBA}"/>
              </c:ext>
            </c:extLst>
          </c:dPt>
          <c:dPt>
            <c:idx val="3"/>
            <c:invertIfNegative val="0"/>
            <c:bubble3D val="0"/>
            <c:spPr>
              <a:solidFill>
                <a:schemeClr val="accent6"/>
              </a:solidFill>
              <a:ln>
                <a:noFill/>
              </a:ln>
              <a:effectLst>
                <a:outerShdw blurRad="57150" dist="19050" dir="5400000" algn="ctr" rotWithShape="0">
                  <a:srgbClr val="000000">
                    <a:alpha val="63000"/>
                  </a:srgbClr>
                </a:outerShdw>
              </a:effectLst>
            </c:spPr>
            <c:extLst xmlns:c16r2="http://schemas.microsoft.com/office/drawing/2015/06/chart">
              <c:ext xmlns:c16="http://schemas.microsoft.com/office/drawing/2014/chart" uri="{C3380CC4-5D6E-409C-BE32-E72D297353CC}">
                <c16:uniqueId val="{00000004-9EC5-43F1-A2CA-3245AB393898}"/>
              </c:ext>
            </c:extLst>
          </c:dPt>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Analysis!$D$292:$G$292</c:f>
              <c:strCache>
                <c:ptCount val="4"/>
                <c:pt idx="0">
                  <c:v> # of hand washing stations with soap</c:v>
                </c:pt>
                <c:pt idx="1">
                  <c:v> # of children Latrine s</c:v>
                </c:pt>
                <c:pt idx="2">
                  <c:v> # of latrines in TLS (schools)</c:v>
                </c:pt>
                <c:pt idx="3">
                  <c:v> # of hand washing stations for TLS</c:v>
                </c:pt>
              </c:strCache>
            </c:strRef>
          </c:cat>
          <c:val>
            <c:numRef>
              <c:f>Analysis!$D$294:$G$294</c:f>
              <c:numCache>
                <c:formatCode>General</c:formatCode>
                <c:ptCount val="4"/>
                <c:pt idx="0">
                  <c:v>8</c:v>
                </c:pt>
                <c:pt idx="1">
                  <c:v>0</c:v>
                </c:pt>
                <c:pt idx="2">
                  <c:v>74</c:v>
                </c:pt>
                <c:pt idx="3">
                  <c:v>58</c:v>
                </c:pt>
              </c:numCache>
            </c:numRef>
          </c:val>
          <c:extLst xmlns:c16r2="http://schemas.microsoft.com/office/drawing/2015/06/chart">
            <c:ext xmlns:c16="http://schemas.microsoft.com/office/drawing/2014/chart" uri="{C3380CC4-5D6E-409C-BE32-E72D297353CC}">
              <c16:uniqueId val="{00000004-2EA1-4578-B2E8-5263550BFBBA}"/>
            </c:ext>
          </c:extLst>
        </c:ser>
        <c:dLbls>
          <c:dLblPos val="outEnd"/>
          <c:showLegendKey val="0"/>
          <c:showVal val="1"/>
          <c:showCatName val="0"/>
          <c:showSerName val="0"/>
          <c:showPercent val="0"/>
          <c:showBubbleSize val="0"/>
        </c:dLbls>
        <c:gapWidth val="115"/>
        <c:overlap val="-20"/>
        <c:axId val="489127136"/>
        <c:axId val="489128704"/>
      </c:barChart>
      <c:catAx>
        <c:axId val="489127136"/>
        <c:scaling>
          <c:orientation val="minMax"/>
        </c:scaling>
        <c:delete val="1"/>
        <c:axPos val="l"/>
        <c:numFmt formatCode="General" sourceLinked="1"/>
        <c:majorTickMark val="none"/>
        <c:minorTickMark val="none"/>
        <c:tickLblPos val="nextTo"/>
        <c:crossAx val="489128704"/>
        <c:crosses val="autoZero"/>
        <c:auto val="1"/>
        <c:lblAlgn val="ctr"/>
        <c:lblOffset val="100"/>
        <c:noMultiLvlLbl val="0"/>
      </c:catAx>
      <c:valAx>
        <c:axId val="489128704"/>
        <c:scaling>
          <c:orientation val="minMax"/>
        </c:scaling>
        <c:delete val="1"/>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48912713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n-US" sz="1200" b="1" i="0" baseline="0">
                <a:effectLst/>
              </a:rPr>
              <a:t>Hygiene Coverage in active camps</a:t>
            </a:r>
            <a:endParaRPr lang="en-US" sz="1200">
              <a:effectLst/>
            </a:endParaRP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n-US"/>
        </a:p>
      </c:txPr>
    </c:title>
    <c:autoTitleDeleted val="0"/>
    <c:plotArea>
      <c:layout/>
      <c:barChart>
        <c:barDir val="col"/>
        <c:grouping val="stacked"/>
        <c:varyColors val="0"/>
        <c:ser>
          <c:idx val="0"/>
          <c:order val="0"/>
          <c:tx>
            <c:strRef>
              <c:f>Analysis!$X$156</c:f>
              <c:strCache>
                <c:ptCount val="1"/>
                <c:pt idx="0">
                  <c:v>Covered</c:v>
                </c:pt>
              </c:strCache>
            </c:strRef>
          </c:tx>
          <c:spPr>
            <a:solidFill>
              <a:schemeClr val="accent6">
                <a:lumMod val="75000"/>
              </a:schemeClr>
            </a:solidFill>
            <a:ln>
              <a:noFill/>
            </a:ln>
            <a:effectLst/>
          </c:spPr>
          <c:invertIfNegative val="0"/>
          <c:dLbls>
            <c:dLbl>
              <c:idx val="3"/>
              <c:layout>
                <c:manualLayout>
                  <c:x val="6.5762431507390027E-3"/>
                  <c:y val="-2.2598870056497258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4CD7-4316-B6E2-4B07A105AAC2}"/>
                </c:ext>
                <c:ext xmlns:c15="http://schemas.microsoft.com/office/drawing/2012/chart" uri="{CE6537A1-D6FC-4f65-9D91-7224C49458BB}"/>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Analysis!$W$157:$W$160</c:f>
              <c:strCache>
                <c:ptCount val="4"/>
                <c:pt idx="0">
                  <c:v>#HH reached by regular dedicated hygiene promotion</c:v>
                </c:pt>
                <c:pt idx="1">
                  <c:v>#HH with access to Hand Washing Station</c:v>
                </c:pt>
                <c:pt idx="2">
                  <c:v># HH received soaps</c:v>
                </c:pt>
                <c:pt idx="3">
                  <c:v># HH received Sanitary Pads</c:v>
                </c:pt>
              </c:strCache>
            </c:strRef>
          </c:cat>
          <c:val>
            <c:numRef>
              <c:f>Analysis!$X$157:$X$160</c:f>
              <c:numCache>
                <c:formatCode>0</c:formatCode>
                <c:ptCount val="4"/>
                <c:pt idx="0">
                  <c:v>1622.6</c:v>
                </c:pt>
                <c:pt idx="1">
                  <c:v>1172.7000000000003</c:v>
                </c:pt>
                <c:pt idx="2">
                  <c:v>1110</c:v>
                </c:pt>
                <c:pt idx="3">
                  <c:v>100</c:v>
                </c:pt>
              </c:numCache>
            </c:numRef>
          </c:val>
          <c:extLst xmlns:c16r2="http://schemas.microsoft.com/office/drawing/2015/06/chart">
            <c:ext xmlns:c16="http://schemas.microsoft.com/office/drawing/2014/chart" uri="{C3380CC4-5D6E-409C-BE32-E72D297353CC}">
              <c16:uniqueId val="{00000000-CBDF-46C4-8398-2F2620566A1B}"/>
            </c:ext>
          </c:extLst>
        </c:ser>
        <c:ser>
          <c:idx val="1"/>
          <c:order val="1"/>
          <c:tx>
            <c:strRef>
              <c:f>Analysis!$Y$156</c:f>
              <c:strCache>
                <c:ptCount val="1"/>
                <c:pt idx="0">
                  <c:v>Gap</c:v>
                </c:pt>
              </c:strCache>
            </c:strRef>
          </c:tx>
          <c:spPr>
            <a:solidFill>
              <a:schemeClr val="accent6">
                <a:lumMod val="40000"/>
                <a:lumOff val="60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Analysis!$W$157:$W$160</c:f>
              <c:strCache>
                <c:ptCount val="4"/>
                <c:pt idx="0">
                  <c:v>#HH reached by regular dedicated hygiene promotion</c:v>
                </c:pt>
                <c:pt idx="1">
                  <c:v>#HH with access to Hand Washing Station</c:v>
                </c:pt>
                <c:pt idx="2">
                  <c:v># HH received soaps</c:v>
                </c:pt>
                <c:pt idx="3">
                  <c:v># HH received Sanitary Pads</c:v>
                </c:pt>
              </c:strCache>
            </c:strRef>
          </c:cat>
          <c:val>
            <c:numRef>
              <c:f>Analysis!$Y$157:$Y$160</c:f>
              <c:numCache>
                <c:formatCode>0</c:formatCode>
                <c:ptCount val="4"/>
                <c:pt idx="0">
                  <c:v>396.40000000000009</c:v>
                </c:pt>
                <c:pt idx="1">
                  <c:v>846.29999999999973</c:v>
                </c:pt>
                <c:pt idx="2">
                  <c:v>909</c:v>
                </c:pt>
                <c:pt idx="3">
                  <c:v>1919</c:v>
                </c:pt>
              </c:numCache>
            </c:numRef>
          </c:val>
          <c:extLst xmlns:c16r2="http://schemas.microsoft.com/office/drawing/2015/06/chart">
            <c:ext xmlns:c16="http://schemas.microsoft.com/office/drawing/2014/chart" uri="{C3380CC4-5D6E-409C-BE32-E72D297353CC}">
              <c16:uniqueId val="{00000001-CBDF-46C4-8398-2F2620566A1B}"/>
            </c:ext>
          </c:extLst>
        </c:ser>
        <c:dLbls>
          <c:showLegendKey val="0"/>
          <c:showVal val="0"/>
          <c:showCatName val="0"/>
          <c:showSerName val="0"/>
          <c:showPercent val="0"/>
          <c:showBubbleSize val="0"/>
        </c:dLbls>
        <c:gapWidth val="150"/>
        <c:overlap val="100"/>
        <c:axId val="489125960"/>
        <c:axId val="489129488"/>
      </c:barChart>
      <c:catAx>
        <c:axId val="489125960"/>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489129488"/>
        <c:crosses val="autoZero"/>
        <c:auto val="1"/>
        <c:lblAlgn val="ctr"/>
        <c:lblOffset val="100"/>
        <c:noMultiLvlLbl val="0"/>
      </c:catAx>
      <c:valAx>
        <c:axId val="489129488"/>
        <c:scaling>
          <c:orientation val="minMax"/>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4891259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pivotSource>
    <c:name>[2018_06_05_Myanmar_WASH_4W_2018_Q1_final.xlsx]Analysis!PivotTable6</c:name>
    <c:fmtId val="11"/>
  </c:pivotSource>
  <c:chart>
    <c:title>
      <c:tx>
        <c:rich>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r>
              <a:rPr lang="en-US" sz="1200" b="1" i="0" baseline="0">
                <a:effectLst/>
              </a:rPr>
              <a:t>Water Point Coverage</a:t>
            </a:r>
          </a:p>
          <a:p>
            <a:pPr>
              <a:defRPr sz="1200"/>
            </a:pPr>
            <a:r>
              <a:rPr lang="en-US" sz="1200" b="1" i="0" baseline="0">
                <a:effectLst/>
              </a:rPr>
              <a:t>(in active IDP camps)</a:t>
            </a:r>
          </a:p>
        </c:rich>
      </c:tx>
      <c:layout>
        <c:manualLayout>
          <c:xMode val="edge"/>
          <c:yMode val="edge"/>
          <c:x val="0.28129855643044621"/>
          <c:y val="4.1504539559014265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n-US"/>
        </a:p>
      </c:txPr>
    </c:title>
    <c:autoTitleDeleted val="0"/>
    <c:pivotFmts>
      <c:pivotFmt>
        <c:idx val="0"/>
        <c:spPr>
          <a:solidFill>
            <a:srgbClr val="0070C0"/>
          </a:solidFill>
          <a:ln>
            <a:noFill/>
          </a:ln>
          <a:effectLst/>
        </c:spPr>
        <c:marker>
          <c:symbol val="circle"/>
          <c:size val="6"/>
          <c:spPr>
            <a:gradFill rotWithShape="1">
              <a:gsLst>
                <a:gs pos="0">
                  <a:schemeClr val="accent1">
                    <a:shade val="76000"/>
                    <a:satMod val="103000"/>
                    <a:lumMod val="102000"/>
                    <a:tint val="94000"/>
                  </a:schemeClr>
                </a:gs>
                <a:gs pos="50000">
                  <a:schemeClr val="accent1">
                    <a:shade val="76000"/>
                    <a:satMod val="110000"/>
                    <a:lumMod val="100000"/>
                    <a:shade val="100000"/>
                  </a:schemeClr>
                </a:gs>
                <a:gs pos="100000">
                  <a:schemeClr val="accent1">
                    <a:shade val="76000"/>
                    <a:lumMod val="99000"/>
                    <a:satMod val="120000"/>
                    <a:shade val="78000"/>
                  </a:schemeClr>
                </a:gs>
              </a:gsLst>
              <a:lin ang="5400000" scaled="0"/>
            </a:gradFill>
            <a:ln w="12700">
              <a:solidFill>
                <a:schemeClr val="lt2"/>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
        <c:spPr>
          <a:solidFill>
            <a:schemeClr val="accent1">
              <a:lumMod val="40000"/>
              <a:lumOff val="60000"/>
            </a:schemeClr>
          </a:solidFill>
          <a:ln>
            <a:noFill/>
          </a:ln>
          <a:effectLst/>
        </c:spPr>
        <c:marker>
          <c:symbol val="circle"/>
          <c:size val="6"/>
          <c:spPr>
            <a:gradFill rotWithShape="1">
              <a:gsLst>
                <a:gs pos="0">
                  <a:schemeClr val="accent1">
                    <a:tint val="77000"/>
                    <a:satMod val="103000"/>
                    <a:lumMod val="102000"/>
                    <a:tint val="94000"/>
                  </a:schemeClr>
                </a:gs>
                <a:gs pos="50000">
                  <a:schemeClr val="accent1">
                    <a:tint val="77000"/>
                    <a:satMod val="110000"/>
                    <a:lumMod val="100000"/>
                    <a:shade val="100000"/>
                  </a:schemeClr>
                </a:gs>
                <a:gs pos="100000">
                  <a:schemeClr val="accent1">
                    <a:tint val="77000"/>
                    <a:lumMod val="99000"/>
                    <a:satMod val="120000"/>
                    <a:shade val="78000"/>
                  </a:schemeClr>
                </a:gs>
              </a:gsLst>
              <a:lin ang="5400000" scaled="0"/>
            </a:gradFill>
            <a:ln w="12700">
              <a:solidFill>
                <a:schemeClr val="lt2"/>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2"/>
        <c:spPr>
          <a:solidFill>
            <a:schemeClr val="accent1">
              <a:lumMod val="40000"/>
              <a:lumOff val="60000"/>
            </a:schemeClr>
          </a:solidFill>
          <a:ln>
            <a:noFill/>
          </a:ln>
          <a:effectLst/>
        </c:spPr>
        <c:dLbl>
          <c:idx val="0"/>
          <c:layout>
            <c:manualLayout>
              <c:x val="-8.3333333333333332E-3"/>
              <c:y val="-6.2256809338521402E-2"/>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3"/>
        <c:spPr>
          <a:solidFill>
            <a:srgbClr val="0070C0"/>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0"/>
          <c:showCatName val="0"/>
          <c:showSerName val="0"/>
          <c:showPercent val="0"/>
          <c:showBubbleSize val="0"/>
          <c:extLst xmlns:c16r2="http://schemas.microsoft.com/office/drawing/2015/06/chart">
            <c:ext xmlns:c15="http://schemas.microsoft.com/office/drawing/2012/chart" uri="{CE6537A1-D6FC-4f65-9D91-7224C49458BB}"/>
          </c:extLst>
        </c:dLbl>
      </c:pivotFmt>
      <c:pivotFmt>
        <c:idx val="4"/>
        <c:spPr>
          <a:solidFill>
            <a:srgbClr val="0070C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5"/>
        <c:spPr>
          <a:solidFill>
            <a:srgbClr val="0070C0"/>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extLst>
        </c:dLbl>
      </c:pivotFmt>
      <c:pivotFmt>
        <c:idx val="6"/>
        <c:spPr>
          <a:solidFill>
            <a:schemeClr val="accent1">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7"/>
        <c:spPr>
          <a:solidFill>
            <a:schemeClr val="accent1">
              <a:lumMod val="40000"/>
              <a:lumOff val="60000"/>
            </a:schemeClr>
          </a:solidFill>
          <a:ln>
            <a:noFill/>
          </a:ln>
          <a:effectLst/>
        </c:spPr>
        <c:dLbl>
          <c:idx val="0"/>
          <c:layout>
            <c:manualLayout>
              <c:x val="-8.3333333333333332E-3"/>
              <c:y val="-6.2256809338521402E-2"/>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8"/>
        <c:spPr>
          <a:solidFill>
            <a:srgbClr val="0070C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9"/>
        <c:spPr>
          <a:solidFill>
            <a:srgbClr val="0070C0"/>
          </a:solidFill>
          <a:ln>
            <a:noFill/>
          </a:ln>
          <a:effectLst/>
        </c:spP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en-US"/>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0"/>
        <c:spPr>
          <a:solidFill>
            <a:schemeClr val="accent1">
              <a:lumMod val="40000"/>
              <a:lumOff val="6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1"/>
        <c:spPr>
          <a:solidFill>
            <a:schemeClr val="accent1">
              <a:lumMod val="40000"/>
              <a:lumOff val="60000"/>
            </a:schemeClr>
          </a:solidFill>
          <a:ln>
            <a:noFill/>
          </a:ln>
          <a:effectLst/>
        </c:spPr>
        <c:dLbl>
          <c:idx val="0"/>
          <c:layout>
            <c:manualLayout>
              <c:x val="-8.3333333333333332E-3"/>
              <c:y val="-6.2256809338521402E-2"/>
            </c:manualLayout>
          </c:layout>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s>
    <c:plotArea>
      <c:layout/>
      <c:barChart>
        <c:barDir val="col"/>
        <c:grouping val="stacked"/>
        <c:varyColors val="0"/>
        <c:ser>
          <c:idx val="0"/>
          <c:order val="0"/>
          <c:tx>
            <c:strRef>
              <c:f>Analysis!$L$40</c:f>
              <c:strCache>
                <c:ptCount val="1"/>
                <c:pt idx="0">
                  <c:v>Coverage</c:v>
                </c:pt>
              </c:strCache>
            </c:strRef>
          </c:tx>
          <c:spPr>
            <a:solidFill>
              <a:srgbClr val="0070C0"/>
            </a:solidFill>
            <a:ln>
              <a:noFill/>
            </a:ln>
            <a:effectLst/>
          </c:spPr>
          <c:invertIfNegative val="0"/>
          <c:dPt>
            <c:idx val="1"/>
            <c:invertIfNegative val="0"/>
            <c:bubble3D val="0"/>
            <c:spPr>
              <a:solidFill>
                <a:srgbClr val="0070C0"/>
              </a:solidFill>
              <a:ln>
                <a:noFill/>
              </a:ln>
              <a:effectLst/>
            </c:spPr>
            <c:extLst xmlns:c16r2="http://schemas.microsoft.com/office/drawing/2015/06/chart">
              <c:ext xmlns:c16="http://schemas.microsoft.com/office/drawing/2014/chart" uri="{C3380CC4-5D6E-409C-BE32-E72D297353CC}">
                <c16:uniqueId val="{00000000-AF37-4CBA-9708-E9534841002E}"/>
              </c:ext>
            </c:extLst>
          </c:dPt>
          <c:dLbls>
            <c:dLbl>
              <c:idx val="1"/>
              <c:delete val="1"/>
              <c:extLst xmlns:c16r2="http://schemas.microsoft.com/office/drawing/2015/06/char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Analysis!$K$41:$K$42</c:f>
              <c:strCache>
                <c:ptCount val="2"/>
                <c:pt idx="0">
                  <c:v># in GCA active camps (500:1)</c:v>
                </c:pt>
                <c:pt idx="1">
                  <c:v># in NGCA active camps (500:1)</c:v>
                </c:pt>
              </c:strCache>
            </c:strRef>
          </c:cat>
          <c:val>
            <c:numRef>
              <c:f>Analysis!$L$41:$L$42</c:f>
              <c:numCache>
                <c:formatCode>0</c:formatCode>
                <c:ptCount val="2"/>
                <c:pt idx="0">
                  <c:v>17.937999999999995</c:v>
                </c:pt>
                <c:pt idx="1">
                  <c:v>0</c:v>
                </c:pt>
              </c:numCache>
            </c:numRef>
          </c:val>
          <c:extLst xmlns:c16r2="http://schemas.microsoft.com/office/drawing/2015/06/chart">
            <c:ext xmlns:c16="http://schemas.microsoft.com/office/drawing/2014/chart" uri="{C3380CC4-5D6E-409C-BE32-E72D297353CC}">
              <c16:uniqueId val="{00000000-C0F6-4E3D-8535-1FBCD2B87085}"/>
            </c:ext>
          </c:extLst>
        </c:ser>
        <c:ser>
          <c:idx val="1"/>
          <c:order val="1"/>
          <c:tx>
            <c:strRef>
              <c:f>Analysis!$M$40</c:f>
              <c:strCache>
                <c:ptCount val="1"/>
                <c:pt idx="0">
                  <c:v>Gap</c:v>
                </c:pt>
              </c:strCache>
            </c:strRef>
          </c:tx>
          <c:spPr>
            <a:solidFill>
              <a:schemeClr val="accent1">
                <a:lumMod val="40000"/>
                <a:lumOff val="60000"/>
              </a:schemeClr>
            </a:solidFill>
            <a:ln>
              <a:noFill/>
            </a:ln>
            <a:effectLst/>
          </c:spPr>
          <c:invertIfNegative val="0"/>
          <c:dPt>
            <c:idx val="1"/>
            <c:invertIfNegative val="0"/>
            <c:bubble3D val="0"/>
            <c:spPr>
              <a:solidFill>
                <a:schemeClr val="accent1">
                  <a:lumMod val="40000"/>
                  <a:lumOff val="60000"/>
                </a:schemeClr>
              </a:solidFill>
              <a:ln>
                <a:noFill/>
              </a:ln>
              <a:effectLst/>
            </c:spPr>
            <c:extLst xmlns:c16r2="http://schemas.microsoft.com/office/drawing/2015/06/chart">
              <c:ext xmlns:c16="http://schemas.microsoft.com/office/drawing/2014/chart" uri="{C3380CC4-5D6E-409C-BE32-E72D297353CC}">
                <c16:uniqueId val="{00000002-AF37-4CBA-9708-E9534841002E}"/>
              </c:ext>
            </c:extLst>
          </c:dPt>
          <c:dLbls>
            <c:dLbl>
              <c:idx val="1"/>
              <c:layout>
                <c:manualLayout>
                  <c:x val="-8.3333333333333332E-3"/>
                  <c:y val="-6.2256809338521402E-2"/>
                </c:manualLayout>
              </c:layout>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Analysis!$K$41:$K$42</c:f>
              <c:strCache>
                <c:ptCount val="2"/>
                <c:pt idx="0">
                  <c:v># in GCA active camps (500:1)</c:v>
                </c:pt>
                <c:pt idx="1">
                  <c:v># in NGCA active camps (500:1)</c:v>
                </c:pt>
              </c:strCache>
            </c:strRef>
          </c:cat>
          <c:val>
            <c:numRef>
              <c:f>Analysis!$M$41:$M$42</c:f>
              <c:numCache>
                <c:formatCode>0</c:formatCode>
                <c:ptCount val="2"/>
                <c:pt idx="0">
                  <c:v>18.802000000000003</c:v>
                </c:pt>
                <c:pt idx="1">
                  <c:v>1</c:v>
                </c:pt>
              </c:numCache>
            </c:numRef>
          </c:val>
          <c:extLst xmlns:c16r2="http://schemas.microsoft.com/office/drawing/2015/06/chart">
            <c:ext xmlns:c16="http://schemas.microsoft.com/office/drawing/2014/chart" uri="{C3380CC4-5D6E-409C-BE32-E72D297353CC}">
              <c16:uniqueId val="{00000001-C0F6-4E3D-8535-1FBCD2B87085}"/>
            </c:ext>
          </c:extLst>
        </c:ser>
        <c:dLbls>
          <c:dLblPos val="ctr"/>
          <c:showLegendKey val="0"/>
          <c:showVal val="1"/>
          <c:showCatName val="0"/>
          <c:showSerName val="0"/>
          <c:showPercent val="0"/>
          <c:showBubbleSize val="0"/>
        </c:dLbls>
        <c:gapWidth val="150"/>
        <c:overlap val="100"/>
        <c:axId val="489124392"/>
        <c:axId val="489127920"/>
      </c:barChart>
      <c:catAx>
        <c:axId val="489124392"/>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489127920"/>
        <c:crosses val="autoZero"/>
        <c:auto val="1"/>
        <c:lblAlgn val="ctr"/>
        <c:lblOffset val="100"/>
        <c:noMultiLvlLbl val="0"/>
      </c:catAx>
      <c:valAx>
        <c:axId val="489127920"/>
        <c:scaling>
          <c:orientation val="minMax"/>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48912439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extLst xmlns:c16r2="http://schemas.microsoft.com/office/drawing/2015/06/chart">
    <c:ext xmlns:c16="http://schemas.microsoft.com/office/drawing/2014/chart" uri="{E28EC0CA-F0BB-4C9C-879D-F8772B89E7AC}">
      <c16:pivotOptions16>
        <c16:showExpandCollapseFieldButtons val="1"/>
      </c16:pivotOptions16>
    </c:ext>
    <c:ext xmlns:c14="http://schemas.microsoft.com/office/drawing/2007/8/2/chart" uri="{781A3756-C4B2-4CAC-9D66-4F8BD8637D16}">
      <c14:pivotOptions>
        <c14:dropZoneFilter val="1"/>
        <c14:dropZoneCategories val="1"/>
        <c14:dropZoneData val="1"/>
        <c14:dropZoneSeries val="1"/>
      </c14:pivotOptions>
    </c:ext>
  </c:extLst>
</c:chartSpace>
</file>

<file path=xl/charts/chart8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r>
              <a:rPr lang="en-US" sz="1200"/>
              <a:t>Effective drainage</a:t>
            </a:r>
          </a:p>
          <a:p>
            <a:pPr>
              <a:defRPr sz="1200"/>
            </a:pPr>
            <a:r>
              <a:rPr lang="en-US" sz="1200"/>
              <a:t> in active camps</a:t>
            </a:r>
          </a:p>
        </c:rich>
      </c:tx>
      <c:overlay val="0"/>
      <c:spPr>
        <a:noFill/>
        <a:ln>
          <a:noFill/>
        </a:ln>
        <a:effectLst/>
      </c:spPr>
      <c:txPr>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0.15840801149856265"/>
          <c:y val="0.27654199475065622"/>
          <c:w val="0.38782245969253842"/>
          <c:h val="0.67868930446194231"/>
        </c:manualLayout>
      </c:layout>
      <c:pieChart>
        <c:varyColors val="1"/>
        <c:ser>
          <c:idx val="2"/>
          <c:order val="2"/>
          <c:tx>
            <c:strRef>
              <c:f>Analysis!$B$125</c:f>
              <c:strCache>
                <c:ptCount val="1"/>
                <c:pt idx="0">
                  <c:v>Shan (North)</c:v>
                </c:pt>
              </c:strCache>
              <c:extLst xmlns:c15="http://schemas.microsoft.com/office/drawing/2012/chart" xmlns:c16r2="http://schemas.microsoft.com/office/drawing/2015/06/chart"/>
            </c:strRef>
          </c:tx>
          <c:dPt>
            <c:idx val="0"/>
            <c:bubble3D val="0"/>
            <c:spPr>
              <a:gradFill rotWithShape="1">
                <a:gsLst>
                  <a:gs pos="0">
                    <a:schemeClr val="accent2">
                      <a:shade val="58000"/>
                      <a:satMod val="103000"/>
                      <a:lumMod val="102000"/>
                      <a:tint val="94000"/>
                    </a:schemeClr>
                  </a:gs>
                  <a:gs pos="50000">
                    <a:schemeClr val="accent2">
                      <a:shade val="58000"/>
                      <a:satMod val="110000"/>
                      <a:lumMod val="100000"/>
                      <a:shade val="100000"/>
                    </a:schemeClr>
                  </a:gs>
                  <a:gs pos="100000">
                    <a:schemeClr val="accent2">
                      <a:shade val="58000"/>
                      <a:lumMod val="99000"/>
                      <a:satMod val="120000"/>
                      <a:shade val="78000"/>
                    </a:schemeClr>
                  </a:gs>
                </a:gsLst>
                <a:lin ang="5400000" scaled="0"/>
              </a:gradFill>
              <a:ln>
                <a:noFill/>
              </a:ln>
              <a:effectLst/>
            </c:spPr>
            <c:extLst xmlns:c16r2="http://schemas.microsoft.com/office/drawing/2015/06/chart">
              <c:ext xmlns:c16="http://schemas.microsoft.com/office/drawing/2014/chart" uri="{C3380CC4-5D6E-409C-BE32-E72D297353CC}">
                <c16:uniqueId val="{00000001-8667-40EB-A08A-ADA6B6C85ECE}"/>
              </c:ext>
            </c:extLst>
          </c:dPt>
          <c:dPt>
            <c:idx val="1"/>
            <c:bubble3D val="0"/>
            <c:spPr>
              <a:gradFill rotWithShape="1">
                <a:gsLst>
                  <a:gs pos="0">
                    <a:schemeClr val="accent2">
                      <a:shade val="86000"/>
                      <a:satMod val="103000"/>
                      <a:lumMod val="102000"/>
                      <a:tint val="94000"/>
                    </a:schemeClr>
                  </a:gs>
                  <a:gs pos="50000">
                    <a:schemeClr val="accent2">
                      <a:shade val="86000"/>
                      <a:satMod val="110000"/>
                      <a:lumMod val="100000"/>
                      <a:shade val="100000"/>
                    </a:schemeClr>
                  </a:gs>
                  <a:gs pos="100000">
                    <a:schemeClr val="accent2">
                      <a:shade val="86000"/>
                      <a:lumMod val="99000"/>
                      <a:satMod val="120000"/>
                      <a:shade val="78000"/>
                    </a:schemeClr>
                  </a:gs>
                </a:gsLst>
                <a:lin ang="5400000" scaled="0"/>
              </a:gradFill>
              <a:ln>
                <a:noFill/>
              </a:ln>
              <a:effectLst/>
            </c:spPr>
            <c:extLst xmlns:c16r2="http://schemas.microsoft.com/office/drawing/2015/06/chart">
              <c:ext xmlns:c16="http://schemas.microsoft.com/office/drawing/2014/chart" uri="{C3380CC4-5D6E-409C-BE32-E72D297353CC}">
                <c16:uniqueId val="{00000003-8667-40EB-A08A-ADA6B6C85ECE}"/>
              </c:ext>
            </c:extLst>
          </c:dPt>
          <c:dPt>
            <c:idx val="2"/>
            <c:bubble3D val="0"/>
            <c:spPr>
              <a:gradFill rotWithShape="1">
                <a:gsLst>
                  <a:gs pos="0">
                    <a:schemeClr val="accent2">
                      <a:tint val="86000"/>
                      <a:satMod val="103000"/>
                      <a:lumMod val="102000"/>
                      <a:tint val="94000"/>
                    </a:schemeClr>
                  </a:gs>
                  <a:gs pos="50000">
                    <a:schemeClr val="accent2">
                      <a:tint val="86000"/>
                      <a:satMod val="110000"/>
                      <a:lumMod val="100000"/>
                      <a:shade val="100000"/>
                    </a:schemeClr>
                  </a:gs>
                  <a:gs pos="100000">
                    <a:schemeClr val="accent2">
                      <a:tint val="86000"/>
                      <a:lumMod val="99000"/>
                      <a:satMod val="120000"/>
                      <a:shade val="78000"/>
                    </a:schemeClr>
                  </a:gs>
                </a:gsLst>
                <a:lin ang="5400000" scaled="0"/>
              </a:gradFill>
              <a:ln>
                <a:noFill/>
              </a:ln>
              <a:effectLst/>
            </c:spPr>
            <c:extLst xmlns:c16r2="http://schemas.microsoft.com/office/drawing/2015/06/chart">
              <c:ext xmlns:c16="http://schemas.microsoft.com/office/drawing/2014/chart" uri="{C3380CC4-5D6E-409C-BE32-E72D297353CC}">
                <c16:uniqueId val="{00000005-8667-40EB-A08A-ADA6B6C85ECE}"/>
              </c:ext>
            </c:extLst>
          </c:dPt>
          <c:dPt>
            <c:idx val="3"/>
            <c:bubble3D val="0"/>
            <c:spPr>
              <a:gradFill rotWithShape="1">
                <a:gsLst>
                  <a:gs pos="0">
                    <a:schemeClr val="accent2">
                      <a:tint val="58000"/>
                      <a:satMod val="103000"/>
                      <a:lumMod val="102000"/>
                      <a:tint val="94000"/>
                    </a:schemeClr>
                  </a:gs>
                  <a:gs pos="50000">
                    <a:schemeClr val="accent2">
                      <a:tint val="58000"/>
                      <a:satMod val="110000"/>
                      <a:lumMod val="100000"/>
                      <a:shade val="100000"/>
                    </a:schemeClr>
                  </a:gs>
                  <a:gs pos="100000">
                    <a:schemeClr val="accent2">
                      <a:tint val="58000"/>
                      <a:lumMod val="99000"/>
                      <a:satMod val="120000"/>
                      <a:shade val="78000"/>
                    </a:schemeClr>
                  </a:gs>
                </a:gsLst>
                <a:lin ang="5400000" scaled="0"/>
              </a:gradFill>
              <a:ln>
                <a:noFill/>
              </a:ln>
              <a:effectLst/>
            </c:spPr>
            <c:extLst xmlns:c16r2="http://schemas.microsoft.com/office/drawing/2015/06/chart">
              <c:ext xmlns:c16="http://schemas.microsoft.com/office/drawing/2014/chart" uri="{C3380CC4-5D6E-409C-BE32-E72D297353CC}">
                <c16:uniqueId val="{00000007-8667-40EB-A08A-ADA6B6C85ECE}"/>
              </c:ext>
            </c:extLst>
          </c:dPt>
          <c:dLbls>
            <c:dLbl>
              <c:idx val="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dLblPos val="bestFit"/>
              <c:showLegendKey val="0"/>
              <c:showVal val="0"/>
              <c:showCatName val="0"/>
              <c:showSerName val="0"/>
              <c:showPercent val="1"/>
              <c:showBubbleSize val="0"/>
            </c:dLbl>
            <c:dLbl>
              <c:idx val="1"/>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dLblPos val="bestFit"/>
              <c:showLegendKey val="0"/>
              <c:showVal val="0"/>
              <c:showCatName val="0"/>
              <c:showSerName val="0"/>
              <c:showPercent val="1"/>
              <c:showBubbleSize val="0"/>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dLblPos val="bestFit"/>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xmlns:c15="http://schemas.microsoft.com/office/drawing/2012/chart" xmlns:c16r2="http://schemas.microsoft.com/office/drawing/2015/06/chart">
              <c:ext xmlns:c15="http://schemas.microsoft.com/office/drawing/2012/chart" uri="{CE6537A1-D6FC-4f65-9D91-7224C49458BB}"/>
            </c:extLst>
          </c:dLbls>
          <c:cat>
            <c:strRef>
              <c:f>Analysis!$C$122:$F$122</c:f>
              <c:strCache>
                <c:ptCount val="4"/>
                <c:pt idx="0">
                  <c:v>Functional</c:v>
                </c:pt>
                <c:pt idx="1">
                  <c:v>NA</c:v>
                </c:pt>
                <c:pt idx="2">
                  <c:v>Not_Functional</c:v>
                </c:pt>
                <c:pt idx="3">
                  <c:v>Not_inPlace</c:v>
                </c:pt>
              </c:strCache>
              <c:extLst xmlns:c15="http://schemas.microsoft.com/office/drawing/2012/chart" xmlns:c16r2="http://schemas.microsoft.com/office/drawing/2015/06/chart"/>
            </c:strRef>
          </c:cat>
          <c:val>
            <c:numRef>
              <c:f>Analysis!$C$125:$F$125</c:f>
              <c:numCache>
                <c:formatCode>General</c:formatCode>
                <c:ptCount val="4"/>
                <c:pt idx="0">
                  <c:v>20</c:v>
                </c:pt>
                <c:pt idx="1">
                  <c:v>8</c:v>
                </c:pt>
                <c:pt idx="2">
                  <c:v>3</c:v>
                </c:pt>
                <c:pt idx="3">
                  <c:v>9</c:v>
                </c:pt>
              </c:numCache>
              <c:extLst xmlns:c15="http://schemas.microsoft.com/office/drawing/2012/chart" xmlns:c16r2="http://schemas.microsoft.com/office/drawing/2015/06/chart"/>
            </c:numRef>
          </c:val>
          <c:extLst xmlns:c16r2="http://schemas.microsoft.com/office/drawing/2015/06/chart">
            <c:ext xmlns:c16="http://schemas.microsoft.com/office/drawing/2014/chart" uri="{C3380CC4-5D6E-409C-BE32-E72D297353CC}">
              <c16:uniqueId val="{00000008-8667-40EB-A08A-ADA6B6C85ECE}"/>
            </c:ext>
          </c:extLst>
        </c:ser>
        <c:dLbls>
          <c:dLblPos val="bestFit"/>
          <c:showLegendKey val="0"/>
          <c:showVal val="1"/>
          <c:showCatName val="0"/>
          <c:showSerName val="0"/>
          <c:showPercent val="0"/>
          <c:showBubbleSize val="0"/>
          <c:showLeaderLines val="1"/>
        </c:dLbls>
        <c:firstSliceAng val="0"/>
        <c:extLst xmlns:c16r2="http://schemas.microsoft.com/office/drawing/2015/06/chart">
          <c:ext xmlns:c15="http://schemas.microsoft.com/office/drawing/2012/chart" uri="{02D57815-91ED-43cb-92C2-25804820EDAC}">
            <c15:filteredPieSeries>
              <c15:ser>
                <c:idx val="0"/>
                <c:order val="0"/>
                <c:tx>
                  <c:strRef>
                    <c:extLst xmlns:c16r2="http://schemas.microsoft.com/office/drawing/2015/06/chart">
                      <c:ext uri="{02D57815-91ED-43cb-92C2-25804820EDAC}">
                        <c15:formulaRef>
                          <c15:sqref>Analysis!$B$123</c15:sqref>
                        </c15:formulaRef>
                      </c:ext>
                    </c:extLst>
                    <c:strCache>
                      <c:ptCount val="1"/>
                      <c:pt idx="0">
                        <c:v>Kachin</c:v>
                      </c:pt>
                    </c:strCache>
                  </c:strRef>
                </c:tx>
                <c:dPt>
                  <c:idx val="0"/>
                  <c:bubble3D val="0"/>
                  <c:spPr>
                    <a:gradFill rotWithShape="1">
                      <a:gsLst>
                        <a:gs pos="0">
                          <a:schemeClr val="accent2">
                            <a:shade val="58000"/>
                            <a:satMod val="103000"/>
                            <a:lumMod val="102000"/>
                            <a:tint val="94000"/>
                          </a:schemeClr>
                        </a:gs>
                        <a:gs pos="50000">
                          <a:schemeClr val="accent2">
                            <a:shade val="58000"/>
                            <a:satMod val="110000"/>
                            <a:lumMod val="100000"/>
                            <a:shade val="100000"/>
                          </a:schemeClr>
                        </a:gs>
                        <a:gs pos="100000">
                          <a:schemeClr val="accent2">
                            <a:shade val="58000"/>
                            <a:lumMod val="99000"/>
                            <a:satMod val="120000"/>
                            <a:shade val="78000"/>
                          </a:schemeClr>
                        </a:gs>
                      </a:gsLst>
                      <a:lin ang="5400000" scaled="0"/>
                    </a:gradFill>
                    <a:ln>
                      <a:noFill/>
                    </a:ln>
                    <a:effectLst/>
                  </c:spPr>
                  <c:extLst xmlns:c16r2="http://schemas.microsoft.com/office/drawing/2015/06/chart">
                    <c:ext xmlns:c16="http://schemas.microsoft.com/office/drawing/2014/chart" uri="{C3380CC4-5D6E-409C-BE32-E72D297353CC}">
                      <c16:uniqueId val="{00000001-3A63-4C59-8DE1-219A0638CA1F}"/>
                    </c:ext>
                  </c:extLst>
                </c:dPt>
                <c:dPt>
                  <c:idx val="1"/>
                  <c:bubble3D val="0"/>
                  <c:spPr>
                    <a:gradFill rotWithShape="1">
                      <a:gsLst>
                        <a:gs pos="0">
                          <a:schemeClr val="accent2">
                            <a:shade val="86000"/>
                            <a:satMod val="103000"/>
                            <a:lumMod val="102000"/>
                            <a:tint val="94000"/>
                          </a:schemeClr>
                        </a:gs>
                        <a:gs pos="50000">
                          <a:schemeClr val="accent2">
                            <a:shade val="86000"/>
                            <a:satMod val="110000"/>
                            <a:lumMod val="100000"/>
                            <a:shade val="100000"/>
                          </a:schemeClr>
                        </a:gs>
                        <a:gs pos="100000">
                          <a:schemeClr val="accent2">
                            <a:shade val="86000"/>
                            <a:lumMod val="99000"/>
                            <a:satMod val="120000"/>
                            <a:shade val="78000"/>
                          </a:schemeClr>
                        </a:gs>
                      </a:gsLst>
                      <a:lin ang="5400000" scaled="0"/>
                    </a:gradFill>
                    <a:ln>
                      <a:noFill/>
                    </a:ln>
                    <a:effectLst/>
                  </c:spPr>
                  <c:extLst xmlns:c16r2="http://schemas.microsoft.com/office/drawing/2015/06/chart">
                    <c:ext xmlns:c16="http://schemas.microsoft.com/office/drawing/2014/chart" uri="{C3380CC4-5D6E-409C-BE32-E72D297353CC}">
                      <c16:uniqueId val="{00000003-3A63-4C59-8DE1-219A0638CA1F}"/>
                    </c:ext>
                  </c:extLst>
                </c:dPt>
                <c:dPt>
                  <c:idx val="2"/>
                  <c:bubble3D val="0"/>
                  <c:spPr>
                    <a:gradFill rotWithShape="1">
                      <a:gsLst>
                        <a:gs pos="0">
                          <a:schemeClr val="accent2">
                            <a:tint val="86000"/>
                            <a:satMod val="103000"/>
                            <a:lumMod val="102000"/>
                            <a:tint val="94000"/>
                          </a:schemeClr>
                        </a:gs>
                        <a:gs pos="50000">
                          <a:schemeClr val="accent2">
                            <a:tint val="86000"/>
                            <a:satMod val="110000"/>
                            <a:lumMod val="100000"/>
                            <a:shade val="100000"/>
                          </a:schemeClr>
                        </a:gs>
                        <a:gs pos="100000">
                          <a:schemeClr val="accent2">
                            <a:tint val="86000"/>
                            <a:lumMod val="99000"/>
                            <a:satMod val="120000"/>
                            <a:shade val="78000"/>
                          </a:schemeClr>
                        </a:gs>
                      </a:gsLst>
                      <a:lin ang="5400000" scaled="0"/>
                    </a:gradFill>
                    <a:ln>
                      <a:noFill/>
                    </a:ln>
                    <a:effectLst/>
                  </c:spPr>
                  <c:extLst xmlns:c16r2="http://schemas.microsoft.com/office/drawing/2015/06/chart">
                    <c:ext xmlns:c16="http://schemas.microsoft.com/office/drawing/2014/chart" uri="{C3380CC4-5D6E-409C-BE32-E72D297353CC}">
                      <c16:uniqueId val="{00000005-3A63-4C59-8DE1-219A0638CA1F}"/>
                    </c:ext>
                  </c:extLst>
                </c:dPt>
                <c:dPt>
                  <c:idx val="3"/>
                  <c:bubble3D val="0"/>
                  <c:spPr>
                    <a:gradFill rotWithShape="1">
                      <a:gsLst>
                        <a:gs pos="0">
                          <a:schemeClr val="accent2">
                            <a:tint val="58000"/>
                            <a:satMod val="103000"/>
                            <a:lumMod val="102000"/>
                            <a:tint val="94000"/>
                          </a:schemeClr>
                        </a:gs>
                        <a:gs pos="50000">
                          <a:schemeClr val="accent2">
                            <a:tint val="58000"/>
                            <a:satMod val="110000"/>
                            <a:lumMod val="100000"/>
                            <a:shade val="100000"/>
                          </a:schemeClr>
                        </a:gs>
                        <a:gs pos="100000">
                          <a:schemeClr val="accent2">
                            <a:tint val="58000"/>
                            <a:lumMod val="99000"/>
                            <a:satMod val="120000"/>
                            <a:shade val="78000"/>
                          </a:schemeClr>
                        </a:gs>
                      </a:gsLst>
                      <a:lin ang="5400000" scaled="0"/>
                    </a:gradFill>
                    <a:ln>
                      <a:noFill/>
                    </a:ln>
                    <a:effectLst/>
                  </c:spPr>
                  <c:extLst xmlns:c16r2="http://schemas.microsoft.com/office/drawing/2015/06/chart">
                    <c:ext xmlns:c16="http://schemas.microsoft.com/office/drawing/2014/chart" uri="{C3380CC4-5D6E-409C-BE32-E72D297353CC}">
                      <c16:uniqueId val="{00000007-3A63-4C59-8DE1-219A0638CA1F}"/>
                    </c:ext>
                  </c:extLst>
                </c:dPt>
                <c:dLbls>
                  <c:dLbl>
                    <c:idx val="0"/>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bg1"/>
                            </a:solidFill>
                            <a:latin typeface="+mn-lt"/>
                            <a:ea typeface="+mn-ea"/>
                            <a:cs typeface="+mn-cs"/>
                          </a:defRPr>
                        </a:pPr>
                        <a:endParaRPr lang="en-US"/>
                      </a:p>
                    </c:txPr>
                    <c:dLblPos val="bestFit"/>
                    <c:showLegendKey val="0"/>
                    <c:showVal val="0"/>
                    <c:showCatName val="0"/>
                    <c:showSerName val="0"/>
                    <c:showPercent val="1"/>
                    <c:showBubbleSize val="0"/>
                  </c:dLbl>
                  <c:dLbl>
                    <c:idx val="1"/>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bg1"/>
                            </a:solidFill>
                            <a:latin typeface="+mn-lt"/>
                            <a:ea typeface="+mn-ea"/>
                            <a:cs typeface="+mn-cs"/>
                          </a:defRPr>
                        </a:pPr>
                        <a:endParaRPr lang="en-US"/>
                      </a:p>
                    </c:txPr>
                    <c:dLblPos val="bestFit"/>
                    <c:showLegendKey val="0"/>
                    <c:showVal val="0"/>
                    <c:showCatName val="0"/>
                    <c:showSerName val="0"/>
                    <c:showPercent val="1"/>
                    <c:showBubbleSize val="0"/>
                  </c:dLbl>
                  <c:dLbl>
                    <c:idx val="3"/>
                    <c:layout>
                      <c:manualLayout>
                        <c:x val="4.4142253079837497E-2"/>
                        <c:y val="0.12624238229460433"/>
                      </c:manualLayout>
                    </c:layout>
                    <c:dLblPos val="bestFit"/>
                    <c:showLegendKey val="0"/>
                    <c:showVal val="0"/>
                    <c:showCatName val="0"/>
                    <c:showSerName val="0"/>
                    <c:showPercent val="1"/>
                    <c:showBubbleSize val="0"/>
                    <c:extLst xmlns:c16r2="http://schemas.microsoft.com/office/drawing/2015/06/chart">
                      <c:ext xmlns:c16="http://schemas.microsoft.com/office/drawing/2014/chart" uri="{C3380CC4-5D6E-409C-BE32-E72D297353CC}">
                        <c16:uniqueId val="{00000007-3A63-4C59-8DE1-219A0638CA1F}"/>
                      </c:ext>
                      <c:ex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2"/>
                          </a:solidFill>
                          <a:latin typeface="+mn-lt"/>
                          <a:ea typeface="+mn-ea"/>
                          <a:cs typeface="+mn-cs"/>
                        </a:defRPr>
                      </a:pPr>
                      <a:endParaRPr lang="en-US"/>
                    </a:p>
                  </c:txPr>
                  <c:dLblPos val="bestFit"/>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xmlns:c16r2="http://schemas.microsoft.com/office/drawing/2015/06/chart">
                    <c:ext uri="{CE6537A1-D6FC-4f65-9D91-7224C49458BB}"/>
                  </c:extLst>
                </c:dLbls>
                <c:cat>
                  <c:strRef>
                    <c:extLst xmlns:c16r2="http://schemas.microsoft.com/office/drawing/2015/06/chart">
                      <c:ext uri="{02D57815-91ED-43cb-92C2-25804820EDAC}">
                        <c15:formulaRef>
                          <c15:sqref>Analysis!$C$122:$F$122</c15:sqref>
                        </c15:formulaRef>
                      </c:ext>
                    </c:extLst>
                    <c:strCache>
                      <c:ptCount val="4"/>
                      <c:pt idx="0">
                        <c:v>Functional</c:v>
                      </c:pt>
                      <c:pt idx="1">
                        <c:v>NA</c:v>
                      </c:pt>
                      <c:pt idx="2">
                        <c:v>Not_Functional</c:v>
                      </c:pt>
                      <c:pt idx="3">
                        <c:v>Not_inPlace</c:v>
                      </c:pt>
                    </c:strCache>
                  </c:strRef>
                </c:cat>
                <c:val>
                  <c:numRef>
                    <c:extLst xmlns:c16r2="http://schemas.microsoft.com/office/drawing/2015/06/chart">
                      <c:ext uri="{02D57815-91ED-43cb-92C2-25804820EDAC}">
                        <c15:formulaRef>
                          <c15:sqref>Analysis!$C$123:$F$123</c15:sqref>
                        </c15:formulaRef>
                      </c:ext>
                    </c:extLst>
                    <c:numCache>
                      <c:formatCode>General</c:formatCode>
                      <c:ptCount val="4"/>
                      <c:pt idx="0">
                        <c:v>70</c:v>
                      </c:pt>
                      <c:pt idx="1">
                        <c:v>15</c:v>
                      </c:pt>
                      <c:pt idx="2">
                        <c:v>51</c:v>
                      </c:pt>
                      <c:pt idx="3">
                        <c:v>7</c:v>
                      </c:pt>
                    </c:numCache>
                  </c:numRef>
                </c:val>
                <c:extLst xmlns:c16r2="http://schemas.microsoft.com/office/drawing/2015/06/chart">
                  <c:ext xmlns:c16="http://schemas.microsoft.com/office/drawing/2014/chart" uri="{C3380CC4-5D6E-409C-BE32-E72D297353CC}">
                    <c16:uniqueId val="{00000008-3A63-4C59-8DE1-219A0638CA1F}"/>
                  </c:ext>
                </c:extLst>
              </c15:ser>
            </c15:filteredPieSeries>
            <c15:filteredPieSeries>
              <c15:ser>
                <c:idx val="1"/>
                <c:order val="1"/>
                <c:tx>
                  <c:strRef>
                    <c:extLst xmlns:c15="http://schemas.microsoft.com/office/drawing/2012/chart" xmlns:c16r2="http://schemas.microsoft.com/office/drawing/2015/06/chart">
                      <c:ext xmlns:c15="http://schemas.microsoft.com/office/drawing/2012/chart" uri="{02D57815-91ED-43cb-92C2-25804820EDAC}">
                        <c15:formulaRef>
                          <c15:sqref>Analysis!$B$124</c15:sqref>
                        </c15:formulaRef>
                      </c:ext>
                    </c:extLst>
                    <c:strCache>
                      <c:ptCount val="1"/>
                      <c:pt idx="0">
                        <c:v>Rakhine</c:v>
                      </c:pt>
                    </c:strCache>
                  </c:strRef>
                </c:tx>
                <c:dPt>
                  <c:idx val="0"/>
                  <c:bubble3D val="0"/>
                  <c:spPr>
                    <a:gradFill rotWithShape="1">
                      <a:gsLst>
                        <a:gs pos="0">
                          <a:schemeClr val="accent2">
                            <a:shade val="58000"/>
                            <a:satMod val="103000"/>
                            <a:lumMod val="102000"/>
                            <a:tint val="94000"/>
                          </a:schemeClr>
                        </a:gs>
                        <a:gs pos="50000">
                          <a:schemeClr val="accent2">
                            <a:shade val="58000"/>
                            <a:satMod val="110000"/>
                            <a:lumMod val="100000"/>
                            <a:shade val="100000"/>
                          </a:schemeClr>
                        </a:gs>
                        <a:gs pos="100000">
                          <a:schemeClr val="accent2">
                            <a:shade val="58000"/>
                            <a:lumMod val="99000"/>
                            <a:satMod val="120000"/>
                            <a:shade val="78000"/>
                          </a:schemeClr>
                        </a:gs>
                      </a:gsLst>
                      <a:lin ang="5400000" scaled="0"/>
                    </a:gradFill>
                    <a:ln>
                      <a:noFill/>
                    </a:ln>
                    <a:effectLst/>
                  </c:spPr>
                  <c:extLst xmlns:c15="http://schemas.microsoft.com/office/drawing/2012/chart" xmlns:c16r2="http://schemas.microsoft.com/office/drawing/2015/06/chart">
                    <c:ext xmlns:c16="http://schemas.microsoft.com/office/drawing/2014/chart" uri="{C3380CC4-5D6E-409C-BE32-E72D297353CC}">
                      <c16:uniqueId val="{00000012-8667-40EB-A08A-ADA6B6C85ECE}"/>
                    </c:ext>
                  </c:extLst>
                </c:dPt>
                <c:dPt>
                  <c:idx val="1"/>
                  <c:bubble3D val="0"/>
                  <c:spPr>
                    <a:gradFill rotWithShape="1">
                      <a:gsLst>
                        <a:gs pos="0">
                          <a:schemeClr val="accent2">
                            <a:shade val="86000"/>
                            <a:satMod val="103000"/>
                            <a:lumMod val="102000"/>
                            <a:tint val="94000"/>
                          </a:schemeClr>
                        </a:gs>
                        <a:gs pos="50000">
                          <a:schemeClr val="accent2">
                            <a:shade val="86000"/>
                            <a:satMod val="110000"/>
                            <a:lumMod val="100000"/>
                            <a:shade val="100000"/>
                          </a:schemeClr>
                        </a:gs>
                        <a:gs pos="100000">
                          <a:schemeClr val="accent2">
                            <a:shade val="86000"/>
                            <a:lumMod val="99000"/>
                            <a:satMod val="120000"/>
                            <a:shade val="78000"/>
                          </a:schemeClr>
                        </a:gs>
                      </a:gsLst>
                      <a:lin ang="5400000" scaled="0"/>
                    </a:gradFill>
                    <a:ln>
                      <a:noFill/>
                    </a:ln>
                    <a:effectLst/>
                  </c:spPr>
                  <c:extLst xmlns:c15="http://schemas.microsoft.com/office/drawing/2012/chart" xmlns:c16r2="http://schemas.microsoft.com/office/drawing/2015/06/chart">
                    <c:ext xmlns:c16="http://schemas.microsoft.com/office/drawing/2014/chart" uri="{C3380CC4-5D6E-409C-BE32-E72D297353CC}">
                      <c16:uniqueId val="{00000014-8667-40EB-A08A-ADA6B6C85ECE}"/>
                    </c:ext>
                  </c:extLst>
                </c:dPt>
                <c:dPt>
                  <c:idx val="2"/>
                  <c:bubble3D val="0"/>
                  <c:spPr>
                    <a:gradFill rotWithShape="1">
                      <a:gsLst>
                        <a:gs pos="0">
                          <a:schemeClr val="accent2">
                            <a:tint val="86000"/>
                            <a:satMod val="103000"/>
                            <a:lumMod val="102000"/>
                            <a:tint val="94000"/>
                          </a:schemeClr>
                        </a:gs>
                        <a:gs pos="50000">
                          <a:schemeClr val="accent2">
                            <a:tint val="86000"/>
                            <a:satMod val="110000"/>
                            <a:lumMod val="100000"/>
                            <a:shade val="100000"/>
                          </a:schemeClr>
                        </a:gs>
                        <a:gs pos="100000">
                          <a:schemeClr val="accent2">
                            <a:tint val="86000"/>
                            <a:lumMod val="99000"/>
                            <a:satMod val="120000"/>
                            <a:shade val="78000"/>
                          </a:schemeClr>
                        </a:gs>
                      </a:gsLst>
                      <a:lin ang="5400000" scaled="0"/>
                    </a:gradFill>
                    <a:ln>
                      <a:noFill/>
                    </a:ln>
                    <a:effectLst/>
                  </c:spPr>
                  <c:extLst xmlns:c15="http://schemas.microsoft.com/office/drawing/2012/chart" xmlns:c16r2="http://schemas.microsoft.com/office/drawing/2015/06/chart">
                    <c:ext xmlns:c16="http://schemas.microsoft.com/office/drawing/2014/chart" uri="{C3380CC4-5D6E-409C-BE32-E72D297353CC}">
                      <c16:uniqueId val="{00000016-8667-40EB-A08A-ADA6B6C85ECE}"/>
                    </c:ext>
                  </c:extLst>
                </c:dPt>
                <c:dPt>
                  <c:idx val="3"/>
                  <c:bubble3D val="0"/>
                  <c:spPr>
                    <a:gradFill rotWithShape="1">
                      <a:gsLst>
                        <a:gs pos="0">
                          <a:schemeClr val="accent2">
                            <a:tint val="58000"/>
                            <a:satMod val="103000"/>
                            <a:lumMod val="102000"/>
                            <a:tint val="94000"/>
                          </a:schemeClr>
                        </a:gs>
                        <a:gs pos="50000">
                          <a:schemeClr val="accent2">
                            <a:tint val="58000"/>
                            <a:satMod val="110000"/>
                            <a:lumMod val="100000"/>
                            <a:shade val="100000"/>
                          </a:schemeClr>
                        </a:gs>
                        <a:gs pos="100000">
                          <a:schemeClr val="accent2">
                            <a:tint val="58000"/>
                            <a:lumMod val="99000"/>
                            <a:satMod val="120000"/>
                            <a:shade val="78000"/>
                          </a:schemeClr>
                        </a:gs>
                      </a:gsLst>
                      <a:lin ang="5400000" scaled="0"/>
                    </a:gradFill>
                    <a:ln>
                      <a:noFill/>
                    </a:ln>
                    <a:effectLst/>
                  </c:spPr>
                  <c:extLst xmlns:c15="http://schemas.microsoft.com/office/drawing/2012/chart" xmlns:c16r2="http://schemas.microsoft.com/office/drawing/2015/06/chart">
                    <c:ext xmlns:c16="http://schemas.microsoft.com/office/drawing/2014/chart" uri="{C3380CC4-5D6E-409C-BE32-E72D297353CC}">
                      <c16:uniqueId val="{00000018-8667-40EB-A08A-ADA6B6C85ECE}"/>
                    </c:ext>
                  </c:extLst>
                </c:dPt>
                <c:dLbls>
                  <c:dLbl>
                    <c:idx val="0"/>
                    <c:layout>
                      <c:manualLayout>
                        <c:x val="-6.4180285353954231E-2"/>
                        <c:y val="0.12156082071856092"/>
                      </c:manualLayout>
                    </c:layout>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bg1"/>
                            </a:solidFill>
                            <a:latin typeface="+mn-lt"/>
                            <a:ea typeface="+mn-ea"/>
                            <a:cs typeface="+mn-cs"/>
                          </a:defRPr>
                        </a:pPr>
                        <a:endParaRPr lang="en-US"/>
                      </a:p>
                    </c:txPr>
                    <c:dLblPos val="bestFit"/>
                    <c:showLegendKey val="0"/>
                    <c:showVal val="0"/>
                    <c:showCatName val="0"/>
                    <c:showSerName val="0"/>
                    <c:showPercent val="1"/>
                    <c:showBubbleSize val="0"/>
                    <c:extLst xmlns:c15="http://schemas.microsoft.com/office/drawing/2012/chart" xmlns:c16r2="http://schemas.microsoft.com/office/drawing/2015/06/chart">
                      <c:ext xmlns:c16="http://schemas.microsoft.com/office/drawing/2014/chart" uri="{C3380CC4-5D6E-409C-BE32-E72D297353CC}">
                        <c16:uniqueId val="{00000012-8667-40EB-A08A-ADA6B6C85ECE}"/>
                      </c:ext>
                      <c:ext xmlns:c15="http://schemas.microsoft.com/office/drawing/2012/chart" uri="{CE6537A1-D6FC-4f65-9D91-7224C49458BB}"/>
                    </c:extLst>
                  </c:dLbl>
                  <c:dLbl>
                    <c:idx val="1"/>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bg1"/>
                            </a:solidFill>
                            <a:latin typeface="+mn-lt"/>
                            <a:ea typeface="+mn-ea"/>
                            <a:cs typeface="+mn-cs"/>
                          </a:defRPr>
                        </a:pPr>
                        <a:endParaRPr lang="en-US"/>
                      </a:p>
                    </c:txPr>
                    <c:dLblPos val="bestFit"/>
                    <c:showLegendKey val="0"/>
                    <c:showVal val="0"/>
                    <c:showCatName val="0"/>
                    <c:showSerName val="0"/>
                    <c:showPercent val="1"/>
                    <c:showBubbleSize val="0"/>
                  </c:dLbl>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2"/>
                          </a:solidFill>
                          <a:latin typeface="+mn-lt"/>
                          <a:ea typeface="+mn-ea"/>
                          <a:cs typeface="+mn-cs"/>
                        </a:defRPr>
                      </a:pPr>
                      <a:endParaRPr lang="en-US"/>
                    </a:p>
                  </c:txPr>
                  <c:dLblPos val="bestFit"/>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xmlns:c15="http://schemas.microsoft.com/office/drawing/2012/chart" xmlns:c16r2="http://schemas.microsoft.com/office/drawing/2015/06/chart">
                    <c:ext xmlns:c15="http://schemas.microsoft.com/office/drawing/2012/chart" uri="{CE6537A1-D6FC-4f65-9D91-7224C49458BB}"/>
                  </c:extLst>
                </c:dLbls>
                <c:cat>
                  <c:strRef>
                    <c:extLst xmlns:c15="http://schemas.microsoft.com/office/drawing/2012/chart" xmlns:c16r2="http://schemas.microsoft.com/office/drawing/2015/06/chart">
                      <c:ext xmlns:c15="http://schemas.microsoft.com/office/drawing/2012/chart" uri="{02D57815-91ED-43cb-92C2-25804820EDAC}">
                        <c15:formulaRef>
                          <c15:sqref>Analysis!$C$122:$F$122</c15:sqref>
                        </c15:formulaRef>
                      </c:ext>
                    </c:extLst>
                    <c:strCache>
                      <c:ptCount val="4"/>
                      <c:pt idx="0">
                        <c:v>Functional</c:v>
                      </c:pt>
                      <c:pt idx="1">
                        <c:v>NA</c:v>
                      </c:pt>
                      <c:pt idx="2">
                        <c:v>Not_Functional</c:v>
                      </c:pt>
                      <c:pt idx="3">
                        <c:v>Not_inPlace</c:v>
                      </c:pt>
                    </c:strCache>
                  </c:strRef>
                </c:cat>
                <c:val>
                  <c:numRef>
                    <c:extLst xmlns:c15="http://schemas.microsoft.com/office/drawing/2012/chart" xmlns:c16r2="http://schemas.microsoft.com/office/drawing/2015/06/chart">
                      <c:ext xmlns:c15="http://schemas.microsoft.com/office/drawing/2012/chart" uri="{02D57815-91ED-43cb-92C2-25804820EDAC}">
                        <c15:formulaRef>
                          <c15:sqref>Analysis!$C$124:$F$124</c15:sqref>
                        </c15:formulaRef>
                      </c:ext>
                    </c:extLst>
                    <c:numCache>
                      <c:formatCode>General</c:formatCode>
                      <c:ptCount val="4"/>
                      <c:pt idx="0">
                        <c:v>17</c:v>
                      </c:pt>
                      <c:pt idx="1">
                        <c:v>98</c:v>
                      </c:pt>
                      <c:pt idx="2">
                        <c:v>38</c:v>
                      </c:pt>
                      <c:pt idx="3">
                        <c:v>47</c:v>
                      </c:pt>
                    </c:numCache>
                  </c:numRef>
                </c:val>
                <c:extLst xmlns:c15="http://schemas.microsoft.com/office/drawing/2012/chart" xmlns:c16r2="http://schemas.microsoft.com/office/drawing/2015/06/chart">
                  <c:ext xmlns:c16="http://schemas.microsoft.com/office/drawing/2014/chart" uri="{C3380CC4-5D6E-409C-BE32-E72D297353CC}">
                    <c16:uniqueId val="{00000019-8667-40EB-A08A-ADA6B6C85ECE}"/>
                  </c:ext>
                </c:extLst>
              </c15:ser>
            </c15:filteredPieSeries>
          </c:ext>
        </c:extLst>
      </c:pieChart>
      <c:spPr>
        <a:noFill/>
        <a:ln>
          <a:noFill/>
        </a:ln>
        <a:effectLst/>
      </c:spPr>
    </c:plotArea>
    <c:legend>
      <c:legendPos val="r"/>
      <c:layout>
        <c:manualLayout>
          <c:xMode val="edge"/>
          <c:yMode val="edge"/>
          <c:x val="0.64217343454209874"/>
          <c:y val="0.39908968829050373"/>
          <c:w val="0.3578265654579012"/>
          <c:h val="0.4443576143645357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accent1">
          <a:lumMod val="20000"/>
          <a:lumOff val="80000"/>
        </a:schemeClr>
      </a:solidFill>
      <a:round/>
    </a:ln>
    <a:effectLst/>
  </c:spPr>
  <c:txPr>
    <a:bodyPr/>
    <a:lstStyle/>
    <a:p>
      <a:pPr>
        <a:defRPr/>
      </a:pPr>
      <a:endParaRPr lang="en-US"/>
    </a:p>
  </c:txPr>
  <c:printSettings>
    <c:headerFooter/>
    <c:pageMargins b="0.75" l="0.7" r="0.7" t="0.75" header="0.3" footer="0.3"/>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r>
              <a:rPr lang="en-US" sz="1200"/>
              <a:t> Effective solid waste management system in place </a:t>
            </a:r>
          </a:p>
        </c:rich>
      </c:tx>
      <c:overlay val="0"/>
      <c:spPr>
        <a:noFill/>
        <a:ln>
          <a:noFill/>
        </a:ln>
        <a:effectLst/>
      </c:spPr>
      <c:txPr>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5.5746710906419715E-2"/>
          <c:y val="0.39223461650626995"/>
          <c:w val="0.50886346753825584"/>
          <c:h val="0.56187007874015749"/>
        </c:manualLayout>
      </c:layout>
      <c:pieChart>
        <c:varyColors val="1"/>
        <c:ser>
          <c:idx val="2"/>
          <c:order val="2"/>
          <c:tx>
            <c:strRef>
              <c:f>Analysis!$B$139</c:f>
              <c:strCache>
                <c:ptCount val="1"/>
                <c:pt idx="0">
                  <c:v>Shan (North)</c:v>
                </c:pt>
              </c:strCache>
              <c:extLst xmlns:c15="http://schemas.microsoft.com/office/drawing/2012/chart" xmlns:c16r2="http://schemas.microsoft.com/office/drawing/2015/06/chart"/>
            </c:strRef>
          </c:tx>
          <c:dPt>
            <c:idx val="0"/>
            <c:bubble3D val="0"/>
            <c:spPr>
              <a:gradFill rotWithShape="1">
                <a:gsLst>
                  <a:gs pos="0">
                    <a:schemeClr val="accent2">
                      <a:shade val="58000"/>
                      <a:satMod val="103000"/>
                      <a:lumMod val="102000"/>
                      <a:tint val="94000"/>
                    </a:schemeClr>
                  </a:gs>
                  <a:gs pos="50000">
                    <a:schemeClr val="accent2">
                      <a:shade val="58000"/>
                      <a:satMod val="110000"/>
                      <a:lumMod val="100000"/>
                      <a:shade val="100000"/>
                    </a:schemeClr>
                  </a:gs>
                  <a:gs pos="100000">
                    <a:schemeClr val="accent2">
                      <a:shade val="58000"/>
                      <a:lumMod val="99000"/>
                      <a:satMod val="120000"/>
                      <a:shade val="78000"/>
                    </a:schemeClr>
                  </a:gs>
                </a:gsLst>
                <a:lin ang="5400000" scaled="0"/>
              </a:gradFill>
              <a:ln>
                <a:noFill/>
              </a:ln>
              <a:effectLst/>
            </c:spPr>
            <c:extLst xmlns:c16r2="http://schemas.microsoft.com/office/drawing/2015/06/chart">
              <c:ext xmlns:c16="http://schemas.microsoft.com/office/drawing/2014/chart" uri="{C3380CC4-5D6E-409C-BE32-E72D297353CC}">
                <c16:uniqueId val="{00000001-CDAF-45DF-AD5D-165F6FDC16B2}"/>
              </c:ext>
            </c:extLst>
          </c:dPt>
          <c:dPt>
            <c:idx val="1"/>
            <c:bubble3D val="0"/>
            <c:spPr>
              <a:gradFill rotWithShape="1">
                <a:gsLst>
                  <a:gs pos="0">
                    <a:schemeClr val="accent2">
                      <a:shade val="86000"/>
                      <a:satMod val="103000"/>
                      <a:lumMod val="102000"/>
                      <a:tint val="94000"/>
                    </a:schemeClr>
                  </a:gs>
                  <a:gs pos="50000">
                    <a:schemeClr val="accent2">
                      <a:shade val="86000"/>
                      <a:satMod val="110000"/>
                      <a:lumMod val="100000"/>
                      <a:shade val="100000"/>
                    </a:schemeClr>
                  </a:gs>
                  <a:gs pos="100000">
                    <a:schemeClr val="accent2">
                      <a:shade val="86000"/>
                      <a:lumMod val="99000"/>
                      <a:satMod val="120000"/>
                      <a:shade val="78000"/>
                    </a:schemeClr>
                  </a:gs>
                </a:gsLst>
                <a:lin ang="5400000" scaled="0"/>
              </a:gradFill>
              <a:ln>
                <a:noFill/>
              </a:ln>
              <a:effectLst/>
            </c:spPr>
            <c:extLst xmlns:c16r2="http://schemas.microsoft.com/office/drawing/2015/06/chart">
              <c:ext xmlns:c16="http://schemas.microsoft.com/office/drawing/2014/chart" uri="{C3380CC4-5D6E-409C-BE32-E72D297353CC}">
                <c16:uniqueId val="{00000003-CDAF-45DF-AD5D-165F6FDC16B2}"/>
              </c:ext>
            </c:extLst>
          </c:dPt>
          <c:dPt>
            <c:idx val="2"/>
            <c:bubble3D val="0"/>
            <c:spPr>
              <a:gradFill rotWithShape="1">
                <a:gsLst>
                  <a:gs pos="0">
                    <a:schemeClr val="accent2">
                      <a:tint val="86000"/>
                      <a:satMod val="103000"/>
                      <a:lumMod val="102000"/>
                      <a:tint val="94000"/>
                    </a:schemeClr>
                  </a:gs>
                  <a:gs pos="50000">
                    <a:schemeClr val="accent2">
                      <a:tint val="86000"/>
                      <a:satMod val="110000"/>
                      <a:lumMod val="100000"/>
                      <a:shade val="100000"/>
                    </a:schemeClr>
                  </a:gs>
                  <a:gs pos="100000">
                    <a:schemeClr val="accent2">
                      <a:tint val="86000"/>
                      <a:lumMod val="99000"/>
                      <a:satMod val="120000"/>
                      <a:shade val="78000"/>
                    </a:schemeClr>
                  </a:gs>
                </a:gsLst>
                <a:lin ang="5400000" scaled="0"/>
              </a:gradFill>
              <a:ln>
                <a:noFill/>
              </a:ln>
              <a:effectLst/>
            </c:spPr>
            <c:extLst xmlns:c16r2="http://schemas.microsoft.com/office/drawing/2015/06/chart">
              <c:ext xmlns:c16="http://schemas.microsoft.com/office/drawing/2014/chart" uri="{C3380CC4-5D6E-409C-BE32-E72D297353CC}">
                <c16:uniqueId val="{00000005-CDAF-45DF-AD5D-165F6FDC16B2}"/>
              </c:ext>
            </c:extLst>
          </c:dPt>
          <c:dPt>
            <c:idx val="3"/>
            <c:bubble3D val="0"/>
            <c:spPr>
              <a:gradFill rotWithShape="1">
                <a:gsLst>
                  <a:gs pos="0">
                    <a:schemeClr val="accent2">
                      <a:tint val="58000"/>
                      <a:satMod val="103000"/>
                      <a:lumMod val="102000"/>
                      <a:tint val="94000"/>
                    </a:schemeClr>
                  </a:gs>
                  <a:gs pos="50000">
                    <a:schemeClr val="accent2">
                      <a:tint val="58000"/>
                      <a:satMod val="110000"/>
                      <a:lumMod val="100000"/>
                      <a:shade val="100000"/>
                    </a:schemeClr>
                  </a:gs>
                  <a:gs pos="100000">
                    <a:schemeClr val="accent2">
                      <a:tint val="58000"/>
                      <a:lumMod val="99000"/>
                      <a:satMod val="120000"/>
                      <a:shade val="78000"/>
                    </a:schemeClr>
                  </a:gs>
                </a:gsLst>
                <a:lin ang="5400000" scaled="0"/>
              </a:gradFill>
              <a:ln>
                <a:noFill/>
              </a:ln>
              <a:effectLst/>
            </c:spPr>
            <c:extLst xmlns:c16r2="http://schemas.microsoft.com/office/drawing/2015/06/chart">
              <c:ext xmlns:c16="http://schemas.microsoft.com/office/drawing/2014/chart" uri="{C3380CC4-5D6E-409C-BE32-E72D297353CC}">
                <c16:uniqueId val="{00000007-CDAF-45DF-AD5D-165F6FDC16B2}"/>
              </c:ext>
            </c:extLst>
          </c:dPt>
          <c:dLbls>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dLbl>
            <c:dLbl>
              <c:idx val="1"/>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dLbl>
            <c:dLbl>
              <c:idx val="2"/>
              <c:layout>
                <c:manualLayout>
                  <c:x val="3.0044455681267512E-2"/>
                  <c:y val="5.1743220807969011E-2"/>
                </c:manualLayout>
              </c:layout>
              <c:showLegendKey val="0"/>
              <c:showVal val="0"/>
              <c:showCatName val="0"/>
              <c:showSerName val="0"/>
              <c:showPercent val="1"/>
              <c:showBubbleSize val="0"/>
              <c:extLst xmlns:c16r2="http://schemas.microsoft.com/office/drawing/2015/06/chart">
                <c:ext xmlns:c16="http://schemas.microsoft.com/office/drawing/2014/chart" uri="{C3380CC4-5D6E-409C-BE32-E72D297353CC}">
                  <c16:uniqueId val="{00000005-CDAF-45DF-AD5D-165F6FDC16B2}"/>
                </c:ext>
                <c:ext xmlns:c15="http://schemas.microsoft.com/office/drawing/2012/chart" uri="{CE6537A1-D6FC-4f65-9D91-7224C49458BB}"/>
              </c:extLst>
            </c:dLbl>
            <c:dLbl>
              <c:idx val="3"/>
              <c:layout>
                <c:manualLayout>
                  <c:x val="8.0617375658231419E-2"/>
                  <c:y val="6.3452901720618252E-2"/>
                </c:manualLayout>
              </c:layout>
              <c:showLegendKey val="0"/>
              <c:showVal val="0"/>
              <c:showCatName val="0"/>
              <c:showSerName val="0"/>
              <c:showPercent val="1"/>
              <c:showBubbleSize val="0"/>
              <c:extLst xmlns:c16r2="http://schemas.microsoft.com/office/drawing/2015/06/chart">
                <c:ext xmlns:c16="http://schemas.microsoft.com/office/drawing/2014/chart" uri="{C3380CC4-5D6E-409C-BE32-E72D297353CC}">
                  <c16:uniqueId val="{00000007-CDAF-45DF-AD5D-165F6FDC16B2}"/>
                </c:ex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xmlns:c16r2="http://schemas.microsoft.com/office/drawing/2015/06/chart">
              <c:ext xmlns:c15="http://schemas.microsoft.com/office/drawing/2012/chart" uri="{CE6537A1-D6FC-4f65-9D91-7224C49458BB}"/>
            </c:extLst>
          </c:dLbls>
          <c:cat>
            <c:strRef>
              <c:f>Analysis!$C$136:$F$136</c:f>
              <c:strCache>
                <c:ptCount val="4"/>
                <c:pt idx="0">
                  <c:v>Functional</c:v>
                </c:pt>
                <c:pt idx="1">
                  <c:v>NA</c:v>
                </c:pt>
                <c:pt idx="2">
                  <c:v>Not_Functional</c:v>
                </c:pt>
                <c:pt idx="3">
                  <c:v>Not_inPlace</c:v>
                </c:pt>
              </c:strCache>
              <c:extLst xmlns:c15="http://schemas.microsoft.com/office/drawing/2012/chart" xmlns:c16r2="http://schemas.microsoft.com/office/drawing/2015/06/chart"/>
            </c:strRef>
          </c:cat>
          <c:val>
            <c:numRef>
              <c:f>Analysis!$C$139:$F$139</c:f>
              <c:numCache>
                <c:formatCode>General</c:formatCode>
                <c:ptCount val="4"/>
                <c:pt idx="0">
                  <c:v>26</c:v>
                </c:pt>
                <c:pt idx="1">
                  <c:v>8</c:v>
                </c:pt>
                <c:pt idx="2">
                  <c:v>2</c:v>
                </c:pt>
                <c:pt idx="3">
                  <c:v>4</c:v>
                </c:pt>
              </c:numCache>
              <c:extLst xmlns:c15="http://schemas.microsoft.com/office/drawing/2012/chart" xmlns:c16r2="http://schemas.microsoft.com/office/drawing/2015/06/chart"/>
            </c:numRef>
          </c:val>
          <c:extLst xmlns:c16r2="http://schemas.microsoft.com/office/drawing/2015/06/chart">
            <c:ext xmlns:c16="http://schemas.microsoft.com/office/drawing/2014/chart" uri="{C3380CC4-5D6E-409C-BE32-E72D297353CC}">
              <c16:uniqueId val="{00000008-CDAF-45DF-AD5D-165F6FDC16B2}"/>
            </c:ext>
          </c:extLst>
        </c:ser>
        <c:dLbls>
          <c:showLegendKey val="0"/>
          <c:showVal val="0"/>
          <c:showCatName val="0"/>
          <c:showSerName val="0"/>
          <c:showPercent val="0"/>
          <c:showBubbleSize val="0"/>
          <c:showLeaderLines val="1"/>
        </c:dLbls>
        <c:firstSliceAng val="0"/>
        <c:extLst xmlns:c16r2="http://schemas.microsoft.com/office/drawing/2015/06/chart">
          <c:ext xmlns:c15="http://schemas.microsoft.com/office/drawing/2012/chart" uri="{02D57815-91ED-43cb-92C2-25804820EDAC}">
            <c15:filteredPieSeries>
              <c15:ser>
                <c:idx val="0"/>
                <c:order val="0"/>
                <c:tx>
                  <c:strRef>
                    <c:extLst xmlns:c16r2="http://schemas.microsoft.com/office/drawing/2015/06/chart">
                      <c:ext uri="{02D57815-91ED-43cb-92C2-25804820EDAC}">
                        <c15:formulaRef>
                          <c15:sqref>Analysis!$B$137</c15:sqref>
                        </c15:formulaRef>
                      </c:ext>
                    </c:extLst>
                    <c:strCache>
                      <c:ptCount val="1"/>
                      <c:pt idx="0">
                        <c:v>Kachin</c:v>
                      </c:pt>
                    </c:strCache>
                  </c:strRef>
                </c:tx>
                <c:dPt>
                  <c:idx val="0"/>
                  <c:bubble3D val="0"/>
                  <c:spPr>
                    <a:gradFill rotWithShape="1">
                      <a:gsLst>
                        <a:gs pos="0">
                          <a:schemeClr val="accent2">
                            <a:shade val="58000"/>
                            <a:satMod val="103000"/>
                            <a:lumMod val="102000"/>
                            <a:tint val="94000"/>
                          </a:schemeClr>
                        </a:gs>
                        <a:gs pos="50000">
                          <a:schemeClr val="accent2">
                            <a:shade val="58000"/>
                            <a:satMod val="110000"/>
                            <a:lumMod val="100000"/>
                            <a:shade val="100000"/>
                          </a:schemeClr>
                        </a:gs>
                        <a:gs pos="100000">
                          <a:schemeClr val="accent2">
                            <a:shade val="58000"/>
                            <a:lumMod val="99000"/>
                            <a:satMod val="120000"/>
                            <a:shade val="78000"/>
                          </a:schemeClr>
                        </a:gs>
                      </a:gsLst>
                      <a:lin ang="5400000" scaled="0"/>
                    </a:gradFill>
                    <a:ln>
                      <a:noFill/>
                    </a:ln>
                    <a:effectLst/>
                  </c:spPr>
                  <c:extLst xmlns:c16r2="http://schemas.microsoft.com/office/drawing/2015/06/chart">
                    <c:ext xmlns:c16="http://schemas.microsoft.com/office/drawing/2014/chart" uri="{C3380CC4-5D6E-409C-BE32-E72D297353CC}">
                      <c16:uniqueId val="{00000001-7D04-4B5A-8D19-1128D053B922}"/>
                    </c:ext>
                  </c:extLst>
                </c:dPt>
                <c:dPt>
                  <c:idx val="1"/>
                  <c:bubble3D val="0"/>
                  <c:spPr>
                    <a:gradFill rotWithShape="1">
                      <a:gsLst>
                        <a:gs pos="0">
                          <a:schemeClr val="accent2">
                            <a:shade val="86000"/>
                            <a:satMod val="103000"/>
                            <a:lumMod val="102000"/>
                            <a:tint val="94000"/>
                          </a:schemeClr>
                        </a:gs>
                        <a:gs pos="50000">
                          <a:schemeClr val="accent2">
                            <a:shade val="86000"/>
                            <a:satMod val="110000"/>
                            <a:lumMod val="100000"/>
                            <a:shade val="100000"/>
                          </a:schemeClr>
                        </a:gs>
                        <a:gs pos="100000">
                          <a:schemeClr val="accent2">
                            <a:shade val="86000"/>
                            <a:lumMod val="99000"/>
                            <a:satMod val="120000"/>
                            <a:shade val="78000"/>
                          </a:schemeClr>
                        </a:gs>
                      </a:gsLst>
                      <a:lin ang="5400000" scaled="0"/>
                    </a:gradFill>
                    <a:ln>
                      <a:noFill/>
                    </a:ln>
                    <a:effectLst/>
                  </c:spPr>
                  <c:extLst xmlns:c16r2="http://schemas.microsoft.com/office/drawing/2015/06/chart">
                    <c:ext xmlns:c16="http://schemas.microsoft.com/office/drawing/2014/chart" uri="{C3380CC4-5D6E-409C-BE32-E72D297353CC}">
                      <c16:uniqueId val="{00000003-7D04-4B5A-8D19-1128D053B922}"/>
                    </c:ext>
                  </c:extLst>
                </c:dPt>
                <c:dPt>
                  <c:idx val="2"/>
                  <c:bubble3D val="0"/>
                  <c:spPr>
                    <a:gradFill rotWithShape="1">
                      <a:gsLst>
                        <a:gs pos="0">
                          <a:schemeClr val="accent2">
                            <a:tint val="86000"/>
                            <a:satMod val="103000"/>
                            <a:lumMod val="102000"/>
                            <a:tint val="94000"/>
                          </a:schemeClr>
                        </a:gs>
                        <a:gs pos="50000">
                          <a:schemeClr val="accent2">
                            <a:tint val="86000"/>
                            <a:satMod val="110000"/>
                            <a:lumMod val="100000"/>
                            <a:shade val="100000"/>
                          </a:schemeClr>
                        </a:gs>
                        <a:gs pos="100000">
                          <a:schemeClr val="accent2">
                            <a:tint val="86000"/>
                            <a:lumMod val="99000"/>
                            <a:satMod val="120000"/>
                            <a:shade val="78000"/>
                          </a:schemeClr>
                        </a:gs>
                      </a:gsLst>
                      <a:lin ang="5400000" scaled="0"/>
                    </a:gradFill>
                    <a:ln>
                      <a:noFill/>
                    </a:ln>
                    <a:effectLst/>
                  </c:spPr>
                  <c:extLst xmlns:c16r2="http://schemas.microsoft.com/office/drawing/2015/06/chart">
                    <c:ext xmlns:c16="http://schemas.microsoft.com/office/drawing/2014/chart" uri="{C3380CC4-5D6E-409C-BE32-E72D297353CC}">
                      <c16:uniqueId val="{00000005-7D04-4B5A-8D19-1128D053B922}"/>
                    </c:ext>
                  </c:extLst>
                </c:dPt>
                <c:dPt>
                  <c:idx val="3"/>
                  <c:bubble3D val="0"/>
                  <c:spPr>
                    <a:gradFill rotWithShape="1">
                      <a:gsLst>
                        <a:gs pos="0">
                          <a:schemeClr val="accent2">
                            <a:tint val="58000"/>
                            <a:satMod val="103000"/>
                            <a:lumMod val="102000"/>
                            <a:tint val="94000"/>
                          </a:schemeClr>
                        </a:gs>
                        <a:gs pos="50000">
                          <a:schemeClr val="accent2">
                            <a:tint val="58000"/>
                            <a:satMod val="110000"/>
                            <a:lumMod val="100000"/>
                            <a:shade val="100000"/>
                          </a:schemeClr>
                        </a:gs>
                        <a:gs pos="100000">
                          <a:schemeClr val="accent2">
                            <a:tint val="58000"/>
                            <a:lumMod val="99000"/>
                            <a:satMod val="120000"/>
                            <a:shade val="78000"/>
                          </a:schemeClr>
                        </a:gs>
                      </a:gsLst>
                      <a:lin ang="5400000" scaled="0"/>
                    </a:gradFill>
                    <a:ln>
                      <a:noFill/>
                    </a:ln>
                    <a:effectLst/>
                  </c:spPr>
                  <c:extLst xmlns:c16r2="http://schemas.microsoft.com/office/drawing/2015/06/chart">
                    <c:ext xmlns:c16="http://schemas.microsoft.com/office/drawing/2014/chart" uri="{C3380CC4-5D6E-409C-BE32-E72D297353CC}">
                      <c16:uniqueId val="{00000007-7D04-4B5A-8D19-1128D053B922}"/>
                    </c:ext>
                  </c:extLst>
                </c:dPt>
                <c:dLbls>
                  <c:dLbl>
                    <c:idx val="0"/>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solidFill>
                            <a:latin typeface="+mn-lt"/>
                            <a:ea typeface="+mn-ea"/>
                            <a:cs typeface="+mn-cs"/>
                          </a:defRPr>
                        </a:pPr>
                        <a:endParaRPr lang="en-US"/>
                      </a:p>
                    </c:txPr>
                    <c:dLblPos val="bestFit"/>
                    <c:showLegendKey val="0"/>
                    <c:showVal val="0"/>
                    <c:showCatName val="0"/>
                    <c:showSerName val="0"/>
                    <c:showPercent val="1"/>
                    <c:showBubbleSize val="0"/>
                  </c:dLbl>
                  <c:dLbl>
                    <c:idx val="1"/>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solidFill>
                            <a:latin typeface="+mn-lt"/>
                            <a:ea typeface="+mn-ea"/>
                            <a:cs typeface="+mn-cs"/>
                          </a:defRPr>
                        </a:pPr>
                        <a:endParaRPr lang="en-US"/>
                      </a:p>
                    </c:txPr>
                    <c:dLblPos val="bestFit"/>
                    <c:showLegendKey val="0"/>
                    <c:showVal val="0"/>
                    <c:showCatName val="0"/>
                    <c:showSerName val="0"/>
                    <c:showPercent val="1"/>
                    <c:showBubbleSize val="0"/>
                  </c:dLbl>
                  <c:dLbl>
                    <c:idx val="2"/>
                    <c:layout>
                      <c:manualLayout>
                        <c:x val="4.3363541821423268E-2"/>
                        <c:y val="4.3223972003499561E-2"/>
                      </c:manualLayout>
                    </c:layout>
                    <c:dLblPos val="bestFit"/>
                    <c:showLegendKey val="0"/>
                    <c:showVal val="0"/>
                    <c:showCatName val="0"/>
                    <c:showSerName val="0"/>
                    <c:showPercent val="1"/>
                    <c:showBubbleSize val="0"/>
                    <c:extLst xmlns:c16r2="http://schemas.microsoft.com/office/drawing/2015/06/chart">
                      <c:ext xmlns:c16="http://schemas.microsoft.com/office/drawing/2014/chart" uri="{C3380CC4-5D6E-409C-BE32-E72D297353CC}">
                        <c16:uniqueId val="{00000005-7D04-4B5A-8D19-1128D053B922}"/>
                      </c:ext>
                      <c:ex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tx2"/>
                          </a:solidFill>
                          <a:latin typeface="+mn-lt"/>
                          <a:ea typeface="+mn-ea"/>
                          <a:cs typeface="+mn-cs"/>
                        </a:defRPr>
                      </a:pPr>
                      <a:endParaRPr lang="en-US"/>
                    </a:p>
                  </c:txPr>
                  <c:dLblPos val="bestFit"/>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xmlns:c16r2="http://schemas.microsoft.com/office/drawing/2015/06/chart">
                    <c:ext uri="{CE6537A1-D6FC-4f65-9D91-7224C49458BB}"/>
                  </c:extLst>
                </c:dLbls>
                <c:cat>
                  <c:strRef>
                    <c:extLst xmlns:c16r2="http://schemas.microsoft.com/office/drawing/2015/06/chart">
                      <c:ext uri="{02D57815-91ED-43cb-92C2-25804820EDAC}">
                        <c15:formulaRef>
                          <c15:sqref>Analysis!$C$136:$F$136</c15:sqref>
                        </c15:formulaRef>
                      </c:ext>
                    </c:extLst>
                    <c:strCache>
                      <c:ptCount val="4"/>
                      <c:pt idx="0">
                        <c:v>Functional</c:v>
                      </c:pt>
                      <c:pt idx="1">
                        <c:v>NA</c:v>
                      </c:pt>
                      <c:pt idx="2">
                        <c:v>Not_Functional</c:v>
                      </c:pt>
                      <c:pt idx="3">
                        <c:v>Not_inPlace</c:v>
                      </c:pt>
                    </c:strCache>
                  </c:strRef>
                </c:cat>
                <c:val>
                  <c:numRef>
                    <c:extLst xmlns:c16r2="http://schemas.microsoft.com/office/drawing/2015/06/chart">
                      <c:ext uri="{02D57815-91ED-43cb-92C2-25804820EDAC}">
                        <c15:formulaRef>
                          <c15:sqref>Analysis!$C$137:$F$137</c15:sqref>
                        </c15:formulaRef>
                      </c:ext>
                    </c:extLst>
                    <c:numCache>
                      <c:formatCode>General</c:formatCode>
                      <c:ptCount val="4"/>
                      <c:pt idx="0">
                        <c:v>112</c:v>
                      </c:pt>
                      <c:pt idx="1">
                        <c:v>15</c:v>
                      </c:pt>
                      <c:pt idx="2">
                        <c:v>6</c:v>
                      </c:pt>
                      <c:pt idx="3">
                        <c:v>10</c:v>
                      </c:pt>
                    </c:numCache>
                  </c:numRef>
                </c:val>
                <c:extLst xmlns:c16r2="http://schemas.microsoft.com/office/drawing/2015/06/chart">
                  <c:ext xmlns:c16="http://schemas.microsoft.com/office/drawing/2014/chart" uri="{C3380CC4-5D6E-409C-BE32-E72D297353CC}">
                    <c16:uniqueId val="{0000000A-7D04-4B5A-8D19-1128D053B922}"/>
                  </c:ext>
                </c:extLst>
              </c15:ser>
            </c15:filteredPieSeries>
            <c15:filteredPieSeries>
              <c15:ser>
                <c:idx val="1"/>
                <c:order val="1"/>
                <c:tx>
                  <c:strRef>
                    <c:extLst xmlns:c15="http://schemas.microsoft.com/office/drawing/2012/chart" xmlns:c16r2="http://schemas.microsoft.com/office/drawing/2015/06/chart">
                      <c:ext xmlns:c15="http://schemas.microsoft.com/office/drawing/2012/chart" uri="{02D57815-91ED-43cb-92C2-25804820EDAC}">
                        <c15:formulaRef>
                          <c15:sqref>Analysis!$B$138</c15:sqref>
                        </c15:formulaRef>
                      </c:ext>
                    </c:extLst>
                    <c:strCache>
                      <c:ptCount val="1"/>
                      <c:pt idx="0">
                        <c:v>Rakhine</c:v>
                      </c:pt>
                    </c:strCache>
                  </c:strRef>
                </c:tx>
                <c:dPt>
                  <c:idx val="0"/>
                  <c:bubble3D val="0"/>
                  <c:spPr>
                    <a:gradFill rotWithShape="1">
                      <a:gsLst>
                        <a:gs pos="0">
                          <a:schemeClr val="accent2">
                            <a:shade val="58000"/>
                            <a:satMod val="103000"/>
                            <a:lumMod val="102000"/>
                            <a:tint val="94000"/>
                          </a:schemeClr>
                        </a:gs>
                        <a:gs pos="50000">
                          <a:schemeClr val="accent2">
                            <a:shade val="58000"/>
                            <a:satMod val="110000"/>
                            <a:lumMod val="100000"/>
                            <a:shade val="100000"/>
                          </a:schemeClr>
                        </a:gs>
                        <a:gs pos="100000">
                          <a:schemeClr val="accent2">
                            <a:shade val="58000"/>
                            <a:lumMod val="99000"/>
                            <a:satMod val="120000"/>
                            <a:shade val="78000"/>
                          </a:schemeClr>
                        </a:gs>
                      </a:gsLst>
                      <a:lin ang="5400000" scaled="0"/>
                    </a:gradFill>
                    <a:ln>
                      <a:noFill/>
                    </a:ln>
                    <a:effectLst/>
                  </c:spPr>
                  <c:extLst xmlns:c15="http://schemas.microsoft.com/office/drawing/2012/chart" xmlns:c16r2="http://schemas.microsoft.com/office/drawing/2015/06/chart">
                    <c:ext xmlns:c16="http://schemas.microsoft.com/office/drawing/2014/chart" uri="{C3380CC4-5D6E-409C-BE32-E72D297353CC}">
                      <c16:uniqueId val="{00000012-CDAF-45DF-AD5D-165F6FDC16B2}"/>
                    </c:ext>
                  </c:extLst>
                </c:dPt>
                <c:dPt>
                  <c:idx val="1"/>
                  <c:bubble3D val="0"/>
                  <c:spPr>
                    <a:gradFill rotWithShape="1">
                      <a:gsLst>
                        <a:gs pos="0">
                          <a:schemeClr val="accent2">
                            <a:shade val="86000"/>
                            <a:satMod val="103000"/>
                            <a:lumMod val="102000"/>
                            <a:tint val="94000"/>
                          </a:schemeClr>
                        </a:gs>
                        <a:gs pos="50000">
                          <a:schemeClr val="accent2">
                            <a:shade val="86000"/>
                            <a:satMod val="110000"/>
                            <a:lumMod val="100000"/>
                            <a:shade val="100000"/>
                          </a:schemeClr>
                        </a:gs>
                        <a:gs pos="100000">
                          <a:schemeClr val="accent2">
                            <a:shade val="86000"/>
                            <a:lumMod val="99000"/>
                            <a:satMod val="120000"/>
                            <a:shade val="78000"/>
                          </a:schemeClr>
                        </a:gs>
                      </a:gsLst>
                      <a:lin ang="5400000" scaled="0"/>
                    </a:gradFill>
                    <a:ln>
                      <a:noFill/>
                    </a:ln>
                    <a:effectLst/>
                  </c:spPr>
                  <c:extLst xmlns:c15="http://schemas.microsoft.com/office/drawing/2012/chart" xmlns:c16r2="http://schemas.microsoft.com/office/drawing/2015/06/chart">
                    <c:ext xmlns:c16="http://schemas.microsoft.com/office/drawing/2014/chart" uri="{C3380CC4-5D6E-409C-BE32-E72D297353CC}">
                      <c16:uniqueId val="{00000014-CDAF-45DF-AD5D-165F6FDC16B2}"/>
                    </c:ext>
                  </c:extLst>
                </c:dPt>
                <c:dPt>
                  <c:idx val="2"/>
                  <c:bubble3D val="0"/>
                  <c:spPr>
                    <a:gradFill rotWithShape="1">
                      <a:gsLst>
                        <a:gs pos="0">
                          <a:schemeClr val="accent2">
                            <a:tint val="86000"/>
                            <a:satMod val="103000"/>
                            <a:lumMod val="102000"/>
                            <a:tint val="94000"/>
                          </a:schemeClr>
                        </a:gs>
                        <a:gs pos="50000">
                          <a:schemeClr val="accent2">
                            <a:tint val="86000"/>
                            <a:satMod val="110000"/>
                            <a:lumMod val="100000"/>
                            <a:shade val="100000"/>
                          </a:schemeClr>
                        </a:gs>
                        <a:gs pos="100000">
                          <a:schemeClr val="accent2">
                            <a:tint val="86000"/>
                            <a:lumMod val="99000"/>
                            <a:satMod val="120000"/>
                            <a:shade val="78000"/>
                          </a:schemeClr>
                        </a:gs>
                      </a:gsLst>
                      <a:lin ang="5400000" scaled="0"/>
                    </a:gradFill>
                    <a:ln>
                      <a:noFill/>
                    </a:ln>
                    <a:effectLst/>
                  </c:spPr>
                  <c:extLst xmlns:c15="http://schemas.microsoft.com/office/drawing/2012/chart" xmlns:c16r2="http://schemas.microsoft.com/office/drawing/2015/06/chart">
                    <c:ext xmlns:c16="http://schemas.microsoft.com/office/drawing/2014/chart" uri="{C3380CC4-5D6E-409C-BE32-E72D297353CC}">
                      <c16:uniqueId val="{00000016-CDAF-45DF-AD5D-165F6FDC16B2}"/>
                    </c:ext>
                  </c:extLst>
                </c:dPt>
                <c:dPt>
                  <c:idx val="3"/>
                  <c:bubble3D val="0"/>
                  <c:spPr>
                    <a:gradFill rotWithShape="1">
                      <a:gsLst>
                        <a:gs pos="0">
                          <a:schemeClr val="accent2">
                            <a:tint val="58000"/>
                            <a:satMod val="103000"/>
                            <a:lumMod val="102000"/>
                            <a:tint val="94000"/>
                          </a:schemeClr>
                        </a:gs>
                        <a:gs pos="50000">
                          <a:schemeClr val="accent2">
                            <a:tint val="58000"/>
                            <a:satMod val="110000"/>
                            <a:lumMod val="100000"/>
                            <a:shade val="100000"/>
                          </a:schemeClr>
                        </a:gs>
                        <a:gs pos="100000">
                          <a:schemeClr val="accent2">
                            <a:tint val="58000"/>
                            <a:lumMod val="99000"/>
                            <a:satMod val="120000"/>
                            <a:shade val="78000"/>
                          </a:schemeClr>
                        </a:gs>
                      </a:gsLst>
                      <a:lin ang="5400000" scaled="0"/>
                    </a:gradFill>
                    <a:ln>
                      <a:noFill/>
                    </a:ln>
                    <a:effectLst/>
                  </c:spPr>
                  <c:extLst xmlns:c15="http://schemas.microsoft.com/office/drawing/2012/chart" xmlns:c16r2="http://schemas.microsoft.com/office/drawing/2015/06/chart">
                    <c:ext xmlns:c16="http://schemas.microsoft.com/office/drawing/2014/chart" uri="{C3380CC4-5D6E-409C-BE32-E72D297353CC}">
                      <c16:uniqueId val="{00000018-CDAF-45DF-AD5D-165F6FDC16B2}"/>
                    </c:ext>
                  </c:extLst>
                </c:dPt>
                <c:dLbls>
                  <c:dLbl>
                    <c:idx val="0"/>
                    <c:layout>
                      <c:manualLayout>
                        <c:x val="-0.11369286386371519"/>
                        <c:y val="0.12671624380285798"/>
                      </c:manualLayout>
                    </c:layout>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extLst xmlns:c15="http://schemas.microsoft.com/office/drawing/2012/chart" xmlns:c16r2="http://schemas.microsoft.com/office/drawing/2015/06/chart">
                      <c:ext xmlns:c16="http://schemas.microsoft.com/office/drawing/2014/chart" uri="{C3380CC4-5D6E-409C-BE32-E72D297353CC}">
                        <c16:uniqueId val="{00000012-CDAF-45DF-AD5D-165F6FDC16B2}"/>
                      </c:ext>
                      <c:ext xmlns:c15="http://schemas.microsoft.com/office/drawing/2012/chart" uri="{CE6537A1-D6FC-4f65-9D91-7224C49458BB}"/>
                    </c:extLst>
                  </c:dLbl>
                  <c:dLbl>
                    <c:idx val="1"/>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dLbl>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xmlns:c15="http://schemas.microsoft.com/office/drawing/2012/chart" xmlns:c16r2="http://schemas.microsoft.com/office/drawing/2015/06/chart">
                    <c:ext xmlns:c15="http://schemas.microsoft.com/office/drawing/2012/chart" uri="{CE6537A1-D6FC-4f65-9D91-7224C49458BB}"/>
                  </c:extLst>
                </c:dLbls>
                <c:cat>
                  <c:strRef>
                    <c:extLst xmlns:c15="http://schemas.microsoft.com/office/drawing/2012/chart" xmlns:c16r2="http://schemas.microsoft.com/office/drawing/2015/06/chart">
                      <c:ext xmlns:c15="http://schemas.microsoft.com/office/drawing/2012/chart" uri="{02D57815-91ED-43cb-92C2-25804820EDAC}">
                        <c15:formulaRef>
                          <c15:sqref>Analysis!$C$136:$F$136</c15:sqref>
                        </c15:formulaRef>
                      </c:ext>
                    </c:extLst>
                    <c:strCache>
                      <c:ptCount val="4"/>
                      <c:pt idx="0">
                        <c:v>Functional</c:v>
                      </c:pt>
                      <c:pt idx="1">
                        <c:v>NA</c:v>
                      </c:pt>
                      <c:pt idx="2">
                        <c:v>Not_Functional</c:v>
                      </c:pt>
                      <c:pt idx="3">
                        <c:v>Not_inPlace</c:v>
                      </c:pt>
                    </c:strCache>
                  </c:strRef>
                </c:cat>
                <c:val>
                  <c:numRef>
                    <c:extLst xmlns:c15="http://schemas.microsoft.com/office/drawing/2012/chart" xmlns:c16r2="http://schemas.microsoft.com/office/drawing/2015/06/chart">
                      <c:ext xmlns:c15="http://schemas.microsoft.com/office/drawing/2012/chart" uri="{02D57815-91ED-43cb-92C2-25804820EDAC}">
                        <c15:formulaRef>
                          <c15:sqref>Analysis!$C$138:$F$138</c15:sqref>
                        </c15:formulaRef>
                      </c:ext>
                    </c:extLst>
                    <c:numCache>
                      <c:formatCode>General</c:formatCode>
                      <c:ptCount val="4"/>
                      <c:pt idx="0">
                        <c:v>25</c:v>
                      </c:pt>
                      <c:pt idx="1">
                        <c:v>98</c:v>
                      </c:pt>
                      <c:pt idx="2">
                        <c:v>26</c:v>
                      </c:pt>
                      <c:pt idx="3">
                        <c:v>51</c:v>
                      </c:pt>
                    </c:numCache>
                  </c:numRef>
                </c:val>
                <c:extLst xmlns:c15="http://schemas.microsoft.com/office/drawing/2012/chart" xmlns:c16r2="http://schemas.microsoft.com/office/drawing/2015/06/chart">
                  <c:ext xmlns:c16="http://schemas.microsoft.com/office/drawing/2014/chart" uri="{C3380CC4-5D6E-409C-BE32-E72D297353CC}">
                    <c16:uniqueId val="{00000019-CDAF-45DF-AD5D-165F6FDC16B2}"/>
                  </c:ext>
                </c:extLst>
              </c15:ser>
            </c15:filteredPieSeries>
          </c:ext>
        </c:extLst>
      </c:pieChart>
      <c:spPr>
        <a:noFill/>
        <a:ln>
          <a:noFill/>
        </a:ln>
        <a:effectLst/>
      </c:spPr>
    </c:plotArea>
    <c:legend>
      <c:legendPos val="r"/>
      <c:layout>
        <c:manualLayout>
          <c:xMode val="edge"/>
          <c:yMode val="edge"/>
          <c:x val="0.61635220125786161"/>
          <c:y val="0.4172185768445611"/>
          <c:w val="0.35849056603773582"/>
          <c:h val="0.4460717410323709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accent1">
          <a:lumMod val="20000"/>
          <a:lumOff val="80000"/>
        </a:schemeClr>
      </a:solidFill>
      <a:round/>
    </a:ln>
    <a:effectLst/>
  </c:spPr>
  <c:txPr>
    <a:bodyPr/>
    <a:lstStyle/>
    <a:p>
      <a:pPr>
        <a:defRPr/>
      </a:pPr>
      <a:endParaRPr lang="en-US"/>
    </a:p>
  </c:txPr>
  <c:printSettings>
    <c:headerFooter/>
    <c:pageMargins b="0.75" l="0.7" r="0.7" t="0.75" header="0.3" footer="0.3"/>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[2018_06_05_Myanmar_WASH_4W_2018_Q1_final.xlsx]Analysis!Shan</c:name>
    <c:fmtId val="10"/>
  </c:pivotSource>
  <c:chart>
    <c:title>
      <c:tx>
        <c:rich>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r>
              <a:rPr lang="en-US" sz="1200" b="1"/>
              <a:t>Number of Sites - Coverage/Gaps</a:t>
            </a:r>
          </a:p>
        </c:rich>
      </c:tx>
      <c:layout>
        <c:manualLayout>
          <c:xMode val="edge"/>
          <c:yMode val="edge"/>
          <c:x val="1.0815885218914972E-2"/>
          <c:y val="2.4915687753419305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n-US"/>
        </a:p>
      </c:txPr>
    </c:title>
    <c:autoTitleDeleted val="0"/>
    <c:pivotFmts>
      <c:pivotFmt>
        <c:idx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2"/>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3"/>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4"/>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5"/>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s>
    <c:plotArea>
      <c:layout>
        <c:manualLayout>
          <c:layoutTarget val="inner"/>
          <c:xMode val="edge"/>
          <c:yMode val="edge"/>
          <c:x val="0.19479182826299771"/>
          <c:y val="0.2017504968066309"/>
          <c:w val="0.68926037038666255"/>
          <c:h val="0.58889356005193771"/>
        </c:manualLayout>
      </c:layout>
      <c:barChart>
        <c:barDir val="bar"/>
        <c:grouping val="clustered"/>
        <c:varyColors val="0"/>
        <c:ser>
          <c:idx val="0"/>
          <c:order val="0"/>
          <c:tx>
            <c:strRef>
              <c:f>Analysis!$O$177:$O$178</c:f>
              <c:strCache>
                <c:ptCount val="1"/>
                <c:pt idx="0">
                  <c:v>Covered</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Analysis!$N$179:$N$180</c:f>
              <c:strCache>
                <c:ptCount val="2"/>
                <c:pt idx="0">
                  <c:v>Camp</c:v>
                </c:pt>
                <c:pt idx="1">
                  <c:v>Camp_not registered</c:v>
                </c:pt>
              </c:strCache>
            </c:strRef>
          </c:cat>
          <c:val>
            <c:numRef>
              <c:f>Analysis!$O$179:$O$180</c:f>
              <c:numCache>
                <c:formatCode>General</c:formatCode>
                <c:ptCount val="2"/>
                <c:pt idx="0">
                  <c:v>33</c:v>
                </c:pt>
                <c:pt idx="1">
                  <c:v>2</c:v>
                </c:pt>
              </c:numCache>
            </c:numRef>
          </c:val>
          <c:extLst xmlns:c16r2="http://schemas.microsoft.com/office/drawing/2015/06/chart">
            <c:ext xmlns:c16="http://schemas.microsoft.com/office/drawing/2014/chart" uri="{C3380CC4-5D6E-409C-BE32-E72D297353CC}">
              <c16:uniqueId val="{00000000-832F-4CDA-AF67-1CC0A8BA2399}"/>
            </c:ext>
          </c:extLst>
        </c:ser>
        <c:ser>
          <c:idx val="1"/>
          <c:order val="1"/>
          <c:tx>
            <c:strRef>
              <c:f>Analysis!$P$177:$P$178</c:f>
              <c:strCache>
                <c:ptCount val="1"/>
                <c:pt idx="0">
                  <c:v>Gap</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Analysis!$N$179:$N$180</c:f>
              <c:strCache>
                <c:ptCount val="2"/>
                <c:pt idx="0">
                  <c:v>Camp</c:v>
                </c:pt>
                <c:pt idx="1">
                  <c:v>Camp_not registered</c:v>
                </c:pt>
              </c:strCache>
            </c:strRef>
          </c:cat>
          <c:val>
            <c:numRef>
              <c:f>Analysis!$P$179:$P$180</c:f>
              <c:numCache>
                <c:formatCode>General</c:formatCode>
                <c:ptCount val="2"/>
                <c:pt idx="0">
                  <c:v>5</c:v>
                </c:pt>
              </c:numCache>
            </c:numRef>
          </c:val>
          <c:extLst xmlns:c16r2="http://schemas.microsoft.com/office/drawing/2015/06/chart">
            <c:ext xmlns:c16="http://schemas.microsoft.com/office/drawing/2014/chart" uri="{C3380CC4-5D6E-409C-BE32-E72D297353CC}">
              <c16:uniqueId val="{00000001-832F-4CDA-AF67-1CC0A8BA2399}"/>
            </c:ext>
          </c:extLst>
        </c:ser>
        <c:dLbls>
          <c:showLegendKey val="0"/>
          <c:showVal val="0"/>
          <c:showCatName val="0"/>
          <c:showSerName val="0"/>
          <c:showPercent val="0"/>
          <c:showBubbleSize val="0"/>
        </c:dLbls>
        <c:gapWidth val="100"/>
        <c:axId val="489126352"/>
        <c:axId val="489126744"/>
      </c:barChart>
      <c:catAx>
        <c:axId val="489126352"/>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489126744"/>
        <c:crosses val="autoZero"/>
        <c:auto val="1"/>
        <c:lblAlgn val="ctr"/>
        <c:lblOffset val="100"/>
        <c:noMultiLvlLbl val="0"/>
      </c:catAx>
      <c:valAx>
        <c:axId val="489126744"/>
        <c:scaling>
          <c:orientation val="minMax"/>
        </c:scaling>
        <c:delete val="0"/>
        <c:axPos val="b"/>
        <c:majorGridlines>
          <c:spPr>
            <a:ln w="9525" cap="flat" cmpd="sng" algn="ctr">
              <a:solidFill>
                <a:schemeClr val="tx2">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489126352"/>
        <c:crosses val="autoZero"/>
        <c:crossBetween val="between"/>
      </c:valAx>
      <c:spPr>
        <a:noFill/>
        <a:ln>
          <a:noFill/>
        </a:ln>
        <a:effectLst/>
      </c:spPr>
    </c:plotArea>
    <c:legend>
      <c:legendPos val="b"/>
      <c:layout>
        <c:manualLayout>
          <c:xMode val="edge"/>
          <c:yMode val="edge"/>
          <c:x val="0.43263054573278953"/>
          <c:y val="0.8760478563984162"/>
          <c:w val="0.13136692458230861"/>
          <c:h val="0.123952143601583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extLst xmlns:c16r2="http://schemas.microsoft.com/office/drawing/2015/06/chart">
    <c:ext xmlns:c14="http://schemas.microsoft.com/office/drawing/2007/8/2/chart" uri="{781A3756-C4B2-4CAC-9D66-4F8BD8637D16}">
      <c14:pivotOptions>
        <c14:dropZoneFilter val="1"/>
        <c14:dropZoneCategories val="1"/>
        <c14:dropZoneData val="1"/>
        <c14:dropZoneSeries val="1"/>
      </c14:pivotOptions>
    </c:ext>
  </c:extLst>
</c:chartSpace>
</file>

<file path=xl/charts/chart8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r>
              <a:rPr lang="en-US" sz="1200" b="1" i="0" baseline="0">
                <a:effectLst/>
              </a:rPr>
              <a:t> Number of ppl Covered against 2018 HRP targets</a:t>
            </a:r>
            <a:endParaRPr lang="en-US" sz="1200">
              <a:effectLst/>
            </a:endParaRPr>
          </a:p>
          <a:p>
            <a:pPr>
              <a:defRPr sz="1200"/>
            </a:pPr>
            <a:r>
              <a:rPr lang="en-US" sz="1200" b="1" i="0" baseline="0">
                <a:effectLst/>
              </a:rPr>
              <a:t> (in IDP camps)</a:t>
            </a:r>
            <a:endParaRPr lang="en-US" sz="1200">
              <a:effectLst/>
            </a:endParaRPr>
          </a:p>
        </c:rich>
      </c:tx>
      <c:overlay val="0"/>
      <c:spPr>
        <a:noFill/>
        <a:ln>
          <a:noFill/>
        </a:ln>
        <a:effectLst/>
      </c:spPr>
      <c:txPr>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n-US"/>
        </a:p>
      </c:txPr>
    </c:title>
    <c:autoTitleDeleted val="0"/>
    <c:plotArea>
      <c:layout/>
      <c:barChart>
        <c:barDir val="bar"/>
        <c:grouping val="percentStacked"/>
        <c:varyColors val="0"/>
        <c:ser>
          <c:idx val="0"/>
          <c:order val="0"/>
          <c:tx>
            <c:strRef>
              <c:f>HRP!$H$172</c:f>
              <c:strCache>
                <c:ptCount val="1"/>
                <c:pt idx="0">
                  <c:v>Coverage</c:v>
                </c:pt>
              </c:strCache>
            </c:strRef>
          </c:tx>
          <c:spPr>
            <a:solidFill>
              <a:srgbClr val="0070C0"/>
            </a:solidFill>
            <a:ln>
              <a:noFill/>
            </a:ln>
            <a:effectLst/>
          </c:spPr>
          <c:invertIfNegative val="0"/>
          <c:dPt>
            <c:idx val="0"/>
            <c:invertIfNegative val="0"/>
            <c:bubble3D val="0"/>
            <c:spPr>
              <a:solidFill>
                <a:schemeClr val="accent6">
                  <a:lumMod val="75000"/>
                </a:schemeClr>
              </a:solidFill>
              <a:ln>
                <a:noFill/>
              </a:ln>
              <a:effectLst/>
            </c:spPr>
            <c:extLst xmlns:c16r2="http://schemas.microsoft.com/office/drawing/2015/06/chart">
              <c:ext xmlns:c16="http://schemas.microsoft.com/office/drawing/2014/chart" uri="{C3380CC4-5D6E-409C-BE32-E72D297353CC}">
                <c16:uniqueId val="{00000001-B5ED-4942-B40E-F08C88DFE4B9}"/>
              </c:ext>
            </c:extLst>
          </c:dPt>
          <c:dPt>
            <c:idx val="1"/>
            <c:invertIfNegative val="0"/>
            <c:bubble3D val="0"/>
            <c:spPr>
              <a:solidFill>
                <a:schemeClr val="accent6">
                  <a:lumMod val="75000"/>
                </a:schemeClr>
              </a:solidFill>
              <a:ln>
                <a:noFill/>
              </a:ln>
              <a:effectLst/>
            </c:spPr>
            <c:extLst xmlns:c16r2="http://schemas.microsoft.com/office/drawing/2015/06/chart">
              <c:ext xmlns:c16="http://schemas.microsoft.com/office/drawing/2014/chart" uri="{C3380CC4-5D6E-409C-BE32-E72D297353CC}">
                <c16:uniqueId val="{00000003-B5ED-4942-B40E-F08C88DFE4B9}"/>
              </c:ext>
            </c:extLst>
          </c:dPt>
          <c:dPt>
            <c:idx val="2"/>
            <c:invertIfNegative val="0"/>
            <c:bubble3D val="0"/>
            <c:spPr>
              <a:solidFill>
                <a:schemeClr val="accent2">
                  <a:lumMod val="75000"/>
                </a:schemeClr>
              </a:solidFill>
              <a:ln>
                <a:noFill/>
              </a:ln>
              <a:effectLst/>
            </c:spPr>
            <c:extLst xmlns:c16r2="http://schemas.microsoft.com/office/drawing/2015/06/chart">
              <c:ext xmlns:c16="http://schemas.microsoft.com/office/drawing/2014/chart" uri="{C3380CC4-5D6E-409C-BE32-E72D297353CC}">
                <c16:uniqueId val="{00000005-B5ED-4942-B40E-F08C88DFE4B9}"/>
              </c:ext>
            </c:extLst>
          </c:dPt>
          <c:dPt>
            <c:idx val="3"/>
            <c:invertIfNegative val="0"/>
            <c:bubble3D val="0"/>
            <c:spPr>
              <a:solidFill>
                <a:schemeClr val="accent2">
                  <a:lumMod val="75000"/>
                </a:schemeClr>
              </a:solidFill>
              <a:ln>
                <a:noFill/>
              </a:ln>
              <a:effectLst/>
            </c:spPr>
            <c:extLst xmlns:c16r2="http://schemas.microsoft.com/office/drawing/2015/06/chart">
              <c:ext xmlns:c16="http://schemas.microsoft.com/office/drawing/2014/chart" uri="{C3380CC4-5D6E-409C-BE32-E72D297353CC}">
                <c16:uniqueId val="{00000007-B5ED-4942-B40E-F08C88DFE4B9}"/>
              </c:ext>
            </c:extLst>
          </c:dPt>
          <c:dLbls>
            <c:dLbl>
              <c:idx val="3"/>
              <c:layout>
                <c:manualLayout>
                  <c:x val="1.9342869418725452E-2"/>
                  <c:y val="-9.0649406638963238E-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B5ED-4942-B40E-F08C88DFE4B9}"/>
                </c:ex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HRP!$F$173:$F$178</c:f>
              <c:strCache>
                <c:ptCount val="6"/>
                <c:pt idx="0">
                  <c:v>reached by regular dedicated hygiene promotion</c:v>
                </c:pt>
                <c:pt idx="1">
                  <c:v>received regular supply of hygiene items</c:v>
                </c:pt>
                <c:pt idx="2">
                  <c:v>with access to functional sanitation facilities</c:v>
                </c:pt>
                <c:pt idx="3">
                  <c:v>with access to continuous sanitation services</c:v>
                </c:pt>
                <c:pt idx="4">
                  <c:v>with equitable and safe access to sufficient quantity of drinking water</c:v>
                </c:pt>
                <c:pt idx="5">
                  <c:v>with equitable and safe access to sufficient quantity of domestic water</c:v>
                </c:pt>
              </c:strCache>
            </c:strRef>
          </c:cat>
          <c:val>
            <c:numRef>
              <c:f>HRP!$H$173:$H$178</c:f>
              <c:numCache>
                <c:formatCode>_(* #,##0_);_(* \(#,##0\);_(* "-"??_);_(@_)</c:formatCode>
                <c:ptCount val="6"/>
                <c:pt idx="0">
                  <c:v>8113</c:v>
                </c:pt>
                <c:pt idx="1">
                  <c:v>5550</c:v>
                </c:pt>
                <c:pt idx="2">
                  <c:v>8206</c:v>
                </c:pt>
                <c:pt idx="3">
                  <c:v>140</c:v>
                </c:pt>
                <c:pt idx="4">
                  <c:v>8969</c:v>
                </c:pt>
                <c:pt idx="5">
                  <c:v>8969</c:v>
                </c:pt>
              </c:numCache>
            </c:numRef>
          </c:val>
          <c:extLst xmlns:c16r2="http://schemas.microsoft.com/office/drawing/2015/06/chart">
            <c:ext xmlns:c16="http://schemas.microsoft.com/office/drawing/2014/chart" uri="{C3380CC4-5D6E-409C-BE32-E72D297353CC}">
              <c16:uniqueId val="{00000008-B5ED-4942-B40E-F08C88DFE4B9}"/>
            </c:ext>
          </c:extLst>
        </c:ser>
        <c:ser>
          <c:idx val="1"/>
          <c:order val="1"/>
          <c:tx>
            <c:strRef>
              <c:f>HRP!$I$172</c:f>
              <c:strCache>
                <c:ptCount val="1"/>
                <c:pt idx="0">
                  <c:v>Gap</c:v>
                </c:pt>
              </c:strCache>
            </c:strRef>
          </c:tx>
          <c:spPr>
            <a:solidFill>
              <a:schemeClr val="accent1">
                <a:lumMod val="40000"/>
                <a:lumOff val="60000"/>
              </a:schemeClr>
            </a:solidFill>
            <a:ln>
              <a:noFill/>
            </a:ln>
            <a:effectLst/>
          </c:spPr>
          <c:invertIfNegative val="0"/>
          <c:dPt>
            <c:idx val="0"/>
            <c:invertIfNegative val="0"/>
            <c:bubble3D val="0"/>
            <c:spPr>
              <a:solidFill>
                <a:schemeClr val="accent6">
                  <a:lumMod val="60000"/>
                  <a:lumOff val="40000"/>
                </a:schemeClr>
              </a:solidFill>
              <a:ln>
                <a:noFill/>
              </a:ln>
              <a:effectLst/>
            </c:spPr>
            <c:extLst xmlns:c16r2="http://schemas.microsoft.com/office/drawing/2015/06/chart">
              <c:ext xmlns:c16="http://schemas.microsoft.com/office/drawing/2014/chart" uri="{C3380CC4-5D6E-409C-BE32-E72D297353CC}">
                <c16:uniqueId val="{0000000A-B5ED-4942-B40E-F08C88DFE4B9}"/>
              </c:ext>
            </c:extLst>
          </c:dPt>
          <c:dPt>
            <c:idx val="1"/>
            <c:invertIfNegative val="0"/>
            <c:bubble3D val="0"/>
            <c:spPr>
              <a:solidFill>
                <a:schemeClr val="accent6">
                  <a:lumMod val="60000"/>
                  <a:lumOff val="40000"/>
                </a:schemeClr>
              </a:solidFill>
              <a:ln>
                <a:noFill/>
              </a:ln>
              <a:effectLst/>
            </c:spPr>
            <c:extLst xmlns:c16r2="http://schemas.microsoft.com/office/drawing/2015/06/chart">
              <c:ext xmlns:c16="http://schemas.microsoft.com/office/drawing/2014/chart" uri="{C3380CC4-5D6E-409C-BE32-E72D297353CC}">
                <c16:uniqueId val="{0000000C-B5ED-4942-B40E-F08C88DFE4B9}"/>
              </c:ext>
            </c:extLst>
          </c:dPt>
          <c:dPt>
            <c:idx val="2"/>
            <c:invertIfNegative val="0"/>
            <c:bubble3D val="0"/>
            <c:spPr>
              <a:solidFill>
                <a:schemeClr val="accent2">
                  <a:lumMod val="60000"/>
                  <a:lumOff val="40000"/>
                </a:schemeClr>
              </a:solidFill>
              <a:ln>
                <a:noFill/>
              </a:ln>
              <a:effectLst/>
            </c:spPr>
            <c:extLst xmlns:c16r2="http://schemas.microsoft.com/office/drawing/2015/06/chart">
              <c:ext xmlns:c16="http://schemas.microsoft.com/office/drawing/2014/chart" uri="{C3380CC4-5D6E-409C-BE32-E72D297353CC}">
                <c16:uniqueId val="{0000000E-B5ED-4942-B40E-F08C88DFE4B9}"/>
              </c:ext>
            </c:extLst>
          </c:dPt>
          <c:dPt>
            <c:idx val="3"/>
            <c:invertIfNegative val="0"/>
            <c:bubble3D val="0"/>
            <c:spPr>
              <a:solidFill>
                <a:schemeClr val="accent2">
                  <a:lumMod val="60000"/>
                  <a:lumOff val="40000"/>
                </a:schemeClr>
              </a:solidFill>
              <a:ln>
                <a:noFill/>
              </a:ln>
              <a:effectLst/>
            </c:spPr>
            <c:extLst xmlns:c16r2="http://schemas.microsoft.com/office/drawing/2015/06/chart">
              <c:ext xmlns:c16="http://schemas.microsoft.com/office/drawing/2014/chart" uri="{C3380CC4-5D6E-409C-BE32-E72D297353CC}">
                <c16:uniqueId val="{00000010-B5ED-4942-B40E-F08C88DFE4B9}"/>
              </c:ext>
            </c:extLst>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HRP!$F$173:$F$178</c:f>
              <c:strCache>
                <c:ptCount val="6"/>
                <c:pt idx="0">
                  <c:v>reached by regular dedicated hygiene promotion</c:v>
                </c:pt>
                <c:pt idx="1">
                  <c:v>received regular supply of hygiene items</c:v>
                </c:pt>
                <c:pt idx="2">
                  <c:v>with access to functional sanitation facilities</c:v>
                </c:pt>
                <c:pt idx="3">
                  <c:v>with access to continuous sanitation services</c:v>
                </c:pt>
                <c:pt idx="4">
                  <c:v>with equitable and safe access to sufficient quantity of drinking water</c:v>
                </c:pt>
                <c:pt idx="5">
                  <c:v>with equitable and safe access to sufficient quantity of domestic water</c:v>
                </c:pt>
              </c:strCache>
            </c:strRef>
          </c:cat>
          <c:val>
            <c:numRef>
              <c:f>HRP!$I$173:$I$178</c:f>
              <c:numCache>
                <c:formatCode>_(* #,##0_);_(* \(#,##0\);_(* "-"??_);_(@_)</c:formatCode>
                <c:ptCount val="6"/>
                <c:pt idx="0">
                  <c:v>3537</c:v>
                </c:pt>
                <c:pt idx="1">
                  <c:v>6100</c:v>
                </c:pt>
                <c:pt idx="2">
                  <c:v>3444</c:v>
                </c:pt>
                <c:pt idx="3">
                  <c:v>2772.5</c:v>
                </c:pt>
                <c:pt idx="4">
                  <c:v>2681</c:v>
                </c:pt>
                <c:pt idx="5">
                  <c:v>2681</c:v>
                </c:pt>
              </c:numCache>
            </c:numRef>
          </c:val>
          <c:extLst xmlns:c16r2="http://schemas.microsoft.com/office/drawing/2015/06/chart">
            <c:ext xmlns:c16="http://schemas.microsoft.com/office/drawing/2014/chart" uri="{C3380CC4-5D6E-409C-BE32-E72D297353CC}">
              <c16:uniqueId val="{00000011-B5ED-4942-B40E-F08C88DFE4B9}"/>
            </c:ext>
          </c:extLst>
        </c:ser>
        <c:dLbls>
          <c:showLegendKey val="0"/>
          <c:showVal val="0"/>
          <c:showCatName val="0"/>
          <c:showSerName val="0"/>
          <c:showPercent val="0"/>
          <c:showBubbleSize val="0"/>
        </c:dLbls>
        <c:gapWidth val="150"/>
        <c:overlap val="100"/>
        <c:axId val="489820632"/>
        <c:axId val="489824552"/>
      </c:barChart>
      <c:catAx>
        <c:axId val="489820632"/>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2"/>
                </a:solidFill>
                <a:latin typeface="+mn-lt"/>
                <a:ea typeface="+mn-ea"/>
                <a:cs typeface="+mn-cs"/>
              </a:defRPr>
            </a:pPr>
            <a:endParaRPr lang="en-US"/>
          </a:p>
        </c:txPr>
        <c:crossAx val="489824552"/>
        <c:crosses val="autoZero"/>
        <c:auto val="1"/>
        <c:lblAlgn val="ctr"/>
        <c:lblOffset val="100"/>
        <c:noMultiLvlLbl val="0"/>
      </c:catAx>
      <c:valAx>
        <c:axId val="489824552"/>
        <c:scaling>
          <c:orientation val="minMax"/>
          <c:max val="1"/>
        </c:scaling>
        <c:delete val="0"/>
        <c:axPos val="b"/>
        <c:majorGridlines>
          <c:spPr>
            <a:ln w="9525" cap="flat" cmpd="sng" algn="ctr">
              <a:solidFill>
                <a:schemeClr val="tx2">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489820632"/>
        <c:crosses val="autoZero"/>
        <c:crossBetween val="between"/>
        <c:majorUnit val="0.2"/>
      </c:valAx>
      <c:spPr>
        <a:noFill/>
        <a:ln>
          <a:noFill/>
        </a:ln>
        <a:effectLst/>
      </c:spPr>
    </c:plotArea>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b="1" i="0" baseline="0">
                <a:effectLst/>
              </a:rPr>
              <a:t>Latrine coverage </a:t>
            </a:r>
            <a:endParaRPr lang="en-US" sz="120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Analysis!$Z$92</c:f>
              <c:strCache>
                <c:ptCount val="1"/>
                <c:pt idx="0">
                  <c:v>Coverage</c:v>
                </c:pt>
              </c:strCache>
            </c:strRef>
          </c:tx>
          <c:spPr>
            <a:solidFill>
              <a:schemeClr val="accent2">
                <a:shade val="76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Analysis!$AA$91:$AB$91</c:f>
              <c:strCache>
                <c:ptCount val="2"/>
                <c:pt idx="0">
                  <c:v># in GCA (20:1)</c:v>
                </c:pt>
                <c:pt idx="1">
                  <c:v># in NGCA (20:1)</c:v>
                </c:pt>
              </c:strCache>
            </c:strRef>
          </c:cat>
          <c:val>
            <c:numRef>
              <c:f>Analysis!$AA$92:$AB$92</c:f>
              <c:numCache>
                <c:formatCode>_(* #,##0_);_(* \(#,##0\);_(* "-"??_);_(@_)</c:formatCode>
                <c:ptCount val="2"/>
                <c:pt idx="0">
                  <c:v>854</c:v>
                </c:pt>
                <c:pt idx="1">
                  <c:v>9</c:v>
                </c:pt>
              </c:numCache>
            </c:numRef>
          </c:val>
          <c:extLst xmlns:c16r2="http://schemas.microsoft.com/office/drawing/2015/06/chart">
            <c:ext xmlns:c16="http://schemas.microsoft.com/office/drawing/2014/chart" uri="{C3380CC4-5D6E-409C-BE32-E72D297353CC}">
              <c16:uniqueId val="{00000000-ECF2-490F-AB47-E863EB1424C6}"/>
            </c:ext>
          </c:extLst>
        </c:ser>
        <c:ser>
          <c:idx val="1"/>
          <c:order val="1"/>
          <c:tx>
            <c:strRef>
              <c:f>Analysis!$Z$93</c:f>
              <c:strCache>
                <c:ptCount val="1"/>
                <c:pt idx="0">
                  <c:v>GAP</c:v>
                </c:pt>
              </c:strCache>
            </c:strRef>
          </c:tx>
          <c:spPr>
            <a:solidFill>
              <a:schemeClr val="accent2">
                <a:tint val="77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Analysis!$AA$91:$AB$91</c:f>
              <c:strCache>
                <c:ptCount val="2"/>
                <c:pt idx="0">
                  <c:v># in GCA (20:1)</c:v>
                </c:pt>
                <c:pt idx="1">
                  <c:v># in NGCA (20:1)</c:v>
                </c:pt>
              </c:strCache>
            </c:strRef>
          </c:cat>
          <c:val>
            <c:numRef>
              <c:f>Analysis!$AA$93:$AB$93</c:f>
              <c:numCache>
                <c:formatCode>_(* #,##0_);_(* \(#,##0\);_(* "-"??_);_(@_)</c:formatCode>
                <c:ptCount val="2"/>
                <c:pt idx="0">
                  <c:v>4</c:v>
                </c:pt>
                <c:pt idx="1">
                  <c:v>58</c:v>
                </c:pt>
              </c:numCache>
            </c:numRef>
          </c:val>
          <c:extLst xmlns:c16r2="http://schemas.microsoft.com/office/drawing/2015/06/chart">
            <c:ext xmlns:c16="http://schemas.microsoft.com/office/drawing/2014/chart" uri="{C3380CC4-5D6E-409C-BE32-E72D297353CC}">
              <c16:uniqueId val="{00000001-ECF2-490F-AB47-E863EB1424C6}"/>
            </c:ext>
          </c:extLst>
        </c:ser>
        <c:dLbls>
          <c:dLblPos val="ctr"/>
          <c:showLegendKey val="0"/>
          <c:showVal val="1"/>
          <c:showCatName val="0"/>
          <c:showSerName val="0"/>
          <c:showPercent val="0"/>
          <c:showBubbleSize val="0"/>
        </c:dLbls>
        <c:gapWidth val="150"/>
        <c:overlap val="100"/>
        <c:axId val="489821808"/>
        <c:axId val="489823768"/>
      </c:barChart>
      <c:catAx>
        <c:axId val="4898218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89823768"/>
        <c:crosses val="autoZero"/>
        <c:auto val="1"/>
        <c:lblAlgn val="ctr"/>
        <c:lblOffset val="100"/>
        <c:noMultiLvlLbl val="0"/>
      </c:catAx>
      <c:valAx>
        <c:axId val="489823768"/>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8982180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accent1">
          <a:lumMod val="20000"/>
          <a:lumOff val="80000"/>
        </a:schemeClr>
      </a:solidFill>
      <a:round/>
    </a:ln>
    <a:effectLst/>
  </c:spPr>
  <c:txPr>
    <a:bodyPr/>
    <a:lstStyle/>
    <a:p>
      <a:pPr>
        <a:defRPr/>
      </a:pPr>
      <a:endParaRPr lang="en-US"/>
    </a:p>
  </c:txPr>
  <c:printSettings>
    <c:headerFooter/>
    <c:pageMargins b="0.75" l="0.7" r="0.7" t="0.75" header="0.3" footer="0.3"/>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b="1" i="0" baseline="0">
                <a:effectLst/>
              </a:rPr>
              <a:t>Latrines handed over to families</a:t>
            </a:r>
            <a:endParaRPr lang="en-US" sz="120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Analysis!$Z$94</c:f>
              <c:strCache>
                <c:ptCount val="1"/>
                <c:pt idx="0">
                  <c:v>Latrines handed over</c:v>
                </c:pt>
              </c:strCache>
            </c:strRef>
          </c:tx>
          <c:spPr>
            <a:solidFill>
              <a:schemeClr val="accent2">
                <a:shade val="76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Analysis!$AA$91:$AB$91</c:f>
              <c:strCache>
                <c:ptCount val="2"/>
                <c:pt idx="0">
                  <c:v># in GCA (20:1)</c:v>
                </c:pt>
                <c:pt idx="1">
                  <c:v># in NGCA (20:1)</c:v>
                </c:pt>
              </c:strCache>
            </c:strRef>
          </c:cat>
          <c:val>
            <c:numRef>
              <c:f>Analysis!$AA$94:$AB$94</c:f>
              <c:numCache>
                <c:formatCode>_(* #,##0_);_(* \(#,##0\);_(* "-"??_);_(@_)</c:formatCode>
                <c:ptCount val="2"/>
                <c:pt idx="0">
                  <c:v>824</c:v>
                </c:pt>
                <c:pt idx="1">
                  <c:v>9</c:v>
                </c:pt>
              </c:numCache>
            </c:numRef>
          </c:val>
          <c:extLst xmlns:c16r2="http://schemas.microsoft.com/office/drawing/2015/06/chart">
            <c:ext xmlns:c16="http://schemas.microsoft.com/office/drawing/2014/chart" uri="{C3380CC4-5D6E-409C-BE32-E72D297353CC}">
              <c16:uniqueId val="{00000000-19C7-4FE3-A428-C7C7FA241793}"/>
            </c:ext>
          </c:extLst>
        </c:ser>
        <c:ser>
          <c:idx val="1"/>
          <c:order val="1"/>
          <c:tx>
            <c:strRef>
              <c:f>Analysis!$Z$95</c:f>
              <c:strCache>
                <c:ptCount val="1"/>
                <c:pt idx="0">
                  <c:v>Latrines not handed over</c:v>
                </c:pt>
              </c:strCache>
            </c:strRef>
          </c:tx>
          <c:spPr>
            <a:solidFill>
              <a:schemeClr val="accent2">
                <a:tint val="77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Analysis!$AA$91:$AB$91</c:f>
              <c:strCache>
                <c:ptCount val="2"/>
                <c:pt idx="0">
                  <c:v># in GCA (20:1)</c:v>
                </c:pt>
                <c:pt idx="1">
                  <c:v># in NGCA (20:1)</c:v>
                </c:pt>
              </c:strCache>
            </c:strRef>
          </c:cat>
          <c:val>
            <c:numRef>
              <c:f>Analysis!$AA$95:$AB$95</c:f>
              <c:numCache>
                <c:formatCode>_(* #,##0_);_(* \(#,##0\);_(* "-"??_);_(@_)</c:formatCode>
                <c:ptCount val="2"/>
                <c:pt idx="0">
                  <c:v>34</c:v>
                </c:pt>
                <c:pt idx="1">
                  <c:v>58</c:v>
                </c:pt>
              </c:numCache>
            </c:numRef>
          </c:val>
          <c:extLst xmlns:c16r2="http://schemas.microsoft.com/office/drawing/2015/06/chart">
            <c:ext xmlns:c16="http://schemas.microsoft.com/office/drawing/2014/chart" uri="{C3380CC4-5D6E-409C-BE32-E72D297353CC}">
              <c16:uniqueId val="{00000001-19C7-4FE3-A428-C7C7FA241793}"/>
            </c:ext>
          </c:extLst>
        </c:ser>
        <c:dLbls>
          <c:dLblPos val="ctr"/>
          <c:showLegendKey val="0"/>
          <c:showVal val="1"/>
          <c:showCatName val="0"/>
          <c:showSerName val="0"/>
          <c:showPercent val="0"/>
          <c:showBubbleSize val="0"/>
        </c:dLbls>
        <c:gapWidth val="150"/>
        <c:overlap val="100"/>
        <c:axId val="489827688"/>
        <c:axId val="489822592"/>
      </c:barChart>
      <c:catAx>
        <c:axId val="4898276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89822592"/>
        <c:crosses val="autoZero"/>
        <c:auto val="1"/>
        <c:lblAlgn val="ctr"/>
        <c:lblOffset val="100"/>
        <c:noMultiLvlLbl val="0"/>
      </c:catAx>
      <c:valAx>
        <c:axId val="489822592"/>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8982768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accent1">
          <a:lumMod val="20000"/>
          <a:lumOff val="80000"/>
        </a:schemeClr>
      </a:solid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 Covered upon HRP targets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HRP!$L$86</c:f>
              <c:strCache>
                <c:ptCount val="1"/>
                <c:pt idx="0">
                  <c:v>Number of people with equitable and safe access to sufficient quantity of drinking water</c:v>
                </c:pt>
              </c:strCache>
            </c:strRef>
          </c:tx>
          <c:spPr>
            <a:solidFill>
              <a:srgbClr val="0070C0"/>
            </a:soli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HRP!$C$87:$C$89</c15:sqref>
                  </c15:fullRef>
                </c:ext>
              </c:extLst>
              <c:f>HRP!$C$89</c:f>
              <c:strCache>
                <c:ptCount val="1"/>
                <c:pt idx="0">
                  <c:v>Shan (North)</c:v>
                </c:pt>
              </c:strCache>
            </c:strRef>
          </c:cat>
          <c:val>
            <c:numRef>
              <c:extLst>
                <c:ext xmlns:c15="http://schemas.microsoft.com/office/drawing/2012/chart" uri="{02D57815-91ED-43cb-92C2-25804820EDAC}">
                  <c15:fullRef>
                    <c15:sqref>HRP!$L$87:$L$89</c15:sqref>
                  </c15:fullRef>
                </c:ext>
              </c:extLst>
              <c:f>HRP!$L$89</c:f>
              <c:numCache>
                <c:formatCode>0%</c:formatCode>
                <c:ptCount val="1"/>
                <c:pt idx="0">
                  <c:v>0.43796083793153961</c:v>
                </c:pt>
              </c:numCache>
            </c:numRef>
          </c:val>
          <c:extLst xmlns:c16r2="http://schemas.microsoft.com/office/drawing/2015/06/chart">
            <c:ext xmlns:c16="http://schemas.microsoft.com/office/drawing/2014/chart" uri="{C3380CC4-5D6E-409C-BE32-E72D297353CC}">
              <c16:uniqueId val="{00000000-F480-4DCE-801A-53F23E268200}"/>
            </c:ext>
          </c:extLst>
        </c:ser>
        <c:ser>
          <c:idx val="1"/>
          <c:order val="1"/>
          <c:tx>
            <c:strRef>
              <c:f>HRP!$M$86</c:f>
              <c:strCache>
                <c:ptCount val="1"/>
                <c:pt idx="0">
                  <c:v>Number of people with equitable and safe access to sufficient quantity of domestic water</c:v>
                </c:pt>
              </c:strCache>
            </c:strRef>
          </c:tx>
          <c:spPr>
            <a:solidFill>
              <a:srgbClr val="0070C0"/>
            </a:soli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HRP!$C$87:$C$89</c15:sqref>
                  </c15:fullRef>
                </c:ext>
              </c:extLst>
              <c:f>HRP!$C$89</c:f>
              <c:strCache>
                <c:ptCount val="1"/>
                <c:pt idx="0">
                  <c:v>Shan (North)</c:v>
                </c:pt>
              </c:strCache>
            </c:strRef>
          </c:cat>
          <c:val>
            <c:numRef>
              <c:extLst>
                <c:ext xmlns:c15="http://schemas.microsoft.com/office/drawing/2012/chart" uri="{02D57815-91ED-43cb-92C2-25804820EDAC}">
                  <c15:fullRef>
                    <c15:sqref>HRP!$M$87:$M$89</c15:sqref>
                  </c15:fullRef>
                </c:ext>
              </c:extLst>
              <c:f>HRP!$M$89</c:f>
              <c:numCache>
                <c:formatCode>0%</c:formatCode>
                <c:ptCount val="1"/>
                <c:pt idx="0">
                  <c:v>0.43796083793153961</c:v>
                </c:pt>
              </c:numCache>
            </c:numRef>
          </c:val>
          <c:extLst xmlns:c16r2="http://schemas.microsoft.com/office/drawing/2015/06/chart">
            <c:ext xmlns:c16="http://schemas.microsoft.com/office/drawing/2014/chart" uri="{C3380CC4-5D6E-409C-BE32-E72D297353CC}">
              <c16:uniqueId val="{00000001-F480-4DCE-801A-53F23E268200}"/>
            </c:ext>
          </c:extLst>
        </c:ser>
        <c:ser>
          <c:idx val="2"/>
          <c:order val="2"/>
          <c:tx>
            <c:strRef>
              <c:f>HRP!$N$86</c:f>
              <c:strCache>
                <c:ptCount val="1"/>
                <c:pt idx="0">
                  <c:v>Number of people with access to functional sanitation facilities</c:v>
                </c:pt>
              </c:strCache>
            </c:strRef>
          </c:tx>
          <c:spPr>
            <a:solidFill>
              <a:schemeClr val="accent2">
                <a:lumMod val="75000"/>
              </a:schemeClr>
            </a:soli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HRP!$C$87:$C$89</c15:sqref>
                  </c15:fullRef>
                </c:ext>
              </c:extLst>
              <c:f>HRP!$C$89</c:f>
              <c:strCache>
                <c:ptCount val="1"/>
                <c:pt idx="0">
                  <c:v>Shan (North)</c:v>
                </c:pt>
              </c:strCache>
            </c:strRef>
          </c:cat>
          <c:val>
            <c:numRef>
              <c:extLst>
                <c:ext xmlns:c15="http://schemas.microsoft.com/office/drawing/2012/chart" uri="{02D57815-91ED-43cb-92C2-25804820EDAC}">
                  <c15:fullRef>
                    <c15:sqref>HRP!$N$87:$N$89</c15:sqref>
                  </c15:fullRef>
                </c:ext>
              </c:extLst>
              <c:f>HRP!$N$89</c:f>
              <c:numCache>
                <c:formatCode>0%</c:formatCode>
                <c:ptCount val="1"/>
                <c:pt idx="0">
                  <c:v>0.40070315933395184</c:v>
                </c:pt>
              </c:numCache>
            </c:numRef>
          </c:val>
          <c:extLst xmlns:c16r2="http://schemas.microsoft.com/office/drawing/2015/06/chart">
            <c:ext xmlns:c16="http://schemas.microsoft.com/office/drawing/2014/chart" uri="{C3380CC4-5D6E-409C-BE32-E72D297353CC}">
              <c16:uniqueId val="{00000002-F480-4DCE-801A-53F23E268200}"/>
            </c:ext>
          </c:extLst>
        </c:ser>
        <c:ser>
          <c:idx val="3"/>
          <c:order val="3"/>
          <c:tx>
            <c:strRef>
              <c:f>HRP!$O$86</c:f>
              <c:strCache>
                <c:ptCount val="1"/>
                <c:pt idx="0">
                  <c:v>Number of people with access to continuous sanitation services</c:v>
                </c:pt>
              </c:strCache>
            </c:strRef>
          </c:tx>
          <c:spPr>
            <a:solidFill>
              <a:schemeClr val="accent2">
                <a:lumMod val="75000"/>
              </a:schemeClr>
            </a:soli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HRP!$C$87:$C$89</c15:sqref>
                  </c15:fullRef>
                </c:ext>
              </c:extLst>
              <c:f>HRP!$C$89</c:f>
              <c:strCache>
                <c:ptCount val="1"/>
                <c:pt idx="0">
                  <c:v>Shan (North)</c:v>
                </c:pt>
              </c:strCache>
            </c:strRef>
          </c:cat>
          <c:val>
            <c:numRef>
              <c:extLst>
                <c:ext xmlns:c15="http://schemas.microsoft.com/office/drawing/2012/chart" uri="{02D57815-91ED-43cb-92C2-25804820EDAC}">
                  <c15:fullRef>
                    <c15:sqref>HRP!$O$87:$O$89</c15:sqref>
                  </c15:fullRef>
                </c:ext>
              </c:extLst>
              <c:f>HRP!$O$89</c:f>
              <c:numCache>
                <c:formatCode>0%</c:formatCode>
                <c:ptCount val="1"/>
                <c:pt idx="0">
                  <c:v>2.7345085209238732E-2</c:v>
                </c:pt>
              </c:numCache>
            </c:numRef>
          </c:val>
          <c:extLst xmlns:c16r2="http://schemas.microsoft.com/office/drawing/2015/06/chart">
            <c:ext xmlns:c16="http://schemas.microsoft.com/office/drawing/2014/chart" uri="{C3380CC4-5D6E-409C-BE32-E72D297353CC}">
              <c16:uniqueId val="{00000003-F480-4DCE-801A-53F23E268200}"/>
            </c:ext>
          </c:extLst>
        </c:ser>
        <c:ser>
          <c:idx val="4"/>
          <c:order val="4"/>
          <c:tx>
            <c:strRef>
              <c:f>HRP!$P$86</c:f>
              <c:strCache>
                <c:ptCount val="1"/>
                <c:pt idx="0">
                  <c:v>Number of people reached by regular dedicated hygiene promotion/behavior change activities</c:v>
                </c:pt>
              </c:strCache>
            </c:strRef>
          </c:tx>
          <c:spPr>
            <a:solidFill>
              <a:schemeClr val="accent6">
                <a:lumMod val="75000"/>
              </a:schemeClr>
            </a:soli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HRP!$C$87:$C$89</c15:sqref>
                  </c15:fullRef>
                </c:ext>
              </c:extLst>
              <c:f>HRP!$C$89</c:f>
              <c:strCache>
                <c:ptCount val="1"/>
                <c:pt idx="0">
                  <c:v>Shan (North)</c:v>
                </c:pt>
              </c:strCache>
            </c:strRef>
          </c:cat>
          <c:val>
            <c:numRef>
              <c:extLst>
                <c:ext xmlns:c15="http://schemas.microsoft.com/office/drawing/2012/chart" uri="{02D57815-91ED-43cb-92C2-25804820EDAC}">
                  <c15:fullRef>
                    <c15:sqref>HRP!$P$87:$P$89</c15:sqref>
                  </c15:fullRef>
                </c:ext>
              </c:extLst>
              <c:f>HRP!$P$89</c:f>
              <c:numCache>
                <c:formatCode>0%</c:formatCode>
                <c:ptCount val="1"/>
                <c:pt idx="0">
                  <c:v>0.39616192196884614</c:v>
                </c:pt>
              </c:numCache>
            </c:numRef>
          </c:val>
          <c:extLst xmlns:c16r2="http://schemas.microsoft.com/office/drawing/2015/06/chart">
            <c:ext xmlns:c16="http://schemas.microsoft.com/office/drawing/2014/chart" uri="{C3380CC4-5D6E-409C-BE32-E72D297353CC}">
              <c16:uniqueId val="{00000004-F480-4DCE-801A-53F23E268200}"/>
            </c:ext>
          </c:extLst>
        </c:ser>
        <c:ser>
          <c:idx val="5"/>
          <c:order val="5"/>
          <c:tx>
            <c:strRef>
              <c:f>HRP!$Q$86</c:f>
              <c:strCache>
                <c:ptCount val="1"/>
                <c:pt idx="0">
                  <c:v>Number of people who received regular supply of hygiene items</c:v>
                </c:pt>
              </c:strCache>
            </c:strRef>
          </c:tx>
          <c:spPr>
            <a:solidFill>
              <a:schemeClr val="accent6">
                <a:lumMod val="75000"/>
              </a:schemeClr>
            </a:soli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HRP!$C$87:$C$89</c15:sqref>
                  </c15:fullRef>
                </c:ext>
              </c:extLst>
              <c:f>HRP!$C$89</c:f>
              <c:strCache>
                <c:ptCount val="1"/>
                <c:pt idx="0">
                  <c:v>Shan (North)</c:v>
                </c:pt>
              </c:strCache>
            </c:strRef>
          </c:cat>
          <c:val>
            <c:numRef>
              <c:extLst>
                <c:ext xmlns:c15="http://schemas.microsoft.com/office/drawing/2012/chart" uri="{02D57815-91ED-43cb-92C2-25804820EDAC}">
                  <c15:fullRef>
                    <c15:sqref>HRP!$Q$87:$Q$89</c15:sqref>
                  </c15:fullRef>
                </c:ext>
              </c:extLst>
              <c:f>HRP!$Q$89</c:f>
              <c:numCache>
                <c:formatCode>0%</c:formatCode>
                <c:ptCount val="1"/>
                <c:pt idx="0">
                  <c:v>0.27100932662727673</c:v>
                </c:pt>
              </c:numCache>
            </c:numRef>
          </c:val>
          <c:extLst xmlns:c16r2="http://schemas.microsoft.com/office/drawing/2015/06/chart">
            <c:ext xmlns:c16="http://schemas.microsoft.com/office/drawing/2014/chart" uri="{C3380CC4-5D6E-409C-BE32-E72D297353CC}">
              <c16:uniqueId val="{00000005-F480-4DCE-801A-53F23E268200}"/>
            </c:ext>
          </c:extLst>
        </c:ser>
        <c:dLbls>
          <c:dLblPos val="outEnd"/>
          <c:showLegendKey val="0"/>
          <c:showVal val="1"/>
          <c:showCatName val="0"/>
          <c:showSerName val="0"/>
          <c:showPercent val="0"/>
          <c:showBubbleSize val="0"/>
        </c:dLbls>
        <c:gapWidth val="100"/>
        <c:overlap val="-24"/>
        <c:axId val="450936416"/>
        <c:axId val="450934064"/>
      </c:barChart>
      <c:catAx>
        <c:axId val="450936416"/>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n-US"/>
          </a:p>
        </c:txPr>
        <c:crossAx val="450934064"/>
        <c:crosses val="autoZero"/>
        <c:auto val="1"/>
        <c:lblAlgn val="ctr"/>
        <c:lblOffset val="100"/>
        <c:noMultiLvlLbl val="0"/>
      </c:catAx>
      <c:valAx>
        <c:axId val="4509340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5093641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200" b="1" i="0" baseline="0">
                <a:effectLst/>
              </a:rPr>
              <a:t>Latrine repaired and desludged</a:t>
            </a:r>
            <a:endParaRPr lang="en-US" sz="120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Analysis!$Z$96</c:f>
              <c:strCache>
                <c:ptCount val="1"/>
                <c:pt idx="0">
                  <c:v># latrines repairs</c:v>
                </c:pt>
              </c:strCache>
            </c:strRef>
          </c:tx>
          <c:spPr>
            <a:solidFill>
              <a:schemeClr val="accent2">
                <a:shade val="76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Analysis!$AA$91:$AB$91</c:f>
              <c:strCache>
                <c:ptCount val="2"/>
                <c:pt idx="0">
                  <c:v># in GCA (20:1)</c:v>
                </c:pt>
                <c:pt idx="1">
                  <c:v># in NGCA (20:1)</c:v>
                </c:pt>
              </c:strCache>
            </c:strRef>
          </c:cat>
          <c:val>
            <c:numRef>
              <c:f>Analysis!$AA$96:$AB$96</c:f>
              <c:numCache>
                <c:formatCode>_(* #,##0_);_(* \(#,##0\);_(* "-"??_);_(@_)</c:formatCode>
                <c:ptCount val="2"/>
                <c:pt idx="0">
                  <c:v>114</c:v>
                </c:pt>
                <c:pt idx="1">
                  <c:v>0</c:v>
                </c:pt>
              </c:numCache>
            </c:numRef>
          </c:val>
          <c:extLst xmlns:c16r2="http://schemas.microsoft.com/office/drawing/2015/06/chart">
            <c:ext xmlns:c16="http://schemas.microsoft.com/office/drawing/2014/chart" uri="{C3380CC4-5D6E-409C-BE32-E72D297353CC}">
              <c16:uniqueId val="{00000000-014A-4722-B456-E8907B7553F3}"/>
            </c:ext>
          </c:extLst>
        </c:ser>
        <c:ser>
          <c:idx val="1"/>
          <c:order val="1"/>
          <c:tx>
            <c:strRef>
              <c:f>Analysis!$Z$97</c:f>
              <c:strCache>
                <c:ptCount val="1"/>
                <c:pt idx="0">
                  <c:v># latrines desludged</c:v>
                </c:pt>
              </c:strCache>
            </c:strRef>
          </c:tx>
          <c:spPr>
            <a:solidFill>
              <a:schemeClr val="accent2">
                <a:tint val="77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Analysis!$AA$91:$AB$91</c:f>
              <c:strCache>
                <c:ptCount val="2"/>
                <c:pt idx="0">
                  <c:v># in GCA (20:1)</c:v>
                </c:pt>
                <c:pt idx="1">
                  <c:v># in NGCA (20:1)</c:v>
                </c:pt>
              </c:strCache>
            </c:strRef>
          </c:cat>
          <c:val>
            <c:numRef>
              <c:f>Analysis!$AA$97:$AB$97</c:f>
              <c:numCache>
                <c:formatCode>_(* #,##0_);_(* \(#,##0\);_(* "-"??_);_(@_)</c:formatCode>
                <c:ptCount val="2"/>
                <c:pt idx="0">
                  <c:v>7</c:v>
                </c:pt>
                <c:pt idx="1">
                  <c:v>0</c:v>
                </c:pt>
              </c:numCache>
            </c:numRef>
          </c:val>
          <c:extLst xmlns:c16r2="http://schemas.microsoft.com/office/drawing/2015/06/chart">
            <c:ext xmlns:c16="http://schemas.microsoft.com/office/drawing/2014/chart" uri="{C3380CC4-5D6E-409C-BE32-E72D297353CC}">
              <c16:uniqueId val="{00000001-014A-4722-B456-E8907B7553F3}"/>
            </c:ext>
          </c:extLst>
        </c:ser>
        <c:dLbls>
          <c:dLblPos val="ctr"/>
          <c:showLegendKey val="0"/>
          <c:showVal val="1"/>
          <c:showCatName val="0"/>
          <c:showSerName val="0"/>
          <c:showPercent val="0"/>
          <c:showBubbleSize val="0"/>
        </c:dLbls>
        <c:gapWidth val="150"/>
        <c:axId val="489827296"/>
        <c:axId val="489824944"/>
      </c:barChart>
      <c:catAx>
        <c:axId val="4898272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89824944"/>
        <c:crosses val="autoZero"/>
        <c:auto val="1"/>
        <c:lblAlgn val="ctr"/>
        <c:lblOffset val="100"/>
        <c:noMultiLvlLbl val="0"/>
      </c:catAx>
      <c:valAx>
        <c:axId val="489824944"/>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898272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accent1">
          <a:lumMod val="20000"/>
          <a:lumOff val="80000"/>
        </a:schemeClr>
      </a:solidFill>
      <a:round/>
    </a:ln>
    <a:effectLst/>
  </c:spPr>
  <c:txPr>
    <a:bodyPr/>
    <a:lstStyle/>
    <a:p>
      <a:pPr>
        <a:defRPr/>
      </a:pPr>
      <a:endParaRPr lang="en-US"/>
    </a:p>
  </c:txPr>
  <c:printSettings>
    <c:headerFooter/>
    <c:pageMargins b="0.75" l="0.7" r="0.7" t="0.75" header="0.3" footer="0.3"/>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r>
              <a:rPr lang="en-US" sz="1200"/>
              <a:t>% of Sites</a:t>
            </a:r>
            <a:r>
              <a:rPr lang="en-US" sz="1200" baseline="0"/>
              <a:t> which made w</a:t>
            </a:r>
            <a:r>
              <a:rPr lang="en-US" sz="1200"/>
              <a:t>ater quality test</a:t>
            </a:r>
            <a:r>
              <a:rPr lang="en-US" sz="1200" baseline="0"/>
              <a:t> </a:t>
            </a:r>
          </a:p>
        </c:rich>
      </c:tx>
      <c:layout>
        <c:manualLayout>
          <c:xMode val="edge"/>
          <c:yMode val="edge"/>
          <c:x val="0.17731774662279884"/>
          <c:y val="1.7610064637256933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0.10008148980671112"/>
          <c:y val="0.20532414698162729"/>
          <c:w val="0.35435970465904504"/>
          <c:h val="0.70230621172353458"/>
        </c:manualLayout>
      </c:layout>
      <c:pieChart>
        <c:varyColors val="1"/>
        <c:ser>
          <c:idx val="2"/>
          <c:order val="2"/>
          <c:tx>
            <c:strRef>
              <c:f>Analysis!$B$73</c:f>
              <c:strCache>
                <c:ptCount val="1"/>
                <c:pt idx="0">
                  <c:v>Shan (North)</c:v>
                </c:pt>
              </c:strCache>
              <c:extLst xmlns:c15="http://schemas.microsoft.com/office/drawing/2012/chart" xmlns:c16r2="http://schemas.microsoft.com/office/drawing/2015/06/chart"/>
            </c:strRef>
          </c:tx>
          <c:dPt>
            <c:idx val="0"/>
            <c:bubble3D val="0"/>
            <c:spPr>
              <a:solidFill>
                <a:schemeClr val="accent1">
                  <a:lumMod val="40000"/>
                  <a:lumOff val="60000"/>
                </a:schemeClr>
              </a:solidFill>
              <a:ln>
                <a:noFill/>
              </a:ln>
              <a:effectLst/>
            </c:spPr>
            <c:extLst xmlns:c16r2="http://schemas.microsoft.com/office/drawing/2015/06/chart">
              <c:ext xmlns:c16="http://schemas.microsoft.com/office/drawing/2014/chart" uri="{C3380CC4-5D6E-409C-BE32-E72D297353CC}">
                <c16:uniqueId val="{00000001-01BB-4664-A85C-365D5B3A80E7}"/>
              </c:ext>
            </c:extLst>
          </c:dPt>
          <c:dPt>
            <c:idx val="1"/>
            <c:bubble3D val="0"/>
            <c:explosion val="11"/>
            <c:spPr>
              <a:solidFill>
                <a:srgbClr val="0070C0"/>
              </a:solidFill>
              <a:ln>
                <a:noFill/>
              </a:ln>
              <a:effectLst/>
            </c:spPr>
            <c:extLst xmlns:c16r2="http://schemas.microsoft.com/office/drawing/2015/06/chart">
              <c:ext xmlns:c16="http://schemas.microsoft.com/office/drawing/2014/chart" uri="{C3380CC4-5D6E-409C-BE32-E72D297353CC}">
                <c16:uniqueId val="{00000003-01BB-4664-A85C-365D5B3A80E7}"/>
              </c:ext>
            </c:extLst>
          </c:dPt>
          <c:dLbls>
            <c:dLbl>
              <c:idx val="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dLbl>
            <c:dLbl>
              <c:idx val="1"/>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xmlns:c16r2="http://schemas.microsoft.com/office/drawing/2015/06/chart">
              <c:ext xmlns:c15="http://schemas.microsoft.com/office/drawing/2012/chart" uri="{CE6537A1-D6FC-4f65-9D91-7224C49458BB}"/>
            </c:extLst>
          </c:dLbls>
          <c:cat>
            <c:strRef>
              <c:f>Analysis!$C$70:$D$70</c:f>
              <c:strCache>
                <c:ptCount val="2"/>
                <c:pt idx="0">
                  <c:v>No Test</c:v>
                </c:pt>
                <c:pt idx="1">
                  <c:v>Tested</c:v>
                </c:pt>
              </c:strCache>
              <c:extLst xmlns:c15="http://schemas.microsoft.com/office/drawing/2012/chart" xmlns:c16r2="http://schemas.microsoft.com/office/drawing/2015/06/chart"/>
            </c:strRef>
          </c:cat>
          <c:val>
            <c:numRef>
              <c:f>Analysis!$C$73:$D$73</c:f>
              <c:numCache>
                <c:formatCode>General</c:formatCode>
                <c:ptCount val="2"/>
                <c:pt idx="0">
                  <c:v>29</c:v>
                </c:pt>
                <c:pt idx="1">
                  <c:v>6</c:v>
                </c:pt>
              </c:numCache>
              <c:extLst xmlns:c15="http://schemas.microsoft.com/office/drawing/2012/chart" xmlns:c16r2="http://schemas.microsoft.com/office/drawing/2015/06/chart"/>
            </c:numRef>
          </c:val>
          <c:extLst xmlns:c16r2="http://schemas.microsoft.com/office/drawing/2015/06/chart">
            <c:ext xmlns:c16="http://schemas.microsoft.com/office/drawing/2014/chart" uri="{C3380CC4-5D6E-409C-BE32-E72D297353CC}">
              <c16:uniqueId val="{00000004-01BB-4664-A85C-365D5B3A80E7}"/>
            </c:ext>
          </c:extLst>
        </c:ser>
        <c:dLbls>
          <c:showLegendKey val="0"/>
          <c:showVal val="0"/>
          <c:showCatName val="0"/>
          <c:showSerName val="0"/>
          <c:showPercent val="0"/>
          <c:showBubbleSize val="0"/>
          <c:showLeaderLines val="1"/>
        </c:dLbls>
        <c:firstSliceAng val="0"/>
        <c:extLst xmlns:c16r2="http://schemas.microsoft.com/office/drawing/2015/06/chart">
          <c:ext xmlns:c15="http://schemas.microsoft.com/office/drawing/2012/chart" uri="{02D57815-91ED-43cb-92C2-25804820EDAC}">
            <c15:filteredPieSeries>
              <c15:ser>
                <c:idx val="0"/>
                <c:order val="0"/>
                <c:tx>
                  <c:strRef>
                    <c:extLst xmlns:c16r2="http://schemas.microsoft.com/office/drawing/2015/06/chart">
                      <c:ext uri="{02D57815-91ED-43cb-92C2-25804820EDAC}">
                        <c15:formulaRef>
                          <c15:sqref>Analysis!$B$71</c15:sqref>
                        </c15:formulaRef>
                      </c:ext>
                    </c:extLst>
                    <c:strCache>
                      <c:ptCount val="1"/>
                      <c:pt idx="0">
                        <c:v>Kachin</c:v>
                      </c:pt>
                    </c:strCache>
                  </c:strRef>
                </c:tx>
                <c:dPt>
                  <c:idx val="0"/>
                  <c:bubble3D val="0"/>
                  <c:spPr>
                    <a:solidFill>
                      <a:schemeClr val="accent1">
                        <a:lumMod val="40000"/>
                        <a:lumOff val="60000"/>
                      </a:schemeClr>
                    </a:solidFill>
                    <a:ln>
                      <a:noFill/>
                    </a:ln>
                    <a:effectLst/>
                  </c:spPr>
                  <c:extLst xmlns:c16r2="http://schemas.microsoft.com/office/drawing/2015/06/chart">
                    <c:ext xmlns:c16="http://schemas.microsoft.com/office/drawing/2014/chart" uri="{C3380CC4-5D6E-409C-BE32-E72D297353CC}">
                      <c16:uniqueId val="{00000006-01BB-4664-A85C-365D5B3A80E7}"/>
                    </c:ext>
                  </c:extLst>
                </c:dPt>
                <c:dPt>
                  <c:idx val="1"/>
                  <c:bubble3D val="0"/>
                  <c:spPr>
                    <a:solidFill>
                      <a:srgbClr val="0070C0"/>
                    </a:solidFill>
                    <a:ln>
                      <a:noFill/>
                    </a:ln>
                    <a:effectLst/>
                  </c:spPr>
                  <c:extLst xmlns:c16r2="http://schemas.microsoft.com/office/drawing/2015/06/chart">
                    <c:ext xmlns:c16="http://schemas.microsoft.com/office/drawing/2014/chart" uri="{C3380CC4-5D6E-409C-BE32-E72D297353CC}">
                      <c16:uniqueId val="{00000008-01BB-4664-A85C-365D5B3A80E7}"/>
                    </c:ext>
                  </c:extLst>
                </c:dPt>
                <c:dLbls>
                  <c:dLbl>
                    <c:idx val="1"/>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dLbl>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xmlns:c16r2="http://schemas.microsoft.com/office/drawing/2015/06/chart">
                    <c:ext uri="{CE6537A1-D6FC-4f65-9D91-7224C49458BB}"/>
                  </c:extLst>
                </c:dLbls>
                <c:cat>
                  <c:strRef>
                    <c:extLst xmlns:c16r2="http://schemas.microsoft.com/office/drawing/2015/06/chart">
                      <c:ext uri="{02D57815-91ED-43cb-92C2-25804820EDAC}">
                        <c15:formulaRef>
                          <c15:sqref>Analysis!$C$70:$D$70</c15:sqref>
                        </c15:formulaRef>
                      </c:ext>
                    </c:extLst>
                    <c:strCache>
                      <c:ptCount val="2"/>
                      <c:pt idx="0">
                        <c:v>No Test</c:v>
                      </c:pt>
                      <c:pt idx="1">
                        <c:v>Tested</c:v>
                      </c:pt>
                    </c:strCache>
                  </c:strRef>
                </c:cat>
                <c:val>
                  <c:numRef>
                    <c:extLst xmlns:c16r2="http://schemas.microsoft.com/office/drawing/2015/06/chart">
                      <c:ext uri="{02D57815-91ED-43cb-92C2-25804820EDAC}">
                        <c15:formulaRef>
                          <c15:sqref>Analysis!$C$71:$D$71</c15:sqref>
                        </c15:formulaRef>
                      </c:ext>
                    </c:extLst>
                    <c:numCache>
                      <c:formatCode>General</c:formatCode>
                      <c:ptCount val="2"/>
                      <c:pt idx="0">
                        <c:v>114</c:v>
                      </c:pt>
                      <c:pt idx="1">
                        <c:v>15</c:v>
                      </c:pt>
                    </c:numCache>
                  </c:numRef>
                </c:val>
                <c:extLst xmlns:c16r2="http://schemas.microsoft.com/office/drawing/2015/06/chart">
                  <c:ext xmlns:c16="http://schemas.microsoft.com/office/drawing/2014/chart" uri="{C3380CC4-5D6E-409C-BE32-E72D297353CC}">
                    <c16:uniqueId val="{00000009-01BB-4664-A85C-365D5B3A80E7}"/>
                  </c:ext>
                </c:extLst>
              </c15:ser>
            </c15:filteredPieSeries>
            <c15:filteredPieSeries>
              <c15:ser>
                <c:idx val="1"/>
                <c:order val="1"/>
                <c:tx>
                  <c:strRef>
                    <c:extLst xmlns:c15="http://schemas.microsoft.com/office/drawing/2012/chart" xmlns:c16r2="http://schemas.microsoft.com/office/drawing/2015/06/chart">
                      <c:ext xmlns:c15="http://schemas.microsoft.com/office/drawing/2012/chart" uri="{02D57815-91ED-43cb-92C2-25804820EDAC}">
                        <c15:formulaRef>
                          <c15:sqref>Analysis!$B$72</c15:sqref>
                        </c15:formulaRef>
                      </c:ext>
                    </c:extLst>
                    <c:strCache>
                      <c:ptCount val="1"/>
                      <c:pt idx="0">
                        <c:v>Rakhine</c:v>
                      </c:pt>
                    </c:strCache>
                  </c:strRef>
                </c:tx>
                <c:dPt>
                  <c:idx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extLst xmlns:c15="http://schemas.microsoft.com/office/drawing/2012/chart" xmlns:c16r2="http://schemas.microsoft.com/office/drawing/2015/06/chart">
                    <c:ext xmlns:c16="http://schemas.microsoft.com/office/drawing/2014/chart" uri="{C3380CC4-5D6E-409C-BE32-E72D297353CC}">
                      <c16:uniqueId val="{0000000B-01BB-4664-A85C-365D5B3A80E7}"/>
                    </c:ext>
                  </c:extLst>
                </c:dPt>
                <c:dPt>
                  <c:idx val="1"/>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extLst xmlns:c15="http://schemas.microsoft.com/office/drawing/2012/chart" xmlns:c16r2="http://schemas.microsoft.com/office/drawing/2015/06/chart">
                    <c:ext xmlns:c16="http://schemas.microsoft.com/office/drawing/2014/chart" uri="{C3380CC4-5D6E-409C-BE32-E72D297353CC}">
                      <c16:uniqueId val="{0000000D-01BB-4664-A85C-365D5B3A80E7}"/>
                    </c:ext>
                  </c:extLst>
                </c:dPt>
                <c:cat>
                  <c:strRef>
                    <c:extLst xmlns:c15="http://schemas.microsoft.com/office/drawing/2012/chart" xmlns:c16r2="http://schemas.microsoft.com/office/drawing/2015/06/chart">
                      <c:ext xmlns:c15="http://schemas.microsoft.com/office/drawing/2012/chart" uri="{02D57815-91ED-43cb-92C2-25804820EDAC}">
                        <c15:formulaRef>
                          <c15:sqref>Analysis!$C$70:$D$70</c15:sqref>
                        </c15:formulaRef>
                      </c:ext>
                    </c:extLst>
                    <c:strCache>
                      <c:ptCount val="2"/>
                      <c:pt idx="0">
                        <c:v>No Test</c:v>
                      </c:pt>
                      <c:pt idx="1">
                        <c:v>Tested</c:v>
                      </c:pt>
                    </c:strCache>
                  </c:strRef>
                </c:cat>
                <c:val>
                  <c:numRef>
                    <c:extLst xmlns:c15="http://schemas.microsoft.com/office/drawing/2012/chart" xmlns:c16r2="http://schemas.microsoft.com/office/drawing/2015/06/chart">
                      <c:ext xmlns:c15="http://schemas.microsoft.com/office/drawing/2012/chart" uri="{02D57815-91ED-43cb-92C2-25804820EDAC}">
                        <c15:formulaRef>
                          <c15:sqref>Analysis!$C$72:$D$72</c15:sqref>
                        </c15:formulaRef>
                      </c:ext>
                    </c:extLst>
                    <c:numCache>
                      <c:formatCode>General</c:formatCode>
                      <c:ptCount val="2"/>
                      <c:pt idx="0">
                        <c:v>15</c:v>
                      </c:pt>
                      <c:pt idx="1">
                        <c:v>9</c:v>
                      </c:pt>
                    </c:numCache>
                  </c:numRef>
                </c:val>
                <c:extLst xmlns:c15="http://schemas.microsoft.com/office/drawing/2012/chart" xmlns:c16r2="http://schemas.microsoft.com/office/drawing/2015/06/chart">
                  <c:ext xmlns:c16="http://schemas.microsoft.com/office/drawing/2014/chart" uri="{C3380CC4-5D6E-409C-BE32-E72D297353CC}">
                    <c16:uniqueId val="{0000000E-01BB-4664-A85C-365D5B3A80E7}"/>
                  </c:ext>
                </c:extLst>
              </c15:ser>
            </c15:filteredPieSeries>
          </c:ext>
        </c:extLst>
      </c:pieChart>
      <c:spPr>
        <a:noFill/>
        <a:ln>
          <a:noFill/>
        </a:ln>
        <a:effectLst/>
      </c:spPr>
    </c:plotArea>
    <c:legend>
      <c:legendPos val="r"/>
      <c:layout>
        <c:manualLayout>
          <c:xMode val="edge"/>
          <c:yMode val="edge"/>
          <c:x val="0.71000939382107542"/>
          <c:y val="0.37318708197762412"/>
          <c:w val="0.20923682837940649"/>
          <c:h val="0.29267657675414727"/>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barChart>
        <c:barDir val="col"/>
        <c:grouping val="stacked"/>
        <c:varyColors val="0"/>
        <c:ser>
          <c:idx val="2"/>
          <c:order val="2"/>
          <c:tx>
            <c:strRef>
              <c:f>Analysis!$H$57</c:f>
              <c:strCache>
                <c:ptCount val="1"/>
                <c:pt idx="0">
                  <c:v>Shan (North)</c:v>
                </c:pt>
              </c:strCache>
              <c:extLst xmlns:c15="http://schemas.microsoft.com/office/drawing/2012/chart" xmlns:c16r2="http://schemas.microsoft.com/office/drawing/2015/06/chart"/>
            </c:strRef>
          </c:tx>
          <c:spPr>
            <a:solidFill>
              <a:schemeClr val="accent5"/>
            </a:soli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Analysis!$I$54:$J$54</c:f>
              <c:strCache>
                <c:ptCount val="2"/>
                <c:pt idx="0">
                  <c:v>% of FAIL water samples at HH</c:v>
                </c:pt>
                <c:pt idx="1">
                  <c:v>% of FAIL water samples at water source</c:v>
                </c:pt>
              </c:strCache>
              <c:extLst xmlns:c15="http://schemas.microsoft.com/office/drawing/2012/chart" xmlns:c16r2="http://schemas.microsoft.com/office/drawing/2015/06/chart"/>
            </c:strRef>
          </c:cat>
          <c:val>
            <c:numRef>
              <c:f>Analysis!$I$57:$J$57</c:f>
              <c:numCache>
                <c:formatCode>0%</c:formatCode>
                <c:ptCount val="2"/>
                <c:pt idx="0">
                  <c:v>0</c:v>
                </c:pt>
                <c:pt idx="1">
                  <c:v>1</c:v>
                </c:pt>
              </c:numCache>
              <c:extLst xmlns:c15="http://schemas.microsoft.com/office/drawing/2012/chart" xmlns:c16r2="http://schemas.microsoft.com/office/drawing/2015/06/chart"/>
            </c:numRef>
          </c:val>
          <c:extLst xmlns:c16r2="http://schemas.microsoft.com/office/drawing/2015/06/chart">
            <c:ext xmlns:c16="http://schemas.microsoft.com/office/drawing/2014/chart" uri="{C3380CC4-5D6E-409C-BE32-E72D297353CC}">
              <c16:uniqueId val="{00000000-99AD-47C7-84A8-EE690E608184}"/>
            </c:ext>
          </c:extLst>
        </c:ser>
        <c:dLbls>
          <c:dLblPos val="ctr"/>
          <c:showLegendKey val="0"/>
          <c:showVal val="1"/>
          <c:showCatName val="0"/>
          <c:showSerName val="0"/>
          <c:showPercent val="0"/>
          <c:showBubbleSize val="0"/>
        </c:dLbls>
        <c:gapWidth val="150"/>
        <c:overlap val="100"/>
        <c:axId val="489821024"/>
        <c:axId val="489825728"/>
        <c:extLst xmlns:c16r2="http://schemas.microsoft.com/office/drawing/2015/06/chart">
          <c:ext xmlns:c15="http://schemas.microsoft.com/office/drawing/2012/chart" uri="{02D57815-91ED-43cb-92C2-25804820EDAC}">
            <c15:filteredBarSeries>
              <c15:ser>
                <c:idx val="0"/>
                <c:order val="0"/>
                <c:tx>
                  <c:strRef>
                    <c:extLst xmlns:c16r2="http://schemas.microsoft.com/office/drawing/2015/06/chart">
                      <c:ext uri="{02D57815-91ED-43cb-92C2-25804820EDAC}">
                        <c15:formulaRef>
                          <c15:sqref>Analysis!$H$55</c15:sqref>
                        </c15:formulaRef>
                      </c:ext>
                    </c:extLst>
                    <c:strCache>
                      <c:ptCount val="1"/>
                      <c:pt idx="0">
                        <c:v>Kachin</c:v>
                      </c:pt>
                    </c:strCache>
                  </c:strRef>
                </c:tx>
                <c:spPr>
                  <a:gradFill rotWithShape="1">
                    <a:gsLst>
                      <a:gs pos="0">
                        <a:schemeClr val="accent1">
                          <a:shade val="65000"/>
                          <a:satMod val="103000"/>
                          <a:lumMod val="102000"/>
                          <a:tint val="94000"/>
                        </a:schemeClr>
                      </a:gs>
                      <a:gs pos="50000">
                        <a:schemeClr val="accent1">
                          <a:shade val="65000"/>
                          <a:satMod val="110000"/>
                          <a:lumMod val="100000"/>
                          <a:shade val="100000"/>
                        </a:schemeClr>
                      </a:gs>
                      <a:gs pos="100000">
                        <a:schemeClr val="accent1">
                          <a:shade val="65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6r2="http://schemas.microsoft.com/office/drawing/2015/06/char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6r2="http://schemas.microsoft.com/office/drawing/2015/06/chart">
                      <c:ext uri="{02D57815-91ED-43cb-92C2-25804820EDAC}">
                        <c15:formulaRef>
                          <c15:sqref>Analysis!$I$54:$J$54</c15:sqref>
                        </c15:formulaRef>
                      </c:ext>
                    </c:extLst>
                    <c:strCache>
                      <c:ptCount val="2"/>
                      <c:pt idx="0">
                        <c:v>% of FAIL water samples at HH</c:v>
                      </c:pt>
                      <c:pt idx="1">
                        <c:v>% of FAIL water samples at water source</c:v>
                      </c:pt>
                    </c:strCache>
                  </c:strRef>
                </c:cat>
                <c:val>
                  <c:numRef>
                    <c:extLst xmlns:c16r2="http://schemas.microsoft.com/office/drawing/2015/06/chart">
                      <c:ext uri="{02D57815-91ED-43cb-92C2-25804820EDAC}">
                        <c15:formulaRef>
                          <c15:sqref>Analysis!$I$55:$J$55</c15:sqref>
                        </c15:formulaRef>
                      </c:ext>
                    </c:extLst>
                    <c:numCache>
                      <c:formatCode>0%</c:formatCode>
                      <c:ptCount val="2"/>
                      <c:pt idx="0">
                        <c:v>0.38700817700817702</c:v>
                      </c:pt>
                      <c:pt idx="1">
                        <c:v>0.67777777777777781</c:v>
                      </c:pt>
                    </c:numCache>
                  </c:numRef>
                </c:val>
                <c:extLst xmlns:c16r2="http://schemas.microsoft.com/office/drawing/2015/06/chart">
                  <c:ext xmlns:c16="http://schemas.microsoft.com/office/drawing/2014/chart" uri="{C3380CC4-5D6E-409C-BE32-E72D297353CC}">
                    <c16:uniqueId val="{00000001-99AD-47C7-84A8-EE690E608184}"/>
                  </c:ext>
                </c:extLst>
              </c15:ser>
            </c15:filteredBarSeries>
            <c15:filteredBarSeries>
              <c15:ser>
                <c:idx val="1"/>
                <c:order val="1"/>
                <c:tx>
                  <c:strRef>
                    <c:extLst xmlns:c15="http://schemas.microsoft.com/office/drawing/2012/chart" xmlns:c16r2="http://schemas.microsoft.com/office/drawing/2015/06/chart">
                      <c:ext xmlns:c15="http://schemas.microsoft.com/office/drawing/2012/chart" uri="{02D57815-91ED-43cb-92C2-25804820EDAC}">
                        <c15:formulaRef>
                          <c15:sqref>Analysis!$H$56</c15:sqref>
                        </c15:formulaRef>
                      </c:ext>
                    </c:extLst>
                    <c:strCache>
                      <c:ptCount val="1"/>
                      <c:pt idx="0">
                        <c:v>Rakhine</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xmlns:c16r2="http://schemas.microsoft.com/office/drawing/2015/06/chart">
                      <c:ext xmlns:c15="http://schemas.microsoft.com/office/drawing/2012/chart" uri="{02D57815-91ED-43cb-92C2-25804820EDAC}">
                        <c15:formulaRef>
                          <c15:sqref>Analysis!$I$54:$J$54</c15:sqref>
                        </c15:formulaRef>
                      </c:ext>
                    </c:extLst>
                    <c:strCache>
                      <c:ptCount val="2"/>
                      <c:pt idx="0">
                        <c:v>% of FAIL water samples at HH</c:v>
                      </c:pt>
                      <c:pt idx="1">
                        <c:v>% of FAIL water samples at water source</c:v>
                      </c:pt>
                    </c:strCache>
                  </c:strRef>
                </c:cat>
                <c:val>
                  <c:numRef>
                    <c:extLst xmlns:c15="http://schemas.microsoft.com/office/drawing/2012/chart" xmlns:c16r2="http://schemas.microsoft.com/office/drawing/2015/06/chart">
                      <c:ext xmlns:c15="http://schemas.microsoft.com/office/drawing/2012/chart" uri="{02D57815-91ED-43cb-92C2-25804820EDAC}">
                        <c15:formulaRef>
                          <c15:sqref>Analysis!$I$56:$J$56</c15:sqref>
                        </c15:formulaRef>
                      </c:ext>
                    </c:extLst>
                    <c:numCache>
                      <c:formatCode>0%</c:formatCode>
                      <c:ptCount val="2"/>
                      <c:pt idx="0">
                        <c:v>0.28040167854790887</c:v>
                      </c:pt>
                      <c:pt idx="1">
                        <c:v>0.14664529898793155</c:v>
                      </c:pt>
                    </c:numCache>
                  </c:numRef>
                </c:val>
                <c:extLst xmlns:c15="http://schemas.microsoft.com/office/drawing/2012/chart" xmlns:c16r2="http://schemas.microsoft.com/office/drawing/2015/06/chart">
                  <c:ext xmlns:c16="http://schemas.microsoft.com/office/drawing/2014/chart" uri="{C3380CC4-5D6E-409C-BE32-E72D297353CC}">
                    <c16:uniqueId val="{00000002-99AD-47C7-84A8-EE690E608184}"/>
                  </c:ext>
                </c:extLst>
              </c15:ser>
            </c15:filteredBarSeries>
          </c:ext>
        </c:extLst>
      </c:barChart>
      <c:catAx>
        <c:axId val="489821024"/>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89825728"/>
        <c:crosses val="autoZero"/>
        <c:auto val="1"/>
        <c:lblAlgn val="ctr"/>
        <c:lblOffset val="100"/>
        <c:noMultiLvlLbl val="0"/>
      </c:catAx>
      <c:valAx>
        <c:axId val="489825728"/>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89821024"/>
        <c:crosses val="autoZero"/>
        <c:crossBetween val="between"/>
        <c:majorUnit val="0.2"/>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r>
              <a:rPr lang="en-US" sz="1200" b="1" i="0" baseline="0">
                <a:effectLst/>
              </a:rPr>
              <a:t>Funding Received/Gap as of 2018-Q1 (US$)</a:t>
            </a:r>
            <a:endParaRPr lang="en-US" sz="1200">
              <a:effectLst/>
            </a:endParaRPr>
          </a:p>
        </c:rich>
      </c:tx>
      <c:layout>
        <c:manualLayout>
          <c:xMode val="edge"/>
          <c:yMode val="edge"/>
          <c:x val="0.11599978966095977"/>
          <c:y val="7.6058751983135317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6.3155235845778909E-2"/>
          <c:y val="0.12570345741369923"/>
          <c:w val="0.85757010831834568"/>
          <c:h val="0.60861019088821189"/>
        </c:manualLayout>
      </c:layout>
      <c:barChart>
        <c:barDir val="bar"/>
        <c:grouping val="percentStacked"/>
        <c:varyColors val="0"/>
        <c:ser>
          <c:idx val="1"/>
          <c:order val="1"/>
          <c:tx>
            <c:strRef>
              <c:f>[8]Fund_Analysis_Rakhine!$C$72</c:f>
              <c:strCache>
                <c:ptCount val="1"/>
                <c:pt idx="0">
                  <c:v>Approximate Fund 2018</c:v>
                </c:pt>
              </c:strCache>
            </c:strRef>
          </c:tx>
          <c:spPr>
            <a:gradFill rotWithShape="1">
              <a:gsLst>
                <a:gs pos="0">
                  <a:schemeClr val="accent3">
                    <a:shade val="86000"/>
                    <a:satMod val="103000"/>
                    <a:lumMod val="102000"/>
                    <a:tint val="94000"/>
                  </a:schemeClr>
                </a:gs>
                <a:gs pos="50000">
                  <a:schemeClr val="accent3">
                    <a:shade val="86000"/>
                    <a:satMod val="110000"/>
                    <a:lumMod val="100000"/>
                    <a:shade val="100000"/>
                  </a:schemeClr>
                </a:gs>
                <a:gs pos="100000">
                  <a:schemeClr val="accent3">
                    <a:shade val="86000"/>
                    <a:lumMod val="99000"/>
                    <a:satMod val="120000"/>
                    <a:shade val="78000"/>
                  </a:schemeClr>
                </a:gs>
              </a:gsLst>
              <a:lin ang="5400000" scaled="0"/>
            </a:gradFill>
            <a:ln>
              <a:noFill/>
            </a:ln>
            <a:effectLst/>
          </c:spPr>
          <c:invertIfNegative val="0"/>
          <c:dLbls>
            <c:numFmt formatCode="&quot;$&quot;#,##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extLst>
                <c:ext xmlns:c15="http://schemas.microsoft.com/office/drawing/2012/chart" uri="{02D57815-91ED-43cb-92C2-25804820EDAC}">
                  <c15:fullRef>
                    <c15:sqref>[8]Fund_Analysis_Rakhine!$A$73:$A$75</c15:sqref>
                  </c15:fullRef>
                </c:ext>
              </c:extLst>
              <c:f>[8]Fund_Analysis_Rakhine!$A$73</c:f>
              <c:strCache>
                <c:ptCount val="1"/>
                <c:pt idx="0">
                  <c:v>Kachin/Shan</c:v>
                </c:pt>
              </c:strCache>
            </c:strRef>
          </c:cat>
          <c:val>
            <c:numRef>
              <c:extLst>
                <c:ext xmlns:c15="http://schemas.microsoft.com/office/drawing/2012/chart" uri="{02D57815-91ED-43cb-92C2-25804820EDAC}">
                  <c15:fullRef>
                    <c15:sqref>[8]Fund_Analysis_Rakhine!$C$73:$C$75</c15:sqref>
                  </c15:fullRef>
                </c:ext>
              </c:extLst>
              <c:f>[8]Fund_Analysis_Rakhine!$C$73</c:f>
              <c:numCache>
                <c:formatCode>General</c:formatCode>
                <c:ptCount val="1"/>
                <c:pt idx="0">
                  <c:v>1944515.5121868772</c:v>
                </c:pt>
              </c:numCache>
            </c:numRef>
          </c:val>
          <c:extLst xmlns:c16r2="http://schemas.microsoft.com/office/drawing/2015/06/chart">
            <c:ext xmlns:c16="http://schemas.microsoft.com/office/drawing/2014/chart" uri="{C3380CC4-5D6E-409C-BE32-E72D297353CC}">
              <c16:uniqueId val="{00000000-AC93-4358-AE24-FEEE9B09E622}"/>
            </c:ext>
          </c:extLst>
        </c:ser>
        <c:ser>
          <c:idx val="2"/>
          <c:order val="2"/>
          <c:tx>
            <c:strRef>
              <c:f>[8]Fund_Analysis_Rakhine!$D$72</c:f>
              <c:strCache>
                <c:ptCount val="1"/>
                <c:pt idx="0">
                  <c:v>Gap</c:v>
                </c:pt>
              </c:strCache>
            </c:strRef>
          </c:tx>
          <c:spPr>
            <a:gradFill rotWithShape="1">
              <a:gsLst>
                <a:gs pos="0">
                  <a:schemeClr val="accent3">
                    <a:tint val="86000"/>
                    <a:satMod val="103000"/>
                    <a:lumMod val="102000"/>
                    <a:tint val="94000"/>
                  </a:schemeClr>
                </a:gs>
                <a:gs pos="50000">
                  <a:schemeClr val="accent3">
                    <a:tint val="86000"/>
                    <a:satMod val="110000"/>
                    <a:lumMod val="100000"/>
                    <a:shade val="100000"/>
                  </a:schemeClr>
                </a:gs>
                <a:gs pos="100000">
                  <a:schemeClr val="accent3">
                    <a:tint val="86000"/>
                    <a:lumMod val="99000"/>
                    <a:satMod val="120000"/>
                    <a:shade val="78000"/>
                  </a:schemeClr>
                </a:gs>
              </a:gsLst>
              <a:lin ang="5400000" scaled="0"/>
            </a:gradFill>
            <a:ln>
              <a:noFill/>
            </a:ln>
            <a:effectLst/>
          </c:spPr>
          <c:invertIfNegative val="0"/>
          <c:dLbls>
            <c:numFmt formatCode="&quot;$&quot;#,##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extLst>
                <c:ext xmlns:c15="http://schemas.microsoft.com/office/drawing/2012/chart" uri="{02D57815-91ED-43cb-92C2-25804820EDAC}">
                  <c15:fullRef>
                    <c15:sqref>[8]Fund_Analysis_Rakhine!$A$73:$A$75</c15:sqref>
                  </c15:fullRef>
                </c:ext>
              </c:extLst>
              <c:f>[8]Fund_Analysis_Rakhine!$A$73</c:f>
              <c:strCache>
                <c:ptCount val="1"/>
                <c:pt idx="0">
                  <c:v>Kachin/Shan</c:v>
                </c:pt>
              </c:strCache>
            </c:strRef>
          </c:cat>
          <c:val>
            <c:numRef>
              <c:extLst>
                <c:ext xmlns:c15="http://schemas.microsoft.com/office/drawing/2012/chart" uri="{02D57815-91ED-43cb-92C2-25804820EDAC}">
                  <c15:fullRef>
                    <c15:sqref>[8]Fund_Analysis_Rakhine!$D$73:$D$75</c15:sqref>
                  </c15:fullRef>
                </c:ext>
              </c:extLst>
              <c:f>[8]Fund_Analysis_Rakhine!$D$73</c:f>
              <c:numCache>
                <c:formatCode>General</c:formatCode>
                <c:ptCount val="1"/>
                <c:pt idx="0">
                  <c:v>7755484.4878131226</c:v>
                </c:pt>
              </c:numCache>
            </c:numRef>
          </c:val>
          <c:extLst xmlns:c16r2="http://schemas.microsoft.com/office/drawing/2015/06/chart">
            <c:ext xmlns:c16="http://schemas.microsoft.com/office/drawing/2014/chart" uri="{C3380CC4-5D6E-409C-BE32-E72D297353CC}">
              <c16:uniqueId val="{00000001-AC93-4358-AE24-FEEE9B09E622}"/>
            </c:ext>
          </c:extLst>
        </c:ser>
        <c:dLbls>
          <c:dLblPos val="ctr"/>
          <c:showLegendKey val="0"/>
          <c:showVal val="1"/>
          <c:showCatName val="0"/>
          <c:showSerName val="0"/>
          <c:showPercent val="0"/>
          <c:showBubbleSize val="0"/>
        </c:dLbls>
        <c:gapWidth val="150"/>
        <c:overlap val="100"/>
        <c:axId val="489826120"/>
        <c:axId val="489824160"/>
        <c:extLst xmlns:c16r2="http://schemas.microsoft.com/office/drawing/2015/06/chart">
          <c:ext xmlns:c15="http://schemas.microsoft.com/office/drawing/2012/chart" uri="{02D57815-91ED-43cb-92C2-25804820EDAC}">
            <c15:filteredBarSeries>
              <c15:ser>
                <c:idx val="0"/>
                <c:order val="0"/>
                <c:tx>
                  <c:strRef>
                    <c:extLst xmlns:c16r2="http://schemas.microsoft.com/office/drawing/2015/06/chart">
                      <c:ext uri="{02D57815-91ED-43cb-92C2-25804820EDAC}">
                        <c15:formulaRef>
                          <c15:sqref>[8]Fund_Analysis_Rakhine!$B$72</c15:sqref>
                        </c15:formulaRef>
                      </c:ext>
                    </c:extLst>
                    <c:strCache>
                      <c:ptCount val="1"/>
                      <c:pt idx="0">
                        <c:v>Funding requirements</c:v>
                      </c:pt>
                    </c:strCache>
                  </c:strRef>
                </c:tx>
                <c:spPr>
                  <a:gradFill rotWithShape="1">
                    <a:gsLst>
                      <a:gs pos="0">
                        <a:schemeClr val="accent3">
                          <a:shade val="58000"/>
                          <a:satMod val="103000"/>
                          <a:lumMod val="102000"/>
                          <a:tint val="94000"/>
                        </a:schemeClr>
                      </a:gs>
                      <a:gs pos="50000">
                        <a:schemeClr val="accent3">
                          <a:shade val="58000"/>
                          <a:satMod val="110000"/>
                          <a:lumMod val="100000"/>
                          <a:shade val="100000"/>
                        </a:schemeClr>
                      </a:gs>
                      <a:gs pos="100000">
                        <a:schemeClr val="accent3">
                          <a:shade val="58000"/>
                          <a:lumMod val="99000"/>
                          <a:satMod val="120000"/>
                          <a:shade val="78000"/>
                        </a:schemeClr>
                      </a:gs>
                    </a:gsLst>
                    <a:lin ang="5400000" scaled="0"/>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showLeaderLines val="0"/>
                  <c:extLst xmlns:c16r2="http://schemas.microsoft.com/office/drawing/2015/06/chart">
                    <c:ext uri="{CE6537A1-D6FC-4f65-9D91-7224C49458BB}">
                      <c15:showLeaderLines val="1"/>
                      <c15:leaderLines>
                        <c:spPr>
                          <a:ln w="9525">
                            <a:solidFill>
                              <a:schemeClr val="tx2">
                                <a:lumMod val="35000"/>
                                <a:lumOff val="65000"/>
                              </a:schemeClr>
                            </a:solidFill>
                          </a:ln>
                          <a:effectLst/>
                        </c:spPr>
                      </c15:leaderLines>
                    </c:ext>
                  </c:extLst>
                </c:dLbls>
                <c:cat>
                  <c:strRef>
                    <c:extLst>
                      <c:ext uri="{02D57815-91ED-43cb-92C2-25804820EDAC}">
                        <c15:fullRef>
                          <c15:sqref>[8]Fund_Analysis_Rakhine!$A$73:$A$75</c15:sqref>
                        </c15:fullRef>
                        <c15:formulaRef>
                          <c15:sqref>[8]Fund_Analysis_Rakhine!$A$73</c15:sqref>
                        </c15:formulaRef>
                      </c:ext>
                    </c:extLst>
                    <c:strCache>
                      <c:ptCount val="1"/>
                      <c:pt idx="0">
                        <c:v>Kachin/Shan</c:v>
                      </c:pt>
                    </c:strCache>
                  </c:strRef>
                </c:cat>
                <c:val>
                  <c:numRef>
                    <c:extLst>
                      <c:ext uri="{02D57815-91ED-43cb-92C2-25804820EDAC}">
                        <c15:fullRef>
                          <c15:sqref>[8]Fund_Analysis_Rakhine!$B$73:$B$75</c15:sqref>
                        </c15:fullRef>
                        <c15:formulaRef>
                          <c15:sqref>[8]Fund_Analysis_Rakhine!$B$73</c15:sqref>
                        </c15:formulaRef>
                      </c:ext>
                    </c:extLst>
                    <c:numCache>
                      <c:formatCode>General</c:formatCode>
                      <c:ptCount val="1"/>
                      <c:pt idx="0">
                        <c:v>9700000</c:v>
                      </c:pt>
                    </c:numCache>
                  </c:numRef>
                </c:val>
                <c:extLst xmlns:c16r2="http://schemas.microsoft.com/office/drawing/2015/06/chart">
                  <c:ext xmlns:c16="http://schemas.microsoft.com/office/drawing/2014/chart" uri="{C3380CC4-5D6E-409C-BE32-E72D297353CC}">
                    <c16:uniqueId val="{00000002-AC93-4358-AE24-FEEE9B09E622}"/>
                  </c:ext>
                </c:extLst>
              </c15:ser>
            </c15:filteredBarSeries>
            <c15:filteredBarSeries>
              <c15:ser>
                <c:idx val="3"/>
                <c:order val="3"/>
                <c:tx>
                  <c:strRef>
                    <c:extLst xmlns:c15="http://schemas.microsoft.com/office/drawing/2012/chart" xmlns:c16r2="http://schemas.microsoft.com/office/drawing/2015/06/chart">
                      <c:ext xmlns:c15="http://schemas.microsoft.com/office/drawing/2012/chart" uri="{02D57815-91ED-43cb-92C2-25804820EDAC}">
                        <c15:formulaRef>
                          <c15:sqref>[8]Fund_Analysis_Rakhine!$E$72</c15:sqref>
                        </c15:formulaRef>
                      </c:ext>
                    </c:extLst>
                    <c:strCache>
                      <c:ptCount val="1"/>
                      <c:pt idx="0">
                        <c:v>%Gap</c:v>
                      </c:pt>
                    </c:strCache>
                  </c:strRef>
                </c:tx>
                <c:spPr>
                  <a:gradFill rotWithShape="1">
                    <a:gsLst>
                      <a:gs pos="0">
                        <a:schemeClr val="accent3">
                          <a:tint val="58000"/>
                          <a:satMod val="103000"/>
                          <a:lumMod val="102000"/>
                          <a:tint val="94000"/>
                        </a:schemeClr>
                      </a:gs>
                      <a:gs pos="50000">
                        <a:schemeClr val="accent3">
                          <a:tint val="58000"/>
                          <a:satMod val="110000"/>
                          <a:lumMod val="100000"/>
                          <a:shade val="100000"/>
                        </a:schemeClr>
                      </a:gs>
                      <a:gs pos="100000">
                        <a:schemeClr val="accent3">
                          <a:tint val="58000"/>
                          <a:lumMod val="99000"/>
                          <a:satMod val="120000"/>
                          <a:shade val="78000"/>
                        </a:schemeClr>
                      </a:gs>
                    </a:gsLst>
                    <a:lin ang="5400000" scaled="0"/>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xmlns:c16r2="http://schemas.microsoft.com/office/drawing/2015/06/char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extLst>
                      <c:ext xmlns:c15="http://schemas.microsoft.com/office/drawing/2012/chart" uri="{02D57815-91ED-43cb-92C2-25804820EDAC}">
                        <c15:fullRef>
                          <c15:sqref>[8]Fund_Analysis_Rakhine!$A$73:$A$75</c15:sqref>
                        </c15:fullRef>
                        <c15:formulaRef>
                          <c15:sqref>[8]Fund_Analysis_Rakhine!$A$73</c15:sqref>
                        </c15:formulaRef>
                      </c:ext>
                    </c:extLst>
                    <c:strCache>
                      <c:ptCount val="1"/>
                      <c:pt idx="0">
                        <c:v>Kachin/Shan</c:v>
                      </c:pt>
                    </c:strCache>
                  </c:strRef>
                </c:cat>
                <c:val>
                  <c:numRef>
                    <c:extLst>
                      <c:ext xmlns:c15="http://schemas.microsoft.com/office/drawing/2012/chart" uri="{02D57815-91ED-43cb-92C2-25804820EDAC}">
                        <c15:fullRef>
                          <c15:sqref>[8]Fund_Analysis_Rakhine!$E$73:$E$75</c15:sqref>
                        </c15:fullRef>
                        <c15:formulaRef>
                          <c15:sqref>[8]Fund_Analysis_Rakhine!$E$73</c15:sqref>
                        </c15:formulaRef>
                      </c:ext>
                    </c:extLst>
                    <c:numCache>
                      <c:formatCode>General</c:formatCode>
                      <c:ptCount val="1"/>
                      <c:pt idx="0">
                        <c:v>0.79953448327970333</c:v>
                      </c:pt>
                    </c:numCache>
                  </c:numRef>
                </c:val>
                <c:extLst xmlns:c15="http://schemas.microsoft.com/office/drawing/2012/chart" xmlns:c16r2="http://schemas.microsoft.com/office/drawing/2015/06/chart">
                  <c:ext xmlns:c16="http://schemas.microsoft.com/office/drawing/2014/chart" uri="{C3380CC4-5D6E-409C-BE32-E72D297353CC}">
                    <c16:uniqueId val="{00000003-AC93-4358-AE24-FEEE9B09E622}"/>
                  </c:ext>
                </c:extLst>
              </c15:ser>
            </c15:filteredBarSeries>
          </c:ext>
        </c:extLst>
      </c:barChart>
      <c:catAx>
        <c:axId val="489826120"/>
        <c:scaling>
          <c:orientation val="minMax"/>
        </c:scaling>
        <c:delete val="1"/>
        <c:axPos val="l"/>
        <c:numFmt formatCode="General" sourceLinked="1"/>
        <c:majorTickMark val="none"/>
        <c:minorTickMark val="none"/>
        <c:tickLblPos val="nextTo"/>
        <c:crossAx val="489824160"/>
        <c:crosses val="autoZero"/>
        <c:auto val="1"/>
        <c:lblAlgn val="ctr"/>
        <c:lblOffset val="100"/>
        <c:noMultiLvlLbl val="0"/>
      </c:catAx>
      <c:valAx>
        <c:axId val="489824160"/>
        <c:scaling>
          <c:orientation val="minMax"/>
        </c:scaling>
        <c:delete val="0"/>
        <c:axPos val="b"/>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489826120"/>
        <c:crosses val="autoZero"/>
        <c:crossBetween val="between"/>
      </c:valAx>
      <c:spPr>
        <a:noFill/>
        <a:ln>
          <a:noFill/>
        </a:ln>
        <a:effectLst/>
      </c:spPr>
    </c:plotArea>
    <c:legend>
      <c:legendPos val="b"/>
      <c:layout>
        <c:manualLayout>
          <c:xMode val="edge"/>
          <c:yMode val="edge"/>
          <c:x val="0.26772100930565496"/>
          <c:y val="0.86760028951173185"/>
          <c:w val="0.46455798138869003"/>
          <c:h val="0.1249927826194979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r>
              <a:rPr lang="en-US" sz="1200"/>
              <a:t>Funding Splits INGO, LNGO</a:t>
            </a:r>
          </a:p>
        </c:rich>
      </c:tx>
      <c:overlay val="0"/>
      <c:spPr>
        <a:noFill/>
        <a:ln>
          <a:noFill/>
        </a:ln>
        <a:effectLst/>
      </c:spPr>
      <c:txPr>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n-US"/>
        </a:p>
      </c:txPr>
    </c:title>
    <c:autoTitleDeleted val="0"/>
    <c:pivotFmts>
      <c:pivotFmt>
        <c:idx val="0"/>
        <c:spPr>
          <a:solidFill>
            <a:schemeClr val="bg1">
              <a:lumMod val="50000"/>
            </a:schemeClr>
          </a:solidFill>
          <a:ln>
            <a:noFill/>
          </a:ln>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12700">
              <a:solidFill>
                <a:schemeClr val="lt2"/>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
        <c:spPr>
          <a:solidFill>
            <a:schemeClr val="bg1">
              <a:lumMod val="65000"/>
            </a:schemeClr>
          </a:solidFill>
          <a:ln>
            <a:noFill/>
          </a:ln>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12700">
              <a:solidFill>
                <a:schemeClr val="lt2"/>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2"/>
        <c:spPr>
          <a:solidFill>
            <a:schemeClr val="bg1">
              <a:lumMod val="85000"/>
            </a:schemeClr>
          </a:solidFill>
          <a:ln>
            <a:noFill/>
          </a:ln>
          <a:effectLst/>
        </c:spPr>
        <c:marker>
          <c:symbol val="circle"/>
          <c:size val="6"/>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w="12700">
              <a:solidFill>
                <a:schemeClr val="lt2"/>
              </a:solidFill>
              <a:round/>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3"/>
        <c:spPr>
          <a:solidFill>
            <a:schemeClr val="bg1">
              <a:lumMod val="50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4"/>
        <c:spPr>
          <a:solidFill>
            <a:schemeClr val="bg1">
              <a:lumMod val="6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5"/>
        <c:spPr>
          <a:solidFill>
            <a:schemeClr val="bg1">
              <a:lumMod val="85000"/>
            </a:schemeClr>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s>
    <c:plotArea>
      <c:layout>
        <c:manualLayout>
          <c:layoutTarget val="inner"/>
          <c:xMode val="edge"/>
          <c:yMode val="edge"/>
          <c:x val="5.3039725239854396E-2"/>
          <c:y val="0.13778073286052009"/>
          <c:w val="0.87926005940445173"/>
          <c:h val="0.57355654678803447"/>
        </c:manualLayout>
      </c:layout>
      <c:barChart>
        <c:barDir val="bar"/>
        <c:grouping val="percentStacked"/>
        <c:varyColors val="0"/>
        <c:ser>
          <c:idx val="0"/>
          <c:order val="0"/>
          <c:tx>
            <c:v>INGO</c:v>
          </c:tx>
          <c:spPr>
            <a:solidFill>
              <a:schemeClr val="bg1">
                <a:lumMod val="50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Lit>
              <c:ptCount val="1"/>
              <c:pt idx="0">
                <c:v>Total</c:v>
              </c:pt>
            </c:strLit>
          </c:cat>
          <c:val>
            <c:numLit>
              <c:formatCode>General</c:formatCode>
              <c:ptCount val="1"/>
              <c:pt idx="0">
                <c:v>0.14474826454372514</c:v>
              </c:pt>
            </c:numLit>
          </c:val>
          <c:extLst xmlns:c16r2="http://schemas.microsoft.com/office/drawing/2015/06/chart">
            <c:ext xmlns:c16="http://schemas.microsoft.com/office/drawing/2014/chart" uri="{C3380CC4-5D6E-409C-BE32-E72D297353CC}">
              <c16:uniqueId val="{00000000-F602-470C-AF04-7E9B653BAFAB}"/>
            </c:ext>
          </c:extLst>
        </c:ser>
        <c:ser>
          <c:idx val="1"/>
          <c:order val="1"/>
          <c:tx>
            <c:v>LNGO</c:v>
          </c:tx>
          <c:spPr>
            <a:solidFill>
              <a:schemeClr val="bg1">
                <a:lumMod val="65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Lit>
              <c:ptCount val="1"/>
              <c:pt idx="0">
                <c:v>Total</c:v>
              </c:pt>
            </c:strLit>
          </c:cat>
          <c:val>
            <c:numLit>
              <c:formatCode>General</c:formatCode>
              <c:ptCount val="1"/>
              <c:pt idx="0">
                <c:v>0.1861859752117605</c:v>
              </c:pt>
            </c:numLit>
          </c:val>
          <c:extLst xmlns:c16r2="http://schemas.microsoft.com/office/drawing/2015/06/chart">
            <c:ext xmlns:c16="http://schemas.microsoft.com/office/drawing/2014/chart" uri="{C3380CC4-5D6E-409C-BE32-E72D297353CC}">
              <c16:uniqueId val="{00000001-F602-470C-AF04-7E9B653BAFAB}"/>
            </c:ext>
          </c:extLst>
        </c:ser>
        <c:ser>
          <c:idx val="2"/>
          <c:order val="2"/>
          <c:tx>
            <c:v>INGO/LNGO</c:v>
          </c:tx>
          <c:spPr>
            <a:solidFill>
              <a:schemeClr val="bg1">
                <a:lumMod val="85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Lit>
              <c:ptCount val="1"/>
              <c:pt idx="0">
                <c:v>Total</c:v>
              </c:pt>
            </c:strLit>
          </c:cat>
          <c:val>
            <c:numLit>
              <c:formatCode>General</c:formatCode>
              <c:ptCount val="1"/>
              <c:pt idx="0">
                <c:v>0.66906576024451436</c:v>
              </c:pt>
            </c:numLit>
          </c:val>
          <c:extLst xmlns:c16r2="http://schemas.microsoft.com/office/drawing/2015/06/chart">
            <c:ext xmlns:c16="http://schemas.microsoft.com/office/drawing/2014/chart" uri="{C3380CC4-5D6E-409C-BE32-E72D297353CC}">
              <c16:uniqueId val="{00000002-F602-470C-AF04-7E9B653BAFAB}"/>
            </c:ext>
          </c:extLst>
        </c:ser>
        <c:dLbls>
          <c:dLblPos val="ctr"/>
          <c:showLegendKey val="0"/>
          <c:showVal val="1"/>
          <c:showCatName val="0"/>
          <c:showSerName val="0"/>
          <c:showPercent val="0"/>
          <c:showBubbleSize val="0"/>
        </c:dLbls>
        <c:gapWidth val="150"/>
        <c:overlap val="100"/>
        <c:axId val="488259488"/>
        <c:axId val="488255568"/>
      </c:barChart>
      <c:catAx>
        <c:axId val="488259488"/>
        <c:scaling>
          <c:orientation val="minMax"/>
        </c:scaling>
        <c:delete val="1"/>
        <c:axPos val="l"/>
        <c:numFmt formatCode="General" sourceLinked="1"/>
        <c:majorTickMark val="none"/>
        <c:minorTickMark val="none"/>
        <c:tickLblPos val="nextTo"/>
        <c:crossAx val="488255568"/>
        <c:crosses val="autoZero"/>
        <c:auto val="1"/>
        <c:lblAlgn val="ctr"/>
        <c:lblOffset val="100"/>
        <c:noMultiLvlLbl val="0"/>
      </c:catAx>
      <c:valAx>
        <c:axId val="488255568"/>
        <c:scaling>
          <c:orientation val="minMax"/>
        </c:scaling>
        <c:delete val="0"/>
        <c:axPos val="b"/>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48825948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extLst xmlns:c16r2="http://schemas.microsoft.com/office/drawing/2015/06/chart"/>
</c:chartSpace>
</file>

<file path=xl/charts/chart9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r>
              <a:rPr lang="en-US" sz="1200" b="1" i="0" baseline="0">
                <a:effectLst/>
              </a:rPr>
              <a:t>Latrine Functionality</a:t>
            </a:r>
            <a:endParaRPr lang="en-US" sz="1200">
              <a:effectLst/>
            </a:endParaRPr>
          </a:p>
        </c:rich>
      </c:tx>
      <c:overlay val="0"/>
      <c:spPr>
        <a:noFill/>
        <a:ln>
          <a:noFill/>
        </a:ln>
        <a:effectLst/>
      </c:spPr>
      <c:txPr>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en-US"/>
        </a:p>
      </c:txPr>
    </c:title>
    <c:autoTitleDeleted val="0"/>
    <c:plotArea>
      <c:layout>
        <c:manualLayout>
          <c:layoutTarget val="inner"/>
          <c:xMode val="edge"/>
          <c:yMode val="edge"/>
          <c:x val="0.25758311461067368"/>
          <c:y val="0.23730424321959756"/>
          <c:w val="0.38216816647919011"/>
          <c:h val="0.6687942913385827"/>
        </c:manualLayout>
      </c:layout>
      <c:pieChart>
        <c:varyColors val="1"/>
        <c:ser>
          <c:idx val="0"/>
          <c:order val="0"/>
          <c:dPt>
            <c:idx val="0"/>
            <c:bubble3D val="0"/>
            <c:spPr>
              <a:solidFill>
                <a:schemeClr val="accent2">
                  <a:lumMod val="75000"/>
                </a:schemeClr>
              </a:solidFill>
              <a:ln>
                <a:noFill/>
              </a:ln>
              <a:effectLst/>
            </c:spPr>
            <c:extLst xmlns:c16r2="http://schemas.microsoft.com/office/drawing/2015/06/chart">
              <c:ext xmlns:c16="http://schemas.microsoft.com/office/drawing/2014/chart" uri="{C3380CC4-5D6E-409C-BE32-E72D297353CC}">
                <c16:uniqueId val="{00000001-2459-4622-81B0-FFE866AD0625}"/>
              </c:ext>
            </c:extLst>
          </c:dPt>
          <c:dPt>
            <c:idx val="1"/>
            <c:bubble3D val="0"/>
            <c:spPr>
              <a:solidFill>
                <a:schemeClr val="accent2">
                  <a:lumMod val="40000"/>
                  <a:lumOff val="60000"/>
                </a:schemeClr>
              </a:solidFill>
              <a:ln>
                <a:noFill/>
              </a:ln>
              <a:effectLst/>
            </c:spPr>
            <c:extLst xmlns:c16r2="http://schemas.microsoft.com/office/drawing/2015/06/chart">
              <c:ext xmlns:c16="http://schemas.microsoft.com/office/drawing/2014/chart" uri="{C3380CC4-5D6E-409C-BE32-E72D297353CC}">
                <c16:uniqueId val="{00000003-2459-4622-81B0-FFE866AD0625}"/>
              </c:ext>
            </c:extLst>
          </c:dPt>
          <c:dPt>
            <c:idx val="2"/>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c:spPr>
            <c:extLst xmlns:c16r2="http://schemas.microsoft.com/office/drawing/2015/06/chart">
              <c:ext xmlns:c16="http://schemas.microsoft.com/office/drawing/2014/chart" uri="{C3380CC4-5D6E-409C-BE32-E72D297353CC}">
                <c16:uniqueId val="{00000005-2459-4622-81B0-FFE866AD0625}"/>
              </c:ext>
            </c:extLst>
          </c:dPt>
          <c:dLbls>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dLbl>
            <c:dLbl>
              <c:idx val="2"/>
              <c:layout>
                <c:manualLayout>
                  <c:x val="8.8458468503612928E-3"/>
                  <c:y val="2.6954005128665314E-2"/>
                </c:manualLayout>
              </c:layout>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en-US"/>
                </a:p>
              </c:txPr>
              <c:showLegendKey val="0"/>
              <c:showVal val="0"/>
              <c:showCatName val="0"/>
              <c:showSerName val="0"/>
              <c:showPercent val="1"/>
              <c:showBubbleSize val="0"/>
              <c:extLst xmlns:c16r2="http://schemas.microsoft.com/office/drawing/2015/06/chart">
                <c:ext xmlns:c16="http://schemas.microsoft.com/office/drawing/2014/chart" uri="{C3380CC4-5D6E-409C-BE32-E72D297353CC}">
                  <c16:uniqueId val="{00000005-2459-4622-81B0-FFE866AD0625}"/>
                </c:ex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2"/>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xmlns:c16r2="http://schemas.microsoft.com/office/drawing/2015/06/chart">
              <c:ext xmlns:c15="http://schemas.microsoft.com/office/drawing/2012/chart" uri="{CE6537A1-D6FC-4f65-9D91-7224C49458BB}"/>
            </c:extLst>
          </c:dLbls>
          <c:cat>
            <c:strRef>
              <c:f>Analysis!$AD$92:$AD$94</c:f>
              <c:strCache>
                <c:ptCount val="3"/>
                <c:pt idx="0">
                  <c:v>Functioning</c:v>
                </c:pt>
                <c:pt idx="1">
                  <c:v>Reparis</c:v>
                </c:pt>
                <c:pt idx="2">
                  <c:v>Desludging</c:v>
                </c:pt>
              </c:strCache>
            </c:strRef>
          </c:cat>
          <c:val>
            <c:numRef>
              <c:f>Analysis!$AE$92:$AE$94</c:f>
              <c:numCache>
                <c:formatCode>_(* #,##0_);_(* \(#,##0\);_(* "-"??_);_(@_)</c:formatCode>
                <c:ptCount val="3"/>
                <c:pt idx="0">
                  <c:v>863</c:v>
                </c:pt>
                <c:pt idx="1">
                  <c:v>114</c:v>
                </c:pt>
                <c:pt idx="2">
                  <c:v>7</c:v>
                </c:pt>
              </c:numCache>
            </c:numRef>
          </c:val>
          <c:extLst xmlns:c16r2="http://schemas.microsoft.com/office/drawing/2015/06/chart">
            <c:ext xmlns:c16="http://schemas.microsoft.com/office/drawing/2014/chart" uri="{C3380CC4-5D6E-409C-BE32-E72D297353CC}">
              <c16:uniqueId val="{00000006-2459-4622-81B0-FFE866AD0625}"/>
            </c:ext>
          </c:extLst>
        </c:ser>
        <c:dLbls>
          <c:showLegendKey val="0"/>
          <c:showVal val="0"/>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accent1">
          <a:lumMod val="20000"/>
          <a:lumOff val="80000"/>
        </a:schemeClr>
      </a:solidFill>
      <a:round/>
    </a:ln>
    <a:effectLst/>
  </c:spPr>
  <c:txPr>
    <a:bodyPr/>
    <a:lstStyle/>
    <a:p>
      <a:pPr>
        <a:defRPr/>
      </a:pPr>
      <a:endParaRPr lang="en-US"/>
    </a:p>
  </c:txPr>
  <c:printSettings>
    <c:headerFooter/>
    <c:pageMargins b="0.75" l="0.7" r="0.7" t="0.75" header="0.3" footer="0.3"/>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n-US" sz="1200" b="1" i="0" baseline="0">
                <a:effectLst/>
              </a:rPr>
              <a:t>WASH in Temporary Learning Spaces </a:t>
            </a:r>
            <a:endParaRPr lang="en-US" sz="1200" b="1">
              <a:effectLst/>
            </a:endParaRPr>
          </a:p>
        </c:rich>
      </c:tx>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tx>
            <c:strRef>
              <c:f>Analysis!$C$295</c:f>
              <c:strCache>
                <c:ptCount val="1"/>
                <c:pt idx="0">
                  <c:v>Shan (North)</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Pt>
            <c:idx val="0"/>
            <c:invertIfNegative val="0"/>
            <c:bubble3D val="0"/>
            <c:spPr>
              <a:solidFill>
                <a:schemeClr val="accent6">
                  <a:lumMod val="60000"/>
                  <a:lumOff val="40000"/>
                </a:schemeClr>
              </a:solidFill>
              <a:ln>
                <a:noFill/>
              </a:ln>
              <a:effectLst>
                <a:outerShdw blurRad="57150" dist="19050" dir="5400000" algn="ctr" rotWithShape="0">
                  <a:srgbClr val="000000">
                    <a:alpha val="63000"/>
                  </a:srgbClr>
                </a:outerShdw>
              </a:effectLst>
            </c:spPr>
            <c:extLst xmlns:c16r2="http://schemas.microsoft.com/office/drawing/2015/06/chart">
              <c:ext xmlns:c16="http://schemas.microsoft.com/office/drawing/2014/chart" uri="{C3380CC4-5D6E-409C-BE32-E72D297353CC}">
                <c16:uniqueId val="{00000001-90ED-4ECC-9CB6-AC79A5F1B3C6}"/>
              </c:ext>
            </c:extLst>
          </c:dPt>
          <c:dPt>
            <c:idx val="1"/>
            <c:invertIfNegative val="0"/>
            <c:bubble3D val="0"/>
            <c:spPr>
              <a:solidFill>
                <a:schemeClr val="accent2">
                  <a:lumMod val="60000"/>
                  <a:lumOff val="40000"/>
                </a:schemeClr>
              </a:solidFill>
              <a:ln>
                <a:noFill/>
              </a:ln>
              <a:effectLst>
                <a:outerShdw blurRad="57150" dist="19050" dir="5400000" algn="ctr" rotWithShape="0">
                  <a:srgbClr val="000000">
                    <a:alpha val="63000"/>
                  </a:srgbClr>
                </a:outerShdw>
              </a:effectLst>
            </c:spPr>
            <c:extLst xmlns:c16r2="http://schemas.microsoft.com/office/drawing/2015/06/chart">
              <c:ext xmlns:c16="http://schemas.microsoft.com/office/drawing/2014/chart" uri="{C3380CC4-5D6E-409C-BE32-E72D297353CC}">
                <c16:uniqueId val="{00000003-90ED-4ECC-9CB6-AC79A5F1B3C6}"/>
              </c:ext>
            </c:extLst>
          </c:dPt>
          <c:dPt>
            <c:idx val="2"/>
            <c:invertIfNegative val="0"/>
            <c:bubble3D val="0"/>
            <c:spPr>
              <a:solidFill>
                <a:schemeClr val="accent2">
                  <a:lumMod val="75000"/>
                </a:schemeClr>
              </a:solidFill>
              <a:ln>
                <a:noFill/>
              </a:ln>
              <a:effectLst>
                <a:outerShdw blurRad="57150" dist="19050" dir="5400000" algn="ctr" rotWithShape="0">
                  <a:srgbClr val="000000">
                    <a:alpha val="63000"/>
                  </a:srgbClr>
                </a:outerShdw>
              </a:effectLst>
            </c:spPr>
            <c:extLst xmlns:c16r2="http://schemas.microsoft.com/office/drawing/2015/06/chart">
              <c:ext xmlns:c16="http://schemas.microsoft.com/office/drawing/2014/chart" uri="{C3380CC4-5D6E-409C-BE32-E72D297353CC}">
                <c16:uniqueId val="{00000005-90ED-4ECC-9CB6-AC79A5F1B3C6}"/>
              </c:ext>
            </c:extLst>
          </c:dPt>
          <c:dPt>
            <c:idx val="3"/>
            <c:invertIfNegative val="0"/>
            <c:bubble3D val="0"/>
            <c:spPr>
              <a:solidFill>
                <a:schemeClr val="accent6"/>
              </a:solidFill>
              <a:ln>
                <a:noFill/>
              </a:ln>
              <a:effectLst>
                <a:outerShdw blurRad="57150" dist="19050" dir="5400000" algn="ctr" rotWithShape="0">
                  <a:srgbClr val="000000">
                    <a:alpha val="63000"/>
                  </a:srgbClr>
                </a:outerShdw>
              </a:effectLst>
            </c:spPr>
            <c:extLst xmlns:c16r2="http://schemas.microsoft.com/office/drawing/2015/06/chart">
              <c:ext xmlns:c16="http://schemas.microsoft.com/office/drawing/2014/chart" uri="{C3380CC4-5D6E-409C-BE32-E72D297353CC}">
                <c16:uniqueId val="{00000006-0FB9-44F9-B1CE-FCAACCF20A5F}"/>
              </c:ext>
            </c:extLst>
          </c:dPt>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Analysis!$D$292:$G$292</c:f>
              <c:strCache>
                <c:ptCount val="4"/>
                <c:pt idx="0">
                  <c:v> # of hand washing stations with soap</c:v>
                </c:pt>
                <c:pt idx="1">
                  <c:v> # of children Latrine s</c:v>
                </c:pt>
                <c:pt idx="2">
                  <c:v> # of latrines in TLS (schools)</c:v>
                </c:pt>
                <c:pt idx="3">
                  <c:v> # of hand washing stations for TLS</c:v>
                </c:pt>
              </c:strCache>
            </c:strRef>
          </c:cat>
          <c:val>
            <c:numRef>
              <c:f>Analysis!$D$295:$G$295</c:f>
              <c:numCache>
                <c:formatCode>General</c:formatCode>
                <c:ptCount val="4"/>
                <c:pt idx="0">
                  <c:v>6</c:v>
                </c:pt>
                <c:pt idx="1">
                  <c:v>6</c:v>
                </c:pt>
                <c:pt idx="2">
                  <c:v>1</c:v>
                </c:pt>
                <c:pt idx="3">
                  <c:v>24</c:v>
                </c:pt>
              </c:numCache>
            </c:numRef>
          </c:val>
          <c:extLst xmlns:c16r2="http://schemas.microsoft.com/office/drawing/2015/06/chart">
            <c:ext xmlns:c16="http://schemas.microsoft.com/office/drawing/2014/chart" uri="{C3380CC4-5D6E-409C-BE32-E72D297353CC}">
              <c16:uniqueId val="{00000006-90ED-4ECC-9CB6-AC79A5F1B3C6}"/>
            </c:ext>
          </c:extLst>
        </c:ser>
        <c:dLbls>
          <c:showLegendKey val="0"/>
          <c:showVal val="0"/>
          <c:showCatName val="0"/>
          <c:showSerName val="0"/>
          <c:showPercent val="0"/>
          <c:showBubbleSize val="0"/>
        </c:dLbls>
        <c:gapWidth val="115"/>
        <c:overlap val="-20"/>
        <c:axId val="488260272"/>
        <c:axId val="488255960"/>
      </c:barChart>
      <c:catAx>
        <c:axId val="488260272"/>
        <c:scaling>
          <c:orientation val="minMax"/>
        </c:scaling>
        <c:delete val="1"/>
        <c:axPos val="l"/>
        <c:numFmt formatCode="General" sourceLinked="1"/>
        <c:majorTickMark val="none"/>
        <c:minorTickMark val="none"/>
        <c:tickLblPos val="nextTo"/>
        <c:crossAx val="488255960"/>
        <c:crosses val="autoZero"/>
        <c:auto val="1"/>
        <c:lblAlgn val="ctr"/>
        <c:lblOffset val="100"/>
        <c:noMultiLvlLbl val="0"/>
      </c:catAx>
      <c:valAx>
        <c:axId val="488255960"/>
        <c:scaling>
          <c:orientation val="minMax"/>
        </c:scaling>
        <c:delete val="1"/>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48826027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[2018_06_05_Myanmar_WASH_4W_2018_Q1_final.xlsx]By Camps!PivotTable1</c:name>
    <c:fmtId val="4"/>
  </c:pivotSource>
  <c:chart>
    <c:title>
      <c:tx>
        <c:strRef>
          <c:f>'By Camps'!$B$34</c:f>
          <c:strCache>
            <c:ptCount val="1"/>
            <c:pt idx="0">
              <c:v>(All)</c:v>
            </c:pt>
          </c:strCache>
        </c:strRef>
      </c:tx>
      <c:layout/>
      <c:overlay val="0"/>
      <c:spPr>
        <a:noFill/>
        <a:ln>
          <a:noFill/>
        </a:ln>
        <a:effectLst/>
      </c:spPr>
      <c:txPr>
        <a:bodyPr rot="0" spcFirstLastPara="1" vertOverflow="ellipsis" vert="horz" wrap="square" anchor="ctr" anchorCtr="1"/>
        <a:lstStyle/>
        <a:p>
          <a:pPr>
            <a:defRPr sz="1600" b="1" i="0" u="none" strike="noStrike" kern="1200" baseline="0">
              <a:solidFill>
                <a:schemeClr val="dk1"/>
              </a:solidFill>
              <a:latin typeface="+mn-lt"/>
              <a:ea typeface="+mn-ea"/>
              <a:cs typeface="+mn-cs"/>
            </a:defRPr>
          </a:pPr>
          <a:endParaRPr lang="en-US"/>
        </a:p>
      </c:txPr>
    </c:title>
    <c:autoTitleDeleted val="0"/>
    <c:pivotFmts>
      <c:pivotFmt>
        <c:idx val="0"/>
      </c:pivotFmt>
      <c:pivotFmt>
        <c:idx val="1"/>
      </c:pivotFmt>
      <c:pivotFmt>
        <c:idx val="2"/>
        <c:spPr>
          <a:solidFill>
            <a:schemeClr val="tx1"/>
          </a:solidFill>
          <a:ln>
            <a:noFill/>
          </a:ln>
          <a:effectLst/>
        </c:spPr>
        <c:marker>
          <c:symbol val="none"/>
        </c:marker>
      </c:pivotFmt>
      <c:pivotFmt>
        <c:idx val="3"/>
        <c:spPr>
          <a:solidFill>
            <a:schemeClr val="accent6">
              <a:lumMod val="75000"/>
            </a:schemeClr>
          </a:solidFill>
          <a:ln>
            <a:noFill/>
          </a:ln>
          <a:effectLst/>
        </c:spPr>
        <c:marker>
          <c:symbol val="none"/>
        </c:marker>
      </c:pivotFmt>
      <c:pivotFmt>
        <c:idx val="4"/>
        <c:spPr>
          <a:solidFill>
            <a:schemeClr val="accent2">
              <a:lumMod val="75000"/>
            </a:schemeClr>
          </a:solidFill>
          <a:ln>
            <a:noFill/>
          </a:ln>
          <a:effectLst/>
        </c:spPr>
        <c:marker>
          <c:symbol val="none"/>
        </c:marker>
      </c:pivotFmt>
      <c:pivotFmt>
        <c:idx val="5"/>
        <c:spPr>
          <a:solidFill>
            <a:srgbClr val="0070C0"/>
          </a:solidFill>
          <a:ln>
            <a:noFill/>
          </a:ln>
          <a:effectLst/>
        </c:spPr>
        <c:marker>
          <c:symbol val="none"/>
        </c:marker>
      </c:pivotFmt>
    </c:pivotFmts>
    <c:plotArea>
      <c:layout>
        <c:manualLayout>
          <c:layoutTarget val="inner"/>
          <c:xMode val="edge"/>
          <c:yMode val="edge"/>
          <c:x val="0.22539750826490748"/>
          <c:y val="0.11493115019255251"/>
          <c:w val="0.61261601843615388"/>
          <c:h val="0.82620867752909466"/>
        </c:manualLayout>
      </c:layout>
      <c:barChart>
        <c:barDir val="bar"/>
        <c:grouping val="clustered"/>
        <c:varyColors val="0"/>
        <c:ser>
          <c:idx val="0"/>
          <c:order val="0"/>
          <c:tx>
            <c:strRef>
              <c:f>'By Camps'!$B$34</c:f>
              <c:strCache>
                <c:ptCount val="1"/>
                <c:pt idx="0">
                  <c:v>Total Population</c:v>
                </c:pt>
              </c:strCache>
            </c:strRef>
          </c:tx>
          <c:spPr>
            <a:solidFill>
              <a:schemeClr val="tx1"/>
            </a:solidFill>
            <a:ln>
              <a:noFill/>
            </a:ln>
            <a:effectLst/>
          </c:spPr>
          <c:invertIfNegative val="0"/>
          <c:cat>
            <c:strRef>
              <c:f>'By Camps'!$B$34</c:f>
              <c:strCache>
                <c:ptCount val="382"/>
                <c:pt idx="0">
                  <c:v>5 Ward RC Church(lon Khin)</c:v>
                </c:pt>
                <c:pt idx="1">
                  <c:v>AD-2000 Extension camp</c:v>
                </c:pt>
                <c:pt idx="2">
                  <c:v>AD-2000 Tharthana Compound</c:v>
                </c:pt>
                <c:pt idx="3">
                  <c:v>AG Church, Hmaw Si Sa</c:v>
                </c:pt>
                <c:pt idx="4">
                  <c:v>AG Church, Maw Wan</c:v>
                </c:pt>
                <c:pt idx="5">
                  <c:v>Agritural Compound (KBC)</c:v>
                </c:pt>
                <c:pt idx="6">
                  <c:v>Ah Hla Sin</c:v>
                </c:pt>
                <c:pt idx="7">
                  <c:v>Ah Htet Gar Pu</c:v>
                </c:pt>
                <c:pt idx="8">
                  <c:v>Ah Htet Nan Yar (Muslim)</c:v>
                </c:pt>
                <c:pt idx="9">
                  <c:v>Ah Htet See Maung</c:v>
                </c:pt>
                <c:pt idx="10">
                  <c:v>Ah Lar Than</c:v>
                </c:pt>
                <c:pt idx="11">
                  <c:v>Ah Lel Mu</c:v>
                </c:pt>
                <c:pt idx="12">
                  <c:v>Ah Nauk Pyin</c:v>
                </c:pt>
                <c:pt idx="13">
                  <c:v>Ah Nauk Ye Ku Lar</c:v>
                </c:pt>
                <c:pt idx="14">
                  <c:v>Ah Nauk Ywe</c:v>
                </c:pt>
                <c:pt idx="15">
                  <c:v>Ah Pauk Wa</c:v>
                </c:pt>
                <c:pt idx="16">
                  <c:v>Ahla Madi</c:v>
                </c:pt>
                <c:pt idx="17">
                  <c:v>Aung Daing </c:v>
                </c:pt>
                <c:pt idx="18">
                  <c:v>Aung Thar Church</c:v>
                </c:pt>
                <c:pt idx="19">
                  <c:v>Aung Thar Yar</c:v>
                </c:pt>
                <c:pt idx="20">
                  <c:v>Aung Thar Yar (NaTaLa)</c:v>
                </c:pt>
                <c:pt idx="21">
                  <c:v>Baptist Church, Hmaw Si Sar(Lon Khin)</c:v>
                </c:pt>
                <c:pt idx="22">
                  <c:v>Bar Sa Yar Host</c:v>
                </c:pt>
                <c:pt idx="23">
                  <c:v>Basare</c:v>
                </c:pt>
                <c:pt idx="24">
                  <c:v>Baw Di Kone</c:v>
                </c:pt>
                <c:pt idx="25">
                  <c:v>Baw Du Pha (IDP in host families)</c:v>
                </c:pt>
                <c:pt idx="26">
                  <c:v>Baw Du Pha 1</c:v>
                </c:pt>
                <c:pt idx="27">
                  <c:v>Baw Du Pha 2</c:v>
                </c:pt>
                <c:pt idx="28">
                  <c:v>Baw Du Pha village</c:v>
                </c:pt>
                <c:pt idx="29">
                  <c:v>Bhamo_Host Families</c:v>
                </c:pt>
                <c:pt idx="30">
                  <c:v>Border Post 8</c:v>
                </c:pt>
                <c:pt idx="31">
                  <c:v>Bu Chaung</c:v>
                </c:pt>
                <c:pt idx="32">
                  <c:v>Bu May</c:v>
                </c:pt>
                <c:pt idx="33">
                  <c:v>Bum Tsit Pa</c:v>
                </c:pt>
                <c:pt idx="34">
                  <c:v>Chaik Taung</c:v>
                </c:pt>
                <c:pt idx="35">
                  <c:v>Cheit Taung</c:v>
                </c:pt>
                <c:pt idx="36">
                  <c:v>Chi Laing Hpin</c:v>
                </c:pt>
                <c:pt idx="37">
                  <c:v>Chin Church, Seik Mu</c:v>
                </c:pt>
                <c:pt idx="38">
                  <c:v>Chin Kone</c:v>
                </c:pt>
                <c:pt idx="39">
                  <c:v>Chin Ywa(Pyaing Taung)</c:v>
                </c:pt>
                <c:pt idx="40">
                  <c:v>Chipwi KBC camp</c:v>
                </c:pt>
                <c:pt idx="41">
                  <c:v>Chut Pyin</c:v>
                </c:pt>
                <c:pt idx="42">
                  <c:v>Dar Let (North)</c:v>
                </c:pt>
                <c:pt idx="43">
                  <c:v>Dar Let (South)</c:v>
                </c:pt>
                <c:pt idx="44">
                  <c:v>Dar Let Ah Lel Kyun</c:v>
                </c:pt>
                <c:pt idx="45">
                  <c:v>Dar Pai</c:v>
                </c:pt>
                <c:pt idx="46">
                  <c:v>Dar Pai (IDP in host families)</c:v>
                </c:pt>
                <c:pt idx="47">
                  <c:v>Dar Paing Village</c:v>
                </c:pt>
                <c:pt idx="48">
                  <c:v>Dar Peit</c:v>
                </c:pt>
                <c:pt idx="49">
                  <c:v>Daung Pyauk Kay</c:v>
                </c:pt>
                <c:pt idx="50">
                  <c:v>Dhama Rakhita, Nyein Chan Tar Yar Ward(Lon Khin)</c:v>
                </c:pt>
                <c:pt idx="51">
                  <c:v>Doke Kan Chaung</c:v>
                </c:pt>
                <c:pt idx="52">
                  <c:v>Done Pyin Village</c:v>
                </c:pt>
                <c:pt idx="53">
                  <c:v>Du Kahtawng Baptist</c:v>
                </c:pt>
                <c:pt idx="54">
                  <c:v>Dum Bung </c:v>
                </c:pt>
                <c:pt idx="55">
                  <c:v>Gar Pu (Lower)</c:v>
                </c:pt>
                <c:pt idx="56">
                  <c:v>Gaw Yaw Ma Ni</c:v>
                </c:pt>
                <c:pt idx="57">
                  <c:v>Goke Pi Htaunt</c:v>
                </c:pt>
                <c:pt idx="58">
                  <c:v>Goke Pi Htaunt (Rakhine)</c:v>
                </c:pt>
                <c:pt idx="59">
                  <c:v>Hka Shi</c:v>
                </c:pt>
                <c:pt idx="60">
                  <c:v>Hkat Cho </c:v>
                </c:pt>
                <c:pt idx="61">
                  <c:v>Hkau Shau (BP 12)</c:v>
                </c:pt>
                <c:pt idx="62">
                  <c:v>Hla May Shwe</c:v>
                </c:pt>
                <c:pt idx="63">
                  <c:v>Hla Nyo Kan</c:v>
                </c:pt>
                <c:pt idx="64">
                  <c:v>Hlaing Naung Baptist</c:v>
                </c:pt>
                <c:pt idx="65">
                  <c:v>Hmanzi </c:v>
                </c:pt>
                <c:pt idx="66">
                  <c:v>Hmaw Wan, Anglican</c:v>
                </c:pt>
                <c:pt idx="67">
                  <c:v>Hopin Host Families</c:v>
                </c:pt>
                <c:pt idx="68">
                  <c:v>Hpai Kawng</c:v>
                </c:pt>
                <c:pt idx="69">
                  <c:v>Hpai Kawng Mare</c:v>
                </c:pt>
                <c:pt idx="70">
                  <c:v>Hpakant Baptist Church, Nam Ma Hpit</c:v>
                </c:pt>
                <c:pt idx="71">
                  <c:v>Hpar Wut Chaung</c:v>
                </c:pt>
                <c:pt idx="72">
                  <c:v>Hpare Hkyer - BP6</c:v>
                </c:pt>
                <c:pt idx="73">
                  <c:v>Hpun Lum Yang </c:v>
                </c:pt>
                <c:pt idx="74">
                  <c:v>Htoi San Church</c:v>
                </c:pt>
                <c:pt idx="75">
                  <c:v>IDP Boarding School, A Len Bum</c:v>
                </c:pt>
                <c:pt idx="76">
                  <c:v>In Bar Yi</c:v>
                </c:pt>
                <c:pt idx="77">
                  <c:v>Inn Hpauk</c:v>
                </c:pt>
                <c:pt idx="78">
                  <c:v>Inn Lel Yan - Host Families</c:v>
                </c:pt>
                <c:pt idx="79">
                  <c:v>Jan Mai Kawng Baptist Church</c:v>
                </c:pt>
                <c:pt idx="80">
                  <c:v>Jan Mai Kawng Catholic Church</c:v>
                </c:pt>
                <c:pt idx="81">
                  <c:v>Je Yang Hka </c:v>
                </c:pt>
                <c:pt idx="82">
                  <c:v>Jwan Jaw KBC</c:v>
                </c:pt>
                <c:pt idx="83">
                  <c:v>Ka Nyin</c:v>
                </c:pt>
                <c:pt idx="84">
                  <c:v>Ka Nyin Taw</c:v>
                </c:pt>
                <c:pt idx="85">
                  <c:v>Kachin Su Baptist Church (ECCD)</c:v>
                </c:pt>
                <c:pt idx="86">
                  <c:v>Kan Chaung Wa</c:v>
                </c:pt>
                <c:pt idx="87">
                  <c:v>Kan Ni</c:v>
                </c:pt>
                <c:pt idx="88">
                  <c:v>Kan Pyin</c:v>
                </c:pt>
                <c:pt idx="89">
                  <c:v>Kan Thar Htwat Wa</c:v>
                </c:pt>
                <c:pt idx="90">
                  <c:v>Kan Za Li</c:v>
                </c:pt>
                <c:pt idx="91">
                  <c:v>Kar Di</c:v>
                </c:pt>
                <c:pt idx="92">
                  <c:v>Kha Yan Kyun</c:v>
                </c:pt>
                <c:pt idx="93">
                  <c:v>Khar Nan (1) Baptist Church</c:v>
                </c:pt>
                <c:pt idx="94">
                  <c:v>Khaung Doke Khar</c:v>
                </c:pt>
                <c:pt idx="95">
                  <c:v>Khaung Htoke</c:v>
                </c:pt>
                <c:pt idx="96">
                  <c:v>Khun Sint Village</c:v>
                </c:pt>
                <c:pt idx="97">
                  <c:v>Kin Chaung</c:v>
                </c:pt>
                <c:pt idx="98">
                  <c:v>Kin Taung (Taung + Myauk)</c:v>
                </c:pt>
                <c:pt idx="99">
                  <c:v>Kone Khem Camp</c:v>
                </c:pt>
                <c:pt idx="100">
                  <c:v>Kone Tan</c:v>
                </c:pt>
                <c:pt idx="101">
                  <c:v>Kutkai downtown (KBC Church)</c:v>
                </c:pt>
                <c:pt idx="102">
                  <c:v>Kutkai downtown (KBC Church-2)</c:v>
                </c:pt>
                <c:pt idx="103">
                  <c:v>Kutkai downtown (RC Church)</c:v>
                </c:pt>
                <c:pt idx="104">
                  <c:v>Kutkhai KBC-2 (Block-6)</c:v>
                </c:pt>
                <c:pt idx="105">
                  <c:v>Kwayt Shey Ywar Thit
(Kwayt Shay)</c:v>
                </c:pt>
                <c:pt idx="106">
                  <c:v>Kyar Nyo Inn</c:v>
                </c:pt>
                <c:pt idx="107">
                  <c:v>Kyauk Sar Taing</c:v>
                </c:pt>
                <c:pt idx="108">
                  <c:v>Kyauk Se</c:v>
                </c:pt>
                <c:pt idx="109">
                  <c:v>Kyauk Ta Lone</c:v>
                </c:pt>
                <c:pt idx="110">
                  <c:v>Kyaung Swae Phyu</c:v>
                </c:pt>
                <c:pt idx="111">
                  <c:v>Kyeik Chaung</c:v>
                </c:pt>
                <c:pt idx="112">
                  <c:v>Kyein Chaung</c:v>
                </c:pt>
                <c:pt idx="113">
                  <c:v>Kyein Ni Pyin</c:v>
                </c:pt>
                <c:pt idx="114">
                  <c:v>Kyet Taw Pyin</c:v>
                </c:pt>
                <c:pt idx="115">
                  <c:v>Kyone Pyin</c:v>
                </c:pt>
                <c:pt idx="116">
                  <c:v>Kyu Sot</c:v>
                </c:pt>
                <c:pt idx="117">
                  <c:v>Kyun Pin Thar Baptist Church</c:v>
                </c:pt>
                <c:pt idx="118">
                  <c:v>Kyun Taw Baptist Church </c:v>
                </c:pt>
                <c:pt idx="119">
                  <c:v>Kywe Lan Chaung</c:v>
                </c:pt>
                <c:pt idx="120">
                  <c:v>Kywi Te</c:v>
                </c:pt>
                <c:pt idx="121">
                  <c:v>La Mu Ta Pin</c:v>
                </c:pt>
                <c:pt idx="122">
                  <c:v>Laiza Je Yang School</c:v>
                </c:pt>
                <c:pt idx="123">
                  <c:v>Lana Zup Ja</c:v>
                </c:pt>
                <c:pt idx="124">
                  <c:v>Laung Sat</c:v>
                </c:pt>
                <c:pt idx="125">
                  <c:v>Lawk Awng Mare D. (Sinbo Area)</c:v>
                </c:pt>
                <c:pt idx="126">
                  <c:v>Lawng Hkang Shait Yang Camp​ ( Lel Pyin)​ </c:v>
                </c:pt>
                <c:pt idx="127">
                  <c:v>Le Kone Bethlehem Church</c:v>
                </c:pt>
                <c:pt idx="128">
                  <c:v>Le Kone Ziun Baptist Church </c:v>
                </c:pt>
                <c:pt idx="129">
                  <c:v>Let Saung Kauk</c:v>
                </c:pt>
                <c:pt idx="130">
                  <c:v>Let Than Chi (Haung)</c:v>
                </c:pt>
                <c:pt idx="131">
                  <c:v>Let Than Chi (Ywar Thit)</c:v>
                </c:pt>
                <c:pt idx="132">
                  <c:v>Lhaovao Baptist Church (LBC)</c:v>
                </c:pt>
                <c:pt idx="133">
                  <c:v>Lisu Baptist Church</c:v>
                </c:pt>
                <c:pt idx="134">
                  <c:v>Lisu Baptist Church, Maw Shan Vil,. Seik Mu</c:v>
                </c:pt>
                <c:pt idx="135">
                  <c:v>Lisu Baptist Church, Maw Wan Ward</c:v>
                </c:pt>
                <c:pt idx="136">
                  <c:v>Lisu Boarding-House</c:v>
                </c:pt>
                <c:pt idx="137">
                  <c:v>Lisu Church Namtu</c:v>
                </c:pt>
                <c:pt idx="138">
                  <c:v>Loi Je Baptist Church</c:v>
                </c:pt>
                <c:pt idx="139">
                  <c:v>Loi Je Catholic Church</c:v>
                </c:pt>
                <c:pt idx="140">
                  <c:v>Loi Je Lisu Camp</c:v>
                </c:pt>
                <c:pt idx="141">
                  <c:v>Lone Tin</c:v>
                </c:pt>
                <c:pt idx="142">
                  <c:v>Lun Kyaw</c:v>
                </c:pt>
                <c:pt idx="143">
                  <c:v>Lung Sut</c:v>
                </c:pt>
                <c:pt idx="144">
                  <c:v>Lwegel High School</c:v>
                </c:pt>
                <c:pt idx="145">
                  <c:v>Ma Hawng RC </c:v>
                </c:pt>
                <c:pt idx="146">
                  <c:v>Mading Baptist Church</c:v>
                </c:pt>
                <c:pt idx="147">
                  <c:v>Maga Yang </c:v>
                </c:pt>
                <c:pt idx="148">
                  <c:v>Mai Yu Lay Ta'ang</c:v>
                </c:pt>
                <c:pt idx="149">
                  <c:v>Maina AG Church</c:v>
                </c:pt>
                <c:pt idx="150">
                  <c:v>Maina Catholic Church (St. Joseph)</c:v>
                </c:pt>
                <c:pt idx="151">
                  <c:v>Maina KBC (Bawng Ring)</c:v>
                </c:pt>
                <c:pt idx="152">
                  <c:v>Maina Lawang Baptist Church</c:v>
                </c:pt>
                <c:pt idx="153">
                  <c:v>Maing Khaung</c:v>
                </c:pt>
                <c:pt idx="154">
                  <c:v>Maing Khaung Catholic Church</c:v>
                </c:pt>
                <c:pt idx="155">
                  <c:v>Maliyang Baptist Church</c:v>
                </c:pt>
                <c:pt idx="156">
                  <c:v>Man Bung Catholic compound</c:v>
                </c:pt>
                <c:pt idx="157">
                  <c:v>Man Bung Edin Baptist Church</c:v>
                </c:pt>
                <c:pt idx="158">
                  <c:v>Man Hkring Baptist Church</c:v>
                </c:pt>
                <c:pt idx="159">
                  <c:v>Man Kaung/Naung Ti Kyar Village</c:v>
                </c:pt>
                <c:pt idx="160">
                  <c:v>Man Loi</c:v>
                </c:pt>
                <c:pt idx="161">
                  <c:v>Man Sa</c:v>
                </c:pt>
                <c:pt idx="162">
                  <c:v>Man Wing Baptist Church</c:v>
                </c:pt>
                <c:pt idx="163">
                  <c:v>Man Wing Baptist Church Cultural Compound</c:v>
                </c:pt>
                <c:pt idx="164">
                  <c:v>Man Wing Catholic Church</c:v>
                </c:pt>
                <c:pt idx="165">
                  <c:v>Man Wing Catholic Church II</c:v>
                </c:pt>
                <c:pt idx="166">
                  <c:v>Man Wing Host Families</c:v>
                </c:pt>
                <c:pt idx="167">
                  <c:v>Mandalay Monestry</c:v>
                </c:pt>
                <c:pt idx="168">
                  <c:v>Mandung - Jinghpaw</c:v>
                </c:pt>
                <c:pt idx="169">
                  <c:v>Mandung - RC</c:v>
                </c:pt>
                <c:pt idx="170">
                  <c:v>Mang Hawng Baptist Church</c:v>
                </c:pt>
                <c:pt idx="171">
                  <c:v>Mansi Baptist Church</c:v>
                </c:pt>
                <c:pt idx="172">
                  <c:v>Mansi_Host Families</c:v>
                </c:pt>
                <c:pt idx="173">
                  <c:v>Maw</c:v>
                </c:pt>
                <c:pt idx="174">
                  <c:v>Maw Hpawng Hka Nan Baptist Church</c:v>
                </c:pt>
                <c:pt idx="175">
                  <c:v>Maw Hpawng Lhaovo Baptist Church</c:v>
                </c:pt>
                <c:pt idx="176">
                  <c:v>Maw Ti Ngar</c:v>
                </c:pt>
                <c:pt idx="177">
                  <c:v>Maw Wan, Mu-yin Baptist Church</c:v>
                </c:pt>
                <c:pt idx="178">
                  <c:v>Me la zi Kone</c:v>
                </c:pt>
                <c:pt idx="179">
                  <c:v>Mei Za Li Kaing</c:v>
                </c:pt>
                <c:pt idx="180">
                  <c:v>Mi Chaung Yae Thauk</c:v>
                </c:pt>
                <c:pt idx="181">
                  <c:v>Mi Nyo Htaunt</c:v>
                </c:pt>
                <c:pt idx="182">
                  <c:v>Mi Nyo Htaunt_Thar Si</c:v>
                </c:pt>
                <c:pt idx="183">
                  <c:v>Min Ga Lar Gyi</c:v>
                </c:pt>
                <c:pt idx="184">
                  <c:v>Min Thar Seik</c:v>
                </c:pt>
                <c:pt idx="185">
                  <c:v>Mine Yu Lay village</c:v>
                </c:pt>
                <c:pt idx="186">
                  <c:v>Mingalar on</c:v>
                </c:pt>
                <c:pt idx="187">
                  <c:v>Moenyin Host Families</c:v>
                </c:pt>
                <c:pt idx="188">
                  <c:v>Momauk Baptist Church</c:v>
                </c:pt>
                <c:pt idx="189">
                  <c:v>Momauk_Host Families</c:v>
                </c:pt>
                <c:pt idx="190">
                  <c:v>Mong Wee Shan</c:v>
                </c:pt>
                <c:pt idx="191">
                  <c:v>Mung Hawm </c:v>
                </c:pt>
                <c:pt idx="192">
                  <c:v>Mungji Pa Dabang (Baptist Church)</c:v>
                </c:pt>
                <c:pt idx="193">
                  <c:v>Mungji Pa Dabang (Catholic Church)</c:v>
                </c:pt>
                <c:pt idx="194">
                  <c:v>Muse Baptist Church</c:v>
                </c:pt>
                <c:pt idx="195">
                  <c:v>Muse Catholic Church</c:v>
                </c:pt>
                <c:pt idx="196">
                  <c:v>Mu-yin Baptist Church</c:v>
                </c:pt>
                <c:pt idx="197">
                  <c:v>Muyin church (Aung Yar pre-school compound)</c:v>
                </c:pt>
                <c:pt idx="198">
                  <c:v>Myet Tauk</c:v>
                </c:pt>
                <c:pt idx="199">
                  <c:v>Myo Thit </c:v>
                </c:pt>
                <c:pt idx="200">
                  <c:v>Nam Hkam - Nay Win Ni (Palawng)</c:v>
                </c:pt>
                <c:pt idx="201">
                  <c:v>Nam Hkam (KBC Jaw Wang)</c:v>
                </c:pt>
                <c:pt idx="202">
                  <c:v>Nam Hkam (KBC Jaw Wang) II</c:v>
                </c:pt>
                <c:pt idx="203">
                  <c:v>Nam Hkam Catholic Church ( St. Thomas I)</c:v>
                </c:pt>
                <c:pt idx="204">
                  <c:v>Nam Hkawng</c:v>
                </c:pt>
                <c:pt idx="205">
                  <c:v>Nam Hpak Ka Mare </c:v>
                </c:pt>
                <c:pt idx="206">
                  <c:v>Nam Hpak Ka Ta'ang</c:v>
                </c:pt>
                <c:pt idx="207">
                  <c:v>Nam Ma Phyit, COC</c:v>
                </c:pt>
                <c:pt idx="208">
                  <c:v>Nam Sa Larp</c:v>
                </c:pt>
                <c:pt idx="209">
                  <c:v>Nam Tu Baptist</c:v>
                </c:pt>
                <c:pt idx="210">
                  <c:v>Namhkan - Pang Long KBC</c:v>
                </c:pt>
                <c:pt idx="211">
                  <c:v>Nan Kway St. John Catholic Church</c:v>
                </c:pt>
                <c:pt idx="212">
                  <c:v>Nant Hlaing Church</c:v>
                </c:pt>
                <c:pt idx="213">
                  <c:v>Nant Ma Hpit Catholic Church</c:v>
                </c:pt>
                <c:pt idx="214">
                  <c:v>Narte</c:v>
                </c:pt>
                <c:pt idx="215">
                  <c:v>Nat Gyi Kone Baptist Church </c:v>
                </c:pt>
                <c:pt idx="216">
                  <c:v>Nat Maw (Upper)</c:v>
                </c:pt>
                <c:pt idx="217">
                  <c:v>Naw Wai</c:v>
                </c:pt>
                <c:pt idx="218">
                  <c:v>Nawng Hee Village</c:v>
                </c:pt>
                <c:pt idx="219">
                  <c:v>Nawng Ing (Indawgyi) Baptist Church </c:v>
                </c:pt>
                <c:pt idx="220">
                  <c:v>Nay Pu Khan</c:v>
                </c:pt>
                <c:pt idx="221">
                  <c:v>Ndup Yang</c:v>
                </c:pt>
                <c:pt idx="222">
                  <c:v>New Pang Ku </c:v>
                </c:pt>
                <c:pt idx="223">
                  <c:v>Nga Kyi Tauk Daing Nat</c:v>
                </c:pt>
                <c:pt idx="224">
                  <c:v>Nga Let Kya</c:v>
                </c:pt>
                <c:pt idx="225">
                  <c:v>Nga Ta Paung</c:v>
                </c:pt>
                <c:pt idx="226">
                  <c:v>Nga/ Pun Ywar Gyi</c:v>
                </c:pt>
                <c:pt idx="227">
                  <c:v>Nga/ Pun Ywar Shey</c:v>
                </c:pt>
                <c:pt idx="228">
                  <c:v>Nga/Tauk Tet</c:v>
                </c:pt>
                <c:pt idx="229">
                  <c:v>Ngan Chaung_Gone Nar</c:v>
                </c:pt>
                <c:pt idx="230">
                  <c:v>Ngar Yauk Kaing</c:v>
                </c:pt>
                <c:pt idx="231">
                  <c:v>Nget Chaung 1</c:v>
                </c:pt>
                <c:pt idx="232">
                  <c:v>Nget Chaung 2</c:v>
                </c:pt>
                <c:pt idx="233">
                  <c:v>Nhkawng Pa </c:v>
                </c:pt>
                <c:pt idx="234">
                  <c:v>NiDin</c:v>
                </c:pt>
                <c:pt idx="235">
                  <c:v>Njang Dung Baptist Church </c:v>
                </c:pt>
                <c:pt idx="236">
                  <c:v>Nyaung Chaung_ann</c:v>
                </c:pt>
                <c:pt idx="237">
                  <c:v>Nyaung Na Pin </c:v>
                </c:pt>
                <c:pt idx="238">
                  <c:v>Nyaung Pin Gyi (Ku Lar)</c:v>
                </c:pt>
                <c:pt idx="239">
                  <c:v>Nyaung Pin Gyi (Rakhine)</c:v>
                </c:pt>
                <c:pt idx="240">
                  <c:v>Nyaung Pin Hla</c:v>
                </c:pt>
                <c:pt idx="241">
                  <c:v>Oe Pone</c:v>
                </c:pt>
                <c:pt idx="242">
                  <c:v>Ohn Taw Chay</c:v>
                </c:pt>
                <c:pt idx="243">
                  <c:v>Ohn Taw Gyi</c:v>
                </c:pt>
                <c:pt idx="244">
                  <c:v>Ohn Taw Gyi (North)</c:v>
                </c:pt>
                <c:pt idx="245">
                  <c:v>Ohn Taw Gyi (South)</c:v>
                </c:pt>
                <c:pt idx="246">
                  <c:v>Ohn Taw Shey</c:v>
                </c:pt>
                <c:pt idx="247">
                  <c:v>Oke Kan</c:v>
                </c:pt>
                <c:pt idx="248">
                  <c:v>Oke Taung Pyin</c:v>
                </c:pt>
                <c:pt idx="249">
                  <c:v>Pa Dauk Myaing(Pa La Na)</c:v>
                </c:pt>
                <c:pt idx="250">
                  <c:v>Pa Kahtawng </c:v>
                </c:pt>
                <c:pt idx="251">
                  <c:v>Pa Lat Kay</c:v>
                </c:pt>
                <c:pt idx="252">
                  <c:v>Pajau - Jan Mai</c:v>
                </c:pt>
                <c:pt idx="253">
                  <c:v>Palae' Kaine</c:v>
                </c:pt>
                <c:pt idx="254">
                  <c:v>Pale Taung</c:v>
                </c:pt>
                <c:pt idx="255">
                  <c:v>Pan Law</c:v>
                </c:pt>
                <c:pt idx="256">
                  <c:v>Pan Ta Pyae</c:v>
                </c:pt>
                <c:pt idx="257">
                  <c:v>Pan Wa</c:v>
                </c:pt>
                <c:pt idx="258">
                  <c:v>Paung Zar</c:v>
                </c:pt>
                <c:pt idx="259">
                  <c:v>Pet Khwet Seik</c:v>
                </c:pt>
                <c:pt idx="260">
                  <c:v>Phan Khar Kone</c:v>
                </c:pt>
                <c:pt idx="261">
                  <c:v>Phwe Yar Gone village</c:v>
                </c:pt>
                <c:pt idx="262">
                  <c:v>Phwe Yar Kone</c:v>
                </c:pt>
                <c:pt idx="263">
                  <c:v>Pin Zaing</c:v>
                </c:pt>
                <c:pt idx="264">
                  <c:v>Post 6 Camp</c:v>
                </c:pt>
                <c:pt idx="265">
                  <c:v>Pyaing Chaung</c:v>
                </c:pt>
                <c:pt idx="266">
                  <c:v>Pyaung Chaung</c:v>
                </c:pt>
                <c:pt idx="267">
                  <c:v>Pyaung Seik</c:v>
                </c:pt>
                <c:pt idx="268">
                  <c:v>Pyein Chaung</c:v>
                </c:pt>
                <c:pt idx="269">
                  <c:v>Pyin Hlyar Shey</c:v>
                </c:pt>
                <c:pt idx="270">
                  <c:v>Qtr. 2 Lhaovo Baptist Church</c:v>
                </c:pt>
                <c:pt idx="271">
                  <c:v>Qtr. 2 Myoma Baptist Church</c:v>
                </c:pt>
                <c:pt idx="272">
                  <c:v>Qtr. 3 Mu-yin  Baptist Church</c:v>
                </c:pt>
                <c:pt idx="273">
                  <c:v>Qtr. 4 Monestry (Thargaya Thayett Taw)</c:v>
                </c:pt>
                <c:pt idx="274">
                  <c:v>Rawan Baptist Church, Maw Shan Vil., Seik Mu</c:v>
                </c:pt>
                <c:pt idx="275">
                  <c:v>Robert Church</c:v>
                </c:pt>
                <c:pt idx="276">
                  <c:v>Robert -Middle school</c:v>
                </c:pt>
                <c:pt idx="277">
                  <c:v>Sa Khan Maw</c:v>
                </c:pt>
                <c:pt idx="278">
                  <c:v>Sai Nai Baptish Church, Maw Shan Vil., Seki Mu</c:v>
                </c:pt>
                <c:pt idx="279">
                  <c:v>Salang Yang</c:v>
                </c:pt>
                <c:pt idx="280">
                  <c:v>San Htoe Tan</c:v>
                </c:pt>
                <c:pt idx="281">
                  <c:v>Sapar Seik (Shari)</c:v>
                </c:pt>
                <c:pt idx="282">
                  <c:v>Sar Hmaw - KBC</c:v>
                </c:pt>
                <c:pt idx="283">
                  <c:v>Sat Roe Kya 1</c:v>
                </c:pt>
                <c:pt idx="284">
                  <c:v>Sat Roe Kya 2</c:v>
                </c:pt>
                <c:pt idx="285">
                  <c:v>Saw Zam</c:v>
                </c:pt>
                <c:pt idx="286">
                  <c:v>Say Tha Mar Gyi</c:v>
                </c:pt>
                <c:pt idx="287">
                  <c:v>Say Tha Mar Gyi village</c:v>
                </c:pt>
                <c:pt idx="288">
                  <c:v>Say Tha Mar Nge</c:v>
                </c:pt>
                <c:pt idx="289">
                  <c:v>Sein Hnyin Pyar_Tha Pyay Taw</c:v>
                </c:pt>
                <c:pt idx="290">
                  <c:v>Seng Ja </c:v>
                </c:pt>
                <c:pt idx="291">
                  <c:v>Set Yone Su 1</c:v>
                </c:pt>
                <c:pt idx="292">
                  <c:v>Set Yone Su 3 (Mingan)</c:v>
                </c:pt>
                <c:pt idx="293">
                  <c:v>Sha-It Yang</c:v>
                </c:pt>
                <c:pt idx="294">
                  <c:v>Shan Kone</c:v>
                </c:pt>
                <c:pt idx="295">
                  <c:v>Shar Du Zut KBC church </c:v>
                </c:pt>
                <c:pt idx="296">
                  <c:v>Shar Du Zut RC church</c:v>
                </c:pt>
                <c:pt idx="297">
                  <c:v>Shar Du Zut SanPya</c:v>
                </c:pt>
                <c:pt idx="298">
                  <c:v>Shatapru Sut Ngai Tawng</c:v>
                </c:pt>
                <c:pt idx="299">
                  <c:v>Shatapru Thida Aye Baptist Church</c:v>
                </c:pt>
                <c:pt idx="300">
                  <c:v>Shauk Chaung</c:v>
                </c:pt>
                <c:pt idx="301">
                  <c:v>Shing Jai</c:v>
                </c:pt>
                <c:pt idx="302">
                  <c:v>Shwe Gu Baptist Church</c:v>
                </c:pt>
                <c:pt idx="303">
                  <c:v>Shwe Gu Catholic Church</c:v>
                </c:pt>
                <c:pt idx="304">
                  <c:v>Shwe Hlaing</c:v>
                </c:pt>
                <c:pt idx="305">
                  <c:v>Shwe Hlaing Rakhine</c:v>
                </c:pt>
                <c:pt idx="306">
                  <c:v>Shwe Ta Mar</c:v>
                </c:pt>
                <c:pt idx="307">
                  <c:v>Shwe Zet Baptist Church</c:v>
                </c:pt>
                <c:pt idx="308">
                  <c:v>Shwe Zin Khin (Rakhine)</c:v>
                </c:pt>
                <c:pt idx="309">
                  <c:v>Sin Aing</c:v>
                </c:pt>
                <c:pt idx="310">
                  <c:v>Sin Bo</c:v>
                </c:pt>
                <c:pt idx="311">
                  <c:v>Sin Tet Maw</c:v>
                </c:pt>
                <c:pt idx="312">
                  <c:v>Sin Tet Maw (Host)</c:v>
                </c:pt>
                <c:pt idx="313">
                  <c:v>Sin Tet Maw Rakhine(Baw Da Li)</c:v>
                </c:pt>
                <c:pt idx="314">
                  <c:v>Sin U Taik</c:v>
                </c:pt>
                <c:pt idx="315">
                  <c:v>St. Patrick Catholic Church </c:v>
                </c:pt>
                <c:pt idx="316">
                  <c:v>Sumprabum</c:v>
                </c:pt>
                <c:pt idx="317">
                  <c:v>Swi Chaung</c:v>
                </c:pt>
                <c:pt idx="318">
                  <c:v>Ta Gun Taing Monastery (Shwe Kyi Na)</c:v>
                </c:pt>
                <c:pt idx="319">
                  <c:v>Taik Maw</c:v>
                </c:pt>
                <c:pt idx="320">
                  <c:v>Tan Chaung</c:v>
                </c:pt>
                <c:pt idx="321">
                  <c:v>Tan Khoe</c:v>
                </c:pt>
                <c:pt idx="322">
                  <c:v>Tan Zwei</c:v>
                </c:pt>
                <c:pt idx="323">
                  <c:v>Tanai AG Church </c:v>
                </c:pt>
                <c:pt idx="324">
                  <c:v>Tanai CoC</c:v>
                </c:pt>
                <c:pt idx="325">
                  <c:v>Tanai KBC Church </c:v>
                </c:pt>
                <c:pt idx="326">
                  <c:v>Tanai RC Church - Kinsa Ra </c:v>
                </c:pt>
                <c:pt idx="327">
                  <c:v>Tat Kone Baptist Church</c:v>
                </c:pt>
                <c:pt idx="328">
                  <c:v>Tat Kone COC Baptist - Tat Kone Htoi San</c:v>
                </c:pt>
                <c:pt idx="329">
                  <c:v>Tat Kone Emanuel Church</c:v>
                </c:pt>
                <c:pt idx="330">
                  <c:v>Tat Kone Galile Baptist Church</c:v>
                </c:pt>
                <c:pt idx="331">
                  <c:v>Tat Kone San Pya Baptist Church</c:v>
                </c:pt>
                <c:pt idx="332">
                  <c:v>Tauk Sone</c:v>
                </c:pt>
                <c:pt idx="333">
                  <c:v>Taung Chauk</c:v>
                </c:pt>
                <c:pt idx="334">
                  <c:v>Taung Htaung</c:v>
                </c:pt>
                <c:pt idx="335">
                  <c:v>Taung Htaung Ha Yar</c:v>
                </c:pt>
                <c:pt idx="336">
                  <c:v>Taung Pauk</c:v>
                </c:pt>
                <c:pt idx="337">
                  <c:v>Taung Paw</c:v>
                </c:pt>
                <c:pt idx="338">
                  <c:v>Tha Dar</c:v>
                </c:pt>
                <c:pt idx="339">
                  <c:v>Tha Ray Kon Baung</c:v>
                </c:pt>
                <c:pt idx="340">
                  <c:v>Tha Yet Oak</c:v>
                </c:pt>
                <c:pt idx="341">
                  <c:v>Tha Yet Oke Ywar Haung</c:v>
                </c:pt>
                <c:pt idx="342">
                  <c:v>Thae Chaung</c:v>
                </c:pt>
                <c:pt idx="343">
                  <c:v>Thae Chaung(Rakhine)</c:v>
                </c:pt>
                <c:pt idx="344">
                  <c:v>Thar Si</c:v>
                </c:pt>
                <c:pt idx="345">
                  <c:v>Thar Yar Kone (M)</c:v>
                </c:pt>
                <c:pt idx="346">
                  <c:v>Thargaya Lisu Baptist Church</c:v>
                </c:pt>
                <c:pt idx="347">
                  <c:v>Thea Chaung Ku Lar</c:v>
                </c:pt>
                <c:pt idx="348">
                  <c:v>Thea Chaung Let Tha Mar Kone</c:v>
                </c:pt>
                <c:pt idx="349">
                  <c:v>Thein Tan</c:v>
                </c:pt>
                <c:pt idx="350">
                  <c:v>Thet Kae Pyin </c:v>
                </c:pt>
                <c:pt idx="351">
                  <c:v>Thet Kae Pyin Village (IDPs in host family)</c:v>
                </c:pt>
                <c:pt idx="352">
                  <c:v>Thet Kay Pyin Ywar Ma</c:v>
                </c:pt>
                <c:pt idx="353">
                  <c:v>Thit Ka Toe</c:v>
                </c:pt>
                <c:pt idx="354">
                  <c:v>Thone Gwa</c:v>
                </c:pt>
                <c:pt idx="355">
                  <c:v>Tote Tan Ward</c:v>
                </c:pt>
                <c:pt idx="356">
                  <c:v>Tsan Lun - Namjarap</c:v>
                </c:pt>
                <c:pt idx="357">
                  <c:v>U Htoe Dan </c:v>
                </c:pt>
                <c:pt idx="358">
                  <c:v>Wa Lar Kan</c:v>
                </c:pt>
                <c:pt idx="359">
                  <c:v>Wa Lar Kann</c:v>
                </c:pt>
                <c:pt idx="360">
                  <c:v>Waingmaw AG Church</c:v>
                </c:pt>
                <c:pt idx="361">
                  <c:v>Ward 2 Sai Taung Baptist Church, Seik Mu </c:v>
                </c:pt>
                <c:pt idx="362">
                  <c:v>Wet Mee To</c:v>
                </c:pt>
                <c:pt idx="363">
                  <c:v>Woi Chyai </c:v>
                </c:pt>
                <c:pt idx="364">
                  <c:v>Woi Chyai (Mong Lai)</c:v>
                </c:pt>
                <c:pt idx="365">
                  <c:v>Woi Chyai host families</c:v>
                </c:pt>
                <c:pt idx="366">
                  <c:v>Yai Myet Taung Ywa Thit</c:v>
                </c:pt>
                <c:pt idx="367">
                  <c:v>Yan Aung Pyin</c:v>
                </c:pt>
                <c:pt idx="368">
                  <c:v>Yin Chaung</c:v>
                </c:pt>
                <c:pt idx="369">
                  <c:v>Yoe Kyi Monastery</c:v>
                </c:pt>
                <c:pt idx="370">
                  <c:v>Yoe Ngu</c:v>
                </c:pt>
                <c:pt idx="371">
                  <c:v>Yumar Baptist Church</c:v>
                </c:pt>
                <c:pt idx="372">
                  <c:v>Yun Nyar</c:v>
                </c:pt>
                <c:pt idx="373">
                  <c:v>Ywar Haung Ah Htet</c:v>
                </c:pt>
                <c:pt idx="374">
                  <c:v>Ywar Thit Kay</c:v>
                </c:pt>
                <c:pt idx="375">
                  <c:v>Ywet Nyo Taung ( Rakhine)</c:v>
                </c:pt>
                <c:pt idx="376">
                  <c:v>Za Yat Kwin</c:v>
                </c:pt>
                <c:pt idx="377">
                  <c:v>Zaw Pu Gyar</c:v>
                </c:pt>
                <c:pt idx="378">
                  <c:v>Zee kone Tan (or) Kon Tan Zay</c:v>
                </c:pt>
                <c:pt idx="379">
                  <c:v>Zin Paing Nyar</c:v>
                </c:pt>
                <c:pt idx="380">
                  <c:v>Zu Kaing</c:v>
                </c:pt>
                <c:pt idx="381">
                  <c:v>Zup Aung Camp</c:v>
                </c:pt>
              </c:strCache>
            </c:strRef>
          </c:cat>
          <c:val>
            <c:numRef>
              <c:f>'By Camps'!$B$34</c:f>
              <c:numCache>
                <c:formatCode>General</c:formatCode>
                <c:ptCount val="382"/>
                <c:pt idx="0">
                  <c:v>350</c:v>
                </c:pt>
                <c:pt idx="1">
                  <c:v>383</c:v>
                </c:pt>
                <c:pt idx="2">
                  <c:v>895</c:v>
                </c:pt>
                <c:pt idx="3">
                  <c:v>350</c:v>
                </c:pt>
                <c:pt idx="4">
                  <c:v>81</c:v>
                </c:pt>
                <c:pt idx="5">
                  <c:v>665</c:v>
                </c:pt>
                <c:pt idx="6">
                  <c:v>213</c:v>
                </c:pt>
                <c:pt idx="7">
                  <c:v>326</c:v>
                </c:pt>
                <c:pt idx="8">
                  <c:v>1768</c:v>
                </c:pt>
                <c:pt idx="9">
                  <c:v>731</c:v>
                </c:pt>
                <c:pt idx="10">
                  <c:v>1867</c:v>
                </c:pt>
                <c:pt idx="11">
                  <c:v>836</c:v>
                </c:pt>
                <c:pt idx="12">
                  <c:v>2552</c:v>
                </c:pt>
                <c:pt idx="13">
                  <c:v>1975</c:v>
                </c:pt>
                <c:pt idx="14">
                  <c:v>4302</c:v>
                </c:pt>
                <c:pt idx="15">
                  <c:v>559</c:v>
                </c:pt>
                <c:pt idx="16">
                  <c:v>855</c:v>
                </c:pt>
                <c:pt idx="17">
                  <c:v>1813</c:v>
                </c:pt>
                <c:pt idx="18">
                  <c:v>52</c:v>
                </c:pt>
                <c:pt idx="19">
                  <c:v>264</c:v>
                </c:pt>
                <c:pt idx="20">
                  <c:v>368</c:v>
                </c:pt>
                <c:pt idx="21">
                  <c:v>228</c:v>
                </c:pt>
                <c:pt idx="22">
                  <c:v>2985</c:v>
                </c:pt>
                <c:pt idx="23">
                  <c:v>1995</c:v>
                </c:pt>
                <c:pt idx="24">
                  <c:v>512</c:v>
                </c:pt>
                <c:pt idx="25">
                  <c:v>114</c:v>
                </c:pt>
                <c:pt idx="26">
                  <c:v>4892</c:v>
                </c:pt>
                <c:pt idx="27">
                  <c:v>6936</c:v>
                </c:pt>
                <c:pt idx="28">
                  <c:v>93</c:v>
                </c:pt>
                <c:pt idx="29">
                  <c:v>256</c:v>
                </c:pt>
                <c:pt idx="30">
                  <c:v>527</c:v>
                </c:pt>
                <c:pt idx="31">
                  <c:v>117</c:v>
                </c:pt>
                <c:pt idx="32">
                  <c:v>175</c:v>
                </c:pt>
                <c:pt idx="33">
                  <c:v>1786</c:v>
                </c:pt>
                <c:pt idx="34">
                  <c:v>479</c:v>
                </c:pt>
                <c:pt idx="35">
                  <c:v>763</c:v>
                </c:pt>
                <c:pt idx="36">
                  <c:v>106</c:v>
                </c:pt>
                <c:pt idx="37">
                  <c:v>26</c:v>
                </c:pt>
                <c:pt idx="38">
                  <c:v>342</c:v>
                </c:pt>
                <c:pt idx="39">
                  <c:v>2030</c:v>
                </c:pt>
                <c:pt idx="40">
                  <c:v>519</c:v>
                </c:pt>
                <c:pt idx="41">
                  <c:v>1292</c:v>
                </c:pt>
                <c:pt idx="42">
                  <c:v>398</c:v>
                </c:pt>
                <c:pt idx="43">
                  <c:v>546</c:v>
                </c:pt>
                <c:pt idx="44">
                  <c:v>786</c:v>
                </c:pt>
                <c:pt idx="45">
                  <c:v>8508</c:v>
                </c:pt>
                <c:pt idx="46">
                  <c:v>3360</c:v>
                </c:pt>
                <c:pt idx="47">
                  <c:v>2743</c:v>
                </c:pt>
                <c:pt idx="48">
                  <c:v>360</c:v>
                </c:pt>
                <c:pt idx="49">
                  <c:v>113</c:v>
                </c:pt>
                <c:pt idx="50">
                  <c:v>365</c:v>
                </c:pt>
                <c:pt idx="51">
                  <c:v>1571</c:v>
                </c:pt>
                <c:pt idx="52">
                  <c:v>105</c:v>
                </c:pt>
                <c:pt idx="53">
                  <c:v>185</c:v>
                </c:pt>
                <c:pt idx="54">
                  <c:v>446</c:v>
                </c:pt>
                <c:pt idx="55">
                  <c:v>363</c:v>
                </c:pt>
                <c:pt idx="56">
                  <c:v>786</c:v>
                </c:pt>
                <c:pt idx="57">
                  <c:v>802</c:v>
                </c:pt>
                <c:pt idx="58">
                  <c:v>1569</c:v>
                </c:pt>
                <c:pt idx="59">
                  <c:v>410</c:v>
                </c:pt>
                <c:pt idx="60">
                  <c:v>503</c:v>
                </c:pt>
                <c:pt idx="61">
                  <c:v>903</c:v>
                </c:pt>
                <c:pt idx="62">
                  <c:v>38</c:v>
                </c:pt>
                <c:pt idx="63">
                  <c:v>379</c:v>
                </c:pt>
                <c:pt idx="64">
                  <c:v>46</c:v>
                </c:pt>
                <c:pt idx="65">
                  <c:v>2186</c:v>
                </c:pt>
                <c:pt idx="66">
                  <c:v>27</c:v>
                </c:pt>
                <c:pt idx="67">
                  <c:v>121</c:v>
                </c:pt>
                <c:pt idx="68">
                  <c:v>779</c:v>
                </c:pt>
                <c:pt idx="69">
                  <c:v>779</c:v>
                </c:pt>
                <c:pt idx="70">
                  <c:v>504</c:v>
                </c:pt>
                <c:pt idx="71">
                  <c:v>521</c:v>
                </c:pt>
                <c:pt idx="72">
                  <c:v>823</c:v>
                </c:pt>
                <c:pt idx="73">
                  <c:v>3294</c:v>
                </c:pt>
                <c:pt idx="74">
                  <c:v>232</c:v>
                </c:pt>
                <c:pt idx="75">
                  <c:v>862</c:v>
                </c:pt>
                <c:pt idx="76">
                  <c:v>1214</c:v>
                </c:pt>
                <c:pt idx="77">
                  <c:v>60</c:v>
                </c:pt>
                <c:pt idx="78">
                  <c:v>56</c:v>
                </c:pt>
                <c:pt idx="79">
                  <c:v>1114</c:v>
                </c:pt>
                <c:pt idx="80">
                  <c:v>430</c:v>
                </c:pt>
                <c:pt idx="81">
                  <c:v>8554</c:v>
                </c:pt>
                <c:pt idx="82">
                  <c:v>134</c:v>
                </c:pt>
                <c:pt idx="83">
                  <c:v>1193</c:v>
                </c:pt>
                <c:pt idx="84">
                  <c:v>211</c:v>
                </c:pt>
                <c:pt idx="85">
                  <c:v>106</c:v>
                </c:pt>
                <c:pt idx="86">
                  <c:v>183</c:v>
                </c:pt>
                <c:pt idx="87">
                  <c:v>1628</c:v>
                </c:pt>
                <c:pt idx="88">
                  <c:v>227</c:v>
                </c:pt>
                <c:pt idx="89">
                  <c:v>217</c:v>
                </c:pt>
                <c:pt idx="90">
                  <c:v>171</c:v>
                </c:pt>
                <c:pt idx="91">
                  <c:v>1618</c:v>
                </c:pt>
                <c:pt idx="92">
                  <c:v>273</c:v>
                </c:pt>
                <c:pt idx="93">
                  <c:v>94</c:v>
                </c:pt>
                <c:pt idx="94">
                  <c:v>2248</c:v>
                </c:pt>
                <c:pt idx="95">
                  <c:v>557</c:v>
                </c:pt>
                <c:pt idx="96">
                  <c:v>18</c:v>
                </c:pt>
                <c:pt idx="97">
                  <c:v>127</c:v>
                </c:pt>
                <c:pt idx="98">
                  <c:v>4073</c:v>
                </c:pt>
                <c:pt idx="99">
                  <c:v>510</c:v>
                </c:pt>
                <c:pt idx="100">
                  <c:v>450</c:v>
                </c:pt>
                <c:pt idx="101">
                  <c:v>292</c:v>
                </c:pt>
                <c:pt idx="102">
                  <c:v>141</c:v>
                </c:pt>
                <c:pt idx="103">
                  <c:v>138</c:v>
                </c:pt>
                <c:pt idx="104">
                  <c:v>145</c:v>
                </c:pt>
                <c:pt idx="105">
                  <c:v>312</c:v>
                </c:pt>
                <c:pt idx="106">
                  <c:v>295</c:v>
                </c:pt>
                <c:pt idx="107">
                  <c:v>700</c:v>
                </c:pt>
                <c:pt idx="108">
                  <c:v>238</c:v>
                </c:pt>
                <c:pt idx="109">
                  <c:v>992</c:v>
                </c:pt>
                <c:pt idx="110">
                  <c:v>664</c:v>
                </c:pt>
                <c:pt idx="111">
                  <c:v>674</c:v>
                </c:pt>
                <c:pt idx="112">
                  <c:v>88</c:v>
                </c:pt>
                <c:pt idx="113">
                  <c:v>5938</c:v>
                </c:pt>
                <c:pt idx="114">
                  <c:v>488</c:v>
                </c:pt>
                <c:pt idx="115">
                  <c:v>380</c:v>
                </c:pt>
                <c:pt idx="116">
                  <c:v>282</c:v>
                </c:pt>
                <c:pt idx="117">
                  <c:v>195</c:v>
                </c:pt>
                <c:pt idx="118">
                  <c:v>66</c:v>
                </c:pt>
                <c:pt idx="119">
                  <c:v>747</c:v>
                </c:pt>
                <c:pt idx="120">
                  <c:v>541</c:v>
                </c:pt>
                <c:pt idx="121">
                  <c:v>1419</c:v>
                </c:pt>
                <c:pt idx="122">
                  <c:v>2199</c:v>
                </c:pt>
                <c:pt idx="123">
                  <c:v>2478</c:v>
                </c:pt>
                <c:pt idx="124">
                  <c:v>373</c:v>
                </c:pt>
                <c:pt idx="125">
                  <c:v>1691</c:v>
                </c:pt>
                <c:pt idx="126">
                  <c:v>656</c:v>
                </c:pt>
                <c:pt idx="127">
                  <c:v>578</c:v>
                </c:pt>
                <c:pt idx="128">
                  <c:v>697</c:v>
                </c:pt>
                <c:pt idx="129">
                  <c:v>157</c:v>
                </c:pt>
                <c:pt idx="130">
                  <c:v>221</c:v>
                </c:pt>
                <c:pt idx="131">
                  <c:v>807</c:v>
                </c:pt>
                <c:pt idx="132">
                  <c:v>640</c:v>
                </c:pt>
                <c:pt idx="133">
                  <c:v>257</c:v>
                </c:pt>
                <c:pt idx="134">
                  <c:v>102</c:v>
                </c:pt>
                <c:pt idx="135">
                  <c:v>62</c:v>
                </c:pt>
                <c:pt idx="136">
                  <c:v>757</c:v>
                </c:pt>
                <c:pt idx="137">
                  <c:v>128</c:v>
                </c:pt>
                <c:pt idx="138">
                  <c:v>225</c:v>
                </c:pt>
                <c:pt idx="139">
                  <c:v>348</c:v>
                </c:pt>
                <c:pt idx="140">
                  <c:v>1092</c:v>
                </c:pt>
                <c:pt idx="141">
                  <c:v>409</c:v>
                </c:pt>
                <c:pt idx="142">
                  <c:v>136</c:v>
                </c:pt>
                <c:pt idx="143">
                  <c:v>281</c:v>
                </c:pt>
                <c:pt idx="144">
                  <c:v>2350</c:v>
                </c:pt>
                <c:pt idx="145">
                  <c:v>105</c:v>
                </c:pt>
                <c:pt idx="146">
                  <c:v>178</c:v>
                </c:pt>
                <c:pt idx="147">
                  <c:v>1723</c:v>
                </c:pt>
                <c:pt idx="148">
                  <c:v>721</c:v>
                </c:pt>
                <c:pt idx="149">
                  <c:v>1801</c:v>
                </c:pt>
                <c:pt idx="150">
                  <c:v>1492</c:v>
                </c:pt>
                <c:pt idx="151">
                  <c:v>2551</c:v>
                </c:pt>
                <c:pt idx="152">
                  <c:v>193</c:v>
                </c:pt>
                <c:pt idx="153">
                  <c:v>1855</c:v>
                </c:pt>
                <c:pt idx="154">
                  <c:v>803</c:v>
                </c:pt>
                <c:pt idx="155">
                  <c:v>304</c:v>
                </c:pt>
                <c:pt idx="156">
                  <c:v>1172</c:v>
                </c:pt>
                <c:pt idx="157">
                  <c:v>580</c:v>
                </c:pt>
                <c:pt idx="158">
                  <c:v>581</c:v>
                </c:pt>
                <c:pt idx="159">
                  <c:v>120</c:v>
                </c:pt>
                <c:pt idx="160">
                  <c:v>82</c:v>
                </c:pt>
                <c:pt idx="161">
                  <c:v>188</c:v>
                </c:pt>
                <c:pt idx="162">
                  <c:v>529</c:v>
                </c:pt>
                <c:pt idx="163">
                  <c:v>524</c:v>
                </c:pt>
                <c:pt idx="164">
                  <c:v>2327</c:v>
                </c:pt>
                <c:pt idx="165">
                  <c:v>637</c:v>
                </c:pt>
                <c:pt idx="166">
                  <c:v>834</c:v>
                </c:pt>
                <c:pt idx="167">
                  <c:v>13</c:v>
                </c:pt>
                <c:pt idx="168">
                  <c:v>143</c:v>
                </c:pt>
                <c:pt idx="169">
                  <c:v>171</c:v>
                </c:pt>
                <c:pt idx="170">
                  <c:v>98</c:v>
                </c:pt>
                <c:pt idx="171">
                  <c:v>823</c:v>
                </c:pt>
                <c:pt idx="172">
                  <c:v>290</c:v>
                </c:pt>
                <c:pt idx="173">
                  <c:v>417</c:v>
                </c:pt>
                <c:pt idx="174">
                  <c:v>97</c:v>
                </c:pt>
                <c:pt idx="175">
                  <c:v>76</c:v>
                </c:pt>
                <c:pt idx="176">
                  <c:v>3486</c:v>
                </c:pt>
                <c:pt idx="177">
                  <c:v>15</c:v>
                </c:pt>
                <c:pt idx="178">
                  <c:v>1183</c:v>
                </c:pt>
                <c:pt idx="179">
                  <c:v>290</c:v>
                </c:pt>
                <c:pt idx="180">
                  <c:v>458</c:v>
                </c:pt>
                <c:pt idx="181">
                  <c:v>710</c:v>
                </c:pt>
                <c:pt idx="182">
                  <c:v>345</c:v>
                </c:pt>
                <c:pt idx="183">
                  <c:v>1644</c:v>
                </c:pt>
                <c:pt idx="184">
                  <c:v>397</c:v>
                </c:pt>
                <c:pt idx="185">
                  <c:v>305</c:v>
                </c:pt>
                <c:pt idx="186">
                  <c:v>972</c:v>
                </c:pt>
                <c:pt idx="187">
                  <c:v>63</c:v>
                </c:pt>
                <c:pt idx="188">
                  <c:v>453</c:v>
                </c:pt>
                <c:pt idx="189">
                  <c:v>1067</c:v>
                </c:pt>
                <c:pt idx="190">
                  <c:v>301</c:v>
                </c:pt>
                <c:pt idx="191">
                  <c:v>179</c:v>
                </c:pt>
                <c:pt idx="192">
                  <c:v>265</c:v>
                </c:pt>
                <c:pt idx="193">
                  <c:v>111</c:v>
                </c:pt>
                <c:pt idx="194">
                  <c:v>207</c:v>
                </c:pt>
                <c:pt idx="195">
                  <c:v>80</c:v>
                </c:pt>
                <c:pt idx="196">
                  <c:v>51</c:v>
                </c:pt>
                <c:pt idx="197">
                  <c:v>18</c:v>
                </c:pt>
                <c:pt idx="198">
                  <c:v>650</c:v>
                </c:pt>
                <c:pt idx="199">
                  <c:v>153</c:v>
                </c:pt>
                <c:pt idx="200">
                  <c:v>391</c:v>
                </c:pt>
                <c:pt idx="201">
                  <c:v>359</c:v>
                </c:pt>
                <c:pt idx="202">
                  <c:v>179</c:v>
                </c:pt>
                <c:pt idx="203">
                  <c:v>214</c:v>
                </c:pt>
                <c:pt idx="204">
                  <c:v>44</c:v>
                </c:pt>
                <c:pt idx="205">
                  <c:v>279</c:v>
                </c:pt>
                <c:pt idx="206">
                  <c:v>146</c:v>
                </c:pt>
                <c:pt idx="207">
                  <c:v>45</c:v>
                </c:pt>
                <c:pt idx="208">
                  <c:v>196</c:v>
                </c:pt>
                <c:pt idx="209">
                  <c:v>263</c:v>
                </c:pt>
                <c:pt idx="210">
                  <c:v>504</c:v>
                </c:pt>
                <c:pt idx="211">
                  <c:v>311</c:v>
                </c:pt>
                <c:pt idx="212">
                  <c:v>111</c:v>
                </c:pt>
                <c:pt idx="213">
                  <c:v>221</c:v>
                </c:pt>
                <c:pt idx="214">
                  <c:v>392</c:v>
                </c:pt>
                <c:pt idx="215">
                  <c:v>33</c:v>
                </c:pt>
                <c:pt idx="216">
                  <c:v>521</c:v>
                </c:pt>
                <c:pt idx="217">
                  <c:v>559</c:v>
                </c:pt>
                <c:pt idx="218">
                  <c:v>86</c:v>
                </c:pt>
                <c:pt idx="219">
                  <c:v>115</c:v>
                </c:pt>
                <c:pt idx="220">
                  <c:v>1393</c:v>
                </c:pt>
                <c:pt idx="221">
                  <c:v>547</c:v>
                </c:pt>
                <c:pt idx="222">
                  <c:v>635</c:v>
                </c:pt>
                <c:pt idx="223">
                  <c:v>318</c:v>
                </c:pt>
                <c:pt idx="224">
                  <c:v>221</c:v>
                </c:pt>
                <c:pt idx="225">
                  <c:v>932</c:v>
                </c:pt>
                <c:pt idx="226">
                  <c:v>1857</c:v>
                </c:pt>
                <c:pt idx="227">
                  <c:v>908</c:v>
                </c:pt>
                <c:pt idx="228">
                  <c:v>256</c:v>
                </c:pt>
                <c:pt idx="229">
                  <c:v>1350</c:v>
                </c:pt>
                <c:pt idx="230">
                  <c:v>509</c:v>
                </c:pt>
                <c:pt idx="231">
                  <c:v>4380</c:v>
                </c:pt>
                <c:pt idx="232">
                  <c:v>3951</c:v>
                </c:pt>
                <c:pt idx="233">
                  <c:v>1663</c:v>
                </c:pt>
                <c:pt idx="234">
                  <c:v>581</c:v>
                </c:pt>
                <c:pt idx="235">
                  <c:v>295</c:v>
                </c:pt>
                <c:pt idx="236">
                  <c:v>237</c:v>
                </c:pt>
                <c:pt idx="237">
                  <c:v>300</c:v>
                </c:pt>
                <c:pt idx="238">
                  <c:v>1751</c:v>
                </c:pt>
                <c:pt idx="239">
                  <c:v>227</c:v>
                </c:pt>
                <c:pt idx="240">
                  <c:v>806</c:v>
                </c:pt>
                <c:pt idx="241">
                  <c:v>443</c:v>
                </c:pt>
                <c:pt idx="242">
                  <c:v>3095</c:v>
                </c:pt>
                <c:pt idx="243">
                  <c:v>1065</c:v>
                </c:pt>
                <c:pt idx="244">
                  <c:v>13302</c:v>
                </c:pt>
                <c:pt idx="245">
                  <c:v>12121</c:v>
                </c:pt>
                <c:pt idx="246">
                  <c:v>49</c:v>
                </c:pt>
                <c:pt idx="247">
                  <c:v>1055</c:v>
                </c:pt>
                <c:pt idx="248">
                  <c:v>316</c:v>
                </c:pt>
                <c:pt idx="249">
                  <c:v>289</c:v>
                </c:pt>
                <c:pt idx="250">
                  <c:v>3411</c:v>
                </c:pt>
                <c:pt idx="251">
                  <c:v>833</c:v>
                </c:pt>
                <c:pt idx="252">
                  <c:v>895</c:v>
                </c:pt>
                <c:pt idx="253">
                  <c:v>479</c:v>
                </c:pt>
                <c:pt idx="254">
                  <c:v>1544</c:v>
                </c:pt>
                <c:pt idx="255">
                  <c:v>202</c:v>
                </c:pt>
                <c:pt idx="256">
                  <c:v>82</c:v>
                </c:pt>
                <c:pt idx="257">
                  <c:v>267</c:v>
                </c:pt>
                <c:pt idx="258">
                  <c:v>2289</c:v>
                </c:pt>
                <c:pt idx="259">
                  <c:v>408</c:v>
                </c:pt>
                <c:pt idx="260">
                  <c:v>777</c:v>
                </c:pt>
                <c:pt idx="261">
                  <c:v>447</c:v>
                </c:pt>
                <c:pt idx="262">
                  <c:v>2187</c:v>
                </c:pt>
                <c:pt idx="263">
                  <c:v>621</c:v>
                </c:pt>
                <c:pt idx="264">
                  <c:v>550</c:v>
                </c:pt>
                <c:pt idx="265">
                  <c:v>821</c:v>
                </c:pt>
                <c:pt idx="266">
                  <c:v>375</c:v>
                </c:pt>
                <c:pt idx="267">
                  <c:v>626</c:v>
                </c:pt>
                <c:pt idx="268">
                  <c:v>665</c:v>
                </c:pt>
                <c:pt idx="269">
                  <c:v>1232</c:v>
                </c:pt>
                <c:pt idx="270">
                  <c:v>460</c:v>
                </c:pt>
                <c:pt idx="271">
                  <c:v>322</c:v>
                </c:pt>
                <c:pt idx="272">
                  <c:v>159</c:v>
                </c:pt>
                <c:pt idx="273">
                  <c:v>492</c:v>
                </c:pt>
                <c:pt idx="274">
                  <c:v>37</c:v>
                </c:pt>
                <c:pt idx="275">
                  <c:v>3974</c:v>
                </c:pt>
                <c:pt idx="276">
                  <c:v>1409</c:v>
                </c:pt>
                <c:pt idx="277">
                  <c:v>1241</c:v>
                </c:pt>
                <c:pt idx="278">
                  <c:v>25</c:v>
                </c:pt>
                <c:pt idx="279">
                  <c:v>268</c:v>
                </c:pt>
                <c:pt idx="280">
                  <c:v>730</c:v>
                </c:pt>
                <c:pt idx="281">
                  <c:v>1687</c:v>
                </c:pt>
                <c:pt idx="282">
                  <c:v>129</c:v>
                </c:pt>
                <c:pt idx="283">
                  <c:v>1362</c:v>
                </c:pt>
                <c:pt idx="284">
                  <c:v>1984</c:v>
                </c:pt>
                <c:pt idx="285">
                  <c:v>173</c:v>
                </c:pt>
                <c:pt idx="286">
                  <c:v>11564</c:v>
                </c:pt>
                <c:pt idx="287">
                  <c:v>1390</c:v>
                </c:pt>
                <c:pt idx="288">
                  <c:v>469</c:v>
                </c:pt>
                <c:pt idx="289">
                  <c:v>1759</c:v>
                </c:pt>
                <c:pt idx="290">
                  <c:v>485</c:v>
                </c:pt>
                <c:pt idx="291">
                  <c:v>447</c:v>
                </c:pt>
                <c:pt idx="292">
                  <c:v>614</c:v>
                </c:pt>
                <c:pt idx="293">
                  <c:v>1893</c:v>
                </c:pt>
                <c:pt idx="294">
                  <c:v>534</c:v>
                </c:pt>
                <c:pt idx="295">
                  <c:v>120</c:v>
                </c:pt>
                <c:pt idx="296">
                  <c:v>15</c:v>
                </c:pt>
                <c:pt idx="297">
                  <c:v>84</c:v>
                </c:pt>
                <c:pt idx="298">
                  <c:v>569</c:v>
                </c:pt>
                <c:pt idx="299">
                  <c:v>114</c:v>
                </c:pt>
                <c:pt idx="300">
                  <c:v>362</c:v>
                </c:pt>
                <c:pt idx="301">
                  <c:v>962</c:v>
                </c:pt>
                <c:pt idx="302">
                  <c:v>259</c:v>
                </c:pt>
                <c:pt idx="303">
                  <c:v>169</c:v>
                </c:pt>
                <c:pt idx="304">
                  <c:v>1006</c:v>
                </c:pt>
                <c:pt idx="305">
                  <c:v>1163</c:v>
                </c:pt>
                <c:pt idx="306">
                  <c:v>659</c:v>
                </c:pt>
                <c:pt idx="307">
                  <c:v>501</c:v>
                </c:pt>
                <c:pt idx="308">
                  <c:v>146</c:v>
                </c:pt>
                <c:pt idx="309">
                  <c:v>1055</c:v>
                </c:pt>
                <c:pt idx="310">
                  <c:v>89</c:v>
                </c:pt>
                <c:pt idx="311">
                  <c:v>2810</c:v>
                </c:pt>
                <c:pt idx="312">
                  <c:v>3946</c:v>
                </c:pt>
                <c:pt idx="313">
                  <c:v>2034</c:v>
                </c:pt>
                <c:pt idx="314">
                  <c:v>615</c:v>
                </c:pt>
                <c:pt idx="315">
                  <c:v>50</c:v>
                </c:pt>
                <c:pt idx="316">
                  <c:v>32</c:v>
                </c:pt>
                <c:pt idx="317">
                  <c:v>575</c:v>
                </c:pt>
                <c:pt idx="318">
                  <c:v>95</c:v>
                </c:pt>
                <c:pt idx="319">
                  <c:v>719</c:v>
                </c:pt>
                <c:pt idx="320">
                  <c:v>549</c:v>
                </c:pt>
                <c:pt idx="321">
                  <c:v>1811</c:v>
                </c:pt>
                <c:pt idx="322">
                  <c:v>695</c:v>
                </c:pt>
                <c:pt idx="323">
                  <c:v>205</c:v>
                </c:pt>
                <c:pt idx="324">
                  <c:v>152</c:v>
                </c:pt>
                <c:pt idx="325">
                  <c:v>450</c:v>
                </c:pt>
                <c:pt idx="326">
                  <c:v>129</c:v>
                </c:pt>
                <c:pt idx="327">
                  <c:v>369</c:v>
                </c:pt>
                <c:pt idx="328">
                  <c:v>266</c:v>
                </c:pt>
                <c:pt idx="329">
                  <c:v>31</c:v>
                </c:pt>
                <c:pt idx="330">
                  <c:v>171</c:v>
                </c:pt>
                <c:pt idx="331">
                  <c:v>239</c:v>
                </c:pt>
                <c:pt idx="332">
                  <c:v>456</c:v>
                </c:pt>
                <c:pt idx="333">
                  <c:v>360</c:v>
                </c:pt>
                <c:pt idx="334">
                  <c:v>2554</c:v>
                </c:pt>
                <c:pt idx="335">
                  <c:v>2698</c:v>
                </c:pt>
                <c:pt idx="336">
                  <c:v>907</c:v>
                </c:pt>
                <c:pt idx="337">
                  <c:v>2835</c:v>
                </c:pt>
                <c:pt idx="338">
                  <c:v>1423</c:v>
                </c:pt>
                <c:pt idx="339">
                  <c:v>700</c:v>
                </c:pt>
                <c:pt idx="340">
                  <c:v>888</c:v>
                </c:pt>
                <c:pt idx="341">
                  <c:v>325</c:v>
                </c:pt>
                <c:pt idx="342">
                  <c:v>12202</c:v>
                </c:pt>
                <c:pt idx="343">
                  <c:v>745</c:v>
                </c:pt>
                <c:pt idx="344">
                  <c:v>487</c:v>
                </c:pt>
                <c:pt idx="345">
                  <c:v>44</c:v>
                </c:pt>
                <c:pt idx="346">
                  <c:v>190</c:v>
                </c:pt>
                <c:pt idx="347">
                  <c:v>1820</c:v>
                </c:pt>
                <c:pt idx="348">
                  <c:v>1131</c:v>
                </c:pt>
                <c:pt idx="349">
                  <c:v>86</c:v>
                </c:pt>
                <c:pt idx="350">
                  <c:v>5950</c:v>
                </c:pt>
                <c:pt idx="351">
                  <c:v>1670</c:v>
                </c:pt>
                <c:pt idx="352">
                  <c:v>74</c:v>
                </c:pt>
                <c:pt idx="353">
                  <c:v>1681</c:v>
                </c:pt>
                <c:pt idx="354">
                  <c:v>238</c:v>
                </c:pt>
                <c:pt idx="355">
                  <c:v>75</c:v>
                </c:pt>
                <c:pt idx="356">
                  <c:v>173</c:v>
                </c:pt>
                <c:pt idx="357">
                  <c:v>130</c:v>
                </c:pt>
                <c:pt idx="358">
                  <c:v>136</c:v>
                </c:pt>
                <c:pt idx="359">
                  <c:v>750</c:v>
                </c:pt>
                <c:pt idx="360">
                  <c:v>291</c:v>
                </c:pt>
                <c:pt idx="361">
                  <c:v>173</c:v>
                </c:pt>
                <c:pt idx="362">
                  <c:v>419</c:v>
                </c:pt>
                <c:pt idx="363">
                  <c:v>2902</c:v>
                </c:pt>
                <c:pt idx="364">
                  <c:v>709</c:v>
                </c:pt>
                <c:pt idx="365">
                  <c:v>2550</c:v>
                </c:pt>
                <c:pt idx="366">
                  <c:v>278</c:v>
                </c:pt>
                <c:pt idx="367">
                  <c:v>705</c:v>
                </c:pt>
                <c:pt idx="368">
                  <c:v>484</c:v>
                </c:pt>
                <c:pt idx="369">
                  <c:v>75</c:v>
                </c:pt>
                <c:pt idx="370">
                  <c:v>1455</c:v>
                </c:pt>
                <c:pt idx="371">
                  <c:v>67</c:v>
                </c:pt>
                <c:pt idx="372">
                  <c:v>738</c:v>
                </c:pt>
                <c:pt idx="373">
                  <c:v>1176</c:v>
                </c:pt>
                <c:pt idx="374">
                  <c:v>695</c:v>
                </c:pt>
                <c:pt idx="375">
                  <c:v>259</c:v>
                </c:pt>
                <c:pt idx="376">
                  <c:v>412</c:v>
                </c:pt>
                <c:pt idx="377">
                  <c:v>359</c:v>
                </c:pt>
                <c:pt idx="378">
                  <c:v>102</c:v>
                </c:pt>
                <c:pt idx="379">
                  <c:v>1205</c:v>
                </c:pt>
                <c:pt idx="380">
                  <c:v>1147</c:v>
                </c:pt>
                <c:pt idx="381">
                  <c:v>917</c:v>
                </c:pt>
              </c:numCache>
            </c:numRef>
          </c:val>
        </c:ser>
        <c:ser>
          <c:idx val="1"/>
          <c:order val="1"/>
          <c:tx>
            <c:strRef>
              <c:f>'By Camps'!$B$34</c:f>
              <c:strCache>
                <c:ptCount val="1"/>
                <c:pt idx="0">
                  <c:v>Number of People adopt basic personal and community hygiene practices</c:v>
                </c:pt>
              </c:strCache>
            </c:strRef>
          </c:tx>
          <c:spPr>
            <a:solidFill>
              <a:schemeClr val="accent6">
                <a:lumMod val="75000"/>
              </a:schemeClr>
            </a:solidFill>
            <a:ln>
              <a:noFill/>
            </a:ln>
            <a:effectLst/>
          </c:spPr>
          <c:invertIfNegative val="0"/>
          <c:cat>
            <c:strRef>
              <c:f>'By Camps'!$B$34</c:f>
              <c:strCache>
                <c:ptCount val="382"/>
                <c:pt idx="0">
                  <c:v>5 Ward RC Church(lon Khin)</c:v>
                </c:pt>
                <c:pt idx="1">
                  <c:v>AD-2000 Extension camp</c:v>
                </c:pt>
                <c:pt idx="2">
                  <c:v>AD-2000 Tharthana Compound</c:v>
                </c:pt>
                <c:pt idx="3">
                  <c:v>AG Church, Hmaw Si Sa</c:v>
                </c:pt>
                <c:pt idx="4">
                  <c:v>AG Church, Maw Wan</c:v>
                </c:pt>
                <c:pt idx="5">
                  <c:v>Agritural Compound (KBC)</c:v>
                </c:pt>
                <c:pt idx="6">
                  <c:v>Ah Hla Sin</c:v>
                </c:pt>
                <c:pt idx="7">
                  <c:v>Ah Htet Gar Pu</c:v>
                </c:pt>
                <c:pt idx="8">
                  <c:v>Ah Htet Nan Yar (Muslim)</c:v>
                </c:pt>
                <c:pt idx="9">
                  <c:v>Ah Htet See Maung</c:v>
                </c:pt>
                <c:pt idx="10">
                  <c:v>Ah Lar Than</c:v>
                </c:pt>
                <c:pt idx="11">
                  <c:v>Ah Lel Mu</c:v>
                </c:pt>
                <c:pt idx="12">
                  <c:v>Ah Nauk Pyin</c:v>
                </c:pt>
                <c:pt idx="13">
                  <c:v>Ah Nauk Ye Ku Lar</c:v>
                </c:pt>
                <c:pt idx="14">
                  <c:v>Ah Nauk Ywe</c:v>
                </c:pt>
                <c:pt idx="15">
                  <c:v>Ah Pauk Wa</c:v>
                </c:pt>
                <c:pt idx="16">
                  <c:v>Ahla Madi</c:v>
                </c:pt>
                <c:pt idx="17">
                  <c:v>Aung Daing </c:v>
                </c:pt>
                <c:pt idx="18">
                  <c:v>Aung Thar Church</c:v>
                </c:pt>
                <c:pt idx="19">
                  <c:v>Aung Thar Yar</c:v>
                </c:pt>
                <c:pt idx="20">
                  <c:v>Aung Thar Yar (NaTaLa)</c:v>
                </c:pt>
                <c:pt idx="21">
                  <c:v>Baptist Church, Hmaw Si Sar(Lon Khin)</c:v>
                </c:pt>
                <c:pt idx="22">
                  <c:v>Bar Sa Yar Host</c:v>
                </c:pt>
                <c:pt idx="23">
                  <c:v>Basare</c:v>
                </c:pt>
                <c:pt idx="24">
                  <c:v>Baw Di Kone</c:v>
                </c:pt>
                <c:pt idx="25">
                  <c:v>Baw Du Pha (IDP in host families)</c:v>
                </c:pt>
                <c:pt idx="26">
                  <c:v>Baw Du Pha 1</c:v>
                </c:pt>
                <c:pt idx="27">
                  <c:v>Baw Du Pha 2</c:v>
                </c:pt>
                <c:pt idx="28">
                  <c:v>Baw Du Pha village</c:v>
                </c:pt>
                <c:pt idx="29">
                  <c:v>Bhamo_Host Families</c:v>
                </c:pt>
                <c:pt idx="30">
                  <c:v>Border Post 8</c:v>
                </c:pt>
                <c:pt idx="31">
                  <c:v>Bu Chaung</c:v>
                </c:pt>
                <c:pt idx="32">
                  <c:v>Bu May</c:v>
                </c:pt>
                <c:pt idx="33">
                  <c:v>Bum Tsit Pa</c:v>
                </c:pt>
                <c:pt idx="34">
                  <c:v>Chaik Taung</c:v>
                </c:pt>
                <c:pt idx="35">
                  <c:v>Cheit Taung</c:v>
                </c:pt>
                <c:pt idx="36">
                  <c:v>Chi Laing Hpin</c:v>
                </c:pt>
                <c:pt idx="37">
                  <c:v>Chin Church, Seik Mu</c:v>
                </c:pt>
                <c:pt idx="38">
                  <c:v>Chin Kone</c:v>
                </c:pt>
                <c:pt idx="39">
                  <c:v>Chin Ywa(Pyaing Taung)</c:v>
                </c:pt>
                <c:pt idx="40">
                  <c:v>Chipwi KBC camp</c:v>
                </c:pt>
                <c:pt idx="41">
                  <c:v>Chut Pyin</c:v>
                </c:pt>
                <c:pt idx="42">
                  <c:v>Dar Let (North)</c:v>
                </c:pt>
                <c:pt idx="43">
                  <c:v>Dar Let (South)</c:v>
                </c:pt>
                <c:pt idx="44">
                  <c:v>Dar Let Ah Lel Kyun</c:v>
                </c:pt>
                <c:pt idx="45">
                  <c:v>Dar Pai</c:v>
                </c:pt>
                <c:pt idx="46">
                  <c:v>Dar Pai (IDP in host families)</c:v>
                </c:pt>
                <c:pt idx="47">
                  <c:v>Dar Paing Village</c:v>
                </c:pt>
                <c:pt idx="48">
                  <c:v>Dar Peit</c:v>
                </c:pt>
                <c:pt idx="49">
                  <c:v>Daung Pyauk Kay</c:v>
                </c:pt>
                <c:pt idx="50">
                  <c:v>Dhama Rakhita, Nyein Chan Tar Yar Ward(Lon Khin)</c:v>
                </c:pt>
                <c:pt idx="51">
                  <c:v>Doke Kan Chaung</c:v>
                </c:pt>
                <c:pt idx="52">
                  <c:v>Done Pyin Village</c:v>
                </c:pt>
                <c:pt idx="53">
                  <c:v>Du Kahtawng Baptist</c:v>
                </c:pt>
                <c:pt idx="54">
                  <c:v>Dum Bung </c:v>
                </c:pt>
                <c:pt idx="55">
                  <c:v>Gar Pu (Lower)</c:v>
                </c:pt>
                <c:pt idx="56">
                  <c:v>Gaw Yaw Ma Ni</c:v>
                </c:pt>
                <c:pt idx="57">
                  <c:v>Goke Pi Htaunt</c:v>
                </c:pt>
                <c:pt idx="58">
                  <c:v>Goke Pi Htaunt (Rakhine)</c:v>
                </c:pt>
                <c:pt idx="59">
                  <c:v>Hka Shi</c:v>
                </c:pt>
                <c:pt idx="60">
                  <c:v>Hkat Cho </c:v>
                </c:pt>
                <c:pt idx="61">
                  <c:v>Hkau Shau (BP 12)</c:v>
                </c:pt>
                <c:pt idx="62">
                  <c:v>Hla May Shwe</c:v>
                </c:pt>
                <c:pt idx="63">
                  <c:v>Hla Nyo Kan</c:v>
                </c:pt>
                <c:pt idx="64">
                  <c:v>Hlaing Naung Baptist</c:v>
                </c:pt>
                <c:pt idx="65">
                  <c:v>Hmanzi </c:v>
                </c:pt>
                <c:pt idx="66">
                  <c:v>Hmaw Wan, Anglican</c:v>
                </c:pt>
                <c:pt idx="67">
                  <c:v>Hopin Host Families</c:v>
                </c:pt>
                <c:pt idx="68">
                  <c:v>Hpai Kawng</c:v>
                </c:pt>
                <c:pt idx="69">
                  <c:v>Hpai Kawng Mare</c:v>
                </c:pt>
                <c:pt idx="70">
                  <c:v>Hpakant Baptist Church, Nam Ma Hpit</c:v>
                </c:pt>
                <c:pt idx="71">
                  <c:v>Hpar Wut Chaung</c:v>
                </c:pt>
                <c:pt idx="72">
                  <c:v>Hpare Hkyer - BP6</c:v>
                </c:pt>
                <c:pt idx="73">
                  <c:v>Hpun Lum Yang </c:v>
                </c:pt>
                <c:pt idx="74">
                  <c:v>Htoi San Church</c:v>
                </c:pt>
                <c:pt idx="75">
                  <c:v>IDP Boarding School, A Len Bum</c:v>
                </c:pt>
                <c:pt idx="76">
                  <c:v>In Bar Yi</c:v>
                </c:pt>
                <c:pt idx="77">
                  <c:v>Inn Hpauk</c:v>
                </c:pt>
                <c:pt idx="78">
                  <c:v>Inn Lel Yan - Host Families</c:v>
                </c:pt>
                <c:pt idx="79">
                  <c:v>Jan Mai Kawng Baptist Church</c:v>
                </c:pt>
                <c:pt idx="80">
                  <c:v>Jan Mai Kawng Catholic Church</c:v>
                </c:pt>
                <c:pt idx="81">
                  <c:v>Je Yang Hka </c:v>
                </c:pt>
                <c:pt idx="82">
                  <c:v>Jwan Jaw KBC</c:v>
                </c:pt>
                <c:pt idx="83">
                  <c:v>Ka Nyin</c:v>
                </c:pt>
                <c:pt idx="84">
                  <c:v>Ka Nyin Taw</c:v>
                </c:pt>
                <c:pt idx="85">
                  <c:v>Kachin Su Baptist Church (ECCD)</c:v>
                </c:pt>
                <c:pt idx="86">
                  <c:v>Kan Chaung Wa</c:v>
                </c:pt>
                <c:pt idx="87">
                  <c:v>Kan Ni</c:v>
                </c:pt>
                <c:pt idx="88">
                  <c:v>Kan Pyin</c:v>
                </c:pt>
                <c:pt idx="89">
                  <c:v>Kan Thar Htwat Wa</c:v>
                </c:pt>
                <c:pt idx="90">
                  <c:v>Kan Za Li</c:v>
                </c:pt>
                <c:pt idx="91">
                  <c:v>Kar Di</c:v>
                </c:pt>
                <c:pt idx="92">
                  <c:v>Kha Yan Kyun</c:v>
                </c:pt>
                <c:pt idx="93">
                  <c:v>Khar Nan (1) Baptist Church</c:v>
                </c:pt>
                <c:pt idx="94">
                  <c:v>Khaung Doke Khar</c:v>
                </c:pt>
                <c:pt idx="95">
                  <c:v>Khaung Htoke</c:v>
                </c:pt>
                <c:pt idx="96">
                  <c:v>Khun Sint Village</c:v>
                </c:pt>
                <c:pt idx="97">
                  <c:v>Kin Chaung</c:v>
                </c:pt>
                <c:pt idx="98">
                  <c:v>Kin Taung (Taung + Myauk)</c:v>
                </c:pt>
                <c:pt idx="99">
                  <c:v>Kone Khem Camp</c:v>
                </c:pt>
                <c:pt idx="100">
                  <c:v>Kone Tan</c:v>
                </c:pt>
                <c:pt idx="101">
                  <c:v>Kutkai downtown (KBC Church)</c:v>
                </c:pt>
                <c:pt idx="102">
                  <c:v>Kutkai downtown (KBC Church-2)</c:v>
                </c:pt>
                <c:pt idx="103">
                  <c:v>Kutkai downtown (RC Church)</c:v>
                </c:pt>
                <c:pt idx="104">
                  <c:v>Kutkhai KBC-2 (Block-6)</c:v>
                </c:pt>
                <c:pt idx="105">
                  <c:v>Kwayt Shey Ywar Thit
(Kwayt Shay)</c:v>
                </c:pt>
                <c:pt idx="106">
                  <c:v>Kyar Nyo Inn</c:v>
                </c:pt>
                <c:pt idx="107">
                  <c:v>Kyauk Sar Taing</c:v>
                </c:pt>
                <c:pt idx="108">
                  <c:v>Kyauk Se</c:v>
                </c:pt>
                <c:pt idx="109">
                  <c:v>Kyauk Ta Lone</c:v>
                </c:pt>
                <c:pt idx="110">
                  <c:v>Kyaung Swae Phyu</c:v>
                </c:pt>
                <c:pt idx="111">
                  <c:v>Kyeik Chaung</c:v>
                </c:pt>
                <c:pt idx="112">
                  <c:v>Kyein Chaung</c:v>
                </c:pt>
                <c:pt idx="113">
                  <c:v>Kyein Ni Pyin</c:v>
                </c:pt>
                <c:pt idx="114">
                  <c:v>Kyet Taw Pyin</c:v>
                </c:pt>
                <c:pt idx="115">
                  <c:v>Kyone Pyin</c:v>
                </c:pt>
                <c:pt idx="116">
                  <c:v>Kyu Sot</c:v>
                </c:pt>
                <c:pt idx="117">
                  <c:v>Kyun Pin Thar Baptist Church</c:v>
                </c:pt>
                <c:pt idx="118">
                  <c:v>Kyun Taw Baptist Church </c:v>
                </c:pt>
                <c:pt idx="119">
                  <c:v>Kywe Lan Chaung</c:v>
                </c:pt>
                <c:pt idx="120">
                  <c:v>Kywi Te</c:v>
                </c:pt>
                <c:pt idx="121">
                  <c:v>La Mu Ta Pin</c:v>
                </c:pt>
                <c:pt idx="122">
                  <c:v>Laiza Je Yang School</c:v>
                </c:pt>
                <c:pt idx="123">
                  <c:v>Lana Zup Ja</c:v>
                </c:pt>
                <c:pt idx="124">
                  <c:v>Laung Sat</c:v>
                </c:pt>
                <c:pt idx="125">
                  <c:v>Lawk Awng Mare D. (Sinbo Area)</c:v>
                </c:pt>
                <c:pt idx="126">
                  <c:v>Lawng Hkang Shait Yang Camp​ ( Lel Pyin)​ </c:v>
                </c:pt>
                <c:pt idx="127">
                  <c:v>Le Kone Bethlehem Church</c:v>
                </c:pt>
                <c:pt idx="128">
                  <c:v>Le Kone Ziun Baptist Church </c:v>
                </c:pt>
                <c:pt idx="129">
                  <c:v>Let Saung Kauk</c:v>
                </c:pt>
                <c:pt idx="130">
                  <c:v>Let Than Chi (Haung)</c:v>
                </c:pt>
                <c:pt idx="131">
                  <c:v>Let Than Chi (Ywar Thit)</c:v>
                </c:pt>
                <c:pt idx="132">
                  <c:v>Lhaovao Baptist Church (LBC)</c:v>
                </c:pt>
                <c:pt idx="133">
                  <c:v>Lisu Baptist Church</c:v>
                </c:pt>
                <c:pt idx="134">
                  <c:v>Lisu Baptist Church, Maw Shan Vil,. Seik Mu</c:v>
                </c:pt>
                <c:pt idx="135">
                  <c:v>Lisu Baptist Church, Maw Wan Ward</c:v>
                </c:pt>
                <c:pt idx="136">
                  <c:v>Lisu Boarding-House</c:v>
                </c:pt>
                <c:pt idx="137">
                  <c:v>Lisu Church Namtu</c:v>
                </c:pt>
                <c:pt idx="138">
                  <c:v>Loi Je Baptist Church</c:v>
                </c:pt>
                <c:pt idx="139">
                  <c:v>Loi Je Catholic Church</c:v>
                </c:pt>
                <c:pt idx="140">
                  <c:v>Loi Je Lisu Camp</c:v>
                </c:pt>
                <c:pt idx="141">
                  <c:v>Lone Tin</c:v>
                </c:pt>
                <c:pt idx="142">
                  <c:v>Lun Kyaw</c:v>
                </c:pt>
                <c:pt idx="143">
                  <c:v>Lung Sut</c:v>
                </c:pt>
                <c:pt idx="144">
                  <c:v>Lwegel High School</c:v>
                </c:pt>
                <c:pt idx="145">
                  <c:v>Ma Hawng RC </c:v>
                </c:pt>
                <c:pt idx="146">
                  <c:v>Mading Baptist Church</c:v>
                </c:pt>
                <c:pt idx="147">
                  <c:v>Maga Yang </c:v>
                </c:pt>
                <c:pt idx="148">
                  <c:v>Mai Yu Lay Ta'ang</c:v>
                </c:pt>
                <c:pt idx="149">
                  <c:v>Maina AG Church</c:v>
                </c:pt>
                <c:pt idx="150">
                  <c:v>Maina Catholic Church (St. Joseph)</c:v>
                </c:pt>
                <c:pt idx="151">
                  <c:v>Maina KBC (Bawng Ring)</c:v>
                </c:pt>
                <c:pt idx="152">
                  <c:v>Maina Lawang Baptist Church</c:v>
                </c:pt>
                <c:pt idx="153">
                  <c:v>Maing Khaung</c:v>
                </c:pt>
                <c:pt idx="154">
                  <c:v>Maing Khaung Catholic Church</c:v>
                </c:pt>
                <c:pt idx="155">
                  <c:v>Maliyang Baptist Church</c:v>
                </c:pt>
                <c:pt idx="156">
                  <c:v>Man Bung Catholic compound</c:v>
                </c:pt>
                <c:pt idx="157">
                  <c:v>Man Bung Edin Baptist Church</c:v>
                </c:pt>
                <c:pt idx="158">
                  <c:v>Man Hkring Baptist Church</c:v>
                </c:pt>
                <c:pt idx="159">
                  <c:v>Man Kaung/Naung Ti Kyar Village</c:v>
                </c:pt>
                <c:pt idx="160">
                  <c:v>Man Loi</c:v>
                </c:pt>
                <c:pt idx="161">
                  <c:v>Man Sa</c:v>
                </c:pt>
                <c:pt idx="162">
                  <c:v>Man Wing Baptist Church</c:v>
                </c:pt>
                <c:pt idx="163">
                  <c:v>Man Wing Baptist Church Cultural Compound</c:v>
                </c:pt>
                <c:pt idx="164">
                  <c:v>Man Wing Catholic Church</c:v>
                </c:pt>
                <c:pt idx="165">
                  <c:v>Man Wing Catholic Church II</c:v>
                </c:pt>
                <c:pt idx="166">
                  <c:v>Man Wing Host Families</c:v>
                </c:pt>
                <c:pt idx="167">
                  <c:v>Mandalay Monestry</c:v>
                </c:pt>
                <c:pt idx="168">
                  <c:v>Mandung - Jinghpaw</c:v>
                </c:pt>
                <c:pt idx="169">
                  <c:v>Mandung - RC</c:v>
                </c:pt>
                <c:pt idx="170">
                  <c:v>Mang Hawng Baptist Church</c:v>
                </c:pt>
                <c:pt idx="171">
                  <c:v>Mansi Baptist Church</c:v>
                </c:pt>
                <c:pt idx="172">
                  <c:v>Mansi_Host Families</c:v>
                </c:pt>
                <c:pt idx="173">
                  <c:v>Maw</c:v>
                </c:pt>
                <c:pt idx="174">
                  <c:v>Maw Hpawng Hka Nan Baptist Church</c:v>
                </c:pt>
                <c:pt idx="175">
                  <c:v>Maw Hpawng Lhaovo Baptist Church</c:v>
                </c:pt>
                <c:pt idx="176">
                  <c:v>Maw Ti Ngar</c:v>
                </c:pt>
                <c:pt idx="177">
                  <c:v>Maw Wan, Mu-yin Baptist Church</c:v>
                </c:pt>
                <c:pt idx="178">
                  <c:v>Me la zi Kone</c:v>
                </c:pt>
                <c:pt idx="179">
                  <c:v>Mei Za Li Kaing</c:v>
                </c:pt>
                <c:pt idx="180">
                  <c:v>Mi Chaung Yae Thauk</c:v>
                </c:pt>
                <c:pt idx="181">
                  <c:v>Mi Nyo Htaunt</c:v>
                </c:pt>
                <c:pt idx="182">
                  <c:v>Mi Nyo Htaunt_Thar Si</c:v>
                </c:pt>
                <c:pt idx="183">
                  <c:v>Min Ga Lar Gyi</c:v>
                </c:pt>
                <c:pt idx="184">
                  <c:v>Min Thar Seik</c:v>
                </c:pt>
                <c:pt idx="185">
                  <c:v>Mine Yu Lay village</c:v>
                </c:pt>
                <c:pt idx="186">
                  <c:v>Mingalar on</c:v>
                </c:pt>
                <c:pt idx="187">
                  <c:v>Moenyin Host Families</c:v>
                </c:pt>
                <c:pt idx="188">
                  <c:v>Momauk Baptist Church</c:v>
                </c:pt>
                <c:pt idx="189">
                  <c:v>Momauk_Host Families</c:v>
                </c:pt>
                <c:pt idx="190">
                  <c:v>Mong Wee Shan</c:v>
                </c:pt>
                <c:pt idx="191">
                  <c:v>Mung Hawm </c:v>
                </c:pt>
                <c:pt idx="192">
                  <c:v>Mungji Pa Dabang (Baptist Church)</c:v>
                </c:pt>
                <c:pt idx="193">
                  <c:v>Mungji Pa Dabang (Catholic Church)</c:v>
                </c:pt>
                <c:pt idx="194">
                  <c:v>Muse Baptist Church</c:v>
                </c:pt>
                <c:pt idx="195">
                  <c:v>Muse Catholic Church</c:v>
                </c:pt>
                <c:pt idx="196">
                  <c:v>Mu-yin Baptist Church</c:v>
                </c:pt>
                <c:pt idx="197">
                  <c:v>Muyin church (Aung Yar pre-school compound)</c:v>
                </c:pt>
                <c:pt idx="198">
                  <c:v>Myet Tauk</c:v>
                </c:pt>
                <c:pt idx="199">
                  <c:v>Myo Thit </c:v>
                </c:pt>
                <c:pt idx="200">
                  <c:v>Nam Hkam - Nay Win Ni (Palawng)</c:v>
                </c:pt>
                <c:pt idx="201">
                  <c:v>Nam Hkam (KBC Jaw Wang)</c:v>
                </c:pt>
                <c:pt idx="202">
                  <c:v>Nam Hkam (KBC Jaw Wang) II</c:v>
                </c:pt>
                <c:pt idx="203">
                  <c:v>Nam Hkam Catholic Church ( St. Thomas I)</c:v>
                </c:pt>
                <c:pt idx="204">
                  <c:v>Nam Hkawng</c:v>
                </c:pt>
                <c:pt idx="205">
                  <c:v>Nam Hpak Ka Mare </c:v>
                </c:pt>
                <c:pt idx="206">
                  <c:v>Nam Hpak Ka Ta'ang</c:v>
                </c:pt>
                <c:pt idx="207">
                  <c:v>Nam Ma Phyit, COC</c:v>
                </c:pt>
                <c:pt idx="208">
                  <c:v>Nam Sa Larp</c:v>
                </c:pt>
                <c:pt idx="209">
                  <c:v>Nam Tu Baptist</c:v>
                </c:pt>
                <c:pt idx="210">
                  <c:v>Namhkan - Pang Long KBC</c:v>
                </c:pt>
                <c:pt idx="211">
                  <c:v>Nan Kway St. John Catholic Church</c:v>
                </c:pt>
                <c:pt idx="212">
                  <c:v>Nant Hlaing Church</c:v>
                </c:pt>
                <c:pt idx="213">
                  <c:v>Nant Ma Hpit Catholic Church</c:v>
                </c:pt>
                <c:pt idx="214">
                  <c:v>Narte</c:v>
                </c:pt>
                <c:pt idx="215">
                  <c:v>Nat Gyi Kone Baptist Church </c:v>
                </c:pt>
                <c:pt idx="216">
                  <c:v>Nat Maw (Upper)</c:v>
                </c:pt>
                <c:pt idx="217">
                  <c:v>Naw Wai</c:v>
                </c:pt>
                <c:pt idx="218">
                  <c:v>Nawng Hee Village</c:v>
                </c:pt>
                <c:pt idx="219">
                  <c:v>Nawng Ing (Indawgyi) Baptist Church </c:v>
                </c:pt>
                <c:pt idx="220">
                  <c:v>Nay Pu Khan</c:v>
                </c:pt>
                <c:pt idx="221">
                  <c:v>Ndup Yang</c:v>
                </c:pt>
                <c:pt idx="222">
                  <c:v>New Pang Ku </c:v>
                </c:pt>
                <c:pt idx="223">
                  <c:v>Nga Kyi Tauk Daing Nat</c:v>
                </c:pt>
                <c:pt idx="224">
                  <c:v>Nga Let Kya</c:v>
                </c:pt>
                <c:pt idx="225">
                  <c:v>Nga Ta Paung</c:v>
                </c:pt>
                <c:pt idx="226">
                  <c:v>Nga/ Pun Ywar Gyi</c:v>
                </c:pt>
                <c:pt idx="227">
                  <c:v>Nga/ Pun Ywar Shey</c:v>
                </c:pt>
                <c:pt idx="228">
                  <c:v>Nga/Tauk Tet</c:v>
                </c:pt>
                <c:pt idx="229">
                  <c:v>Ngan Chaung_Gone Nar</c:v>
                </c:pt>
                <c:pt idx="230">
                  <c:v>Ngar Yauk Kaing</c:v>
                </c:pt>
                <c:pt idx="231">
                  <c:v>Nget Chaung 1</c:v>
                </c:pt>
                <c:pt idx="232">
                  <c:v>Nget Chaung 2</c:v>
                </c:pt>
                <c:pt idx="233">
                  <c:v>Nhkawng Pa </c:v>
                </c:pt>
                <c:pt idx="234">
                  <c:v>NiDin</c:v>
                </c:pt>
                <c:pt idx="235">
                  <c:v>Njang Dung Baptist Church </c:v>
                </c:pt>
                <c:pt idx="236">
                  <c:v>Nyaung Chaung_ann</c:v>
                </c:pt>
                <c:pt idx="237">
                  <c:v>Nyaung Na Pin </c:v>
                </c:pt>
                <c:pt idx="238">
                  <c:v>Nyaung Pin Gyi (Ku Lar)</c:v>
                </c:pt>
                <c:pt idx="239">
                  <c:v>Nyaung Pin Gyi (Rakhine)</c:v>
                </c:pt>
                <c:pt idx="240">
                  <c:v>Nyaung Pin Hla</c:v>
                </c:pt>
                <c:pt idx="241">
                  <c:v>Oe Pone</c:v>
                </c:pt>
                <c:pt idx="242">
                  <c:v>Ohn Taw Chay</c:v>
                </c:pt>
                <c:pt idx="243">
                  <c:v>Ohn Taw Gyi</c:v>
                </c:pt>
                <c:pt idx="244">
                  <c:v>Ohn Taw Gyi (North)</c:v>
                </c:pt>
                <c:pt idx="245">
                  <c:v>Ohn Taw Gyi (South)</c:v>
                </c:pt>
                <c:pt idx="246">
                  <c:v>Ohn Taw Shey</c:v>
                </c:pt>
                <c:pt idx="247">
                  <c:v>Oke Kan</c:v>
                </c:pt>
                <c:pt idx="248">
                  <c:v>Oke Taung Pyin</c:v>
                </c:pt>
                <c:pt idx="249">
                  <c:v>Pa Dauk Myaing(Pa La Na)</c:v>
                </c:pt>
                <c:pt idx="250">
                  <c:v>Pa Kahtawng </c:v>
                </c:pt>
                <c:pt idx="251">
                  <c:v>Pa Lat Kay</c:v>
                </c:pt>
                <c:pt idx="252">
                  <c:v>Pajau - Jan Mai</c:v>
                </c:pt>
                <c:pt idx="253">
                  <c:v>Palae' Kaine</c:v>
                </c:pt>
                <c:pt idx="254">
                  <c:v>Pale Taung</c:v>
                </c:pt>
                <c:pt idx="255">
                  <c:v>Pan Law</c:v>
                </c:pt>
                <c:pt idx="256">
                  <c:v>Pan Ta Pyae</c:v>
                </c:pt>
                <c:pt idx="257">
                  <c:v>Pan Wa</c:v>
                </c:pt>
                <c:pt idx="258">
                  <c:v>Paung Zar</c:v>
                </c:pt>
                <c:pt idx="259">
                  <c:v>Pet Khwet Seik</c:v>
                </c:pt>
                <c:pt idx="260">
                  <c:v>Phan Khar Kone</c:v>
                </c:pt>
                <c:pt idx="261">
                  <c:v>Phwe Yar Gone village</c:v>
                </c:pt>
                <c:pt idx="262">
                  <c:v>Phwe Yar Kone</c:v>
                </c:pt>
                <c:pt idx="263">
                  <c:v>Pin Zaing</c:v>
                </c:pt>
                <c:pt idx="264">
                  <c:v>Post 6 Camp</c:v>
                </c:pt>
                <c:pt idx="265">
                  <c:v>Pyaing Chaung</c:v>
                </c:pt>
                <c:pt idx="266">
                  <c:v>Pyaung Chaung</c:v>
                </c:pt>
                <c:pt idx="267">
                  <c:v>Pyaung Seik</c:v>
                </c:pt>
                <c:pt idx="268">
                  <c:v>Pyein Chaung</c:v>
                </c:pt>
                <c:pt idx="269">
                  <c:v>Pyin Hlyar Shey</c:v>
                </c:pt>
                <c:pt idx="270">
                  <c:v>Qtr. 2 Lhaovo Baptist Church</c:v>
                </c:pt>
                <c:pt idx="271">
                  <c:v>Qtr. 2 Myoma Baptist Church</c:v>
                </c:pt>
                <c:pt idx="272">
                  <c:v>Qtr. 3 Mu-yin  Baptist Church</c:v>
                </c:pt>
                <c:pt idx="273">
                  <c:v>Qtr. 4 Monestry (Thargaya Thayett Taw)</c:v>
                </c:pt>
                <c:pt idx="274">
                  <c:v>Rawan Baptist Church, Maw Shan Vil., Seik Mu</c:v>
                </c:pt>
                <c:pt idx="275">
                  <c:v>Robert Church</c:v>
                </c:pt>
                <c:pt idx="276">
                  <c:v>Robert -Middle school</c:v>
                </c:pt>
                <c:pt idx="277">
                  <c:v>Sa Khan Maw</c:v>
                </c:pt>
                <c:pt idx="278">
                  <c:v>Sai Nai Baptish Church, Maw Shan Vil., Seki Mu</c:v>
                </c:pt>
                <c:pt idx="279">
                  <c:v>Salang Yang</c:v>
                </c:pt>
                <c:pt idx="280">
                  <c:v>San Htoe Tan</c:v>
                </c:pt>
                <c:pt idx="281">
                  <c:v>Sapar Seik (Shari)</c:v>
                </c:pt>
                <c:pt idx="282">
                  <c:v>Sar Hmaw - KBC</c:v>
                </c:pt>
                <c:pt idx="283">
                  <c:v>Sat Roe Kya 1</c:v>
                </c:pt>
                <c:pt idx="284">
                  <c:v>Sat Roe Kya 2</c:v>
                </c:pt>
                <c:pt idx="285">
                  <c:v>Saw Zam</c:v>
                </c:pt>
                <c:pt idx="286">
                  <c:v>Say Tha Mar Gyi</c:v>
                </c:pt>
                <c:pt idx="287">
                  <c:v>Say Tha Mar Gyi village</c:v>
                </c:pt>
                <c:pt idx="288">
                  <c:v>Say Tha Mar Nge</c:v>
                </c:pt>
                <c:pt idx="289">
                  <c:v>Sein Hnyin Pyar_Tha Pyay Taw</c:v>
                </c:pt>
                <c:pt idx="290">
                  <c:v>Seng Ja </c:v>
                </c:pt>
                <c:pt idx="291">
                  <c:v>Set Yone Su 1</c:v>
                </c:pt>
                <c:pt idx="292">
                  <c:v>Set Yone Su 3 (Mingan)</c:v>
                </c:pt>
                <c:pt idx="293">
                  <c:v>Sha-It Yang</c:v>
                </c:pt>
                <c:pt idx="294">
                  <c:v>Shan Kone</c:v>
                </c:pt>
                <c:pt idx="295">
                  <c:v>Shar Du Zut KBC church </c:v>
                </c:pt>
                <c:pt idx="296">
                  <c:v>Shar Du Zut RC church</c:v>
                </c:pt>
                <c:pt idx="297">
                  <c:v>Shar Du Zut SanPya</c:v>
                </c:pt>
                <c:pt idx="298">
                  <c:v>Shatapru Sut Ngai Tawng</c:v>
                </c:pt>
                <c:pt idx="299">
                  <c:v>Shatapru Thida Aye Baptist Church</c:v>
                </c:pt>
                <c:pt idx="300">
                  <c:v>Shauk Chaung</c:v>
                </c:pt>
                <c:pt idx="301">
                  <c:v>Shing Jai</c:v>
                </c:pt>
                <c:pt idx="302">
                  <c:v>Shwe Gu Baptist Church</c:v>
                </c:pt>
                <c:pt idx="303">
                  <c:v>Shwe Gu Catholic Church</c:v>
                </c:pt>
                <c:pt idx="304">
                  <c:v>Shwe Hlaing</c:v>
                </c:pt>
                <c:pt idx="305">
                  <c:v>Shwe Hlaing Rakhine</c:v>
                </c:pt>
                <c:pt idx="306">
                  <c:v>Shwe Ta Mar</c:v>
                </c:pt>
                <c:pt idx="307">
                  <c:v>Shwe Zet Baptist Church</c:v>
                </c:pt>
                <c:pt idx="308">
                  <c:v>Shwe Zin Khin (Rakhine)</c:v>
                </c:pt>
                <c:pt idx="309">
                  <c:v>Sin Aing</c:v>
                </c:pt>
                <c:pt idx="310">
                  <c:v>Sin Bo</c:v>
                </c:pt>
                <c:pt idx="311">
                  <c:v>Sin Tet Maw</c:v>
                </c:pt>
                <c:pt idx="312">
                  <c:v>Sin Tet Maw (Host)</c:v>
                </c:pt>
                <c:pt idx="313">
                  <c:v>Sin Tet Maw Rakhine(Baw Da Li)</c:v>
                </c:pt>
                <c:pt idx="314">
                  <c:v>Sin U Taik</c:v>
                </c:pt>
                <c:pt idx="315">
                  <c:v>St. Patrick Catholic Church </c:v>
                </c:pt>
                <c:pt idx="316">
                  <c:v>Sumprabum</c:v>
                </c:pt>
                <c:pt idx="317">
                  <c:v>Swi Chaung</c:v>
                </c:pt>
                <c:pt idx="318">
                  <c:v>Ta Gun Taing Monastery (Shwe Kyi Na)</c:v>
                </c:pt>
                <c:pt idx="319">
                  <c:v>Taik Maw</c:v>
                </c:pt>
                <c:pt idx="320">
                  <c:v>Tan Chaung</c:v>
                </c:pt>
                <c:pt idx="321">
                  <c:v>Tan Khoe</c:v>
                </c:pt>
                <c:pt idx="322">
                  <c:v>Tan Zwei</c:v>
                </c:pt>
                <c:pt idx="323">
                  <c:v>Tanai AG Church </c:v>
                </c:pt>
                <c:pt idx="324">
                  <c:v>Tanai CoC</c:v>
                </c:pt>
                <c:pt idx="325">
                  <c:v>Tanai KBC Church </c:v>
                </c:pt>
                <c:pt idx="326">
                  <c:v>Tanai RC Church - Kinsa Ra </c:v>
                </c:pt>
                <c:pt idx="327">
                  <c:v>Tat Kone Baptist Church</c:v>
                </c:pt>
                <c:pt idx="328">
                  <c:v>Tat Kone COC Baptist - Tat Kone Htoi San</c:v>
                </c:pt>
                <c:pt idx="329">
                  <c:v>Tat Kone Emanuel Church</c:v>
                </c:pt>
                <c:pt idx="330">
                  <c:v>Tat Kone Galile Baptist Church</c:v>
                </c:pt>
                <c:pt idx="331">
                  <c:v>Tat Kone San Pya Baptist Church</c:v>
                </c:pt>
                <c:pt idx="332">
                  <c:v>Tauk Sone</c:v>
                </c:pt>
                <c:pt idx="333">
                  <c:v>Taung Chauk</c:v>
                </c:pt>
                <c:pt idx="334">
                  <c:v>Taung Htaung</c:v>
                </c:pt>
                <c:pt idx="335">
                  <c:v>Taung Htaung Ha Yar</c:v>
                </c:pt>
                <c:pt idx="336">
                  <c:v>Taung Pauk</c:v>
                </c:pt>
                <c:pt idx="337">
                  <c:v>Taung Paw</c:v>
                </c:pt>
                <c:pt idx="338">
                  <c:v>Tha Dar</c:v>
                </c:pt>
                <c:pt idx="339">
                  <c:v>Tha Ray Kon Baung</c:v>
                </c:pt>
                <c:pt idx="340">
                  <c:v>Tha Yet Oak</c:v>
                </c:pt>
                <c:pt idx="341">
                  <c:v>Tha Yet Oke Ywar Haung</c:v>
                </c:pt>
                <c:pt idx="342">
                  <c:v>Thae Chaung</c:v>
                </c:pt>
                <c:pt idx="343">
                  <c:v>Thae Chaung(Rakhine)</c:v>
                </c:pt>
                <c:pt idx="344">
                  <c:v>Thar Si</c:v>
                </c:pt>
                <c:pt idx="345">
                  <c:v>Thar Yar Kone (M)</c:v>
                </c:pt>
                <c:pt idx="346">
                  <c:v>Thargaya Lisu Baptist Church</c:v>
                </c:pt>
                <c:pt idx="347">
                  <c:v>Thea Chaung Ku Lar</c:v>
                </c:pt>
                <c:pt idx="348">
                  <c:v>Thea Chaung Let Tha Mar Kone</c:v>
                </c:pt>
                <c:pt idx="349">
                  <c:v>Thein Tan</c:v>
                </c:pt>
                <c:pt idx="350">
                  <c:v>Thet Kae Pyin </c:v>
                </c:pt>
                <c:pt idx="351">
                  <c:v>Thet Kae Pyin Village (IDPs in host family)</c:v>
                </c:pt>
                <c:pt idx="352">
                  <c:v>Thet Kay Pyin Ywar Ma</c:v>
                </c:pt>
                <c:pt idx="353">
                  <c:v>Thit Ka Toe</c:v>
                </c:pt>
                <c:pt idx="354">
                  <c:v>Thone Gwa</c:v>
                </c:pt>
                <c:pt idx="355">
                  <c:v>Tote Tan Ward</c:v>
                </c:pt>
                <c:pt idx="356">
                  <c:v>Tsan Lun - Namjarap</c:v>
                </c:pt>
                <c:pt idx="357">
                  <c:v>U Htoe Dan </c:v>
                </c:pt>
                <c:pt idx="358">
                  <c:v>Wa Lar Kan</c:v>
                </c:pt>
                <c:pt idx="359">
                  <c:v>Wa Lar Kann</c:v>
                </c:pt>
                <c:pt idx="360">
                  <c:v>Waingmaw AG Church</c:v>
                </c:pt>
                <c:pt idx="361">
                  <c:v>Ward 2 Sai Taung Baptist Church, Seik Mu </c:v>
                </c:pt>
                <c:pt idx="362">
                  <c:v>Wet Mee To</c:v>
                </c:pt>
                <c:pt idx="363">
                  <c:v>Woi Chyai </c:v>
                </c:pt>
                <c:pt idx="364">
                  <c:v>Woi Chyai (Mong Lai)</c:v>
                </c:pt>
                <c:pt idx="365">
                  <c:v>Woi Chyai host families</c:v>
                </c:pt>
                <c:pt idx="366">
                  <c:v>Yai Myet Taung Ywa Thit</c:v>
                </c:pt>
                <c:pt idx="367">
                  <c:v>Yan Aung Pyin</c:v>
                </c:pt>
                <c:pt idx="368">
                  <c:v>Yin Chaung</c:v>
                </c:pt>
                <c:pt idx="369">
                  <c:v>Yoe Kyi Monastery</c:v>
                </c:pt>
                <c:pt idx="370">
                  <c:v>Yoe Ngu</c:v>
                </c:pt>
                <c:pt idx="371">
                  <c:v>Yumar Baptist Church</c:v>
                </c:pt>
                <c:pt idx="372">
                  <c:v>Yun Nyar</c:v>
                </c:pt>
                <c:pt idx="373">
                  <c:v>Ywar Haung Ah Htet</c:v>
                </c:pt>
                <c:pt idx="374">
                  <c:v>Ywar Thit Kay</c:v>
                </c:pt>
                <c:pt idx="375">
                  <c:v>Ywet Nyo Taung ( Rakhine)</c:v>
                </c:pt>
                <c:pt idx="376">
                  <c:v>Za Yat Kwin</c:v>
                </c:pt>
                <c:pt idx="377">
                  <c:v>Zaw Pu Gyar</c:v>
                </c:pt>
                <c:pt idx="378">
                  <c:v>Zee kone Tan (or) Kon Tan Zay</c:v>
                </c:pt>
                <c:pt idx="379">
                  <c:v>Zin Paing Nyar</c:v>
                </c:pt>
                <c:pt idx="380">
                  <c:v>Zu Kaing</c:v>
                </c:pt>
                <c:pt idx="381">
                  <c:v>Zup Aung Camp</c:v>
                </c:pt>
              </c:strCache>
            </c:strRef>
          </c:cat>
          <c:val>
            <c:numRef>
              <c:f>'By Camps'!$B$34</c:f>
              <c:numCache>
                <c:formatCode>General</c:formatCode>
                <c:ptCount val="382"/>
                <c:pt idx="0">
                  <c:v>0</c:v>
                </c:pt>
                <c:pt idx="1">
                  <c:v>0</c:v>
                </c:pt>
                <c:pt idx="2">
                  <c:v>0</c:v>
                </c:pt>
                <c:pt idx="3">
                  <c:v>0</c:v>
                </c:pt>
                <c:pt idx="4">
                  <c:v>0</c:v>
                </c:pt>
                <c:pt idx="5">
                  <c:v>665</c:v>
                </c:pt>
                <c:pt idx="6">
                  <c:v>0</c:v>
                </c:pt>
                <c:pt idx="7">
                  <c:v>0</c:v>
                </c:pt>
                <c:pt idx="8">
                  <c:v>0</c:v>
                </c:pt>
                <c:pt idx="9">
                  <c:v>0</c:v>
                </c:pt>
                <c:pt idx="10">
                  <c:v>0</c:v>
                </c:pt>
                <c:pt idx="11">
                  <c:v>0</c:v>
                </c:pt>
                <c:pt idx="12">
                  <c:v>0</c:v>
                </c:pt>
                <c:pt idx="13">
                  <c:v>0</c:v>
                </c:pt>
                <c:pt idx="14">
                  <c:v>0</c:v>
                </c:pt>
                <c:pt idx="15">
                  <c:v>0</c:v>
                </c:pt>
                <c:pt idx="16">
                  <c:v>0</c:v>
                </c:pt>
                <c:pt idx="17">
                  <c:v>0</c:v>
                </c:pt>
                <c:pt idx="18">
                  <c:v>52</c:v>
                </c:pt>
                <c:pt idx="19">
                  <c:v>0</c:v>
                </c:pt>
                <c:pt idx="20">
                  <c:v>0</c:v>
                </c:pt>
                <c:pt idx="21">
                  <c:v>0</c:v>
                </c:pt>
                <c:pt idx="22">
                  <c:v>0</c:v>
                </c:pt>
                <c:pt idx="23">
                  <c:v>1995</c:v>
                </c:pt>
                <c:pt idx="24">
                  <c:v>0</c:v>
                </c:pt>
                <c:pt idx="25">
                  <c:v>0</c:v>
                </c:pt>
                <c:pt idx="26">
                  <c:v>4892</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8508</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2186</c:v>
                </c:pt>
                <c:pt idx="66">
                  <c:v>0</c:v>
                </c:pt>
                <c:pt idx="67">
                  <c:v>0</c:v>
                </c:pt>
                <c:pt idx="68">
                  <c:v>0</c:v>
                </c:pt>
                <c:pt idx="69">
                  <c:v>0</c:v>
                </c:pt>
                <c:pt idx="70">
                  <c:v>0</c:v>
                </c:pt>
                <c:pt idx="71">
                  <c:v>0</c:v>
                </c:pt>
                <c:pt idx="72">
                  <c:v>0</c:v>
                </c:pt>
                <c:pt idx="73">
                  <c:v>0</c:v>
                </c:pt>
                <c:pt idx="74">
                  <c:v>232</c:v>
                </c:pt>
                <c:pt idx="75">
                  <c:v>0</c:v>
                </c:pt>
                <c:pt idx="76">
                  <c:v>0</c:v>
                </c:pt>
                <c:pt idx="77">
                  <c:v>0</c:v>
                </c:pt>
                <c:pt idx="78">
                  <c:v>0</c:v>
                </c:pt>
                <c:pt idx="79">
                  <c:v>0</c:v>
                </c:pt>
                <c:pt idx="80">
                  <c:v>0</c:v>
                </c:pt>
                <c:pt idx="81">
                  <c:v>0</c:v>
                </c:pt>
                <c:pt idx="82">
                  <c:v>0</c:v>
                </c:pt>
                <c:pt idx="83">
                  <c:v>0</c:v>
                </c:pt>
                <c:pt idx="84">
                  <c:v>0</c:v>
                </c:pt>
                <c:pt idx="85">
                  <c:v>106</c:v>
                </c:pt>
                <c:pt idx="86">
                  <c:v>0</c:v>
                </c:pt>
                <c:pt idx="87">
                  <c:v>0</c:v>
                </c:pt>
                <c:pt idx="88">
                  <c:v>0</c:v>
                </c:pt>
                <c:pt idx="89">
                  <c:v>0</c:v>
                </c:pt>
                <c:pt idx="90">
                  <c:v>0</c:v>
                </c:pt>
                <c:pt idx="91">
                  <c:v>0</c:v>
                </c:pt>
                <c:pt idx="92">
                  <c:v>0</c:v>
                </c:pt>
                <c:pt idx="93">
                  <c:v>94</c:v>
                </c:pt>
                <c:pt idx="94">
                  <c:v>2248</c:v>
                </c:pt>
                <c:pt idx="95">
                  <c:v>0</c:v>
                </c:pt>
                <c:pt idx="96">
                  <c:v>0</c:v>
                </c:pt>
                <c:pt idx="97">
                  <c:v>0</c:v>
                </c:pt>
                <c:pt idx="98">
                  <c:v>0</c:v>
                </c:pt>
                <c:pt idx="99">
                  <c:v>0</c:v>
                </c:pt>
                <c:pt idx="100">
                  <c:v>0</c:v>
                </c:pt>
                <c:pt idx="101">
                  <c:v>0</c:v>
                </c:pt>
                <c:pt idx="102">
                  <c:v>141</c:v>
                </c:pt>
                <c:pt idx="103">
                  <c:v>0</c:v>
                </c:pt>
                <c:pt idx="104">
                  <c:v>0</c:v>
                </c:pt>
                <c:pt idx="105">
                  <c:v>0</c:v>
                </c:pt>
                <c:pt idx="106">
                  <c:v>0</c:v>
                </c:pt>
                <c:pt idx="107">
                  <c:v>0</c:v>
                </c:pt>
                <c:pt idx="108">
                  <c:v>0</c:v>
                </c:pt>
                <c:pt idx="109">
                  <c:v>0</c:v>
                </c:pt>
                <c:pt idx="110">
                  <c:v>0</c:v>
                </c:pt>
                <c:pt idx="111">
                  <c:v>0</c:v>
                </c:pt>
                <c:pt idx="112">
                  <c:v>0</c:v>
                </c:pt>
                <c:pt idx="113">
                  <c:v>5938</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257</c:v>
                </c:pt>
                <c:pt idx="134">
                  <c:v>0</c:v>
                </c:pt>
                <c:pt idx="135">
                  <c:v>0</c:v>
                </c:pt>
                <c:pt idx="136">
                  <c:v>757</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1172</c:v>
                </c:pt>
                <c:pt idx="157">
                  <c:v>0</c:v>
                </c:pt>
                <c:pt idx="158">
                  <c:v>0</c:v>
                </c:pt>
                <c:pt idx="159">
                  <c:v>0</c:v>
                </c:pt>
                <c:pt idx="160">
                  <c:v>82</c:v>
                </c:pt>
                <c:pt idx="161">
                  <c:v>0</c:v>
                </c:pt>
                <c:pt idx="162">
                  <c:v>529</c:v>
                </c:pt>
                <c:pt idx="163">
                  <c:v>524</c:v>
                </c:pt>
                <c:pt idx="164">
                  <c:v>0</c:v>
                </c:pt>
                <c:pt idx="165">
                  <c:v>0</c:v>
                </c:pt>
                <c:pt idx="166">
                  <c:v>0</c:v>
                </c:pt>
                <c:pt idx="167">
                  <c:v>13</c:v>
                </c:pt>
                <c:pt idx="168">
                  <c:v>0</c:v>
                </c:pt>
                <c:pt idx="169">
                  <c:v>171</c:v>
                </c:pt>
                <c:pt idx="170">
                  <c:v>0</c:v>
                </c:pt>
                <c:pt idx="171">
                  <c:v>823</c:v>
                </c:pt>
                <c:pt idx="172">
                  <c:v>0</c:v>
                </c:pt>
                <c:pt idx="173">
                  <c:v>0</c:v>
                </c:pt>
                <c:pt idx="174">
                  <c:v>0</c:v>
                </c:pt>
                <c:pt idx="175">
                  <c:v>0</c:v>
                </c:pt>
                <c:pt idx="176">
                  <c:v>3486</c:v>
                </c:pt>
                <c:pt idx="177">
                  <c:v>0</c:v>
                </c:pt>
                <c:pt idx="178">
                  <c:v>0</c:v>
                </c:pt>
                <c:pt idx="179">
                  <c:v>0</c:v>
                </c:pt>
                <c:pt idx="180">
                  <c:v>0</c:v>
                </c:pt>
                <c:pt idx="181">
                  <c:v>0</c:v>
                </c:pt>
                <c:pt idx="182">
                  <c:v>0</c:v>
                </c:pt>
                <c:pt idx="183">
                  <c:v>0</c:v>
                </c:pt>
                <c:pt idx="184">
                  <c:v>0</c:v>
                </c:pt>
                <c:pt idx="185">
                  <c:v>0</c:v>
                </c:pt>
                <c:pt idx="186">
                  <c:v>0</c:v>
                </c:pt>
                <c:pt idx="187">
                  <c:v>0</c:v>
                </c:pt>
                <c:pt idx="188">
                  <c:v>453</c:v>
                </c:pt>
                <c:pt idx="189">
                  <c:v>0</c:v>
                </c:pt>
                <c:pt idx="190">
                  <c:v>0</c:v>
                </c:pt>
                <c:pt idx="191">
                  <c:v>0</c:v>
                </c:pt>
                <c:pt idx="192">
                  <c:v>0</c:v>
                </c:pt>
                <c:pt idx="193">
                  <c:v>0</c:v>
                </c:pt>
                <c:pt idx="194">
                  <c:v>0</c:v>
                </c:pt>
                <c:pt idx="195">
                  <c:v>80</c:v>
                </c:pt>
                <c:pt idx="196">
                  <c:v>51</c:v>
                </c:pt>
                <c:pt idx="197">
                  <c:v>0</c:v>
                </c:pt>
                <c:pt idx="198">
                  <c:v>0</c:v>
                </c:pt>
                <c:pt idx="199">
                  <c:v>0</c:v>
                </c:pt>
                <c:pt idx="200">
                  <c:v>391</c:v>
                </c:pt>
                <c:pt idx="201">
                  <c:v>359</c:v>
                </c:pt>
                <c:pt idx="202">
                  <c:v>179</c:v>
                </c:pt>
                <c:pt idx="203">
                  <c:v>0</c:v>
                </c:pt>
                <c:pt idx="204">
                  <c:v>0</c:v>
                </c:pt>
                <c:pt idx="205">
                  <c:v>0</c:v>
                </c:pt>
                <c:pt idx="206">
                  <c:v>0</c:v>
                </c:pt>
                <c:pt idx="207">
                  <c:v>0</c:v>
                </c:pt>
                <c:pt idx="208">
                  <c:v>0</c:v>
                </c:pt>
                <c:pt idx="209">
                  <c:v>0</c:v>
                </c:pt>
                <c:pt idx="210">
                  <c:v>504</c:v>
                </c:pt>
                <c:pt idx="211">
                  <c:v>0</c:v>
                </c:pt>
                <c:pt idx="212">
                  <c:v>111</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3095</c:v>
                </c:pt>
                <c:pt idx="243">
                  <c:v>0</c:v>
                </c:pt>
                <c:pt idx="244">
                  <c:v>13302</c:v>
                </c:pt>
                <c:pt idx="245">
                  <c:v>12121</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2187</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1362</c:v>
                </c:pt>
                <c:pt idx="284">
                  <c:v>0</c:v>
                </c:pt>
                <c:pt idx="285">
                  <c:v>0</c:v>
                </c:pt>
                <c:pt idx="286">
                  <c:v>11564</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259</c:v>
                </c:pt>
                <c:pt idx="303">
                  <c:v>169</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1131</c:v>
                </c:pt>
                <c:pt idx="349">
                  <c:v>0</c:v>
                </c:pt>
                <c:pt idx="350">
                  <c:v>5950</c:v>
                </c:pt>
                <c:pt idx="351">
                  <c:v>1670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75</c:v>
                </c:pt>
                <c:pt idx="370">
                  <c:v>0</c:v>
                </c:pt>
                <c:pt idx="371">
                  <c:v>0</c:v>
                </c:pt>
                <c:pt idx="372">
                  <c:v>0</c:v>
                </c:pt>
                <c:pt idx="373">
                  <c:v>0</c:v>
                </c:pt>
                <c:pt idx="374">
                  <c:v>0</c:v>
                </c:pt>
                <c:pt idx="375">
                  <c:v>0</c:v>
                </c:pt>
                <c:pt idx="376">
                  <c:v>0</c:v>
                </c:pt>
                <c:pt idx="377">
                  <c:v>0</c:v>
                </c:pt>
                <c:pt idx="378">
                  <c:v>0</c:v>
                </c:pt>
                <c:pt idx="379">
                  <c:v>0</c:v>
                </c:pt>
                <c:pt idx="380">
                  <c:v>0</c:v>
                </c:pt>
                <c:pt idx="381">
                  <c:v>0</c:v>
                </c:pt>
              </c:numCache>
            </c:numRef>
          </c:val>
        </c:ser>
        <c:ser>
          <c:idx val="2"/>
          <c:order val="2"/>
          <c:tx>
            <c:strRef>
              <c:f>'By Camps'!$B$34</c:f>
              <c:strCache>
                <c:ptCount val="1"/>
                <c:pt idx="0">
                  <c:v>Number of people with equitable and continuous access to safe sanitation facilities</c:v>
                </c:pt>
              </c:strCache>
            </c:strRef>
          </c:tx>
          <c:spPr>
            <a:solidFill>
              <a:schemeClr val="accent2">
                <a:lumMod val="75000"/>
              </a:schemeClr>
            </a:solidFill>
            <a:ln>
              <a:noFill/>
            </a:ln>
            <a:effectLst/>
          </c:spPr>
          <c:invertIfNegative val="0"/>
          <c:cat>
            <c:strRef>
              <c:f>'By Camps'!$B$34</c:f>
              <c:strCache>
                <c:ptCount val="382"/>
                <c:pt idx="0">
                  <c:v>5 Ward RC Church(lon Khin)</c:v>
                </c:pt>
                <c:pt idx="1">
                  <c:v>AD-2000 Extension camp</c:v>
                </c:pt>
                <c:pt idx="2">
                  <c:v>AD-2000 Tharthana Compound</c:v>
                </c:pt>
                <c:pt idx="3">
                  <c:v>AG Church, Hmaw Si Sa</c:v>
                </c:pt>
                <c:pt idx="4">
                  <c:v>AG Church, Maw Wan</c:v>
                </c:pt>
                <c:pt idx="5">
                  <c:v>Agritural Compound (KBC)</c:v>
                </c:pt>
                <c:pt idx="6">
                  <c:v>Ah Hla Sin</c:v>
                </c:pt>
                <c:pt idx="7">
                  <c:v>Ah Htet Gar Pu</c:v>
                </c:pt>
                <c:pt idx="8">
                  <c:v>Ah Htet Nan Yar (Muslim)</c:v>
                </c:pt>
                <c:pt idx="9">
                  <c:v>Ah Htet See Maung</c:v>
                </c:pt>
                <c:pt idx="10">
                  <c:v>Ah Lar Than</c:v>
                </c:pt>
                <c:pt idx="11">
                  <c:v>Ah Lel Mu</c:v>
                </c:pt>
                <c:pt idx="12">
                  <c:v>Ah Nauk Pyin</c:v>
                </c:pt>
                <c:pt idx="13">
                  <c:v>Ah Nauk Ye Ku Lar</c:v>
                </c:pt>
                <c:pt idx="14">
                  <c:v>Ah Nauk Ywe</c:v>
                </c:pt>
                <c:pt idx="15">
                  <c:v>Ah Pauk Wa</c:v>
                </c:pt>
                <c:pt idx="16">
                  <c:v>Ahla Madi</c:v>
                </c:pt>
                <c:pt idx="17">
                  <c:v>Aung Daing </c:v>
                </c:pt>
                <c:pt idx="18">
                  <c:v>Aung Thar Church</c:v>
                </c:pt>
                <c:pt idx="19">
                  <c:v>Aung Thar Yar</c:v>
                </c:pt>
                <c:pt idx="20">
                  <c:v>Aung Thar Yar (NaTaLa)</c:v>
                </c:pt>
                <c:pt idx="21">
                  <c:v>Baptist Church, Hmaw Si Sar(Lon Khin)</c:v>
                </c:pt>
                <c:pt idx="22">
                  <c:v>Bar Sa Yar Host</c:v>
                </c:pt>
                <c:pt idx="23">
                  <c:v>Basare</c:v>
                </c:pt>
                <c:pt idx="24">
                  <c:v>Baw Di Kone</c:v>
                </c:pt>
                <c:pt idx="25">
                  <c:v>Baw Du Pha (IDP in host families)</c:v>
                </c:pt>
                <c:pt idx="26">
                  <c:v>Baw Du Pha 1</c:v>
                </c:pt>
                <c:pt idx="27">
                  <c:v>Baw Du Pha 2</c:v>
                </c:pt>
                <c:pt idx="28">
                  <c:v>Baw Du Pha village</c:v>
                </c:pt>
                <c:pt idx="29">
                  <c:v>Bhamo_Host Families</c:v>
                </c:pt>
                <c:pt idx="30">
                  <c:v>Border Post 8</c:v>
                </c:pt>
                <c:pt idx="31">
                  <c:v>Bu Chaung</c:v>
                </c:pt>
                <c:pt idx="32">
                  <c:v>Bu May</c:v>
                </c:pt>
                <c:pt idx="33">
                  <c:v>Bum Tsit Pa</c:v>
                </c:pt>
                <c:pt idx="34">
                  <c:v>Chaik Taung</c:v>
                </c:pt>
                <c:pt idx="35">
                  <c:v>Cheit Taung</c:v>
                </c:pt>
                <c:pt idx="36">
                  <c:v>Chi Laing Hpin</c:v>
                </c:pt>
                <c:pt idx="37">
                  <c:v>Chin Church, Seik Mu</c:v>
                </c:pt>
                <c:pt idx="38">
                  <c:v>Chin Kone</c:v>
                </c:pt>
                <c:pt idx="39">
                  <c:v>Chin Ywa(Pyaing Taung)</c:v>
                </c:pt>
                <c:pt idx="40">
                  <c:v>Chipwi KBC camp</c:v>
                </c:pt>
                <c:pt idx="41">
                  <c:v>Chut Pyin</c:v>
                </c:pt>
                <c:pt idx="42">
                  <c:v>Dar Let (North)</c:v>
                </c:pt>
                <c:pt idx="43">
                  <c:v>Dar Let (South)</c:v>
                </c:pt>
                <c:pt idx="44">
                  <c:v>Dar Let Ah Lel Kyun</c:v>
                </c:pt>
                <c:pt idx="45">
                  <c:v>Dar Pai</c:v>
                </c:pt>
                <c:pt idx="46">
                  <c:v>Dar Pai (IDP in host families)</c:v>
                </c:pt>
                <c:pt idx="47">
                  <c:v>Dar Paing Village</c:v>
                </c:pt>
                <c:pt idx="48">
                  <c:v>Dar Peit</c:v>
                </c:pt>
                <c:pt idx="49">
                  <c:v>Daung Pyauk Kay</c:v>
                </c:pt>
                <c:pt idx="50">
                  <c:v>Dhama Rakhita, Nyein Chan Tar Yar Ward(Lon Khin)</c:v>
                </c:pt>
                <c:pt idx="51">
                  <c:v>Doke Kan Chaung</c:v>
                </c:pt>
                <c:pt idx="52">
                  <c:v>Done Pyin Village</c:v>
                </c:pt>
                <c:pt idx="53">
                  <c:v>Du Kahtawng Baptist</c:v>
                </c:pt>
                <c:pt idx="54">
                  <c:v>Dum Bung </c:v>
                </c:pt>
                <c:pt idx="55">
                  <c:v>Gar Pu (Lower)</c:v>
                </c:pt>
                <c:pt idx="56">
                  <c:v>Gaw Yaw Ma Ni</c:v>
                </c:pt>
                <c:pt idx="57">
                  <c:v>Goke Pi Htaunt</c:v>
                </c:pt>
                <c:pt idx="58">
                  <c:v>Goke Pi Htaunt (Rakhine)</c:v>
                </c:pt>
                <c:pt idx="59">
                  <c:v>Hka Shi</c:v>
                </c:pt>
                <c:pt idx="60">
                  <c:v>Hkat Cho </c:v>
                </c:pt>
                <c:pt idx="61">
                  <c:v>Hkau Shau (BP 12)</c:v>
                </c:pt>
                <c:pt idx="62">
                  <c:v>Hla May Shwe</c:v>
                </c:pt>
                <c:pt idx="63">
                  <c:v>Hla Nyo Kan</c:v>
                </c:pt>
                <c:pt idx="64">
                  <c:v>Hlaing Naung Baptist</c:v>
                </c:pt>
                <c:pt idx="65">
                  <c:v>Hmanzi </c:v>
                </c:pt>
                <c:pt idx="66">
                  <c:v>Hmaw Wan, Anglican</c:v>
                </c:pt>
                <c:pt idx="67">
                  <c:v>Hopin Host Families</c:v>
                </c:pt>
                <c:pt idx="68">
                  <c:v>Hpai Kawng</c:v>
                </c:pt>
                <c:pt idx="69">
                  <c:v>Hpai Kawng Mare</c:v>
                </c:pt>
                <c:pt idx="70">
                  <c:v>Hpakant Baptist Church, Nam Ma Hpit</c:v>
                </c:pt>
                <c:pt idx="71">
                  <c:v>Hpar Wut Chaung</c:v>
                </c:pt>
                <c:pt idx="72">
                  <c:v>Hpare Hkyer - BP6</c:v>
                </c:pt>
                <c:pt idx="73">
                  <c:v>Hpun Lum Yang </c:v>
                </c:pt>
                <c:pt idx="74">
                  <c:v>Htoi San Church</c:v>
                </c:pt>
                <c:pt idx="75">
                  <c:v>IDP Boarding School, A Len Bum</c:v>
                </c:pt>
                <c:pt idx="76">
                  <c:v>In Bar Yi</c:v>
                </c:pt>
                <c:pt idx="77">
                  <c:v>Inn Hpauk</c:v>
                </c:pt>
                <c:pt idx="78">
                  <c:v>Inn Lel Yan - Host Families</c:v>
                </c:pt>
                <c:pt idx="79">
                  <c:v>Jan Mai Kawng Baptist Church</c:v>
                </c:pt>
                <c:pt idx="80">
                  <c:v>Jan Mai Kawng Catholic Church</c:v>
                </c:pt>
                <c:pt idx="81">
                  <c:v>Je Yang Hka </c:v>
                </c:pt>
                <c:pt idx="82">
                  <c:v>Jwan Jaw KBC</c:v>
                </c:pt>
                <c:pt idx="83">
                  <c:v>Ka Nyin</c:v>
                </c:pt>
                <c:pt idx="84">
                  <c:v>Ka Nyin Taw</c:v>
                </c:pt>
                <c:pt idx="85">
                  <c:v>Kachin Su Baptist Church (ECCD)</c:v>
                </c:pt>
                <c:pt idx="86">
                  <c:v>Kan Chaung Wa</c:v>
                </c:pt>
                <c:pt idx="87">
                  <c:v>Kan Ni</c:v>
                </c:pt>
                <c:pt idx="88">
                  <c:v>Kan Pyin</c:v>
                </c:pt>
                <c:pt idx="89">
                  <c:v>Kan Thar Htwat Wa</c:v>
                </c:pt>
                <c:pt idx="90">
                  <c:v>Kan Za Li</c:v>
                </c:pt>
                <c:pt idx="91">
                  <c:v>Kar Di</c:v>
                </c:pt>
                <c:pt idx="92">
                  <c:v>Kha Yan Kyun</c:v>
                </c:pt>
                <c:pt idx="93">
                  <c:v>Khar Nan (1) Baptist Church</c:v>
                </c:pt>
                <c:pt idx="94">
                  <c:v>Khaung Doke Khar</c:v>
                </c:pt>
                <c:pt idx="95">
                  <c:v>Khaung Htoke</c:v>
                </c:pt>
                <c:pt idx="96">
                  <c:v>Khun Sint Village</c:v>
                </c:pt>
                <c:pt idx="97">
                  <c:v>Kin Chaung</c:v>
                </c:pt>
                <c:pt idx="98">
                  <c:v>Kin Taung (Taung + Myauk)</c:v>
                </c:pt>
                <c:pt idx="99">
                  <c:v>Kone Khem Camp</c:v>
                </c:pt>
                <c:pt idx="100">
                  <c:v>Kone Tan</c:v>
                </c:pt>
                <c:pt idx="101">
                  <c:v>Kutkai downtown (KBC Church)</c:v>
                </c:pt>
                <c:pt idx="102">
                  <c:v>Kutkai downtown (KBC Church-2)</c:v>
                </c:pt>
                <c:pt idx="103">
                  <c:v>Kutkai downtown (RC Church)</c:v>
                </c:pt>
                <c:pt idx="104">
                  <c:v>Kutkhai KBC-2 (Block-6)</c:v>
                </c:pt>
                <c:pt idx="105">
                  <c:v>Kwayt Shey Ywar Thit
(Kwayt Shay)</c:v>
                </c:pt>
                <c:pt idx="106">
                  <c:v>Kyar Nyo Inn</c:v>
                </c:pt>
                <c:pt idx="107">
                  <c:v>Kyauk Sar Taing</c:v>
                </c:pt>
                <c:pt idx="108">
                  <c:v>Kyauk Se</c:v>
                </c:pt>
                <c:pt idx="109">
                  <c:v>Kyauk Ta Lone</c:v>
                </c:pt>
                <c:pt idx="110">
                  <c:v>Kyaung Swae Phyu</c:v>
                </c:pt>
                <c:pt idx="111">
                  <c:v>Kyeik Chaung</c:v>
                </c:pt>
                <c:pt idx="112">
                  <c:v>Kyein Chaung</c:v>
                </c:pt>
                <c:pt idx="113">
                  <c:v>Kyein Ni Pyin</c:v>
                </c:pt>
                <c:pt idx="114">
                  <c:v>Kyet Taw Pyin</c:v>
                </c:pt>
                <c:pt idx="115">
                  <c:v>Kyone Pyin</c:v>
                </c:pt>
                <c:pt idx="116">
                  <c:v>Kyu Sot</c:v>
                </c:pt>
                <c:pt idx="117">
                  <c:v>Kyun Pin Thar Baptist Church</c:v>
                </c:pt>
                <c:pt idx="118">
                  <c:v>Kyun Taw Baptist Church </c:v>
                </c:pt>
                <c:pt idx="119">
                  <c:v>Kywe Lan Chaung</c:v>
                </c:pt>
                <c:pt idx="120">
                  <c:v>Kywi Te</c:v>
                </c:pt>
                <c:pt idx="121">
                  <c:v>La Mu Ta Pin</c:v>
                </c:pt>
                <c:pt idx="122">
                  <c:v>Laiza Je Yang School</c:v>
                </c:pt>
                <c:pt idx="123">
                  <c:v>Lana Zup Ja</c:v>
                </c:pt>
                <c:pt idx="124">
                  <c:v>Laung Sat</c:v>
                </c:pt>
                <c:pt idx="125">
                  <c:v>Lawk Awng Mare D. (Sinbo Area)</c:v>
                </c:pt>
                <c:pt idx="126">
                  <c:v>Lawng Hkang Shait Yang Camp​ ( Lel Pyin)​ </c:v>
                </c:pt>
                <c:pt idx="127">
                  <c:v>Le Kone Bethlehem Church</c:v>
                </c:pt>
                <c:pt idx="128">
                  <c:v>Le Kone Ziun Baptist Church </c:v>
                </c:pt>
                <c:pt idx="129">
                  <c:v>Let Saung Kauk</c:v>
                </c:pt>
                <c:pt idx="130">
                  <c:v>Let Than Chi (Haung)</c:v>
                </c:pt>
                <c:pt idx="131">
                  <c:v>Let Than Chi (Ywar Thit)</c:v>
                </c:pt>
                <c:pt idx="132">
                  <c:v>Lhaovao Baptist Church (LBC)</c:v>
                </c:pt>
                <c:pt idx="133">
                  <c:v>Lisu Baptist Church</c:v>
                </c:pt>
                <c:pt idx="134">
                  <c:v>Lisu Baptist Church, Maw Shan Vil,. Seik Mu</c:v>
                </c:pt>
                <c:pt idx="135">
                  <c:v>Lisu Baptist Church, Maw Wan Ward</c:v>
                </c:pt>
                <c:pt idx="136">
                  <c:v>Lisu Boarding-House</c:v>
                </c:pt>
                <c:pt idx="137">
                  <c:v>Lisu Church Namtu</c:v>
                </c:pt>
                <c:pt idx="138">
                  <c:v>Loi Je Baptist Church</c:v>
                </c:pt>
                <c:pt idx="139">
                  <c:v>Loi Je Catholic Church</c:v>
                </c:pt>
                <c:pt idx="140">
                  <c:v>Loi Je Lisu Camp</c:v>
                </c:pt>
                <c:pt idx="141">
                  <c:v>Lone Tin</c:v>
                </c:pt>
                <c:pt idx="142">
                  <c:v>Lun Kyaw</c:v>
                </c:pt>
                <c:pt idx="143">
                  <c:v>Lung Sut</c:v>
                </c:pt>
                <c:pt idx="144">
                  <c:v>Lwegel High School</c:v>
                </c:pt>
                <c:pt idx="145">
                  <c:v>Ma Hawng RC </c:v>
                </c:pt>
                <c:pt idx="146">
                  <c:v>Mading Baptist Church</c:v>
                </c:pt>
                <c:pt idx="147">
                  <c:v>Maga Yang </c:v>
                </c:pt>
                <c:pt idx="148">
                  <c:v>Mai Yu Lay Ta'ang</c:v>
                </c:pt>
                <c:pt idx="149">
                  <c:v>Maina AG Church</c:v>
                </c:pt>
                <c:pt idx="150">
                  <c:v>Maina Catholic Church (St. Joseph)</c:v>
                </c:pt>
                <c:pt idx="151">
                  <c:v>Maina KBC (Bawng Ring)</c:v>
                </c:pt>
                <c:pt idx="152">
                  <c:v>Maina Lawang Baptist Church</c:v>
                </c:pt>
                <c:pt idx="153">
                  <c:v>Maing Khaung</c:v>
                </c:pt>
                <c:pt idx="154">
                  <c:v>Maing Khaung Catholic Church</c:v>
                </c:pt>
                <c:pt idx="155">
                  <c:v>Maliyang Baptist Church</c:v>
                </c:pt>
                <c:pt idx="156">
                  <c:v>Man Bung Catholic compound</c:v>
                </c:pt>
                <c:pt idx="157">
                  <c:v>Man Bung Edin Baptist Church</c:v>
                </c:pt>
                <c:pt idx="158">
                  <c:v>Man Hkring Baptist Church</c:v>
                </c:pt>
                <c:pt idx="159">
                  <c:v>Man Kaung/Naung Ti Kyar Village</c:v>
                </c:pt>
                <c:pt idx="160">
                  <c:v>Man Loi</c:v>
                </c:pt>
                <c:pt idx="161">
                  <c:v>Man Sa</c:v>
                </c:pt>
                <c:pt idx="162">
                  <c:v>Man Wing Baptist Church</c:v>
                </c:pt>
                <c:pt idx="163">
                  <c:v>Man Wing Baptist Church Cultural Compound</c:v>
                </c:pt>
                <c:pt idx="164">
                  <c:v>Man Wing Catholic Church</c:v>
                </c:pt>
                <c:pt idx="165">
                  <c:v>Man Wing Catholic Church II</c:v>
                </c:pt>
                <c:pt idx="166">
                  <c:v>Man Wing Host Families</c:v>
                </c:pt>
                <c:pt idx="167">
                  <c:v>Mandalay Monestry</c:v>
                </c:pt>
                <c:pt idx="168">
                  <c:v>Mandung - Jinghpaw</c:v>
                </c:pt>
                <c:pt idx="169">
                  <c:v>Mandung - RC</c:v>
                </c:pt>
                <c:pt idx="170">
                  <c:v>Mang Hawng Baptist Church</c:v>
                </c:pt>
                <c:pt idx="171">
                  <c:v>Mansi Baptist Church</c:v>
                </c:pt>
                <c:pt idx="172">
                  <c:v>Mansi_Host Families</c:v>
                </c:pt>
                <c:pt idx="173">
                  <c:v>Maw</c:v>
                </c:pt>
                <c:pt idx="174">
                  <c:v>Maw Hpawng Hka Nan Baptist Church</c:v>
                </c:pt>
                <c:pt idx="175">
                  <c:v>Maw Hpawng Lhaovo Baptist Church</c:v>
                </c:pt>
                <c:pt idx="176">
                  <c:v>Maw Ti Ngar</c:v>
                </c:pt>
                <c:pt idx="177">
                  <c:v>Maw Wan, Mu-yin Baptist Church</c:v>
                </c:pt>
                <c:pt idx="178">
                  <c:v>Me la zi Kone</c:v>
                </c:pt>
                <c:pt idx="179">
                  <c:v>Mei Za Li Kaing</c:v>
                </c:pt>
                <c:pt idx="180">
                  <c:v>Mi Chaung Yae Thauk</c:v>
                </c:pt>
                <c:pt idx="181">
                  <c:v>Mi Nyo Htaunt</c:v>
                </c:pt>
                <c:pt idx="182">
                  <c:v>Mi Nyo Htaunt_Thar Si</c:v>
                </c:pt>
                <c:pt idx="183">
                  <c:v>Min Ga Lar Gyi</c:v>
                </c:pt>
                <c:pt idx="184">
                  <c:v>Min Thar Seik</c:v>
                </c:pt>
                <c:pt idx="185">
                  <c:v>Mine Yu Lay village</c:v>
                </c:pt>
                <c:pt idx="186">
                  <c:v>Mingalar on</c:v>
                </c:pt>
                <c:pt idx="187">
                  <c:v>Moenyin Host Families</c:v>
                </c:pt>
                <c:pt idx="188">
                  <c:v>Momauk Baptist Church</c:v>
                </c:pt>
                <c:pt idx="189">
                  <c:v>Momauk_Host Families</c:v>
                </c:pt>
                <c:pt idx="190">
                  <c:v>Mong Wee Shan</c:v>
                </c:pt>
                <c:pt idx="191">
                  <c:v>Mung Hawm </c:v>
                </c:pt>
                <c:pt idx="192">
                  <c:v>Mungji Pa Dabang (Baptist Church)</c:v>
                </c:pt>
                <c:pt idx="193">
                  <c:v>Mungji Pa Dabang (Catholic Church)</c:v>
                </c:pt>
                <c:pt idx="194">
                  <c:v>Muse Baptist Church</c:v>
                </c:pt>
                <c:pt idx="195">
                  <c:v>Muse Catholic Church</c:v>
                </c:pt>
                <c:pt idx="196">
                  <c:v>Mu-yin Baptist Church</c:v>
                </c:pt>
                <c:pt idx="197">
                  <c:v>Muyin church (Aung Yar pre-school compound)</c:v>
                </c:pt>
                <c:pt idx="198">
                  <c:v>Myet Tauk</c:v>
                </c:pt>
                <c:pt idx="199">
                  <c:v>Myo Thit </c:v>
                </c:pt>
                <c:pt idx="200">
                  <c:v>Nam Hkam - Nay Win Ni (Palawng)</c:v>
                </c:pt>
                <c:pt idx="201">
                  <c:v>Nam Hkam (KBC Jaw Wang)</c:v>
                </c:pt>
                <c:pt idx="202">
                  <c:v>Nam Hkam (KBC Jaw Wang) II</c:v>
                </c:pt>
                <c:pt idx="203">
                  <c:v>Nam Hkam Catholic Church ( St. Thomas I)</c:v>
                </c:pt>
                <c:pt idx="204">
                  <c:v>Nam Hkawng</c:v>
                </c:pt>
                <c:pt idx="205">
                  <c:v>Nam Hpak Ka Mare </c:v>
                </c:pt>
                <c:pt idx="206">
                  <c:v>Nam Hpak Ka Ta'ang</c:v>
                </c:pt>
                <c:pt idx="207">
                  <c:v>Nam Ma Phyit, COC</c:v>
                </c:pt>
                <c:pt idx="208">
                  <c:v>Nam Sa Larp</c:v>
                </c:pt>
                <c:pt idx="209">
                  <c:v>Nam Tu Baptist</c:v>
                </c:pt>
                <c:pt idx="210">
                  <c:v>Namhkan - Pang Long KBC</c:v>
                </c:pt>
                <c:pt idx="211">
                  <c:v>Nan Kway St. John Catholic Church</c:v>
                </c:pt>
                <c:pt idx="212">
                  <c:v>Nant Hlaing Church</c:v>
                </c:pt>
                <c:pt idx="213">
                  <c:v>Nant Ma Hpit Catholic Church</c:v>
                </c:pt>
                <c:pt idx="214">
                  <c:v>Narte</c:v>
                </c:pt>
                <c:pt idx="215">
                  <c:v>Nat Gyi Kone Baptist Church </c:v>
                </c:pt>
                <c:pt idx="216">
                  <c:v>Nat Maw (Upper)</c:v>
                </c:pt>
                <c:pt idx="217">
                  <c:v>Naw Wai</c:v>
                </c:pt>
                <c:pt idx="218">
                  <c:v>Nawng Hee Village</c:v>
                </c:pt>
                <c:pt idx="219">
                  <c:v>Nawng Ing (Indawgyi) Baptist Church </c:v>
                </c:pt>
                <c:pt idx="220">
                  <c:v>Nay Pu Khan</c:v>
                </c:pt>
                <c:pt idx="221">
                  <c:v>Ndup Yang</c:v>
                </c:pt>
                <c:pt idx="222">
                  <c:v>New Pang Ku </c:v>
                </c:pt>
                <c:pt idx="223">
                  <c:v>Nga Kyi Tauk Daing Nat</c:v>
                </c:pt>
                <c:pt idx="224">
                  <c:v>Nga Let Kya</c:v>
                </c:pt>
                <c:pt idx="225">
                  <c:v>Nga Ta Paung</c:v>
                </c:pt>
                <c:pt idx="226">
                  <c:v>Nga/ Pun Ywar Gyi</c:v>
                </c:pt>
                <c:pt idx="227">
                  <c:v>Nga/ Pun Ywar Shey</c:v>
                </c:pt>
                <c:pt idx="228">
                  <c:v>Nga/Tauk Tet</c:v>
                </c:pt>
                <c:pt idx="229">
                  <c:v>Ngan Chaung_Gone Nar</c:v>
                </c:pt>
                <c:pt idx="230">
                  <c:v>Ngar Yauk Kaing</c:v>
                </c:pt>
                <c:pt idx="231">
                  <c:v>Nget Chaung 1</c:v>
                </c:pt>
                <c:pt idx="232">
                  <c:v>Nget Chaung 2</c:v>
                </c:pt>
                <c:pt idx="233">
                  <c:v>Nhkawng Pa </c:v>
                </c:pt>
                <c:pt idx="234">
                  <c:v>NiDin</c:v>
                </c:pt>
                <c:pt idx="235">
                  <c:v>Njang Dung Baptist Church </c:v>
                </c:pt>
                <c:pt idx="236">
                  <c:v>Nyaung Chaung_ann</c:v>
                </c:pt>
                <c:pt idx="237">
                  <c:v>Nyaung Na Pin </c:v>
                </c:pt>
                <c:pt idx="238">
                  <c:v>Nyaung Pin Gyi (Ku Lar)</c:v>
                </c:pt>
                <c:pt idx="239">
                  <c:v>Nyaung Pin Gyi (Rakhine)</c:v>
                </c:pt>
                <c:pt idx="240">
                  <c:v>Nyaung Pin Hla</c:v>
                </c:pt>
                <c:pt idx="241">
                  <c:v>Oe Pone</c:v>
                </c:pt>
                <c:pt idx="242">
                  <c:v>Ohn Taw Chay</c:v>
                </c:pt>
                <c:pt idx="243">
                  <c:v>Ohn Taw Gyi</c:v>
                </c:pt>
                <c:pt idx="244">
                  <c:v>Ohn Taw Gyi (North)</c:v>
                </c:pt>
                <c:pt idx="245">
                  <c:v>Ohn Taw Gyi (South)</c:v>
                </c:pt>
                <c:pt idx="246">
                  <c:v>Ohn Taw Shey</c:v>
                </c:pt>
                <c:pt idx="247">
                  <c:v>Oke Kan</c:v>
                </c:pt>
                <c:pt idx="248">
                  <c:v>Oke Taung Pyin</c:v>
                </c:pt>
                <c:pt idx="249">
                  <c:v>Pa Dauk Myaing(Pa La Na)</c:v>
                </c:pt>
                <c:pt idx="250">
                  <c:v>Pa Kahtawng </c:v>
                </c:pt>
                <c:pt idx="251">
                  <c:v>Pa Lat Kay</c:v>
                </c:pt>
                <c:pt idx="252">
                  <c:v>Pajau - Jan Mai</c:v>
                </c:pt>
                <c:pt idx="253">
                  <c:v>Palae' Kaine</c:v>
                </c:pt>
                <c:pt idx="254">
                  <c:v>Pale Taung</c:v>
                </c:pt>
                <c:pt idx="255">
                  <c:v>Pan Law</c:v>
                </c:pt>
                <c:pt idx="256">
                  <c:v>Pan Ta Pyae</c:v>
                </c:pt>
                <c:pt idx="257">
                  <c:v>Pan Wa</c:v>
                </c:pt>
                <c:pt idx="258">
                  <c:v>Paung Zar</c:v>
                </c:pt>
                <c:pt idx="259">
                  <c:v>Pet Khwet Seik</c:v>
                </c:pt>
                <c:pt idx="260">
                  <c:v>Phan Khar Kone</c:v>
                </c:pt>
                <c:pt idx="261">
                  <c:v>Phwe Yar Gone village</c:v>
                </c:pt>
                <c:pt idx="262">
                  <c:v>Phwe Yar Kone</c:v>
                </c:pt>
                <c:pt idx="263">
                  <c:v>Pin Zaing</c:v>
                </c:pt>
                <c:pt idx="264">
                  <c:v>Post 6 Camp</c:v>
                </c:pt>
                <c:pt idx="265">
                  <c:v>Pyaing Chaung</c:v>
                </c:pt>
                <c:pt idx="266">
                  <c:v>Pyaung Chaung</c:v>
                </c:pt>
                <c:pt idx="267">
                  <c:v>Pyaung Seik</c:v>
                </c:pt>
                <c:pt idx="268">
                  <c:v>Pyein Chaung</c:v>
                </c:pt>
                <c:pt idx="269">
                  <c:v>Pyin Hlyar Shey</c:v>
                </c:pt>
                <c:pt idx="270">
                  <c:v>Qtr. 2 Lhaovo Baptist Church</c:v>
                </c:pt>
                <c:pt idx="271">
                  <c:v>Qtr. 2 Myoma Baptist Church</c:v>
                </c:pt>
                <c:pt idx="272">
                  <c:v>Qtr. 3 Mu-yin  Baptist Church</c:v>
                </c:pt>
                <c:pt idx="273">
                  <c:v>Qtr. 4 Monestry (Thargaya Thayett Taw)</c:v>
                </c:pt>
                <c:pt idx="274">
                  <c:v>Rawan Baptist Church, Maw Shan Vil., Seik Mu</c:v>
                </c:pt>
                <c:pt idx="275">
                  <c:v>Robert Church</c:v>
                </c:pt>
                <c:pt idx="276">
                  <c:v>Robert -Middle school</c:v>
                </c:pt>
                <c:pt idx="277">
                  <c:v>Sa Khan Maw</c:v>
                </c:pt>
                <c:pt idx="278">
                  <c:v>Sai Nai Baptish Church, Maw Shan Vil., Seki Mu</c:v>
                </c:pt>
                <c:pt idx="279">
                  <c:v>Salang Yang</c:v>
                </c:pt>
                <c:pt idx="280">
                  <c:v>San Htoe Tan</c:v>
                </c:pt>
                <c:pt idx="281">
                  <c:v>Sapar Seik (Shari)</c:v>
                </c:pt>
                <c:pt idx="282">
                  <c:v>Sar Hmaw - KBC</c:v>
                </c:pt>
                <c:pt idx="283">
                  <c:v>Sat Roe Kya 1</c:v>
                </c:pt>
                <c:pt idx="284">
                  <c:v>Sat Roe Kya 2</c:v>
                </c:pt>
                <c:pt idx="285">
                  <c:v>Saw Zam</c:v>
                </c:pt>
                <c:pt idx="286">
                  <c:v>Say Tha Mar Gyi</c:v>
                </c:pt>
                <c:pt idx="287">
                  <c:v>Say Tha Mar Gyi village</c:v>
                </c:pt>
                <c:pt idx="288">
                  <c:v>Say Tha Mar Nge</c:v>
                </c:pt>
                <c:pt idx="289">
                  <c:v>Sein Hnyin Pyar_Tha Pyay Taw</c:v>
                </c:pt>
                <c:pt idx="290">
                  <c:v>Seng Ja </c:v>
                </c:pt>
                <c:pt idx="291">
                  <c:v>Set Yone Su 1</c:v>
                </c:pt>
                <c:pt idx="292">
                  <c:v>Set Yone Su 3 (Mingan)</c:v>
                </c:pt>
                <c:pt idx="293">
                  <c:v>Sha-It Yang</c:v>
                </c:pt>
                <c:pt idx="294">
                  <c:v>Shan Kone</c:v>
                </c:pt>
                <c:pt idx="295">
                  <c:v>Shar Du Zut KBC church </c:v>
                </c:pt>
                <c:pt idx="296">
                  <c:v>Shar Du Zut RC church</c:v>
                </c:pt>
                <c:pt idx="297">
                  <c:v>Shar Du Zut SanPya</c:v>
                </c:pt>
                <c:pt idx="298">
                  <c:v>Shatapru Sut Ngai Tawng</c:v>
                </c:pt>
                <c:pt idx="299">
                  <c:v>Shatapru Thida Aye Baptist Church</c:v>
                </c:pt>
                <c:pt idx="300">
                  <c:v>Shauk Chaung</c:v>
                </c:pt>
                <c:pt idx="301">
                  <c:v>Shing Jai</c:v>
                </c:pt>
                <c:pt idx="302">
                  <c:v>Shwe Gu Baptist Church</c:v>
                </c:pt>
                <c:pt idx="303">
                  <c:v>Shwe Gu Catholic Church</c:v>
                </c:pt>
                <c:pt idx="304">
                  <c:v>Shwe Hlaing</c:v>
                </c:pt>
                <c:pt idx="305">
                  <c:v>Shwe Hlaing Rakhine</c:v>
                </c:pt>
                <c:pt idx="306">
                  <c:v>Shwe Ta Mar</c:v>
                </c:pt>
                <c:pt idx="307">
                  <c:v>Shwe Zet Baptist Church</c:v>
                </c:pt>
                <c:pt idx="308">
                  <c:v>Shwe Zin Khin (Rakhine)</c:v>
                </c:pt>
                <c:pt idx="309">
                  <c:v>Sin Aing</c:v>
                </c:pt>
                <c:pt idx="310">
                  <c:v>Sin Bo</c:v>
                </c:pt>
                <c:pt idx="311">
                  <c:v>Sin Tet Maw</c:v>
                </c:pt>
                <c:pt idx="312">
                  <c:v>Sin Tet Maw (Host)</c:v>
                </c:pt>
                <c:pt idx="313">
                  <c:v>Sin Tet Maw Rakhine(Baw Da Li)</c:v>
                </c:pt>
                <c:pt idx="314">
                  <c:v>Sin U Taik</c:v>
                </c:pt>
                <c:pt idx="315">
                  <c:v>St. Patrick Catholic Church </c:v>
                </c:pt>
                <c:pt idx="316">
                  <c:v>Sumprabum</c:v>
                </c:pt>
                <c:pt idx="317">
                  <c:v>Swi Chaung</c:v>
                </c:pt>
                <c:pt idx="318">
                  <c:v>Ta Gun Taing Monastery (Shwe Kyi Na)</c:v>
                </c:pt>
                <c:pt idx="319">
                  <c:v>Taik Maw</c:v>
                </c:pt>
                <c:pt idx="320">
                  <c:v>Tan Chaung</c:v>
                </c:pt>
                <c:pt idx="321">
                  <c:v>Tan Khoe</c:v>
                </c:pt>
                <c:pt idx="322">
                  <c:v>Tan Zwei</c:v>
                </c:pt>
                <c:pt idx="323">
                  <c:v>Tanai AG Church </c:v>
                </c:pt>
                <c:pt idx="324">
                  <c:v>Tanai CoC</c:v>
                </c:pt>
                <c:pt idx="325">
                  <c:v>Tanai KBC Church </c:v>
                </c:pt>
                <c:pt idx="326">
                  <c:v>Tanai RC Church - Kinsa Ra </c:v>
                </c:pt>
                <c:pt idx="327">
                  <c:v>Tat Kone Baptist Church</c:v>
                </c:pt>
                <c:pt idx="328">
                  <c:v>Tat Kone COC Baptist - Tat Kone Htoi San</c:v>
                </c:pt>
                <c:pt idx="329">
                  <c:v>Tat Kone Emanuel Church</c:v>
                </c:pt>
                <c:pt idx="330">
                  <c:v>Tat Kone Galile Baptist Church</c:v>
                </c:pt>
                <c:pt idx="331">
                  <c:v>Tat Kone San Pya Baptist Church</c:v>
                </c:pt>
                <c:pt idx="332">
                  <c:v>Tauk Sone</c:v>
                </c:pt>
                <c:pt idx="333">
                  <c:v>Taung Chauk</c:v>
                </c:pt>
                <c:pt idx="334">
                  <c:v>Taung Htaung</c:v>
                </c:pt>
                <c:pt idx="335">
                  <c:v>Taung Htaung Ha Yar</c:v>
                </c:pt>
                <c:pt idx="336">
                  <c:v>Taung Pauk</c:v>
                </c:pt>
                <c:pt idx="337">
                  <c:v>Taung Paw</c:v>
                </c:pt>
                <c:pt idx="338">
                  <c:v>Tha Dar</c:v>
                </c:pt>
                <c:pt idx="339">
                  <c:v>Tha Ray Kon Baung</c:v>
                </c:pt>
                <c:pt idx="340">
                  <c:v>Tha Yet Oak</c:v>
                </c:pt>
                <c:pt idx="341">
                  <c:v>Tha Yet Oke Ywar Haung</c:v>
                </c:pt>
                <c:pt idx="342">
                  <c:v>Thae Chaung</c:v>
                </c:pt>
                <c:pt idx="343">
                  <c:v>Thae Chaung(Rakhine)</c:v>
                </c:pt>
                <c:pt idx="344">
                  <c:v>Thar Si</c:v>
                </c:pt>
                <c:pt idx="345">
                  <c:v>Thar Yar Kone (M)</c:v>
                </c:pt>
                <c:pt idx="346">
                  <c:v>Thargaya Lisu Baptist Church</c:v>
                </c:pt>
                <c:pt idx="347">
                  <c:v>Thea Chaung Ku Lar</c:v>
                </c:pt>
                <c:pt idx="348">
                  <c:v>Thea Chaung Let Tha Mar Kone</c:v>
                </c:pt>
                <c:pt idx="349">
                  <c:v>Thein Tan</c:v>
                </c:pt>
                <c:pt idx="350">
                  <c:v>Thet Kae Pyin </c:v>
                </c:pt>
                <c:pt idx="351">
                  <c:v>Thet Kae Pyin Village (IDPs in host family)</c:v>
                </c:pt>
                <c:pt idx="352">
                  <c:v>Thet Kay Pyin Ywar Ma</c:v>
                </c:pt>
                <c:pt idx="353">
                  <c:v>Thit Ka Toe</c:v>
                </c:pt>
                <c:pt idx="354">
                  <c:v>Thone Gwa</c:v>
                </c:pt>
                <c:pt idx="355">
                  <c:v>Tote Tan Ward</c:v>
                </c:pt>
                <c:pt idx="356">
                  <c:v>Tsan Lun - Namjarap</c:v>
                </c:pt>
                <c:pt idx="357">
                  <c:v>U Htoe Dan </c:v>
                </c:pt>
                <c:pt idx="358">
                  <c:v>Wa Lar Kan</c:v>
                </c:pt>
                <c:pt idx="359">
                  <c:v>Wa Lar Kann</c:v>
                </c:pt>
                <c:pt idx="360">
                  <c:v>Waingmaw AG Church</c:v>
                </c:pt>
                <c:pt idx="361">
                  <c:v>Ward 2 Sai Taung Baptist Church, Seik Mu </c:v>
                </c:pt>
                <c:pt idx="362">
                  <c:v>Wet Mee To</c:v>
                </c:pt>
                <c:pt idx="363">
                  <c:v>Woi Chyai </c:v>
                </c:pt>
                <c:pt idx="364">
                  <c:v>Woi Chyai (Mong Lai)</c:v>
                </c:pt>
                <c:pt idx="365">
                  <c:v>Woi Chyai host families</c:v>
                </c:pt>
                <c:pt idx="366">
                  <c:v>Yai Myet Taung Ywa Thit</c:v>
                </c:pt>
                <c:pt idx="367">
                  <c:v>Yan Aung Pyin</c:v>
                </c:pt>
                <c:pt idx="368">
                  <c:v>Yin Chaung</c:v>
                </c:pt>
                <c:pt idx="369">
                  <c:v>Yoe Kyi Monastery</c:v>
                </c:pt>
                <c:pt idx="370">
                  <c:v>Yoe Ngu</c:v>
                </c:pt>
                <c:pt idx="371">
                  <c:v>Yumar Baptist Church</c:v>
                </c:pt>
                <c:pt idx="372">
                  <c:v>Yun Nyar</c:v>
                </c:pt>
                <c:pt idx="373">
                  <c:v>Ywar Haung Ah Htet</c:v>
                </c:pt>
                <c:pt idx="374">
                  <c:v>Ywar Thit Kay</c:v>
                </c:pt>
                <c:pt idx="375">
                  <c:v>Ywet Nyo Taung ( Rakhine)</c:v>
                </c:pt>
                <c:pt idx="376">
                  <c:v>Za Yat Kwin</c:v>
                </c:pt>
                <c:pt idx="377">
                  <c:v>Zaw Pu Gyar</c:v>
                </c:pt>
                <c:pt idx="378">
                  <c:v>Zee kone Tan (or) Kon Tan Zay</c:v>
                </c:pt>
                <c:pt idx="379">
                  <c:v>Zin Paing Nyar</c:v>
                </c:pt>
                <c:pt idx="380">
                  <c:v>Zu Kaing</c:v>
                </c:pt>
                <c:pt idx="381">
                  <c:v>Zup Aung Camp</c:v>
                </c:pt>
              </c:strCache>
            </c:strRef>
          </c:cat>
          <c:val>
            <c:numRef>
              <c:f>'By Camps'!$B$34</c:f>
              <c:numCache>
                <c:formatCode>General</c:formatCode>
                <c:ptCount val="382"/>
                <c:pt idx="0">
                  <c:v>160</c:v>
                </c:pt>
                <c:pt idx="1">
                  <c:v>260</c:v>
                </c:pt>
                <c:pt idx="2">
                  <c:v>720</c:v>
                </c:pt>
                <c:pt idx="3">
                  <c:v>350</c:v>
                </c:pt>
                <c:pt idx="4">
                  <c:v>80</c:v>
                </c:pt>
                <c:pt idx="5">
                  <c:v>480</c:v>
                </c:pt>
                <c:pt idx="6">
                  <c:v>0</c:v>
                </c:pt>
                <c:pt idx="7">
                  <c:v>0</c:v>
                </c:pt>
                <c:pt idx="8">
                  <c:v>0</c:v>
                </c:pt>
                <c:pt idx="9">
                  <c:v>30</c:v>
                </c:pt>
                <c:pt idx="10">
                  <c:v>408</c:v>
                </c:pt>
                <c:pt idx="11">
                  <c:v>318</c:v>
                </c:pt>
                <c:pt idx="12">
                  <c:v>1968</c:v>
                </c:pt>
                <c:pt idx="13">
                  <c:v>1975</c:v>
                </c:pt>
                <c:pt idx="14">
                  <c:v>2600</c:v>
                </c:pt>
                <c:pt idx="15">
                  <c:v>559</c:v>
                </c:pt>
                <c:pt idx="16">
                  <c:v>0</c:v>
                </c:pt>
                <c:pt idx="17">
                  <c:v>678</c:v>
                </c:pt>
                <c:pt idx="18">
                  <c:v>40</c:v>
                </c:pt>
                <c:pt idx="19">
                  <c:v>18</c:v>
                </c:pt>
                <c:pt idx="20">
                  <c:v>0</c:v>
                </c:pt>
                <c:pt idx="21">
                  <c:v>200</c:v>
                </c:pt>
                <c:pt idx="22">
                  <c:v>12.000000000000002</c:v>
                </c:pt>
                <c:pt idx="23">
                  <c:v>1100</c:v>
                </c:pt>
                <c:pt idx="24">
                  <c:v>132</c:v>
                </c:pt>
                <c:pt idx="25">
                  <c:v>0</c:v>
                </c:pt>
                <c:pt idx="26">
                  <c:v>4892</c:v>
                </c:pt>
                <c:pt idx="27">
                  <c:v>6100</c:v>
                </c:pt>
                <c:pt idx="28">
                  <c:v>0</c:v>
                </c:pt>
                <c:pt idx="29">
                  <c:v>0</c:v>
                </c:pt>
                <c:pt idx="30">
                  <c:v>527</c:v>
                </c:pt>
                <c:pt idx="31">
                  <c:v>0</c:v>
                </c:pt>
                <c:pt idx="32">
                  <c:v>0</c:v>
                </c:pt>
                <c:pt idx="33">
                  <c:v>1786</c:v>
                </c:pt>
                <c:pt idx="34">
                  <c:v>48</c:v>
                </c:pt>
                <c:pt idx="35">
                  <c:v>30</c:v>
                </c:pt>
                <c:pt idx="36">
                  <c:v>0</c:v>
                </c:pt>
                <c:pt idx="37">
                  <c:v>26</c:v>
                </c:pt>
                <c:pt idx="38">
                  <c:v>0</c:v>
                </c:pt>
                <c:pt idx="39">
                  <c:v>0</c:v>
                </c:pt>
                <c:pt idx="40">
                  <c:v>519</c:v>
                </c:pt>
                <c:pt idx="41">
                  <c:v>0</c:v>
                </c:pt>
                <c:pt idx="42">
                  <c:v>0</c:v>
                </c:pt>
                <c:pt idx="43">
                  <c:v>0</c:v>
                </c:pt>
                <c:pt idx="44">
                  <c:v>0</c:v>
                </c:pt>
                <c:pt idx="45">
                  <c:v>8120</c:v>
                </c:pt>
                <c:pt idx="46">
                  <c:v>0</c:v>
                </c:pt>
                <c:pt idx="47">
                  <c:v>234.00000000000003</c:v>
                </c:pt>
                <c:pt idx="48">
                  <c:v>30</c:v>
                </c:pt>
                <c:pt idx="49">
                  <c:v>113</c:v>
                </c:pt>
                <c:pt idx="50">
                  <c:v>365</c:v>
                </c:pt>
                <c:pt idx="51">
                  <c:v>0</c:v>
                </c:pt>
                <c:pt idx="52">
                  <c:v>0</c:v>
                </c:pt>
                <c:pt idx="53">
                  <c:v>140</c:v>
                </c:pt>
                <c:pt idx="54">
                  <c:v>446</c:v>
                </c:pt>
                <c:pt idx="55">
                  <c:v>0</c:v>
                </c:pt>
                <c:pt idx="56">
                  <c:v>0</c:v>
                </c:pt>
                <c:pt idx="57">
                  <c:v>240</c:v>
                </c:pt>
                <c:pt idx="58">
                  <c:v>960</c:v>
                </c:pt>
                <c:pt idx="59">
                  <c:v>200</c:v>
                </c:pt>
                <c:pt idx="60">
                  <c:v>320</c:v>
                </c:pt>
                <c:pt idx="61">
                  <c:v>903</c:v>
                </c:pt>
                <c:pt idx="62">
                  <c:v>0</c:v>
                </c:pt>
                <c:pt idx="63">
                  <c:v>0</c:v>
                </c:pt>
                <c:pt idx="64">
                  <c:v>46</c:v>
                </c:pt>
                <c:pt idx="65">
                  <c:v>2040</c:v>
                </c:pt>
                <c:pt idx="66">
                  <c:v>0</c:v>
                </c:pt>
                <c:pt idx="67">
                  <c:v>0</c:v>
                </c:pt>
                <c:pt idx="68">
                  <c:v>0</c:v>
                </c:pt>
                <c:pt idx="69">
                  <c:v>779</c:v>
                </c:pt>
                <c:pt idx="70">
                  <c:v>504</c:v>
                </c:pt>
                <c:pt idx="71">
                  <c:v>18</c:v>
                </c:pt>
                <c:pt idx="72">
                  <c:v>540</c:v>
                </c:pt>
                <c:pt idx="73">
                  <c:v>3294</c:v>
                </c:pt>
                <c:pt idx="74">
                  <c:v>140</c:v>
                </c:pt>
                <c:pt idx="75">
                  <c:v>400</c:v>
                </c:pt>
                <c:pt idx="76">
                  <c:v>0</c:v>
                </c:pt>
                <c:pt idx="77">
                  <c:v>0</c:v>
                </c:pt>
                <c:pt idx="78">
                  <c:v>0</c:v>
                </c:pt>
                <c:pt idx="79">
                  <c:v>860</c:v>
                </c:pt>
                <c:pt idx="80">
                  <c:v>430</c:v>
                </c:pt>
                <c:pt idx="81">
                  <c:v>8554</c:v>
                </c:pt>
                <c:pt idx="82">
                  <c:v>0</c:v>
                </c:pt>
                <c:pt idx="83">
                  <c:v>0</c:v>
                </c:pt>
                <c:pt idx="84">
                  <c:v>211</c:v>
                </c:pt>
                <c:pt idx="85">
                  <c:v>80</c:v>
                </c:pt>
                <c:pt idx="86">
                  <c:v>0</c:v>
                </c:pt>
                <c:pt idx="87">
                  <c:v>270</c:v>
                </c:pt>
                <c:pt idx="88">
                  <c:v>54</c:v>
                </c:pt>
                <c:pt idx="89">
                  <c:v>217</c:v>
                </c:pt>
                <c:pt idx="90">
                  <c:v>0</c:v>
                </c:pt>
                <c:pt idx="91">
                  <c:v>270</c:v>
                </c:pt>
                <c:pt idx="92">
                  <c:v>0</c:v>
                </c:pt>
                <c:pt idx="93">
                  <c:v>94</c:v>
                </c:pt>
                <c:pt idx="94">
                  <c:v>2248</c:v>
                </c:pt>
                <c:pt idx="95">
                  <c:v>557</c:v>
                </c:pt>
                <c:pt idx="96">
                  <c:v>0</c:v>
                </c:pt>
                <c:pt idx="97">
                  <c:v>6</c:v>
                </c:pt>
                <c:pt idx="98">
                  <c:v>6</c:v>
                </c:pt>
                <c:pt idx="99">
                  <c:v>510</c:v>
                </c:pt>
                <c:pt idx="100">
                  <c:v>102</c:v>
                </c:pt>
                <c:pt idx="101">
                  <c:v>200</c:v>
                </c:pt>
                <c:pt idx="102">
                  <c:v>141</c:v>
                </c:pt>
                <c:pt idx="103">
                  <c:v>138</c:v>
                </c:pt>
                <c:pt idx="104">
                  <c:v>145</c:v>
                </c:pt>
                <c:pt idx="105">
                  <c:v>0</c:v>
                </c:pt>
                <c:pt idx="106">
                  <c:v>0</c:v>
                </c:pt>
                <c:pt idx="107">
                  <c:v>168</c:v>
                </c:pt>
                <c:pt idx="108">
                  <c:v>0</c:v>
                </c:pt>
                <c:pt idx="109">
                  <c:v>992</c:v>
                </c:pt>
                <c:pt idx="110">
                  <c:v>0</c:v>
                </c:pt>
                <c:pt idx="111">
                  <c:v>0</c:v>
                </c:pt>
                <c:pt idx="112">
                  <c:v>6</c:v>
                </c:pt>
                <c:pt idx="113">
                  <c:v>1740.0000000000002</c:v>
                </c:pt>
                <c:pt idx="114">
                  <c:v>488</c:v>
                </c:pt>
                <c:pt idx="115">
                  <c:v>96</c:v>
                </c:pt>
                <c:pt idx="116">
                  <c:v>282</c:v>
                </c:pt>
                <c:pt idx="117">
                  <c:v>160</c:v>
                </c:pt>
                <c:pt idx="118">
                  <c:v>66</c:v>
                </c:pt>
                <c:pt idx="119">
                  <c:v>0</c:v>
                </c:pt>
                <c:pt idx="120">
                  <c:v>0</c:v>
                </c:pt>
                <c:pt idx="121">
                  <c:v>0</c:v>
                </c:pt>
                <c:pt idx="122">
                  <c:v>320</c:v>
                </c:pt>
                <c:pt idx="123">
                  <c:v>2478</c:v>
                </c:pt>
                <c:pt idx="124">
                  <c:v>0</c:v>
                </c:pt>
                <c:pt idx="125">
                  <c:v>0</c:v>
                </c:pt>
                <c:pt idx="126">
                  <c:v>560</c:v>
                </c:pt>
                <c:pt idx="127">
                  <c:v>160</c:v>
                </c:pt>
                <c:pt idx="128">
                  <c:v>640</c:v>
                </c:pt>
                <c:pt idx="129">
                  <c:v>157</c:v>
                </c:pt>
                <c:pt idx="130">
                  <c:v>18</c:v>
                </c:pt>
                <c:pt idx="131">
                  <c:v>24</c:v>
                </c:pt>
                <c:pt idx="132">
                  <c:v>640</c:v>
                </c:pt>
                <c:pt idx="133">
                  <c:v>200</c:v>
                </c:pt>
                <c:pt idx="134">
                  <c:v>102</c:v>
                </c:pt>
                <c:pt idx="135">
                  <c:v>62</c:v>
                </c:pt>
                <c:pt idx="136">
                  <c:v>460.00000000000006</c:v>
                </c:pt>
                <c:pt idx="137">
                  <c:v>128</c:v>
                </c:pt>
                <c:pt idx="138">
                  <c:v>180</c:v>
                </c:pt>
                <c:pt idx="139">
                  <c:v>260</c:v>
                </c:pt>
                <c:pt idx="140">
                  <c:v>800</c:v>
                </c:pt>
                <c:pt idx="141">
                  <c:v>251.99999999999997</c:v>
                </c:pt>
                <c:pt idx="142">
                  <c:v>0</c:v>
                </c:pt>
                <c:pt idx="143">
                  <c:v>160.00000000000003</c:v>
                </c:pt>
                <c:pt idx="144">
                  <c:v>0</c:v>
                </c:pt>
                <c:pt idx="145">
                  <c:v>105</c:v>
                </c:pt>
                <c:pt idx="146">
                  <c:v>120</c:v>
                </c:pt>
                <c:pt idx="147">
                  <c:v>1723</c:v>
                </c:pt>
                <c:pt idx="148">
                  <c:v>400</c:v>
                </c:pt>
                <c:pt idx="149">
                  <c:v>580</c:v>
                </c:pt>
                <c:pt idx="150">
                  <c:v>1492</c:v>
                </c:pt>
                <c:pt idx="151">
                  <c:v>2551</c:v>
                </c:pt>
                <c:pt idx="152">
                  <c:v>193</c:v>
                </c:pt>
                <c:pt idx="153">
                  <c:v>1855</c:v>
                </c:pt>
                <c:pt idx="154">
                  <c:v>803</c:v>
                </c:pt>
                <c:pt idx="155">
                  <c:v>140</c:v>
                </c:pt>
                <c:pt idx="156">
                  <c:v>940.00000000000011</c:v>
                </c:pt>
                <c:pt idx="157">
                  <c:v>560</c:v>
                </c:pt>
                <c:pt idx="158">
                  <c:v>581</c:v>
                </c:pt>
                <c:pt idx="159">
                  <c:v>0</c:v>
                </c:pt>
                <c:pt idx="160">
                  <c:v>82</c:v>
                </c:pt>
                <c:pt idx="161">
                  <c:v>0</c:v>
                </c:pt>
                <c:pt idx="162">
                  <c:v>320</c:v>
                </c:pt>
                <c:pt idx="163">
                  <c:v>524</c:v>
                </c:pt>
                <c:pt idx="164">
                  <c:v>2327</c:v>
                </c:pt>
                <c:pt idx="165">
                  <c:v>637</c:v>
                </c:pt>
                <c:pt idx="166">
                  <c:v>0</c:v>
                </c:pt>
                <c:pt idx="167">
                  <c:v>13</c:v>
                </c:pt>
                <c:pt idx="168">
                  <c:v>143</c:v>
                </c:pt>
                <c:pt idx="169">
                  <c:v>80</c:v>
                </c:pt>
                <c:pt idx="170">
                  <c:v>40</c:v>
                </c:pt>
                <c:pt idx="171">
                  <c:v>823</c:v>
                </c:pt>
                <c:pt idx="172">
                  <c:v>0</c:v>
                </c:pt>
                <c:pt idx="173">
                  <c:v>60</c:v>
                </c:pt>
                <c:pt idx="174">
                  <c:v>60</c:v>
                </c:pt>
                <c:pt idx="175">
                  <c:v>60</c:v>
                </c:pt>
                <c:pt idx="176">
                  <c:v>2180</c:v>
                </c:pt>
                <c:pt idx="177">
                  <c:v>0</c:v>
                </c:pt>
                <c:pt idx="178">
                  <c:v>390</c:v>
                </c:pt>
                <c:pt idx="179">
                  <c:v>0</c:v>
                </c:pt>
                <c:pt idx="180">
                  <c:v>84</c:v>
                </c:pt>
                <c:pt idx="181">
                  <c:v>11.999999999999998</c:v>
                </c:pt>
                <c:pt idx="182">
                  <c:v>18</c:v>
                </c:pt>
                <c:pt idx="183">
                  <c:v>0</c:v>
                </c:pt>
                <c:pt idx="184">
                  <c:v>0</c:v>
                </c:pt>
                <c:pt idx="185">
                  <c:v>305</c:v>
                </c:pt>
                <c:pt idx="186">
                  <c:v>0</c:v>
                </c:pt>
                <c:pt idx="187">
                  <c:v>0</c:v>
                </c:pt>
                <c:pt idx="188">
                  <c:v>200</c:v>
                </c:pt>
                <c:pt idx="189">
                  <c:v>0</c:v>
                </c:pt>
                <c:pt idx="190">
                  <c:v>200</c:v>
                </c:pt>
                <c:pt idx="191">
                  <c:v>179</c:v>
                </c:pt>
                <c:pt idx="192">
                  <c:v>265</c:v>
                </c:pt>
                <c:pt idx="193">
                  <c:v>111</c:v>
                </c:pt>
                <c:pt idx="194">
                  <c:v>207</c:v>
                </c:pt>
                <c:pt idx="195">
                  <c:v>80</c:v>
                </c:pt>
                <c:pt idx="196">
                  <c:v>51</c:v>
                </c:pt>
                <c:pt idx="197">
                  <c:v>0</c:v>
                </c:pt>
                <c:pt idx="198">
                  <c:v>138</c:v>
                </c:pt>
                <c:pt idx="199">
                  <c:v>0</c:v>
                </c:pt>
                <c:pt idx="200">
                  <c:v>340</c:v>
                </c:pt>
                <c:pt idx="201">
                  <c:v>200</c:v>
                </c:pt>
                <c:pt idx="202">
                  <c:v>179</c:v>
                </c:pt>
                <c:pt idx="203">
                  <c:v>214</c:v>
                </c:pt>
                <c:pt idx="204">
                  <c:v>44</c:v>
                </c:pt>
                <c:pt idx="205">
                  <c:v>279</c:v>
                </c:pt>
                <c:pt idx="206">
                  <c:v>100</c:v>
                </c:pt>
                <c:pt idx="207">
                  <c:v>45</c:v>
                </c:pt>
                <c:pt idx="208">
                  <c:v>100</c:v>
                </c:pt>
                <c:pt idx="209">
                  <c:v>263</c:v>
                </c:pt>
                <c:pt idx="210">
                  <c:v>260</c:v>
                </c:pt>
                <c:pt idx="211">
                  <c:v>311</c:v>
                </c:pt>
                <c:pt idx="212">
                  <c:v>80</c:v>
                </c:pt>
                <c:pt idx="213">
                  <c:v>160</c:v>
                </c:pt>
                <c:pt idx="214">
                  <c:v>0</c:v>
                </c:pt>
                <c:pt idx="215">
                  <c:v>33</c:v>
                </c:pt>
                <c:pt idx="216">
                  <c:v>0</c:v>
                </c:pt>
                <c:pt idx="217">
                  <c:v>78</c:v>
                </c:pt>
                <c:pt idx="218">
                  <c:v>80</c:v>
                </c:pt>
                <c:pt idx="219">
                  <c:v>100</c:v>
                </c:pt>
                <c:pt idx="220">
                  <c:v>0</c:v>
                </c:pt>
                <c:pt idx="221">
                  <c:v>547</c:v>
                </c:pt>
                <c:pt idx="222">
                  <c:v>635</c:v>
                </c:pt>
                <c:pt idx="223">
                  <c:v>0</c:v>
                </c:pt>
                <c:pt idx="224">
                  <c:v>0</c:v>
                </c:pt>
                <c:pt idx="225">
                  <c:v>0</c:v>
                </c:pt>
                <c:pt idx="226">
                  <c:v>384</c:v>
                </c:pt>
                <c:pt idx="227">
                  <c:v>288</c:v>
                </c:pt>
                <c:pt idx="228">
                  <c:v>0</c:v>
                </c:pt>
                <c:pt idx="229">
                  <c:v>30</c:v>
                </c:pt>
                <c:pt idx="230">
                  <c:v>0</c:v>
                </c:pt>
                <c:pt idx="231">
                  <c:v>2940</c:v>
                </c:pt>
                <c:pt idx="232">
                  <c:v>2640</c:v>
                </c:pt>
                <c:pt idx="233">
                  <c:v>1663</c:v>
                </c:pt>
                <c:pt idx="234">
                  <c:v>260</c:v>
                </c:pt>
                <c:pt idx="235">
                  <c:v>200</c:v>
                </c:pt>
                <c:pt idx="236">
                  <c:v>0</c:v>
                </c:pt>
                <c:pt idx="237">
                  <c:v>300</c:v>
                </c:pt>
                <c:pt idx="238">
                  <c:v>1152</c:v>
                </c:pt>
                <c:pt idx="239">
                  <c:v>227</c:v>
                </c:pt>
                <c:pt idx="240">
                  <c:v>12</c:v>
                </c:pt>
                <c:pt idx="241">
                  <c:v>0</c:v>
                </c:pt>
                <c:pt idx="242">
                  <c:v>3095</c:v>
                </c:pt>
                <c:pt idx="243">
                  <c:v>0</c:v>
                </c:pt>
                <c:pt idx="244">
                  <c:v>11540</c:v>
                </c:pt>
                <c:pt idx="245">
                  <c:v>12121</c:v>
                </c:pt>
                <c:pt idx="246">
                  <c:v>0</c:v>
                </c:pt>
                <c:pt idx="247">
                  <c:v>30</c:v>
                </c:pt>
                <c:pt idx="248">
                  <c:v>0</c:v>
                </c:pt>
                <c:pt idx="249">
                  <c:v>240</c:v>
                </c:pt>
                <c:pt idx="250">
                  <c:v>3411</c:v>
                </c:pt>
                <c:pt idx="251">
                  <c:v>0</c:v>
                </c:pt>
                <c:pt idx="252">
                  <c:v>895</c:v>
                </c:pt>
                <c:pt idx="253">
                  <c:v>0</c:v>
                </c:pt>
                <c:pt idx="254">
                  <c:v>0</c:v>
                </c:pt>
                <c:pt idx="255">
                  <c:v>0</c:v>
                </c:pt>
                <c:pt idx="256">
                  <c:v>82</c:v>
                </c:pt>
                <c:pt idx="257">
                  <c:v>240</c:v>
                </c:pt>
                <c:pt idx="258">
                  <c:v>0</c:v>
                </c:pt>
                <c:pt idx="259">
                  <c:v>0</c:v>
                </c:pt>
                <c:pt idx="260">
                  <c:v>777</c:v>
                </c:pt>
                <c:pt idx="261">
                  <c:v>432</c:v>
                </c:pt>
                <c:pt idx="262">
                  <c:v>1960</c:v>
                </c:pt>
                <c:pt idx="263">
                  <c:v>0</c:v>
                </c:pt>
                <c:pt idx="264">
                  <c:v>550</c:v>
                </c:pt>
                <c:pt idx="265">
                  <c:v>0</c:v>
                </c:pt>
                <c:pt idx="266">
                  <c:v>0</c:v>
                </c:pt>
                <c:pt idx="267">
                  <c:v>0</c:v>
                </c:pt>
                <c:pt idx="268">
                  <c:v>0</c:v>
                </c:pt>
                <c:pt idx="269">
                  <c:v>252.00000000000003</c:v>
                </c:pt>
                <c:pt idx="270">
                  <c:v>80</c:v>
                </c:pt>
                <c:pt idx="271">
                  <c:v>199.99999999999997</c:v>
                </c:pt>
                <c:pt idx="272">
                  <c:v>60.000000000000007</c:v>
                </c:pt>
                <c:pt idx="273">
                  <c:v>320</c:v>
                </c:pt>
                <c:pt idx="274">
                  <c:v>37</c:v>
                </c:pt>
                <c:pt idx="275">
                  <c:v>3200</c:v>
                </c:pt>
                <c:pt idx="276">
                  <c:v>0</c:v>
                </c:pt>
                <c:pt idx="277">
                  <c:v>0</c:v>
                </c:pt>
                <c:pt idx="278">
                  <c:v>0</c:v>
                </c:pt>
                <c:pt idx="279">
                  <c:v>268</c:v>
                </c:pt>
                <c:pt idx="280">
                  <c:v>330</c:v>
                </c:pt>
                <c:pt idx="281">
                  <c:v>0</c:v>
                </c:pt>
                <c:pt idx="282">
                  <c:v>129</c:v>
                </c:pt>
                <c:pt idx="283">
                  <c:v>1362</c:v>
                </c:pt>
                <c:pt idx="284">
                  <c:v>1984</c:v>
                </c:pt>
                <c:pt idx="285">
                  <c:v>173</c:v>
                </c:pt>
                <c:pt idx="286">
                  <c:v>10100</c:v>
                </c:pt>
                <c:pt idx="287">
                  <c:v>0</c:v>
                </c:pt>
                <c:pt idx="288">
                  <c:v>0</c:v>
                </c:pt>
                <c:pt idx="289">
                  <c:v>90</c:v>
                </c:pt>
                <c:pt idx="290">
                  <c:v>485</c:v>
                </c:pt>
                <c:pt idx="291">
                  <c:v>432</c:v>
                </c:pt>
                <c:pt idx="292">
                  <c:v>614</c:v>
                </c:pt>
                <c:pt idx="293">
                  <c:v>1893</c:v>
                </c:pt>
                <c:pt idx="294">
                  <c:v>0</c:v>
                </c:pt>
                <c:pt idx="295">
                  <c:v>120</c:v>
                </c:pt>
                <c:pt idx="296">
                  <c:v>15</c:v>
                </c:pt>
                <c:pt idx="297">
                  <c:v>80</c:v>
                </c:pt>
                <c:pt idx="298">
                  <c:v>260</c:v>
                </c:pt>
                <c:pt idx="299">
                  <c:v>114</c:v>
                </c:pt>
                <c:pt idx="300">
                  <c:v>0</c:v>
                </c:pt>
                <c:pt idx="301">
                  <c:v>962</c:v>
                </c:pt>
                <c:pt idx="302">
                  <c:v>259</c:v>
                </c:pt>
                <c:pt idx="303">
                  <c:v>169</c:v>
                </c:pt>
                <c:pt idx="304">
                  <c:v>198</c:v>
                </c:pt>
                <c:pt idx="305">
                  <c:v>234</c:v>
                </c:pt>
                <c:pt idx="306">
                  <c:v>72</c:v>
                </c:pt>
                <c:pt idx="307">
                  <c:v>340</c:v>
                </c:pt>
                <c:pt idx="308">
                  <c:v>12</c:v>
                </c:pt>
                <c:pt idx="309">
                  <c:v>300</c:v>
                </c:pt>
                <c:pt idx="310">
                  <c:v>0</c:v>
                </c:pt>
                <c:pt idx="311">
                  <c:v>2810</c:v>
                </c:pt>
                <c:pt idx="312">
                  <c:v>1458</c:v>
                </c:pt>
                <c:pt idx="313">
                  <c:v>612</c:v>
                </c:pt>
                <c:pt idx="314">
                  <c:v>0</c:v>
                </c:pt>
                <c:pt idx="315">
                  <c:v>40</c:v>
                </c:pt>
                <c:pt idx="316">
                  <c:v>0</c:v>
                </c:pt>
                <c:pt idx="317">
                  <c:v>0</c:v>
                </c:pt>
                <c:pt idx="318">
                  <c:v>0</c:v>
                </c:pt>
                <c:pt idx="319">
                  <c:v>0</c:v>
                </c:pt>
                <c:pt idx="320">
                  <c:v>0</c:v>
                </c:pt>
                <c:pt idx="321">
                  <c:v>846</c:v>
                </c:pt>
                <c:pt idx="322">
                  <c:v>264</c:v>
                </c:pt>
                <c:pt idx="323">
                  <c:v>40</c:v>
                </c:pt>
                <c:pt idx="324">
                  <c:v>40</c:v>
                </c:pt>
                <c:pt idx="325">
                  <c:v>100</c:v>
                </c:pt>
                <c:pt idx="326">
                  <c:v>100</c:v>
                </c:pt>
                <c:pt idx="327">
                  <c:v>220</c:v>
                </c:pt>
                <c:pt idx="328">
                  <c:v>200</c:v>
                </c:pt>
                <c:pt idx="329">
                  <c:v>31</c:v>
                </c:pt>
                <c:pt idx="330">
                  <c:v>100</c:v>
                </c:pt>
                <c:pt idx="331">
                  <c:v>239</c:v>
                </c:pt>
                <c:pt idx="332">
                  <c:v>36</c:v>
                </c:pt>
                <c:pt idx="333">
                  <c:v>0</c:v>
                </c:pt>
                <c:pt idx="334">
                  <c:v>0</c:v>
                </c:pt>
                <c:pt idx="335">
                  <c:v>0</c:v>
                </c:pt>
                <c:pt idx="336">
                  <c:v>246</c:v>
                </c:pt>
                <c:pt idx="337">
                  <c:v>2835</c:v>
                </c:pt>
                <c:pt idx="338">
                  <c:v>359.99999999999994</c:v>
                </c:pt>
                <c:pt idx="339">
                  <c:v>0</c:v>
                </c:pt>
                <c:pt idx="340">
                  <c:v>0</c:v>
                </c:pt>
                <c:pt idx="341">
                  <c:v>0</c:v>
                </c:pt>
                <c:pt idx="342">
                  <c:v>4860</c:v>
                </c:pt>
                <c:pt idx="343">
                  <c:v>0</c:v>
                </c:pt>
                <c:pt idx="344">
                  <c:v>30</c:v>
                </c:pt>
                <c:pt idx="345">
                  <c:v>0</c:v>
                </c:pt>
                <c:pt idx="346">
                  <c:v>80</c:v>
                </c:pt>
                <c:pt idx="347">
                  <c:v>0</c:v>
                </c:pt>
                <c:pt idx="348">
                  <c:v>0</c:v>
                </c:pt>
                <c:pt idx="349">
                  <c:v>0</c:v>
                </c:pt>
                <c:pt idx="350">
                  <c:v>4900</c:v>
                </c:pt>
                <c:pt idx="351">
                  <c:v>1670</c:v>
                </c:pt>
                <c:pt idx="352">
                  <c:v>0</c:v>
                </c:pt>
                <c:pt idx="353">
                  <c:v>186</c:v>
                </c:pt>
                <c:pt idx="354">
                  <c:v>0</c:v>
                </c:pt>
                <c:pt idx="355">
                  <c:v>0</c:v>
                </c:pt>
                <c:pt idx="356">
                  <c:v>173</c:v>
                </c:pt>
                <c:pt idx="357">
                  <c:v>30</c:v>
                </c:pt>
                <c:pt idx="358">
                  <c:v>0</c:v>
                </c:pt>
                <c:pt idx="359">
                  <c:v>0</c:v>
                </c:pt>
                <c:pt idx="360">
                  <c:v>160</c:v>
                </c:pt>
                <c:pt idx="361">
                  <c:v>173</c:v>
                </c:pt>
                <c:pt idx="362">
                  <c:v>0</c:v>
                </c:pt>
                <c:pt idx="363">
                  <c:v>1560</c:v>
                </c:pt>
                <c:pt idx="364">
                  <c:v>709</c:v>
                </c:pt>
                <c:pt idx="365">
                  <c:v>2550</c:v>
                </c:pt>
                <c:pt idx="366">
                  <c:v>48</c:v>
                </c:pt>
                <c:pt idx="367">
                  <c:v>342</c:v>
                </c:pt>
                <c:pt idx="368">
                  <c:v>60</c:v>
                </c:pt>
                <c:pt idx="369">
                  <c:v>75</c:v>
                </c:pt>
                <c:pt idx="370">
                  <c:v>264</c:v>
                </c:pt>
                <c:pt idx="371">
                  <c:v>40</c:v>
                </c:pt>
                <c:pt idx="372">
                  <c:v>438</c:v>
                </c:pt>
                <c:pt idx="373">
                  <c:v>0</c:v>
                </c:pt>
                <c:pt idx="374">
                  <c:v>438</c:v>
                </c:pt>
                <c:pt idx="375">
                  <c:v>0</c:v>
                </c:pt>
                <c:pt idx="376">
                  <c:v>0</c:v>
                </c:pt>
                <c:pt idx="377">
                  <c:v>359</c:v>
                </c:pt>
                <c:pt idx="378">
                  <c:v>60</c:v>
                </c:pt>
                <c:pt idx="379">
                  <c:v>0</c:v>
                </c:pt>
                <c:pt idx="380">
                  <c:v>0</c:v>
                </c:pt>
                <c:pt idx="381">
                  <c:v>762</c:v>
                </c:pt>
              </c:numCache>
            </c:numRef>
          </c:val>
        </c:ser>
        <c:ser>
          <c:idx val="3"/>
          <c:order val="3"/>
          <c:tx>
            <c:strRef>
              <c:f>'By Camps'!$B$34</c:f>
              <c:strCache>
                <c:ptCount val="1"/>
                <c:pt idx="0">
                  <c:v>Number of people with equitable and continuous access to sufficient quantity of domestic water</c:v>
                </c:pt>
              </c:strCache>
            </c:strRef>
          </c:tx>
          <c:spPr>
            <a:solidFill>
              <a:srgbClr val="0070C0"/>
            </a:solidFill>
            <a:ln>
              <a:noFill/>
            </a:ln>
            <a:effectLst/>
          </c:spPr>
          <c:invertIfNegative val="0"/>
          <c:cat>
            <c:strRef>
              <c:f>'By Camps'!$B$34</c:f>
              <c:strCache>
                <c:ptCount val="382"/>
                <c:pt idx="0">
                  <c:v>5 Ward RC Church(lon Khin)</c:v>
                </c:pt>
                <c:pt idx="1">
                  <c:v>AD-2000 Extension camp</c:v>
                </c:pt>
                <c:pt idx="2">
                  <c:v>AD-2000 Tharthana Compound</c:v>
                </c:pt>
                <c:pt idx="3">
                  <c:v>AG Church, Hmaw Si Sa</c:v>
                </c:pt>
                <c:pt idx="4">
                  <c:v>AG Church, Maw Wan</c:v>
                </c:pt>
                <c:pt idx="5">
                  <c:v>Agritural Compound (KBC)</c:v>
                </c:pt>
                <c:pt idx="6">
                  <c:v>Ah Hla Sin</c:v>
                </c:pt>
                <c:pt idx="7">
                  <c:v>Ah Htet Gar Pu</c:v>
                </c:pt>
                <c:pt idx="8">
                  <c:v>Ah Htet Nan Yar (Muslim)</c:v>
                </c:pt>
                <c:pt idx="9">
                  <c:v>Ah Htet See Maung</c:v>
                </c:pt>
                <c:pt idx="10">
                  <c:v>Ah Lar Than</c:v>
                </c:pt>
                <c:pt idx="11">
                  <c:v>Ah Lel Mu</c:v>
                </c:pt>
                <c:pt idx="12">
                  <c:v>Ah Nauk Pyin</c:v>
                </c:pt>
                <c:pt idx="13">
                  <c:v>Ah Nauk Ye Ku Lar</c:v>
                </c:pt>
                <c:pt idx="14">
                  <c:v>Ah Nauk Ywe</c:v>
                </c:pt>
                <c:pt idx="15">
                  <c:v>Ah Pauk Wa</c:v>
                </c:pt>
                <c:pt idx="16">
                  <c:v>Ahla Madi</c:v>
                </c:pt>
                <c:pt idx="17">
                  <c:v>Aung Daing </c:v>
                </c:pt>
                <c:pt idx="18">
                  <c:v>Aung Thar Church</c:v>
                </c:pt>
                <c:pt idx="19">
                  <c:v>Aung Thar Yar</c:v>
                </c:pt>
                <c:pt idx="20">
                  <c:v>Aung Thar Yar (NaTaLa)</c:v>
                </c:pt>
                <c:pt idx="21">
                  <c:v>Baptist Church, Hmaw Si Sar(Lon Khin)</c:v>
                </c:pt>
                <c:pt idx="22">
                  <c:v>Bar Sa Yar Host</c:v>
                </c:pt>
                <c:pt idx="23">
                  <c:v>Basare</c:v>
                </c:pt>
                <c:pt idx="24">
                  <c:v>Baw Di Kone</c:v>
                </c:pt>
                <c:pt idx="25">
                  <c:v>Baw Du Pha (IDP in host families)</c:v>
                </c:pt>
                <c:pt idx="26">
                  <c:v>Baw Du Pha 1</c:v>
                </c:pt>
                <c:pt idx="27">
                  <c:v>Baw Du Pha 2</c:v>
                </c:pt>
                <c:pt idx="28">
                  <c:v>Baw Du Pha village</c:v>
                </c:pt>
                <c:pt idx="29">
                  <c:v>Bhamo_Host Families</c:v>
                </c:pt>
                <c:pt idx="30">
                  <c:v>Border Post 8</c:v>
                </c:pt>
                <c:pt idx="31">
                  <c:v>Bu Chaung</c:v>
                </c:pt>
                <c:pt idx="32">
                  <c:v>Bu May</c:v>
                </c:pt>
                <c:pt idx="33">
                  <c:v>Bum Tsit Pa</c:v>
                </c:pt>
                <c:pt idx="34">
                  <c:v>Chaik Taung</c:v>
                </c:pt>
                <c:pt idx="35">
                  <c:v>Cheit Taung</c:v>
                </c:pt>
                <c:pt idx="36">
                  <c:v>Chi Laing Hpin</c:v>
                </c:pt>
                <c:pt idx="37">
                  <c:v>Chin Church, Seik Mu</c:v>
                </c:pt>
                <c:pt idx="38">
                  <c:v>Chin Kone</c:v>
                </c:pt>
                <c:pt idx="39">
                  <c:v>Chin Ywa(Pyaing Taung)</c:v>
                </c:pt>
                <c:pt idx="40">
                  <c:v>Chipwi KBC camp</c:v>
                </c:pt>
                <c:pt idx="41">
                  <c:v>Chut Pyin</c:v>
                </c:pt>
                <c:pt idx="42">
                  <c:v>Dar Let (North)</c:v>
                </c:pt>
                <c:pt idx="43">
                  <c:v>Dar Let (South)</c:v>
                </c:pt>
                <c:pt idx="44">
                  <c:v>Dar Let Ah Lel Kyun</c:v>
                </c:pt>
                <c:pt idx="45">
                  <c:v>Dar Pai</c:v>
                </c:pt>
                <c:pt idx="46">
                  <c:v>Dar Pai (IDP in host families)</c:v>
                </c:pt>
                <c:pt idx="47">
                  <c:v>Dar Paing Village</c:v>
                </c:pt>
                <c:pt idx="48">
                  <c:v>Dar Peit</c:v>
                </c:pt>
                <c:pt idx="49">
                  <c:v>Daung Pyauk Kay</c:v>
                </c:pt>
                <c:pt idx="50">
                  <c:v>Dhama Rakhita, Nyein Chan Tar Yar Ward(Lon Khin)</c:v>
                </c:pt>
                <c:pt idx="51">
                  <c:v>Doke Kan Chaung</c:v>
                </c:pt>
                <c:pt idx="52">
                  <c:v>Done Pyin Village</c:v>
                </c:pt>
                <c:pt idx="53">
                  <c:v>Du Kahtawng Baptist</c:v>
                </c:pt>
                <c:pt idx="54">
                  <c:v>Dum Bung </c:v>
                </c:pt>
                <c:pt idx="55">
                  <c:v>Gar Pu (Lower)</c:v>
                </c:pt>
                <c:pt idx="56">
                  <c:v>Gaw Yaw Ma Ni</c:v>
                </c:pt>
                <c:pt idx="57">
                  <c:v>Goke Pi Htaunt</c:v>
                </c:pt>
                <c:pt idx="58">
                  <c:v>Goke Pi Htaunt (Rakhine)</c:v>
                </c:pt>
                <c:pt idx="59">
                  <c:v>Hka Shi</c:v>
                </c:pt>
                <c:pt idx="60">
                  <c:v>Hkat Cho </c:v>
                </c:pt>
                <c:pt idx="61">
                  <c:v>Hkau Shau (BP 12)</c:v>
                </c:pt>
                <c:pt idx="62">
                  <c:v>Hla May Shwe</c:v>
                </c:pt>
                <c:pt idx="63">
                  <c:v>Hla Nyo Kan</c:v>
                </c:pt>
                <c:pt idx="64">
                  <c:v>Hlaing Naung Baptist</c:v>
                </c:pt>
                <c:pt idx="65">
                  <c:v>Hmanzi </c:v>
                </c:pt>
                <c:pt idx="66">
                  <c:v>Hmaw Wan, Anglican</c:v>
                </c:pt>
                <c:pt idx="67">
                  <c:v>Hopin Host Families</c:v>
                </c:pt>
                <c:pt idx="68">
                  <c:v>Hpai Kawng</c:v>
                </c:pt>
                <c:pt idx="69">
                  <c:v>Hpai Kawng Mare</c:v>
                </c:pt>
                <c:pt idx="70">
                  <c:v>Hpakant Baptist Church, Nam Ma Hpit</c:v>
                </c:pt>
                <c:pt idx="71">
                  <c:v>Hpar Wut Chaung</c:v>
                </c:pt>
                <c:pt idx="72">
                  <c:v>Hpare Hkyer - BP6</c:v>
                </c:pt>
                <c:pt idx="73">
                  <c:v>Hpun Lum Yang </c:v>
                </c:pt>
                <c:pt idx="74">
                  <c:v>Htoi San Church</c:v>
                </c:pt>
                <c:pt idx="75">
                  <c:v>IDP Boarding School, A Len Bum</c:v>
                </c:pt>
                <c:pt idx="76">
                  <c:v>In Bar Yi</c:v>
                </c:pt>
                <c:pt idx="77">
                  <c:v>Inn Hpauk</c:v>
                </c:pt>
                <c:pt idx="78">
                  <c:v>Inn Lel Yan - Host Families</c:v>
                </c:pt>
                <c:pt idx="79">
                  <c:v>Jan Mai Kawng Baptist Church</c:v>
                </c:pt>
                <c:pt idx="80">
                  <c:v>Jan Mai Kawng Catholic Church</c:v>
                </c:pt>
                <c:pt idx="81">
                  <c:v>Je Yang Hka </c:v>
                </c:pt>
                <c:pt idx="82">
                  <c:v>Jwan Jaw KBC</c:v>
                </c:pt>
                <c:pt idx="83">
                  <c:v>Ka Nyin</c:v>
                </c:pt>
                <c:pt idx="84">
                  <c:v>Ka Nyin Taw</c:v>
                </c:pt>
                <c:pt idx="85">
                  <c:v>Kachin Su Baptist Church (ECCD)</c:v>
                </c:pt>
                <c:pt idx="86">
                  <c:v>Kan Chaung Wa</c:v>
                </c:pt>
                <c:pt idx="87">
                  <c:v>Kan Ni</c:v>
                </c:pt>
                <c:pt idx="88">
                  <c:v>Kan Pyin</c:v>
                </c:pt>
                <c:pt idx="89">
                  <c:v>Kan Thar Htwat Wa</c:v>
                </c:pt>
                <c:pt idx="90">
                  <c:v>Kan Za Li</c:v>
                </c:pt>
                <c:pt idx="91">
                  <c:v>Kar Di</c:v>
                </c:pt>
                <c:pt idx="92">
                  <c:v>Kha Yan Kyun</c:v>
                </c:pt>
                <c:pt idx="93">
                  <c:v>Khar Nan (1) Baptist Church</c:v>
                </c:pt>
                <c:pt idx="94">
                  <c:v>Khaung Doke Khar</c:v>
                </c:pt>
                <c:pt idx="95">
                  <c:v>Khaung Htoke</c:v>
                </c:pt>
                <c:pt idx="96">
                  <c:v>Khun Sint Village</c:v>
                </c:pt>
                <c:pt idx="97">
                  <c:v>Kin Chaung</c:v>
                </c:pt>
                <c:pt idx="98">
                  <c:v>Kin Taung (Taung + Myauk)</c:v>
                </c:pt>
                <c:pt idx="99">
                  <c:v>Kone Khem Camp</c:v>
                </c:pt>
                <c:pt idx="100">
                  <c:v>Kone Tan</c:v>
                </c:pt>
                <c:pt idx="101">
                  <c:v>Kutkai downtown (KBC Church)</c:v>
                </c:pt>
                <c:pt idx="102">
                  <c:v>Kutkai downtown (KBC Church-2)</c:v>
                </c:pt>
                <c:pt idx="103">
                  <c:v>Kutkai downtown (RC Church)</c:v>
                </c:pt>
                <c:pt idx="104">
                  <c:v>Kutkhai KBC-2 (Block-6)</c:v>
                </c:pt>
                <c:pt idx="105">
                  <c:v>Kwayt Shey Ywar Thit
(Kwayt Shay)</c:v>
                </c:pt>
                <c:pt idx="106">
                  <c:v>Kyar Nyo Inn</c:v>
                </c:pt>
                <c:pt idx="107">
                  <c:v>Kyauk Sar Taing</c:v>
                </c:pt>
                <c:pt idx="108">
                  <c:v>Kyauk Se</c:v>
                </c:pt>
                <c:pt idx="109">
                  <c:v>Kyauk Ta Lone</c:v>
                </c:pt>
                <c:pt idx="110">
                  <c:v>Kyaung Swae Phyu</c:v>
                </c:pt>
                <c:pt idx="111">
                  <c:v>Kyeik Chaung</c:v>
                </c:pt>
                <c:pt idx="112">
                  <c:v>Kyein Chaung</c:v>
                </c:pt>
                <c:pt idx="113">
                  <c:v>Kyein Ni Pyin</c:v>
                </c:pt>
                <c:pt idx="114">
                  <c:v>Kyet Taw Pyin</c:v>
                </c:pt>
                <c:pt idx="115">
                  <c:v>Kyone Pyin</c:v>
                </c:pt>
                <c:pt idx="116">
                  <c:v>Kyu Sot</c:v>
                </c:pt>
                <c:pt idx="117">
                  <c:v>Kyun Pin Thar Baptist Church</c:v>
                </c:pt>
                <c:pt idx="118">
                  <c:v>Kyun Taw Baptist Church </c:v>
                </c:pt>
                <c:pt idx="119">
                  <c:v>Kywe Lan Chaung</c:v>
                </c:pt>
                <c:pt idx="120">
                  <c:v>Kywi Te</c:v>
                </c:pt>
                <c:pt idx="121">
                  <c:v>La Mu Ta Pin</c:v>
                </c:pt>
                <c:pt idx="122">
                  <c:v>Laiza Je Yang School</c:v>
                </c:pt>
                <c:pt idx="123">
                  <c:v>Lana Zup Ja</c:v>
                </c:pt>
                <c:pt idx="124">
                  <c:v>Laung Sat</c:v>
                </c:pt>
                <c:pt idx="125">
                  <c:v>Lawk Awng Mare D. (Sinbo Area)</c:v>
                </c:pt>
                <c:pt idx="126">
                  <c:v>Lawng Hkang Shait Yang Camp​ ( Lel Pyin)​ </c:v>
                </c:pt>
                <c:pt idx="127">
                  <c:v>Le Kone Bethlehem Church</c:v>
                </c:pt>
                <c:pt idx="128">
                  <c:v>Le Kone Ziun Baptist Church </c:v>
                </c:pt>
                <c:pt idx="129">
                  <c:v>Let Saung Kauk</c:v>
                </c:pt>
                <c:pt idx="130">
                  <c:v>Let Than Chi (Haung)</c:v>
                </c:pt>
                <c:pt idx="131">
                  <c:v>Let Than Chi (Ywar Thit)</c:v>
                </c:pt>
                <c:pt idx="132">
                  <c:v>Lhaovao Baptist Church (LBC)</c:v>
                </c:pt>
                <c:pt idx="133">
                  <c:v>Lisu Baptist Church</c:v>
                </c:pt>
                <c:pt idx="134">
                  <c:v>Lisu Baptist Church, Maw Shan Vil,. Seik Mu</c:v>
                </c:pt>
                <c:pt idx="135">
                  <c:v>Lisu Baptist Church, Maw Wan Ward</c:v>
                </c:pt>
                <c:pt idx="136">
                  <c:v>Lisu Boarding-House</c:v>
                </c:pt>
                <c:pt idx="137">
                  <c:v>Lisu Church Namtu</c:v>
                </c:pt>
                <c:pt idx="138">
                  <c:v>Loi Je Baptist Church</c:v>
                </c:pt>
                <c:pt idx="139">
                  <c:v>Loi Je Catholic Church</c:v>
                </c:pt>
                <c:pt idx="140">
                  <c:v>Loi Je Lisu Camp</c:v>
                </c:pt>
                <c:pt idx="141">
                  <c:v>Lone Tin</c:v>
                </c:pt>
                <c:pt idx="142">
                  <c:v>Lun Kyaw</c:v>
                </c:pt>
                <c:pt idx="143">
                  <c:v>Lung Sut</c:v>
                </c:pt>
                <c:pt idx="144">
                  <c:v>Lwegel High School</c:v>
                </c:pt>
                <c:pt idx="145">
                  <c:v>Ma Hawng RC </c:v>
                </c:pt>
                <c:pt idx="146">
                  <c:v>Mading Baptist Church</c:v>
                </c:pt>
                <c:pt idx="147">
                  <c:v>Maga Yang </c:v>
                </c:pt>
                <c:pt idx="148">
                  <c:v>Mai Yu Lay Ta'ang</c:v>
                </c:pt>
                <c:pt idx="149">
                  <c:v>Maina AG Church</c:v>
                </c:pt>
                <c:pt idx="150">
                  <c:v>Maina Catholic Church (St. Joseph)</c:v>
                </c:pt>
                <c:pt idx="151">
                  <c:v>Maina KBC (Bawng Ring)</c:v>
                </c:pt>
                <c:pt idx="152">
                  <c:v>Maina Lawang Baptist Church</c:v>
                </c:pt>
                <c:pt idx="153">
                  <c:v>Maing Khaung</c:v>
                </c:pt>
                <c:pt idx="154">
                  <c:v>Maing Khaung Catholic Church</c:v>
                </c:pt>
                <c:pt idx="155">
                  <c:v>Maliyang Baptist Church</c:v>
                </c:pt>
                <c:pt idx="156">
                  <c:v>Man Bung Catholic compound</c:v>
                </c:pt>
                <c:pt idx="157">
                  <c:v>Man Bung Edin Baptist Church</c:v>
                </c:pt>
                <c:pt idx="158">
                  <c:v>Man Hkring Baptist Church</c:v>
                </c:pt>
                <c:pt idx="159">
                  <c:v>Man Kaung/Naung Ti Kyar Village</c:v>
                </c:pt>
                <c:pt idx="160">
                  <c:v>Man Loi</c:v>
                </c:pt>
                <c:pt idx="161">
                  <c:v>Man Sa</c:v>
                </c:pt>
                <c:pt idx="162">
                  <c:v>Man Wing Baptist Church</c:v>
                </c:pt>
                <c:pt idx="163">
                  <c:v>Man Wing Baptist Church Cultural Compound</c:v>
                </c:pt>
                <c:pt idx="164">
                  <c:v>Man Wing Catholic Church</c:v>
                </c:pt>
                <c:pt idx="165">
                  <c:v>Man Wing Catholic Church II</c:v>
                </c:pt>
                <c:pt idx="166">
                  <c:v>Man Wing Host Families</c:v>
                </c:pt>
                <c:pt idx="167">
                  <c:v>Mandalay Monestry</c:v>
                </c:pt>
                <c:pt idx="168">
                  <c:v>Mandung - Jinghpaw</c:v>
                </c:pt>
                <c:pt idx="169">
                  <c:v>Mandung - RC</c:v>
                </c:pt>
                <c:pt idx="170">
                  <c:v>Mang Hawng Baptist Church</c:v>
                </c:pt>
                <c:pt idx="171">
                  <c:v>Mansi Baptist Church</c:v>
                </c:pt>
                <c:pt idx="172">
                  <c:v>Mansi_Host Families</c:v>
                </c:pt>
                <c:pt idx="173">
                  <c:v>Maw</c:v>
                </c:pt>
                <c:pt idx="174">
                  <c:v>Maw Hpawng Hka Nan Baptist Church</c:v>
                </c:pt>
                <c:pt idx="175">
                  <c:v>Maw Hpawng Lhaovo Baptist Church</c:v>
                </c:pt>
                <c:pt idx="176">
                  <c:v>Maw Ti Ngar</c:v>
                </c:pt>
                <c:pt idx="177">
                  <c:v>Maw Wan, Mu-yin Baptist Church</c:v>
                </c:pt>
                <c:pt idx="178">
                  <c:v>Me la zi Kone</c:v>
                </c:pt>
                <c:pt idx="179">
                  <c:v>Mei Za Li Kaing</c:v>
                </c:pt>
                <c:pt idx="180">
                  <c:v>Mi Chaung Yae Thauk</c:v>
                </c:pt>
                <c:pt idx="181">
                  <c:v>Mi Nyo Htaunt</c:v>
                </c:pt>
                <c:pt idx="182">
                  <c:v>Mi Nyo Htaunt_Thar Si</c:v>
                </c:pt>
                <c:pt idx="183">
                  <c:v>Min Ga Lar Gyi</c:v>
                </c:pt>
                <c:pt idx="184">
                  <c:v>Min Thar Seik</c:v>
                </c:pt>
                <c:pt idx="185">
                  <c:v>Mine Yu Lay village</c:v>
                </c:pt>
                <c:pt idx="186">
                  <c:v>Mingalar on</c:v>
                </c:pt>
                <c:pt idx="187">
                  <c:v>Moenyin Host Families</c:v>
                </c:pt>
                <c:pt idx="188">
                  <c:v>Momauk Baptist Church</c:v>
                </c:pt>
                <c:pt idx="189">
                  <c:v>Momauk_Host Families</c:v>
                </c:pt>
                <c:pt idx="190">
                  <c:v>Mong Wee Shan</c:v>
                </c:pt>
                <c:pt idx="191">
                  <c:v>Mung Hawm </c:v>
                </c:pt>
                <c:pt idx="192">
                  <c:v>Mungji Pa Dabang (Baptist Church)</c:v>
                </c:pt>
                <c:pt idx="193">
                  <c:v>Mungji Pa Dabang (Catholic Church)</c:v>
                </c:pt>
                <c:pt idx="194">
                  <c:v>Muse Baptist Church</c:v>
                </c:pt>
                <c:pt idx="195">
                  <c:v>Muse Catholic Church</c:v>
                </c:pt>
                <c:pt idx="196">
                  <c:v>Mu-yin Baptist Church</c:v>
                </c:pt>
                <c:pt idx="197">
                  <c:v>Muyin church (Aung Yar pre-school compound)</c:v>
                </c:pt>
                <c:pt idx="198">
                  <c:v>Myet Tauk</c:v>
                </c:pt>
                <c:pt idx="199">
                  <c:v>Myo Thit </c:v>
                </c:pt>
                <c:pt idx="200">
                  <c:v>Nam Hkam - Nay Win Ni (Palawng)</c:v>
                </c:pt>
                <c:pt idx="201">
                  <c:v>Nam Hkam (KBC Jaw Wang)</c:v>
                </c:pt>
                <c:pt idx="202">
                  <c:v>Nam Hkam (KBC Jaw Wang) II</c:v>
                </c:pt>
                <c:pt idx="203">
                  <c:v>Nam Hkam Catholic Church ( St. Thomas I)</c:v>
                </c:pt>
                <c:pt idx="204">
                  <c:v>Nam Hkawng</c:v>
                </c:pt>
                <c:pt idx="205">
                  <c:v>Nam Hpak Ka Mare </c:v>
                </c:pt>
                <c:pt idx="206">
                  <c:v>Nam Hpak Ka Ta'ang</c:v>
                </c:pt>
                <c:pt idx="207">
                  <c:v>Nam Ma Phyit, COC</c:v>
                </c:pt>
                <c:pt idx="208">
                  <c:v>Nam Sa Larp</c:v>
                </c:pt>
                <c:pt idx="209">
                  <c:v>Nam Tu Baptist</c:v>
                </c:pt>
                <c:pt idx="210">
                  <c:v>Namhkan - Pang Long KBC</c:v>
                </c:pt>
                <c:pt idx="211">
                  <c:v>Nan Kway St. John Catholic Church</c:v>
                </c:pt>
                <c:pt idx="212">
                  <c:v>Nant Hlaing Church</c:v>
                </c:pt>
                <c:pt idx="213">
                  <c:v>Nant Ma Hpit Catholic Church</c:v>
                </c:pt>
                <c:pt idx="214">
                  <c:v>Narte</c:v>
                </c:pt>
                <c:pt idx="215">
                  <c:v>Nat Gyi Kone Baptist Church </c:v>
                </c:pt>
                <c:pt idx="216">
                  <c:v>Nat Maw (Upper)</c:v>
                </c:pt>
                <c:pt idx="217">
                  <c:v>Naw Wai</c:v>
                </c:pt>
                <c:pt idx="218">
                  <c:v>Nawng Hee Village</c:v>
                </c:pt>
                <c:pt idx="219">
                  <c:v>Nawng Ing (Indawgyi) Baptist Church </c:v>
                </c:pt>
                <c:pt idx="220">
                  <c:v>Nay Pu Khan</c:v>
                </c:pt>
                <c:pt idx="221">
                  <c:v>Ndup Yang</c:v>
                </c:pt>
                <c:pt idx="222">
                  <c:v>New Pang Ku </c:v>
                </c:pt>
                <c:pt idx="223">
                  <c:v>Nga Kyi Tauk Daing Nat</c:v>
                </c:pt>
                <c:pt idx="224">
                  <c:v>Nga Let Kya</c:v>
                </c:pt>
                <c:pt idx="225">
                  <c:v>Nga Ta Paung</c:v>
                </c:pt>
                <c:pt idx="226">
                  <c:v>Nga/ Pun Ywar Gyi</c:v>
                </c:pt>
                <c:pt idx="227">
                  <c:v>Nga/ Pun Ywar Shey</c:v>
                </c:pt>
                <c:pt idx="228">
                  <c:v>Nga/Tauk Tet</c:v>
                </c:pt>
                <c:pt idx="229">
                  <c:v>Ngan Chaung_Gone Nar</c:v>
                </c:pt>
                <c:pt idx="230">
                  <c:v>Ngar Yauk Kaing</c:v>
                </c:pt>
                <c:pt idx="231">
                  <c:v>Nget Chaung 1</c:v>
                </c:pt>
                <c:pt idx="232">
                  <c:v>Nget Chaung 2</c:v>
                </c:pt>
                <c:pt idx="233">
                  <c:v>Nhkawng Pa </c:v>
                </c:pt>
                <c:pt idx="234">
                  <c:v>NiDin</c:v>
                </c:pt>
                <c:pt idx="235">
                  <c:v>Njang Dung Baptist Church </c:v>
                </c:pt>
                <c:pt idx="236">
                  <c:v>Nyaung Chaung_ann</c:v>
                </c:pt>
                <c:pt idx="237">
                  <c:v>Nyaung Na Pin </c:v>
                </c:pt>
                <c:pt idx="238">
                  <c:v>Nyaung Pin Gyi (Ku Lar)</c:v>
                </c:pt>
                <c:pt idx="239">
                  <c:v>Nyaung Pin Gyi (Rakhine)</c:v>
                </c:pt>
                <c:pt idx="240">
                  <c:v>Nyaung Pin Hla</c:v>
                </c:pt>
                <c:pt idx="241">
                  <c:v>Oe Pone</c:v>
                </c:pt>
                <c:pt idx="242">
                  <c:v>Ohn Taw Chay</c:v>
                </c:pt>
                <c:pt idx="243">
                  <c:v>Ohn Taw Gyi</c:v>
                </c:pt>
                <c:pt idx="244">
                  <c:v>Ohn Taw Gyi (North)</c:v>
                </c:pt>
                <c:pt idx="245">
                  <c:v>Ohn Taw Gyi (South)</c:v>
                </c:pt>
                <c:pt idx="246">
                  <c:v>Ohn Taw Shey</c:v>
                </c:pt>
                <c:pt idx="247">
                  <c:v>Oke Kan</c:v>
                </c:pt>
                <c:pt idx="248">
                  <c:v>Oke Taung Pyin</c:v>
                </c:pt>
                <c:pt idx="249">
                  <c:v>Pa Dauk Myaing(Pa La Na)</c:v>
                </c:pt>
                <c:pt idx="250">
                  <c:v>Pa Kahtawng </c:v>
                </c:pt>
                <c:pt idx="251">
                  <c:v>Pa Lat Kay</c:v>
                </c:pt>
                <c:pt idx="252">
                  <c:v>Pajau - Jan Mai</c:v>
                </c:pt>
                <c:pt idx="253">
                  <c:v>Palae' Kaine</c:v>
                </c:pt>
                <c:pt idx="254">
                  <c:v>Pale Taung</c:v>
                </c:pt>
                <c:pt idx="255">
                  <c:v>Pan Law</c:v>
                </c:pt>
                <c:pt idx="256">
                  <c:v>Pan Ta Pyae</c:v>
                </c:pt>
                <c:pt idx="257">
                  <c:v>Pan Wa</c:v>
                </c:pt>
                <c:pt idx="258">
                  <c:v>Paung Zar</c:v>
                </c:pt>
                <c:pt idx="259">
                  <c:v>Pet Khwet Seik</c:v>
                </c:pt>
                <c:pt idx="260">
                  <c:v>Phan Khar Kone</c:v>
                </c:pt>
                <c:pt idx="261">
                  <c:v>Phwe Yar Gone village</c:v>
                </c:pt>
                <c:pt idx="262">
                  <c:v>Phwe Yar Kone</c:v>
                </c:pt>
                <c:pt idx="263">
                  <c:v>Pin Zaing</c:v>
                </c:pt>
                <c:pt idx="264">
                  <c:v>Post 6 Camp</c:v>
                </c:pt>
                <c:pt idx="265">
                  <c:v>Pyaing Chaung</c:v>
                </c:pt>
                <c:pt idx="266">
                  <c:v>Pyaung Chaung</c:v>
                </c:pt>
                <c:pt idx="267">
                  <c:v>Pyaung Seik</c:v>
                </c:pt>
                <c:pt idx="268">
                  <c:v>Pyein Chaung</c:v>
                </c:pt>
                <c:pt idx="269">
                  <c:v>Pyin Hlyar Shey</c:v>
                </c:pt>
                <c:pt idx="270">
                  <c:v>Qtr. 2 Lhaovo Baptist Church</c:v>
                </c:pt>
                <c:pt idx="271">
                  <c:v>Qtr. 2 Myoma Baptist Church</c:v>
                </c:pt>
                <c:pt idx="272">
                  <c:v>Qtr. 3 Mu-yin  Baptist Church</c:v>
                </c:pt>
                <c:pt idx="273">
                  <c:v>Qtr. 4 Monestry (Thargaya Thayett Taw)</c:v>
                </c:pt>
                <c:pt idx="274">
                  <c:v>Rawan Baptist Church, Maw Shan Vil., Seik Mu</c:v>
                </c:pt>
                <c:pt idx="275">
                  <c:v>Robert Church</c:v>
                </c:pt>
                <c:pt idx="276">
                  <c:v>Robert -Middle school</c:v>
                </c:pt>
                <c:pt idx="277">
                  <c:v>Sa Khan Maw</c:v>
                </c:pt>
                <c:pt idx="278">
                  <c:v>Sai Nai Baptish Church, Maw Shan Vil., Seki Mu</c:v>
                </c:pt>
                <c:pt idx="279">
                  <c:v>Salang Yang</c:v>
                </c:pt>
                <c:pt idx="280">
                  <c:v>San Htoe Tan</c:v>
                </c:pt>
                <c:pt idx="281">
                  <c:v>Sapar Seik (Shari)</c:v>
                </c:pt>
                <c:pt idx="282">
                  <c:v>Sar Hmaw - KBC</c:v>
                </c:pt>
                <c:pt idx="283">
                  <c:v>Sat Roe Kya 1</c:v>
                </c:pt>
                <c:pt idx="284">
                  <c:v>Sat Roe Kya 2</c:v>
                </c:pt>
                <c:pt idx="285">
                  <c:v>Saw Zam</c:v>
                </c:pt>
                <c:pt idx="286">
                  <c:v>Say Tha Mar Gyi</c:v>
                </c:pt>
                <c:pt idx="287">
                  <c:v>Say Tha Mar Gyi village</c:v>
                </c:pt>
                <c:pt idx="288">
                  <c:v>Say Tha Mar Nge</c:v>
                </c:pt>
                <c:pt idx="289">
                  <c:v>Sein Hnyin Pyar_Tha Pyay Taw</c:v>
                </c:pt>
                <c:pt idx="290">
                  <c:v>Seng Ja </c:v>
                </c:pt>
                <c:pt idx="291">
                  <c:v>Set Yone Su 1</c:v>
                </c:pt>
                <c:pt idx="292">
                  <c:v>Set Yone Su 3 (Mingan)</c:v>
                </c:pt>
                <c:pt idx="293">
                  <c:v>Sha-It Yang</c:v>
                </c:pt>
                <c:pt idx="294">
                  <c:v>Shan Kone</c:v>
                </c:pt>
                <c:pt idx="295">
                  <c:v>Shar Du Zut KBC church </c:v>
                </c:pt>
                <c:pt idx="296">
                  <c:v>Shar Du Zut RC church</c:v>
                </c:pt>
                <c:pt idx="297">
                  <c:v>Shar Du Zut SanPya</c:v>
                </c:pt>
                <c:pt idx="298">
                  <c:v>Shatapru Sut Ngai Tawng</c:v>
                </c:pt>
                <c:pt idx="299">
                  <c:v>Shatapru Thida Aye Baptist Church</c:v>
                </c:pt>
                <c:pt idx="300">
                  <c:v>Shauk Chaung</c:v>
                </c:pt>
                <c:pt idx="301">
                  <c:v>Shing Jai</c:v>
                </c:pt>
                <c:pt idx="302">
                  <c:v>Shwe Gu Baptist Church</c:v>
                </c:pt>
                <c:pt idx="303">
                  <c:v>Shwe Gu Catholic Church</c:v>
                </c:pt>
                <c:pt idx="304">
                  <c:v>Shwe Hlaing</c:v>
                </c:pt>
                <c:pt idx="305">
                  <c:v>Shwe Hlaing Rakhine</c:v>
                </c:pt>
                <c:pt idx="306">
                  <c:v>Shwe Ta Mar</c:v>
                </c:pt>
                <c:pt idx="307">
                  <c:v>Shwe Zet Baptist Church</c:v>
                </c:pt>
                <c:pt idx="308">
                  <c:v>Shwe Zin Khin (Rakhine)</c:v>
                </c:pt>
                <c:pt idx="309">
                  <c:v>Sin Aing</c:v>
                </c:pt>
                <c:pt idx="310">
                  <c:v>Sin Bo</c:v>
                </c:pt>
                <c:pt idx="311">
                  <c:v>Sin Tet Maw</c:v>
                </c:pt>
                <c:pt idx="312">
                  <c:v>Sin Tet Maw (Host)</c:v>
                </c:pt>
                <c:pt idx="313">
                  <c:v>Sin Tet Maw Rakhine(Baw Da Li)</c:v>
                </c:pt>
                <c:pt idx="314">
                  <c:v>Sin U Taik</c:v>
                </c:pt>
                <c:pt idx="315">
                  <c:v>St. Patrick Catholic Church </c:v>
                </c:pt>
                <c:pt idx="316">
                  <c:v>Sumprabum</c:v>
                </c:pt>
                <c:pt idx="317">
                  <c:v>Swi Chaung</c:v>
                </c:pt>
                <c:pt idx="318">
                  <c:v>Ta Gun Taing Monastery (Shwe Kyi Na)</c:v>
                </c:pt>
                <c:pt idx="319">
                  <c:v>Taik Maw</c:v>
                </c:pt>
                <c:pt idx="320">
                  <c:v>Tan Chaung</c:v>
                </c:pt>
                <c:pt idx="321">
                  <c:v>Tan Khoe</c:v>
                </c:pt>
                <c:pt idx="322">
                  <c:v>Tan Zwei</c:v>
                </c:pt>
                <c:pt idx="323">
                  <c:v>Tanai AG Church </c:v>
                </c:pt>
                <c:pt idx="324">
                  <c:v>Tanai CoC</c:v>
                </c:pt>
                <c:pt idx="325">
                  <c:v>Tanai KBC Church </c:v>
                </c:pt>
                <c:pt idx="326">
                  <c:v>Tanai RC Church - Kinsa Ra </c:v>
                </c:pt>
                <c:pt idx="327">
                  <c:v>Tat Kone Baptist Church</c:v>
                </c:pt>
                <c:pt idx="328">
                  <c:v>Tat Kone COC Baptist - Tat Kone Htoi San</c:v>
                </c:pt>
                <c:pt idx="329">
                  <c:v>Tat Kone Emanuel Church</c:v>
                </c:pt>
                <c:pt idx="330">
                  <c:v>Tat Kone Galile Baptist Church</c:v>
                </c:pt>
                <c:pt idx="331">
                  <c:v>Tat Kone San Pya Baptist Church</c:v>
                </c:pt>
                <c:pt idx="332">
                  <c:v>Tauk Sone</c:v>
                </c:pt>
                <c:pt idx="333">
                  <c:v>Taung Chauk</c:v>
                </c:pt>
                <c:pt idx="334">
                  <c:v>Taung Htaung</c:v>
                </c:pt>
                <c:pt idx="335">
                  <c:v>Taung Htaung Ha Yar</c:v>
                </c:pt>
                <c:pt idx="336">
                  <c:v>Taung Pauk</c:v>
                </c:pt>
                <c:pt idx="337">
                  <c:v>Taung Paw</c:v>
                </c:pt>
                <c:pt idx="338">
                  <c:v>Tha Dar</c:v>
                </c:pt>
                <c:pt idx="339">
                  <c:v>Tha Ray Kon Baung</c:v>
                </c:pt>
                <c:pt idx="340">
                  <c:v>Tha Yet Oak</c:v>
                </c:pt>
                <c:pt idx="341">
                  <c:v>Tha Yet Oke Ywar Haung</c:v>
                </c:pt>
                <c:pt idx="342">
                  <c:v>Thae Chaung</c:v>
                </c:pt>
                <c:pt idx="343">
                  <c:v>Thae Chaung(Rakhine)</c:v>
                </c:pt>
                <c:pt idx="344">
                  <c:v>Thar Si</c:v>
                </c:pt>
                <c:pt idx="345">
                  <c:v>Thar Yar Kone (M)</c:v>
                </c:pt>
                <c:pt idx="346">
                  <c:v>Thargaya Lisu Baptist Church</c:v>
                </c:pt>
                <c:pt idx="347">
                  <c:v>Thea Chaung Ku Lar</c:v>
                </c:pt>
                <c:pt idx="348">
                  <c:v>Thea Chaung Let Tha Mar Kone</c:v>
                </c:pt>
                <c:pt idx="349">
                  <c:v>Thein Tan</c:v>
                </c:pt>
                <c:pt idx="350">
                  <c:v>Thet Kae Pyin </c:v>
                </c:pt>
                <c:pt idx="351">
                  <c:v>Thet Kae Pyin Village (IDPs in host family)</c:v>
                </c:pt>
                <c:pt idx="352">
                  <c:v>Thet Kay Pyin Ywar Ma</c:v>
                </c:pt>
                <c:pt idx="353">
                  <c:v>Thit Ka Toe</c:v>
                </c:pt>
                <c:pt idx="354">
                  <c:v>Thone Gwa</c:v>
                </c:pt>
                <c:pt idx="355">
                  <c:v>Tote Tan Ward</c:v>
                </c:pt>
                <c:pt idx="356">
                  <c:v>Tsan Lun - Namjarap</c:v>
                </c:pt>
                <c:pt idx="357">
                  <c:v>U Htoe Dan </c:v>
                </c:pt>
                <c:pt idx="358">
                  <c:v>Wa Lar Kan</c:v>
                </c:pt>
                <c:pt idx="359">
                  <c:v>Wa Lar Kann</c:v>
                </c:pt>
                <c:pt idx="360">
                  <c:v>Waingmaw AG Church</c:v>
                </c:pt>
                <c:pt idx="361">
                  <c:v>Ward 2 Sai Taung Baptist Church, Seik Mu </c:v>
                </c:pt>
                <c:pt idx="362">
                  <c:v>Wet Mee To</c:v>
                </c:pt>
                <c:pt idx="363">
                  <c:v>Woi Chyai </c:v>
                </c:pt>
                <c:pt idx="364">
                  <c:v>Woi Chyai (Mong Lai)</c:v>
                </c:pt>
                <c:pt idx="365">
                  <c:v>Woi Chyai host families</c:v>
                </c:pt>
                <c:pt idx="366">
                  <c:v>Yai Myet Taung Ywa Thit</c:v>
                </c:pt>
                <c:pt idx="367">
                  <c:v>Yan Aung Pyin</c:v>
                </c:pt>
                <c:pt idx="368">
                  <c:v>Yin Chaung</c:v>
                </c:pt>
                <c:pt idx="369">
                  <c:v>Yoe Kyi Monastery</c:v>
                </c:pt>
                <c:pt idx="370">
                  <c:v>Yoe Ngu</c:v>
                </c:pt>
                <c:pt idx="371">
                  <c:v>Yumar Baptist Church</c:v>
                </c:pt>
                <c:pt idx="372">
                  <c:v>Yun Nyar</c:v>
                </c:pt>
                <c:pt idx="373">
                  <c:v>Ywar Haung Ah Htet</c:v>
                </c:pt>
                <c:pt idx="374">
                  <c:v>Ywar Thit Kay</c:v>
                </c:pt>
                <c:pt idx="375">
                  <c:v>Ywet Nyo Taung ( Rakhine)</c:v>
                </c:pt>
                <c:pt idx="376">
                  <c:v>Za Yat Kwin</c:v>
                </c:pt>
                <c:pt idx="377">
                  <c:v>Zaw Pu Gyar</c:v>
                </c:pt>
                <c:pt idx="378">
                  <c:v>Zee kone Tan (or) Kon Tan Zay</c:v>
                </c:pt>
                <c:pt idx="379">
                  <c:v>Zin Paing Nyar</c:v>
                </c:pt>
                <c:pt idx="380">
                  <c:v>Zu Kaing</c:v>
                </c:pt>
                <c:pt idx="381">
                  <c:v>Zup Aung Camp</c:v>
                </c:pt>
              </c:strCache>
            </c:strRef>
          </c:cat>
          <c:val>
            <c:numRef>
              <c:f>'By Camps'!$B$34</c:f>
              <c:numCache>
                <c:formatCode>General</c:formatCode>
                <c:ptCount val="382"/>
                <c:pt idx="0">
                  <c:v>350</c:v>
                </c:pt>
                <c:pt idx="1">
                  <c:v>383</c:v>
                </c:pt>
                <c:pt idx="2">
                  <c:v>895</c:v>
                </c:pt>
                <c:pt idx="3">
                  <c:v>350</c:v>
                </c:pt>
                <c:pt idx="4">
                  <c:v>81</c:v>
                </c:pt>
                <c:pt idx="5">
                  <c:v>665</c:v>
                </c:pt>
                <c:pt idx="6">
                  <c:v>213</c:v>
                </c:pt>
                <c:pt idx="7">
                  <c:v>0</c:v>
                </c:pt>
                <c:pt idx="8">
                  <c:v>750</c:v>
                </c:pt>
                <c:pt idx="9">
                  <c:v>250.00000000000003</c:v>
                </c:pt>
                <c:pt idx="10">
                  <c:v>1867</c:v>
                </c:pt>
                <c:pt idx="11">
                  <c:v>0</c:v>
                </c:pt>
                <c:pt idx="12">
                  <c:v>2552</c:v>
                </c:pt>
                <c:pt idx="13">
                  <c:v>750</c:v>
                </c:pt>
                <c:pt idx="14">
                  <c:v>4302</c:v>
                </c:pt>
                <c:pt idx="15">
                  <c:v>0</c:v>
                </c:pt>
                <c:pt idx="16">
                  <c:v>0</c:v>
                </c:pt>
                <c:pt idx="17">
                  <c:v>1813</c:v>
                </c:pt>
                <c:pt idx="18">
                  <c:v>52</c:v>
                </c:pt>
                <c:pt idx="19">
                  <c:v>264</c:v>
                </c:pt>
                <c:pt idx="20">
                  <c:v>368</c:v>
                </c:pt>
                <c:pt idx="21">
                  <c:v>228</c:v>
                </c:pt>
                <c:pt idx="22">
                  <c:v>2985</c:v>
                </c:pt>
                <c:pt idx="23">
                  <c:v>1995</c:v>
                </c:pt>
                <c:pt idx="24">
                  <c:v>296</c:v>
                </c:pt>
                <c:pt idx="25">
                  <c:v>0</c:v>
                </c:pt>
                <c:pt idx="26">
                  <c:v>4892</c:v>
                </c:pt>
                <c:pt idx="27">
                  <c:v>6936</c:v>
                </c:pt>
                <c:pt idx="28">
                  <c:v>0</c:v>
                </c:pt>
                <c:pt idx="29">
                  <c:v>0</c:v>
                </c:pt>
                <c:pt idx="30">
                  <c:v>527</c:v>
                </c:pt>
                <c:pt idx="31">
                  <c:v>117</c:v>
                </c:pt>
                <c:pt idx="32">
                  <c:v>175</c:v>
                </c:pt>
                <c:pt idx="33">
                  <c:v>1786</c:v>
                </c:pt>
                <c:pt idx="34">
                  <c:v>0</c:v>
                </c:pt>
                <c:pt idx="35">
                  <c:v>0</c:v>
                </c:pt>
                <c:pt idx="36">
                  <c:v>106</c:v>
                </c:pt>
                <c:pt idx="37">
                  <c:v>0</c:v>
                </c:pt>
                <c:pt idx="38">
                  <c:v>0</c:v>
                </c:pt>
                <c:pt idx="39">
                  <c:v>750</c:v>
                </c:pt>
                <c:pt idx="40">
                  <c:v>0</c:v>
                </c:pt>
                <c:pt idx="41">
                  <c:v>500.00000000000006</c:v>
                </c:pt>
                <c:pt idx="42">
                  <c:v>0</c:v>
                </c:pt>
                <c:pt idx="43">
                  <c:v>0</c:v>
                </c:pt>
                <c:pt idx="44">
                  <c:v>0</c:v>
                </c:pt>
                <c:pt idx="45">
                  <c:v>8508</c:v>
                </c:pt>
                <c:pt idx="46">
                  <c:v>3360</c:v>
                </c:pt>
                <c:pt idx="47">
                  <c:v>2743</c:v>
                </c:pt>
                <c:pt idx="48">
                  <c:v>0</c:v>
                </c:pt>
                <c:pt idx="49">
                  <c:v>113</c:v>
                </c:pt>
                <c:pt idx="50">
                  <c:v>365</c:v>
                </c:pt>
                <c:pt idx="51">
                  <c:v>0</c:v>
                </c:pt>
                <c:pt idx="52">
                  <c:v>105</c:v>
                </c:pt>
                <c:pt idx="53">
                  <c:v>185</c:v>
                </c:pt>
                <c:pt idx="54">
                  <c:v>446</c:v>
                </c:pt>
                <c:pt idx="55">
                  <c:v>0</c:v>
                </c:pt>
                <c:pt idx="56">
                  <c:v>0</c:v>
                </c:pt>
                <c:pt idx="57">
                  <c:v>0</c:v>
                </c:pt>
                <c:pt idx="58">
                  <c:v>0</c:v>
                </c:pt>
                <c:pt idx="59">
                  <c:v>410</c:v>
                </c:pt>
                <c:pt idx="60">
                  <c:v>503</c:v>
                </c:pt>
                <c:pt idx="61">
                  <c:v>903</c:v>
                </c:pt>
                <c:pt idx="62">
                  <c:v>38</c:v>
                </c:pt>
                <c:pt idx="63">
                  <c:v>0</c:v>
                </c:pt>
                <c:pt idx="64">
                  <c:v>46</c:v>
                </c:pt>
                <c:pt idx="65">
                  <c:v>2186</c:v>
                </c:pt>
                <c:pt idx="66">
                  <c:v>27</c:v>
                </c:pt>
                <c:pt idx="67">
                  <c:v>0</c:v>
                </c:pt>
                <c:pt idx="68">
                  <c:v>0</c:v>
                </c:pt>
                <c:pt idx="69">
                  <c:v>779</c:v>
                </c:pt>
                <c:pt idx="70">
                  <c:v>504</c:v>
                </c:pt>
                <c:pt idx="71">
                  <c:v>250</c:v>
                </c:pt>
                <c:pt idx="72">
                  <c:v>823</c:v>
                </c:pt>
                <c:pt idx="73">
                  <c:v>3294</c:v>
                </c:pt>
                <c:pt idx="74">
                  <c:v>232</c:v>
                </c:pt>
                <c:pt idx="75">
                  <c:v>344.8</c:v>
                </c:pt>
                <c:pt idx="76">
                  <c:v>0</c:v>
                </c:pt>
                <c:pt idx="77">
                  <c:v>0</c:v>
                </c:pt>
                <c:pt idx="78">
                  <c:v>0</c:v>
                </c:pt>
                <c:pt idx="79">
                  <c:v>1114</c:v>
                </c:pt>
                <c:pt idx="80">
                  <c:v>430</c:v>
                </c:pt>
                <c:pt idx="81">
                  <c:v>8554</c:v>
                </c:pt>
                <c:pt idx="82">
                  <c:v>0</c:v>
                </c:pt>
                <c:pt idx="83">
                  <c:v>0</c:v>
                </c:pt>
                <c:pt idx="84">
                  <c:v>211</c:v>
                </c:pt>
                <c:pt idx="85">
                  <c:v>106</c:v>
                </c:pt>
                <c:pt idx="86">
                  <c:v>183</c:v>
                </c:pt>
                <c:pt idx="87">
                  <c:v>0</c:v>
                </c:pt>
                <c:pt idx="88">
                  <c:v>227</c:v>
                </c:pt>
                <c:pt idx="89">
                  <c:v>217</c:v>
                </c:pt>
                <c:pt idx="90">
                  <c:v>0</c:v>
                </c:pt>
                <c:pt idx="91">
                  <c:v>0</c:v>
                </c:pt>
                <c:pt idx="92">
                  <c:v>0</c:v>
                </c:pt>
                <c:pt idx="93">
                  <c:v>94</c:v>
                </c:pt>
                <c:pt idx="94">
                  <c:v>2248</c:v>
                </c:pt>
                <c:pt idx="95">
                  <c:v>0</c:v>
                </c:pt>
                <c:pt idx="96">
                  <c:v>0</c:v>
                </c:pt>
                <c:pt idx="97">
                  <c:v>127</c:v>
                </c:pt>
                <c:pt idx="98">
                  <c:v>0</c:v>
                </c:pt>
                <c:pt idx="99">
                  <c:v>510</c:v>
                </c:pt>
                <c:pt idx="100">
                  <c:v>450</c:v>
                </c:pt>
                <c:pt idx="101">
                  <c:v>292</c:v>
                </c:pt>
                <c:pt idx="102">
                  <c:v>141</c:v>
                </c:pt>
                <c:pt idx="103">
                  <c:v>138</c:v>
                </c:pt>
                <c:pt idx="104">
                  <c:v>145</c:v>
                </c:pt>
                <c:pt idx="105">
                  <c:v>0</c:v>
                </c:pt>
                <c:pt idx="106">
                  <c:v>0</c:v>
                </c:pt>
                <c:pt idx="107">
                  <c:v>700</c:v>
                </c:pt>
                <c:pt idx="108">
                  <c:v>0</c:v>
                </c:pt>
                <c:pt idx="109">
                  <c:v>992</c:v>
                </c:pt>
                <c:pt idx="110">
                  <c:v>0</c:v>
                </c:pt>
                <c:pt idx="111">
                  <c:v>0</c:v>
                </c:pt>
                <c:pt idx="112">
                  <c:v>88</c:v>
                </c:pt>
                <c:pt idx="113">
                  <c:v>5900</c:v>
                </c:pt>
                <c:pt idx="114">
                  <c:v>488</c:v>
                </c:pt>
                <c:pt idx="115">
                  <c:v>250.00000000000003</c:v>
                </c:pt>
                <c:pt idx="116">
                  <c:v>282</c:v>
                </c:pt>
                <c:pt idx="117">
                  <c:v>195</c:v>
                </c:pt>
                <c:pt idx="118">
                  <c:v>66</c:v>
                </c:pt>
                <c:pt idx="119">
                  <c:v>0</c:v>
                </c:pt>
                <c:pt idx="120">
                  <c:v>250</c:v>
                </c:pt>
                <c:pt idx="121">
                  <c:v>0</c:v>
                </c:pt>
                <c:pt idx="122">
                  <c:v>2199</c:v>
                </c:pt>
                <c:pt idx="123">
                  <c:v>2478</c:v>
                </c:pt>
                <c:pt idx="124">
                  <c:v>0</c:v>
                </c:pt>
                <c:pt idx="125">
                  <c:v>0</c:v>
                </c:pt>
                <c:pt idx="126">
                  <c:v>656</c:v>
                </c:pt>
                <c:pt idx="127">
                  <c:v>578</c:v>
                </c:pt>
                <c:pt idx="128">
                  <c:v>697</c:v>
                </c:pt>
                <c:pt idx="129">
                  <c:v>0</c:v>
                </c:pt>
                <c:pt idx="130">
                  <c:v>221</c:v>
                </c:pt>
                <c:pt idx="131">
                  <c:v>249.99999999999997</c:v>
                </c:pt>
                <c:pt idx="132">
                  <c:v>0</c:v>
                </c:pt>
                <c:pt idx="133">
                  <c:v>257</c:v>
                </c:pt>
                <c:pt idx="134">
                  <c:v>102</c:v>
                </c:pt>
                <c:pt idx="135">
                  <c:v>62</c:v>
                </c:pt>
                <c:pt idx="136">
                  <c:v>757</c:v>
                </c:pt>
                <c:pt idx="137">
                  <c:v>128</c:v>
                </c:pt>
                <c:pt idx="138">
                  <c:v>225</c:v>
                </c:pt>
                <c:pt idx="139">
                  <c:v>348</c:v>
                </c:pt>
                <c:pt idx="140">
                  <c:v>1092</c:v>
                </c:pt>
                <c:pt idx="141">
                  <c:v>409</c:v>
                </c:pt>
                <c:pt idx="142">
                  <c:v>0</c:v>
                </c:pt>
                <c:pt idx="143">
                  <c:v>281</c:v>
                </c:pt>
                <c:pt idx="144">
                  <c:v>2350</c:v>
                </c:pt>
                <c:pt idx="145">
                  <c:v>105</c:v>
                </c:pt>
                <c:pt idx="146">
                  <c:v>178</c:v>
                </c:pt>
                <c:pt idx="147">
                  <c:v>1723</c:v>
                </c:pt>
                <c:pt idx="148">
                  <c:v>721</c:v>
                </c:pt>
                <c:pt idx="149">
                  <c:v>1801</c:v>
                </c:pt>
                <c:pt idx="150">
                  <c:v>1492</c:v>
                </c:pt>
                <c:pt idx="151">
                  <c:v>2551</c:v>
                </c:pt>
                <c:pt idx="152">
                  <c:v>193</c:v>
                </c:pt>
                <c:pt idx="153">
                  <c:v>1855</c:v>
                </c:pt>
                <c:pt idx="154">
                  <c:v>803</c:v>
                </c:pt>
                <c:pt idx="155">
                  <c:v>304</c:v>
                </c:pt>
                <c:pt idx="156">
                  <c:v>1172</c:v>
                </c:pt>
                <c:pt idx="157">
                  <c:v>580</c:v>
                </c:pt>
                <c:pt idx="158">
                  <c:v>581</c:v>
                </c:pt>
                <c:pt idx="159">
                  <c:v>0</c:v>
                </c:pt>
                <c:pt idx="160">
                  <c:v>82</c:v>
                </c:pt>
                <c:pt idx="161">
                  <c:v>0</c:v>
                </c:pt>
                <c:pt idx="162">
                  <c:v>529</c:v>
                </c:pt>
                <c:pt idx="163">
                  <c:v>524</c:v>
                </c:pt>
                <c:pt idx="164">
                  <c:v>2327</c:v>
                </c:pt>
                <c:pt idx="165">
                  <c:v>637</c:v>
                </c:pt>
                <c:pt idx="166">
                  <c:v>0</c:v>
                </c:pt>
                <c:pt idx="167">
                  <c:v>13</c:v>
                </c:pt>
                <c:pt idx="168">
                  <c:v>143</c:v>
                </c:pt>
                <c:pt idx="169">
                  <c:v>171</c:v>
                </c:pt>
                <c:pt idx="170">
                  <c:v>98</c:v>
                </c:pt>
                <c:pt idx="171">
                  <c:v>823</c:v>
                </c:pt>
                <c:pt idx="172">
                  <c:v>0</c:v>
                </c:pt>
                <c:pt idx="173">
                  <c:v>0</c:v>
                </c:pt>
                <c:pt idx="174">
                  <c:v>97</c:v>
                </c:pt>
                <c:pt idx="175">
                  <c:v>76</c:v>
                </c:pt>
                <c:pt idx="176">
                  <c:v>3486</c:v>
                </c:pt>
                <c:pt idx="177">
                  <c:v>15</c:v>
                </c:pt>
                <c:pt idx="178">
                  <c:v>1183</c:v>
                </c:pt>
                <c:pt idx="179">
                  <c:v>0</c:v>
                </c:pt>
                <c:pt idx="180">
                  <c:v>458</c:v>
                </c:pt>
                <c:pt idx="181">
                  <c:v>0</c:v>
                </c:pt>
                <c:pt idx="182">
                  <c:v>0</c:v>
                </c:pt>
                <c:pt idx="183">
                  <c:v>0</c:v>
                </c:pt>
                <c:pt idx="184">
                  <c:v>0</c:v>
                </c:pt>
                <c:pt idx="185">
                  <c:v>0</c:v>
                </c:pt>
                <c:pt idx="186">
                  <c:v>0</c:v>
                </c:pt>
                <c:pt idx="187">
                  <c:v>0</c:v>
                </c:pt>
                <c:pt idx="188">
                  <c:v>453</c:v>
                </c:pt>
                <c:pt idx="189">
                  <c:v>0</c:v>
                </c:pt>
                <c:pt idx="190">
                  <c:v>0</c:v>
                </c:pt>
                <c:pt idx="191">
                  <c:v>179</c:v>
                </c:pt>
                <c:pt idx="192">
                  <c:v>265</c:v>
                </c:pt>
                <c:pt idx="193">
                  <c:v>111</c:v>
                </c:pt>
                <c:pt idx="194">
                  <c:v>207</c:v>
                </c:pt>
                <c:pt idx="195">
                  <c:v>80</c:v>
                </c:pt>
                <c:pt idx="196">
                  <c:v>51</c:v>
                </c:pt>
                <c:pt idx="197">
                  <c:v>0</c:v>
                </c:pt>
                <c:pt idx="198">
                  <c:v>0</c:v>
                </c:pt>
                <c:pt idx="199">
                  <c:v>0</c:v>
                </c:pt>
                <c:pt idx="200">
                  <c:v>391</c:v>
                </c:pt>
                <c:pt idx="201">
                  <c:v>359</c:v>
                </c:pt>
                <c:pt idx="202">
                  <c:v>179</c:v>
                </c:pt>
                <c:pt idx="203">
                  <c:v>214</c:v>
                </c:pt>
                <c:pt idx="204">
                  <c:v>0</c:v>
                </c:pt>
                <c:pt idx="205">
                  <c:v>279</c:v>
                </c:pt>
                <c:pt idx="206">
                  <c:v>146</c:v>
                </c:pt>
                <c:pt idx="207">
                  <c:v>45</c:v>
                </c:pt>
                <c:pt idx="208">
                  <c:v>196</c:v>
                </c:pt>
                <c:pt idx="209">
                  <c:v>263</c:v>
                </c:pt>
                <c:pt idx="210">
                  <c:v>504</c:v>
                </c:pt>
                <c:pt idx="211">
                  <c:v>311</c:v>
                </c:pt>
                <c:pt idx="212">
                  <c:v>0</c:v>
                </c:pt>
                <c:pt idx="213">
                  <c:v>221</c:v>
                </c:pt>
                <c:pt idx="214">
                  <c:v>0</c:v>
                </c:pt>
                <c:pt idx="215">
                  <c:v>33</c:v>
                </c:pt>
                <c:pt idx="216">
                  <c:v>0</c:v>
                </c:pt>
                <c:pt idx="217">
                  <c:v>559</c:v>
                </c:pt>
                <c:pt idx="218">
                  <c:v>86</c:v>
                </c:pt>
                <c:pt idx="219">
                  <c:v>115</c:v>
                </c:pt>
                <c:pt idx="220">
                  <c:v>0</c:v>
                </c:pt>
                <c:pt idx="221">
                  <c:v>0</c:v>
                </c:pt>
                <c:pt idx="222">
                  <c:v>635</c:v>
                </c:pt>
                <c:pt idx="223">
                  <c:v>0</c:v>
                </c:pt>
                <c:pt idx="224">
                  <c:v>0</c:v>
                </c:pt>
                <c:pt idx="225">
                  <c:v>0</c:v>
                </c:pt>
                <c:pt idx="226">
                  <c:v>1857</c:v>
                </c:pt>
                <c:pt idx="227">
                  <c:v>908</c:v>
                </c:pt>
                <c:pt idx="228">
                  <c:v>250</c:v>
                </c:pt>
                <c:pt idx="229">
                  <c:v>1350</c:v>
                </c:pt>
                <c:pt idx="230">
                  <c:v>0</c:v>
                </c:pt>
                <c:pt idx="231">
                  <c:v>4333.333333333333</c:v>
                </c:pt>
                <c:pt idx="232">
                  <c:v>3951</c:v>
                </c:pt>
                <c:pt idx="233">
                  <c:v>0</c:v>
                </c:pt>
                <c:pt idx="234">
                  <c:v>581</c:v>
                </c:pt>
                <c:pt idx="235">
                  <c:v>295</c:v>
                </c:pt>
                <c:pt idx="236">
                  <c:v>0</c:v>
                </c:pt>
                <c:pt idx="237">
                  <c:v>300</c:v>
                </c:pt>
                <c:pt idx="238">
                  <c:v>1751</c:v>
                </c:pt>
                <c:pt idx="239">
                  <c:v>227</c:v>
                </c:pt>
                <c:pt idx="240">
                  <c:v>0</c:v>
                </c:pt>
                <c:pt idx="241">
                  <c:v>0</c:v>
                </c:pt>
                <c:pt idx="242">
                  <c:v>3095</c:v>
                </c:pt>
                <c:pt idx="243">
                  <c:v>500</c:v>
                </c:pt>
                <c:pt idx="244">
                  <c:v>13302</c:v>
                </c:pt>
                <c:pt idx="245">
                  <c:v>12121</c:v>
                </c:pt>
                <c:pt idx="246">
                  <c:v>49</c:v>
                </c:pt>
                <c:pt idx="247">
                  <c:v>250</c:v>
                </c:pt>
                <c:pt idx="248">
                  <c:v>0</c:v>
                </c:pt>
                <c:pt idx="249">
                  <c:v>289</c:v>
                </c:pt>
                <c:pt idx="250">
                  <c:v>0</c:v>
                </c:pt>
                <c:pt idx="251">
                  <c:v>249.99999999999997</c:v>
                </c:pt>
                <c:pt idx="252">
                  <c:v>895</c:v>
                </c:pt>
                <c:pt idx="253">
                  <c:v>0</c:v>
                </c:pt>
                <c:pt idx="254">
                  <c:v>1250</c:v>
                </c:pt>
                <c:pt idx="255">
                  <c:v>0</c:v>
                </c:pt>
                <c:pt idx="256">
                  <c:v>82</c:v>
                </c:pt>
                <c:pt idx="257">
                  <c:v>266.66666666666669</c:v>
                </c:pt>
                <c:pt idx="258">
                  <c:v>0</c:v>
                </c:pt>
                <c:pt idx="259">
                  <c:v>0</c:v>
                </c:pt>
                <c:pt idx="260">
                  <c:v>777</c:v>
                </c:pt>
                <c:pt idx="261">
                  <c:v>447</c:v>
                </c:pt>
                <c:pt idx="262">
                  <c:v>2187</c:v>
                </c:pt>
                <c:pt idx="263">
                  <c:v>0</c:v>
                </c:pt>
                <c:pt idx="264">
                  <c:v>550</c:v>
                </c:pt>
                <c:pt idx="265">
                  <c:v>0</c:v>
                </c:pt>
                <c:pt idx="266">
                  <c:v>0</c:v>
                </c:pt>
                <c:pt idx="267">
                  <c:v>0</c:v>
                </c:pt>
                <c:pt idx="268">
                  <c:v>0</c:v>
                </c:pt>
                <c:pt idx="269">
                  <c:v>0</c:v>
                </c:pt>
                <c:pt idx="270">
                  <c:v>460</c:v>
                </c:pt>
                <c:pt idx="271">
                  <c:v>322</c:v>
                </c:pt>
                <c:pt idx="272">
                  <c:v>159</c:v>
                </c:pt>
                <c:pt idx="273">
                  <c:v>492</c:v>
                </c:pt>
                <c:pt idx="274">
                  <c:v>37</c:v>
                </c:pt>
                <c:pt idx="275">
                  <c:v>3974</c:v>
                </c:pt>
                <c:pt idx="276">
                  <c:v>0</c:v>
                </c:pt>
                <c:pt idx="277">
                  <c:v>0</c:v>
                </c:pt>
                <c:pt idx="278">
                  <c:v>25</c:v>
                </c:pt>
                <c:pt idx="279">
                  <c:v>0</c:v>
                </c:pt>
                <c:pt idx="280">
                  <c:v>500</c:v>
                </c:pt>
                <c:pt idx="281">
                  <c:v>0</c:v>
                </c:pt>
                <c:pt idx="282">
                  <c:v>129</c:v>
                </c:pt>
                <c:pt idx="283">
                  <c:v>1362</c:v>
                </c:pt>
                <c:pt idx="284">
                  <c:v>250</c:v>
                </c:pt>
                <c:pt idx="285">
                  <c:v>133.33333333333334</c:v>
                </c:pt>
                <c:pt idx="286">
                  <c:v>11564</c:v>
                </c:pt>
                <c:pt idx="287">
                  <c:v>1390</c:v>
                </c:pt>
                <c:pt idx="288">
                  <c:v>469</c:v>
                </c:pt>
                <c:pt idx="289">
                  <c:v>750</c:v>
                </c:pt>
                <c:pt idx="290">
                  <c:v>485</c:v>
                </c:pt>
                <c:pt idx="291">
                  <c:v>250</c:v>
                </c:pt>
                <c:pt idx="292">
                  <c:v>614</c:v>
                </c:pt>
                <c:pt idx="293">
                  <c:v>1893</c:v>
                </c:pt>
                <c:pt idx="294">
                  <c:v>0</c:v>
                </c:pt>
                <c:pt idx="295">
                  <c:v>120</c:v>
                </c:pt>
                <c:pt idx="296">
                  <c:v>15</c:v>
                </c:pt>
                <c:pt idx="297">
                  <c:v>84</c:v>
                </c:pt>
                <c:pt idx="298">
                  <c:v>569</c:v>
                </c:pt>
                <c:pt idx="299">
                  <c:v>114</c:v>
                </c:pt>
                <c:pt idx="300">
                  <c:v>0</c:v>
                </c:pt>
                <c:pt idx="301">
                  <c:v>962</c:v>
                </c:pt>
                <c:pt idx="302">
                  <c:v>259</c:v>
                </c:pt>
                <c:pt idx="303">
                  <c:v>169</c:v>
                </c:pt>
                <c:pt idx="304">
                  <c:v>0</c:v>
                </c:pt>
                <c:pt idx="305">
                  <c:v>0</c:v>
                </c:pt>
                <c:pt idx="306">
                  <c:v>500.00000000000006</c:v>
                </c:pt>
                <c:pt idx="307">
                  <c:v>501</c:v>
                </c:pt>
                <c:pt idx="308">
                  <c:v>146</c:v>
                </c:pt>
                <c:pt idx="309">
                  <c:v>500</c:v>
                </c:pt>
                <c:pt idx="310">
                  <c:v>89</c:v>
                </c:pt>
                <c:pt idx="311">
                  <c:v>2810</c:v>
                </c:pt>
                <c:pt idx="312">
                  <c:v>3946</c:v>
                </c:pt>
                <c:pt idx="313">
                  <c:v>2034</c:v>
                </c:pt>
                <c:pt idx="314">
                  <c:v>0</c:v>
                </c:pt>
                <c:pt idx="315">
                  <c:v>50</c:v>
                </c:pt>
                <c:pt idx="316">
                  <c:v>0</c:v>
                </c:pt>
                <c:pt idx="317">
                  <c:v>0</c:v>
                </c:pt>
                <c:pt idx="318">
                  <c:v>0</c:v>
                </c:pt>
                <c:pt idx="319">
                  <c:v>0</c:v>
                </c:pt>
                <c:pt idx="320">
                  <c:v>0</c:v>
                </c:pt>
                <c:pt idx="321">
                  <c:v>1000</c:v>
                </c:pt>
                <c:pt idx="322">
                  <c:v>0</c:v>
                </c:pt>
                <c:pt idx="323">
                  <c:v>133.33333333333334</c:v>
                </c:pt>
                <c:pt idx="324">
                  <c:v>0</c:v>
                </c:pt>
                <c:pt idx="325">
                  <c:v>133.33333333333334</c:v>
                </c:pt>
                <c:pt idx="326">
                  <c:v>129</c:v>
                </c:pt>
                <c:pt idx="327">
                  <c:v>369</c:v>
                </c:pt>
                <c:pt idx="328">
                  <c:v>266</c:v>
                </c:pt>
                <c:pt idx="329">
                  <c:v>31</c:v>
                </c:pt>
                <c:pt idx="330">
                  <c:v>171</c:v>
                </c:pt>
                <c:pt idx="331">
                  <c:v>239</c:v>
                </c:pt>
                <c:pt idx="332">
                  <c:v>0</c:v>
                </c:pt>
                <c:pt idx="333">
                  <c:v>0</c:v>
                </c:pt>
                <c:pt idx="334">
                  <c:v>0</c:v>
                </c:pt>
                <c:pt idx="335">
                  <c:v>0</c:v>
                </c:pt>
                <c:pt idx="336">
                  <c:v>0</c:v>
                </c:pt>
                <c:pt idx="337">
                  <c:v>1250</c:v>
                </c:pt>
                <c:pt idx="338">
                  <c:v>500</c:v>
                </c:pt>
                <c:pt idx="339">
                  <c:v>0</c:v>
                </c:pt>
                <c:pt idx="340">
                  <c:v>0</c:v>
                </c:pt>
                <c:pt idx="341">
                  <c:v>0</c:v>
                </c:pt>
                <c:pt idx="342">
                  <c:v>12202</c:v>
                </c:pt>
                <c:pt idx="343">
                  <c:v>745</c:v>
                </c:pt>
                <c:pt idx="344">
                  <c:v>0</c:v>
                </c:pt>
                <c:pt idx="345">
                  <c:v>44</c:v>
                </c:pt>
                <c:pt idx="346">
                  <c:v>190</c:v>
                </c:pt>
                <c:pt idx="347">
                  <c:v>1820</c:v>
                </c:pt>
                <c:pt idx="348">
                  <c:v>1131</c:v>
                </c:pt>
                <c:pt idx="349">
                  <c:v>86</c:v>
                </c:pt>
                <c:pt idx="350">
                  <c:v>5950</c:v>
                </c:pt>
                <c:pt idx="351">
                  <c:v>0</c:v>
                </c:pt>
                <c:pt idx="352">
                  <c:v>74</c:v>
                </c:pt>
                <c:pt idx="353">
                  <c:v>999.99999999999989</c:v>
                </c:pt>
                <c:pt idx="354">
                  <c:v>0</c:v>
                </c:pt>
                <c:pt idx="355">
                  <c:v>0</c:v>
                </c:pt>
                <c:pt idx="356">
                  <c:v>173</c:v>
                </c:pt>
                <c:pt idx="357">
                  <c:v>0</c:v>
                </c:pt>
                <c:pt idx="358">
                  <c:v>0</c:v>
                </c:pt>
                <c:pt idx="359">
                  <c:v>0</c:v>
                </c:pt>
                <c:pt idx="360">
                  <c:v>291</c:v>
                </c:pt>
                <c:pt idx="361">
                  <c:v>33.333333333333336</c:v>
                </c:pt>
                <c:pt idx="362">
                  <c:v>0</c:v>
                </c:pt>
                <c:pt idx="363">
                  <c:v>2902</c:v>
                </c:pt>
                <c:pt idx="364">
                  <c:v>709</c:v>
                </c:pt>
                <c:pt idx="365">
                  <c:v>2550</c:v>
                </c:pt>
                <c:pt idx="366">
                  <c:v>278</c:v>
                </c:pt>
                <c:pt idx="367">
                  <c:v>705</c:v>
                </c:pt>
                <c:pt idx="368">
                  <c:v>0</c:v>
                </c:pt>
                <c:pt idx="369">
                  <c:v>75</c:v>
                </c:pt>
                <c:pt idx="370">
                  <c:v>0</c:v>
                </c:pt>
                <c:pt idx="371">
                  <c:v>67</c:v>
                </c:pt>
                <c:pt idx="372">
                  <c:v>0</c:v>
                </c:pt>
                <c:pt idx="373">
                  <c:v>0</c:v>
                </c:pt>
                <c:pt idx="374">
                  <c:v>0</c:v>
                </c:pt>
                <c:pt idx="375">
                  <c:v>0</c:v>
                </c:pt>
                <c:pt idx="376">
                  <c:v>0</c:v>
                </c:pt>
                <c:pt idx="377">
                  <c:v>359</c:v>
                </c:pt>
                <c:pt idx="378">
                  <c:v>102</c:v>
                </c:pt>
                <c:pt idx="379">
                  <c:v>1205</c:v>
                </c:pt>
                <c:pt idx="380">
                  <c:v>0</c:v>
                </c:pt>
                <c:pt idx="381">
                  <c:v>917</c:v>
                </c:pt>
              </c:numCache>
            </c:numRef>
          </c:val>
        </c:ser>
        <c:dLbls>
          <c:showLegendKey val="0"/>
          <c:showVal val="0"/>
          <c:showCatName val="0"/>
          <c:showSerName val="0"/>
          <c:showPercent val="0"/>
          <c:showBubbleSize val="0"/>
        </c:dLbls>
        <c:gapWidth val="100"/>
        <c:axId val="488257920"/>
        <c:axId val="488261448"/>
      </c:barChart>
      <c:catAx>
        <c:axId val="488257920"/>
        <c:scaling>
          <c:orientation val="minMax"/>
        </c:scaling>
        <c:delete val="0"/>
        <c:axPos val="l"/>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n-US"/>
          </a:p>
        </c:txPr>
        <c:crossAx val="488261448"/>
        <c:crosses val="autoZero"/>
        <c:auto val="1"/>
        <c:lblAlgn val="ctr"/>
        <c:lblOffset val="100"/>
        <c:noMultiLvlLbl val="0"/>
      </c:catAx>
      <c:valAx>
        <c:axId val="488261448"/>
        <c:scaling>
          <c:orientation val="minMax"/>
        </c:scaling>
        <c:delete val="0"/>
        <c:axPos val="b"/>
        <c:majorGridlines>
          <c:spPr>
            <a:ln w="9525" cap="flat" cmpd="sng" algn="ctr">
              <a:solidFill>
                <a:schemeClr val="tx2">
                  <a:lumMod val="15000"/>
                  <a:lumOff val="85000"/>
                </a:schemeClr>
              </a:solidFill>
              <a:round/>
            </a:ln>
            <a:effectLst/>
          </c:spPr>
        </c:majorGridlines>
        <c:title>
          <c:tx>
            <c:rich>
              <a:bodyPr rot="0" spcFirstLastPara="1" vertOverflow="ellipsis" vert="horz" wrap="square" anchor="ctr" anchorCtr="1"/>
              <a:lstStyle/>
              <a:p>
                <a:pPr>
                  <a:defRPr sz="900" b="1" i="0" u="none" strike="noStrike" kern="1200" baseline="0">
                    <a:solidFill>
                      <a:schemeClr val="dk1"/>
                    </a:solidFill>
                    <a:latin typeface="+mn-lt"/>
                    <a:ea typeface="+mn-ea"/>
                    <a:cs typeface="+mn-cs"/>
                  </a:defRPr>
                </a:pPr>
                <a:r>
                  <a:rPr lang="en-US"/>
                  <a:t>Nb of People</a:t>
                </a:r>
              </a:p>
            </c:rich>
          </c:tx>
          <c:layout>
            <c:manualLayout>
              <c:xMode val="edge"/>
              <c:yMode val="edge"/>
              <c:x val="0.8665541111587558"/>
              <c:y val="0.95460711635451478"/>
            </c:manualLayout>
          </c:layout>
          <c:overlay val="0"/>
          <c:spPr>
            <a:noFill/>
            <a:ln>
              <a:noFill/>
            </a:ln>
            <a:effectLst/>
          </c:spPr>
          <c:txPr>
            <a:bodyPr rot="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n-US"/>
          </a:p>
        </c:txPr>
        <c:crossAx val="488257920"/>
        <c:crosses val="autoZero"/>
        <c:crossBetween val="between"/>
      </c:valAx>
      <c:spPr>
        <a:noFill/>
        <a:ln>
          <a:noFill/>
        </a:ln>
        <a:effectLst/>
      </c:spPr>
    </c:plotArea>
    <c:legend>
      <c:legendPos val="r"/>
      <c:layout>
        <c:manualLayout>
          <c:xMode val="edge"/>
          <c:yMode val="edge"/>
          <c:x val="0.83852548601251686"/>
          <c:y val="0.22990727458670238"/>
          <c:w val="0.16007236166071845"/>
          <c:h val="0.5956485949689239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n-US"/>
        </a:p>
      </c:txPr>
    </c:legend>
    <c:plotVisOnly val="1"/>
    <c:dispBlanksAs val="gap"/>
    <c:showDLblsOverMax val="0"/>
  </c:chart>
  <c:spPr>
    <a:solidFill>
      <a:schemeClr val="lt1"/>
    </a:solidFill>
    <a:ln w="12700" cap="flat" cmpd="sng" algn="ctr">
      <a:solidFill>
        <a:schemeClr val="accent1"/>
      </a:solidFill>
      <a:prstDash val="solid"/>
      <a:miter lim="800000"/>
    </a:ln>
    <a:effectLst/>
  </c:spPr>
  <c:txPr>
    <a:bodyPr/>
    <a:lstStyle/>
    <a:p>
      <a:pPr>
        <a:defRPr>
          <a:solidFill>
            <a:schemeClr val="dk1"/>
          </a:solidFill>
          <a:latin typeface="+mn-lt"/>
          <a:ea typeface="+mn-ea"/>
          <a:cs typeface="+mn-cs"/>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olors1.xml><?xml version="1.0" encoding="utf-8"?>
<cs:colorStyle xmlns:cs="http://schemas.microsoft.com/office/drawing/2012/chartStyle" xmlns:a="http://schemas.openxmlformats.org/drawingml/2006/main" meth="withinLinear" id="14">
  <a:schemeClr val="accent1"/>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withinLinear" id="19">
  <a:schemeClr val="accent6"/>
</cs:colorStyle>
</file>

<file path=xl/charts/colors18.xml><?xml version="1.0" encoding="utf-8"?>
<cs:colorStyle xmlns:cs="http://schemas.microsoft.com/office/drawing/2012/chartStyle" xmlns:a="http://schemas.openxmlformats.org/drawingml/2006/main" meth="withinLinear" id="19">
  <a:schemeClr val="accent6"/>
</cs:colorStyle>
</file>

<file path=xl/charts/colors19.xml><?xml version="1.0" encoding="utf-8"?>
<cs:colorStyle xmlns:cs="http://schemas.microsoft.com/office/drawing/2012/chartStyle" xmlns:a="http://schemas.openxmlformats.org/drawingml/2006/main" meth="withinLinear" id="15">
  <a:schemeClr val="accent2"/>
</cs:colorStyle>
</file>

<file path=xl/charts/colors2.xml><?xml version="1.0" encoding="utf-8"?>
<cs:colorStyle xmlns:cs="http://schemas.microsoft.com/office/drawing/2012/chartStyle" xmlns:a="http://schemas.openxmlformats.org/drawingml/2006/main" meth="withinLinear" id="14">
  <a:schemeClr val="accent1"/>
</cs:colorStyle>
</file>

<file path=xl/charts/colors20.xml><?xml version="1.0" encoding="utf-8"?>
<cs:colorStyle xmlns:cs="http://schemas.microsoft.com/office/drawing/2012/chartStyle" xmlns:a="http://schemas.openxmlformats.org/drawingml/2006/main" meth="withinLinear" id="15">
  <a:schemeClr val="accent2"/>
</cs:colorStyle>
</file>

<file path=xl/charts/colors21.xml><?xml version="1.0" encoding="utf-8"?>
<cs:colorStyle xmlns:cs="http://schemas.microsoft.com/office/drawing/2012/chartStyle" xmlns:a="http://schemas.openxmlformats.org/drawingml/2006/main" meth="withinLinear" id="15">
  <a:schemeClr val="accent2"/>
</cs:colorStyle>
</file>

<file path=xl/charts/colors22.xml><?xml version="1.0" encoding="utf-8"?>
<cs:colorStyle xmlns:cs="http://schemas.microsoft.com/office/drawing/2012/chartStyle" xmlns:a="http://schemas.openxmlformats.org/drawingml/2006/main" meth="withinLinear" id="15">
  <a:schemeClr val="accent2"/>
</cs:colorStyle>
</file>

<file path=xl/charts/colors23.xml><?xml version="1.0" encoding="utf-8"?>
<cs:colorStyle xmlns:cs="http://schemas.microsoft.com/office/drawing/2012/chartStyle" xmlns:a="http://schemas.openxmlformats.org/drawingml/2006/main" meth="withinLinear" id="15">
  <a:schemeClr val="accent2"/>
</cs:colorStyle>
</file>

<file path=xl/charts/colors24.xml><?xml version="1.0" encoding="utf-8"?>
<cs:colorStyle xmlns:cs="http://schemas.microsoft.com/office/drawing/2012/chartStyle" xmlns:a="http://schemas.openxmlformats.org/drawingml/2006/main" meth="withinLinear" id="15">
  <a:schemeClr val="accent2"/>
</cs:colorStyle>
</file>

<file path=xl/charts/colors25.xml><?xml version="1.0" encoding="utf-8"?>
<cs:colorStyle xmlns:cs="http://schemas.microsoft.com/office/drawing/2012/chartStyle" xmlns:a="http://schemas.openxmlformats.org/drawingml/2006/main" meth="withinLinear" id="14">
  <a:schemeClr val="accent1"/>
</cs:colorStyle>
</file>

<file path=xl/charts/colors26.xml><?xml version="1.0" encoding="utf-8"?>
<cs:colorStyle xmlns:cs="http://schemas.microsoft.com/office/drawing/2012/chartStyle" xmlns:a="http://schemas.openxmlformats.org/drawingml/2006/main" meth="withinLinear" id="14">
  <a:schemeClr val="accent1"/>
</cs:colorStyle>
</file>

<file path=xl/charts/colors27.xml><?xml version="1.0" encoding="utf-8"?>
<cs:colorStyle xmlns:cs="http://schemas.microsoft.com/office/drawing/2012/chartStyle" xmlns:a="http://schemas.openxmlformats.org/drawingml/2006/main" meth="withinLinear" id="14">
  <a:schemeClr val="accent1"/>
</cs:colorStyle>
</file>

<file path=xl/charts/colors28.xml><?xml version="1.0" encoding="utf-8"?>
<cs:colorStyle xmlns:cs="http://schemas.microsoft.com/office/drawing/2012/chartStyle" xmlns:a="http://schemas.openxmlformats.org/drawingml/2006/main" meth="withinLinear" id="19">
  <a:schemeClr val="accent6"/>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withinLinear" id="15">
  <a:schemeClr val="accent2"/>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withinLinear" id="15">
  <a:schemeClr val="accent2"/>
</cs:colorStyle>
</file>

<file path=xl/charts/colors37.xml><?xml version="1.0" encoding="utf-8"?>
<cs:colorStyle xmlns:cs="http://schemas.microsoft.com/office/drawing/2012/chartStyle" xmlns:a="http://schemas.openxmlformats.org/drawingml/2006/main" meth="withinLinear" id="15">
  <a:schemeClr val="accent2"/>
</cs:colorStyle>
</file>

<file path=xl/charts/colors38.xml><?xml version="1.0" encoding="utf-8"?>
<cs:colorStyle xmlns:cs="http://schemas.microsoft.com/office/drawing/2012/chartStyle" xmlns:a="http://schemas.openxmlformats.org/drawingml/2006/main" meth="withinLinear" id="15">
  <a:schemeClr val="accent2"/>
</cs:colorStyle>
</file>

<file path=xl/charts/colors39.xml><?xml version="1.0" encoding="utf-8"?>
<cs:colorStyle xmlns:cs="http://schemas.microsoft.com/office/drawing/2012/chartStyle" xmlns:a="http://schemas.openxmlformats.org/drawingml/2006/main" meth="withinLinear" id="15">
  <a:schemeClr val="accent2"/>
</cs:colorStyle>
</file>

<file path=xl/charts/colors4.xml><?xml version="1.0" encoding="utf-8"?>
<cs:colorStyle xmlns:cs="http://schemas.microsoft.com/office/drawing/2012/chartStyle" xmlns:a="http://schemas.openxmlformats.org/drawingml/2006/main" meth="withinLinear" id="15">
  <a:schemeClr val="accent2"/>
</cs:colorStyle>
</file>

<file path=xl/charts/colors40.xml><?xml version="1.0" encoding="utf-8"?>
<cs:colorStyle xmlns:cs="http://schemas.microsoft.com/office/drawing/2012/chartStyle" xmlns:a="http://schemas.openxmlformats.org/drawingml/2006/main" meth="withinLinear" id="15">
  <a:schemeClr val="accent2"/>
</cs:colorStyle>
</file>

<file path=xl/charts/colors41.xml><?xml version="1.0" encoding="utf-8"?>
<cs:colorStyle xmlns:cs="http://schemas.microsoft.com/office/drawing/2012/chartStyle" xmlns:a="http://schemas.openxmlformats.org/drawingml/2006/main" meth="withinLinear" id="15">
  <a:schemeClr val="accent2"/>
</cs:colorStyle>
</file>

<file path=xl/charts/colors42.xml><?xml version="1.0" encoding="utf-8"?>
<cs:colorStyle xmlns:cs="http://schemas.microsoft.com/office/drawing/2012/chartStyle" xmlns:a="http://schemas.openxmlformats.org/drawingml/2006/main" meth="withinLinear" id="15">
  <a:schemeClr val="accent2"/>
</cs:colorStyle>
</file>

<file path=xl/charts/colors43.xml><?xml version="1.0" encoding="utf-8"?>
<cs:colorStyle xmlns:cs="http://schemas.microsoft.com/office/drawing/2012/chartStyle" xmlns:a="http://schemas.openxmlformats.org/drawingml/2006/main" meth="withinLinear" id="15">
  <a:schemeClr val="accent2"/>
</cs:colorStyle>
</file>

<file path=xl/charts/colors44.xml><?xml version="1.0" encoding="utf-8"?>
<cs:colorStyle xmlns:cs="http://schemas.microsoft.com/office/drawing/2012/chartStyle" xmlns:a="http://schemas.openxmlformats.org/drawingml/2006/main" meth="withinLinear" id="15">
  <a:schemeClr val="accent2"/>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withinLinear" id="19">
  <a:schemeClr val="accent6"/>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withinLinear" id="19">
  <a:schemeClr val="accent6"/>
</cs:colorStyle>
</file>

<file path=xl/charts/colors53.xml><?xml version="1.0" encoding="utf-8"?>
<cs:colorStyle xmlns:cs="http://schemas.microsoft.com/office/drawing/2012/chartStyle" xmlns:a="http://schemas.openxmlformats.org/drawingml/2006/main" meth="withinLinear" id="14">
  <a:schemeClr val="accent1"/>
</cs:colorStyle>
</file>

<file path=xl/charts/colors54.xml><?xml version="1.0" encoding="utf-8"?>
<cs:colorStyle xmlns:cs="http://schemas.microsoft.com/office/drawing/2012/chartStyle" xmlns:a="http://schemas.openxmlformats.org/drawingml/2006/main" meth="withinLinear" id="15">
  <a:schemeClr val="accent2"/>
</cs:colorStyle>
</file>

<file path=xl/charts/colors55.xml><?xml version="1.0" encoding="utf-8"?>
<cs:colorStyle xmlns:cs="http://schemas.microsoft.com/office/drawing/2012/chartStyle" xmlns:a="http://schemas.openxmlformats.org/drawingml/2006/main" meth="withinLinear" id="15">
  <a:schemeClr val="accent2"/>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withinLinear" id="15">
  <a:schemeClr val="accent2"/>
</cs:colorStyle>
</file>

<file path=xl/charts/colors59.xml><?xml version="1.0" encoding="utf-8"?>
<cs:colorStyle xmlns:cs="http://schemas.microsoft.com/office/drawing/2012/chartStyle" xmlns:a="http://schemas.openxmlformats.org/drawingml/2006/main" meth="withinLinear" id="15">
  <a:schemeClr val="accent2"/>
</cs:colorStyle>
</file>

<file path=xl/charts/colors6.xml><?xml version="1.0" encoding="utf-8"?>
<cs:colorStyle xmlns:cs="http://schemas.microsoft.com/office/drawing/2012/chartStyle" xmlns:a="http://schemas.openxmlformats.org/drawingml/2006/main" meth="withinLinear" id="19">
  <a:schemeClr val="accent6"/>
</cs:colorStyle>
</file>

<file path=xl/charts/colors60.xml><?xml version="1.0" encoding="utf-8"?>
<cs:colorStyle xmlns:cs="http://schemas.microsoft.com/office/drawing/2012/chartStyle" xmlns:a="http://schemas.openxmlformats.org/drawingml/2006/main" meth="withinLinear" id="15">
  <a:schemeClr val="accent2"/>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withinLinear" id="16">
  <a:schemeClr val="accent3"/>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withinLinear" id="18">
  <a:schemeClr val="accent5"/>
</cs:colorStyle>
</file>

<file path=xl/charts/colors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xml><?xml version="1.0" encoding="utf-8"?>
<cs:colorStyle xmlns:cs="http://schemas.microsoft.com/office/drawing/2012/chartStyle" xmlns:a="http://schemas.openxmlformats.org/drawingml/2006/main" meth="withinLinear" id="15">
  <a:schemeClr val="accent2"/>
</cs:colorStyle>
</file>

<file path=xl/charts/colors67.xml><?xml version="1.0" encoding="utf-8"?>
<cs:colorStyle xmlns:cs="http://schemas.microsoft.com/office/drawing/2012/chartStyle" xmlns:a="http://schemas.openxmlformats.org/drawingml/2006/main" meth="withinLinear" id="19">
  <a:schemeClr val="accent6"/>
</cs:colorStyle>
</file>

<file path=xl/charts/colors68.xml><?xml version="1.0" encoding="utf-8"?>
<cs:colorStyle xmlns:cs="http://schemas.microsoft.com/office/drawing/2012/chartStyle" xmlns:a="http://schemas.openxmlformats.org/drawingml/2006/main" meth="withinLinear" id="14">
  <a:schemeClr val="accent1"/>
</cs:colorStyle>
</file>

<file path=xl/charts/colors69.xml><?xml version="1.0" encoding="utf-8"?>
<cs:colorStyle xmlns:cs="http://schemas.microsoft.com/office/drawing/2012/chartStyle" xmlns:a="http://schemas.openxmlformats.org/drawingml/2006/main" meth="withinLinear" id="15">
  <a:schemeClr val="accent2"/>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0.xml><?xml version="1.0" encoding="utf-8"?>
<cs:colorStyle xmlns:cs="http://schemas.microsoft.com/office/drawing/2012/chartStyle" xmlns:a="http://schemas.openxmlformats.org/drawingml/2006/main" meth="withinLinear" id="15">
  <a:schemeClr val="accent2"/>
</cs:colorStyle>
</file>

<file path=xl/charts/colors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2.xml><?xml version="1.0" encoding="utf-8"?>
<cs:colorStyle xmlns:cs="http://schemas.microsoft.com/office/drawing/2012/chartStyle" xmlns:a="http://schemas.openxmlformats.org/drawingml/2006/main" meth="withinLinear" id="14">
  <a:schemeClr val="accent1"/>
</cs:colorStyle>
</file>

<file path=xl/charts/colors7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6.xml><?xml version="1.0" encoding="utf-8"?>
<cs:colorStyle xmlns:cs="http://schemas.microsoft.com/office/drawing/2012/chartStyle" xmlns:a="http://schemas.openxmlformats.org/drawingml/2006/main" meth="withinLinear" id="15">
  <a:schemeClr val="accent2"/>
</cs:colorStyle>
</file>

<file path=xl/charts/colors77.xml><?xml version="1.0" encoding="utf-8"?>
<cs:colorStyle xmlns:cs="http://schemas.microsoft.com/office/drawing/2012/chartStyle" xmlns:a="http://schemas.openxmlformats.org/drawingml/2006/main" meth="withinLinear" id="15">
  <a:schemeClr val="accent2"/>
</cs:colorStyle>
</file>

<file path=xl/charts/colors7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9.xml><?xml version="1.0" encoding="utf-8"?>
<cs:colorStyle xmlns:cs="http://schemas.microsoft.com/office/drawing/2012/chartStyle" xmlns:a="http://schemas.openxmlformats.org/drawingml/2006/main" meth="withinLinear" id="18">
  <a:schemeClr val="accent5"/>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1.xml><?xml version="1.0" encoding="utf-8"?>
<cs:colorStyle xmlns:cs="http://schemas.microsoft.com/office/drawing/2012/chartStyle" xmlns:a="http://schemas.openxmlformats.org/drawingml/2006/main" meth="withinLinear" id="19">
  <a:schemeClr val="accent6"/>
</cs:colorStyle>
</file>

<file path=xl/charts/colors82.xml><?xml version="1.0" encoding="utf-8"?>
<cs:colorStyle xmlns:cs="http://schemas.microsoft.com/office/drawing/2012/chartStyle" xmlns:a="http://schemas.openxmlformats.org/drawingml/2006/main" meth="withinLinear" id="14">
  <a:schemeClr val="accent1"/>
</cs:colorStyle>
</file>

<file path=xl/charts/colors83.xml><?xml version="1.0" encoding="utf-8"?>
<cs:colorStyle xmlns:cs="http://schemas.microsoft.com/office/drawing/2012/chartStyle" xmlns:a="http://schemas.openxmlformats.org/drawingml/2006/main" meth="withinLinear" id="15">
  <a:schemeClr val="accent2"/>
</cs:colorStyle>
</file>

<file path=xl/charts/colors84.xml><?xml version="1.0" encoding="utf-8"?>
<cs:colorStyle xmlns:cs="http://schemas.microsoft.com/office/drawing/2012/chartStyle" xmlns:a="http://schemas.openxmlformats.org/drawingml/2006/main" meth="withinLinear" id="15">
  <a:schemeClr val="accent2"/>
</cs:colorStyle>
</file>

<file path=xl/charts/colors8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7.xml><?xml version="1.0" encoding="utf-8"?>
<cs:colorStyle xmlns:cs="http://schemas.microsoft.com/office/drawing/2012/chartStyle" xmlns:a="http://schemas.openxmlformats.org/drawingml/2006/main" meth="withinLinear" id="15">
  <a:schemeClr val="accent2"/>
</cs:colorStyle>
</file>

<file path=xl/charts/colors88.xml><?xml version="1.0" encoding="utf-8"?>
<cs:colorStyle xmlns:cs="http://schemas.microsoft.com/office/drawing/2012/chartStyle" xmlns:a="http://schemas.openxmlformats.org/drawingml/2006/main" meth="withinLinear" id="15">
  <a:schemeClr val="accent2"/>
</cs:colorStyle>
</file>

<file path=xl/charts/colors89.xml><?xml version="1.0" encoding="utf-8"?>
<cs:colorStyle xmlns:cs="http://schemas.microsoft.com/office/drawing/2012/chartStyle" xmlns:a="http://schemas.openxmlformats.org/drawingml/2006/main" meth="withinLinear" id="15">
  <a:schemeClr val="accent2"/>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1.xml><?xml version="1.0" encoding="utf-8"?>
<cs:colorStyle xmlns:cs="http://schemas.microsoft.com/office/drawing/2012/chartStyle" xmlns:a="http://schemas.openxmlformats.org/drawingml/2006/main" meth="withinLinear" id="14">
  <a:schemeClr val="accent1"/>
</cs:colorStyle>
</file>

<file path=xl/charts/colors92.xml><?xml version="1.0" encoding="utf-8"?>
<cs:colorStyle xmlns:cs="http://schemas.microsoft.com/office/drawing/2012/chartStyle" xmlns:a="http://schemas.openxmlformats.org/drawingml/2006/main" meth="withinLinear" id="16">
  <a:schemeClr val="accent3"/>
</cs:colorStyle>
</file>

<file path=xl/charts/colors9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0.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1.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2.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3.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4.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5.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6.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7.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8.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3.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4.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5.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6.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7.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8.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9.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3.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30.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31.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32.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33.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34.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35.xml><?xml version="1.0" encoding="utf-8"?>
<cs:chartStyle xmlns:cs="http://schemas.microsoft.com/office/drawing/2012/chartStyle" xmlns:a="http://schemas.openxmlformats.org/drawingml/2006/main" id="207">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lumOff val="2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3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4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46.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47.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48.xml><?xml version="1.0" encoding="utf-8"?>
<cs:chartStyle xmlns:cs="http://schemas.microsoft.com/office/drawing/2012/chartStyle" xmlns:a="http://schemas.openxmlformats.org/drawingml/2006/main" id="341">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ize="5"/>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49.xml><?xml version="1.0" encoding="utf-8"?>
<cs:chartStyle xmlns:cs="http://schemas.microsoft.com/office/drawing/2012/chartStyle" xmlns:a="http://schemas.openxmlformats.org/drawingml/2006/main" id="341">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ize="5"/>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5.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50.xml><?xml version="1.0" encoding="utf-8"?>
<cs:chartStyle xmlns:cs="http://schemas.microsoft.com/office/drawing/2012/chartStyle" xmlns:a="http://schemas.openxmlformats.org/drawingml/2006/main" id="341">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ize="5"/>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51.xml><?xml version="1.0" encoding="utf-8"?>
<cs:chartStyle xmlns:cs="http://schemas.microsoft.com/office/drawing/2012/chartStyle" xmlns:a="http://schemas.openxmlformats.org/drawingml/2006/main" id="220">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52.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53.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54.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55.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56.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57.xml><?xml version="1.0" encoding="utf-8"?>
<cs:chartStyle xmlns:cs="http://schemas.microsoft.com/office/drawing/2012/chartStyle" xmlns:a="http://schemas.openxmlformats.org/drawingml/2006/main" id="220">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5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6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62.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63.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64.xml><?xml version="1.0" encoding="utf-8"?>
<cs:chartStyle xmlns:cs="http://schemas.microsoft.com/office/drawing/2012/chartStyle" xmlns:a="http://schemas.openxmlformats.org/drawingml/2006/main" id="348">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65.xml><?xml version="1.0" encoding="utf-8"?>
<cs:chartStyle xmlns:cs="http://schemas.microsoft.com/office/drawing/2012/chartStyle" xmlns:a="http://schemas.openxmlformats.org/drawingml/2006/main" id="341">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ize="5"/>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6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7.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68.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69.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7.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70.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71.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72.xml><?xml version="1.0" encoding="utf-8"?>
<cs:chartStyle xmlns:cs="http://schemas.microsoft.com/office/drawing/2012/chartStyle" xmlns:a="http://schemas.openxmlformats.org/drawingml/2006/main" id="348">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73.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74.xml><?xml version="1.0" encoding="utf-8"?>
<cs:chartStyle xmlns:cs="http://schemas.microsoft.com/office/drawing/2012/chartStyle" xmlns:a="http://schemas.openxmlformats.org/drawingml/2006/main" id="220">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75.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7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8.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79.xml><?xml version="1.0" encoding="utf-8"?>
<cs:chartStyle xmlns:cs="http://schemas.microsoft.com/office/drawing/2012/chartStyle" xmlns:a="http://schemas.openxmlformats.org/drawingml/2006/main" id="348">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8.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80.xml><?xml version="1.0" encoding="utf-8"?>
<cs:chartStyle xmlns:cs="http://schemas.microsoft.com/office/drawing/2012/chartStyle" xmlns:a="http://schemas.openxmlformats.org/drawingml/2006/main" id="341">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ize="5"/>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81.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82.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83.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84.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85.xml><?xml version="1.0" encoding="utf-8"?>
<cs:chartStyle xmlns:cs="http://schemas.microsoft.com/office/drawing/2012/chartStyle" xmlns:a="http://schemas.openxmlformats.org/drawingml/2006/main" id="220">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86.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8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90.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91.xml><?xml version="1.0" encoding="utf-8"?>
<cs:chartStyle xmlns:cs="http://schemas.microsoft.com/office/drawing/2012/chartStyle" xmlns:a="http://schemas.openxmlformats.org/drawingml/2006/main" id="348">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92.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93.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94.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95.xml><?xml version="1.0" encoding="utf-8"?>
<cs:chartStyle xmlns:cs="http://schemas.microsoft.com/office/drawing/2012/chartStyle" xmlns:a="http://schemas.openxmlformats.org/drawingml/2006/main" id="341">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ize="5"/>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96.xml><?xml version="1.0" encoding="utf-8"?>
<cs:chartStyle xmlns:cs="http://schemas.microsoft.com/office/drawing/2012/chartStyle" xmlns:a="http://schemas.openxmlformats.org/drawingml/2006/main" id="220">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chart" Target="../charts/chart12.xml"/><Relationship Id="rId2" Type="http://schemas.openxmlformats.org/officeDocument/2006/relationships/chart" Target="../charts/chart2.xml"/><Relationship Id="rId16" Type="http://schemas.openxmlformats.org/officeDocument/2006/relationships/chart" Target="../charts/chart16.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5" Type="http://schemas.openxmlformats.org/officeDocument/2006/relationships/chart" Target="../charts/chart1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97.xml"/></Relationships>
</file>

<file path=xl/drawings/_rels/drawing2.xml.rels><?xml version="1.0" encoding="UTF-8" standalone="yes"?>
<Relationships xmlns="http://schemas.openxmlformats.org/package/2006/relationships"><Relationship Id="rId1" Type="http://schemas.openxmlformats.org/officeDocument/2006/relationships/image" Target="../media/image1.emf"/></Relationships>
</file>

<file path=xl/drawings/_rels/drawing3.xml.rels><?xml version="1.0" encoding="UTF-8" standalone="yes"?>
<Relationships xmlns="http://schemas.openxmlformats.org/package/2006/relationships"><Relationship Id="rId1" Type="http://schemas.openxmlformats.org/officeDocument/2006/relationships/image" Target="../media/image1.emf"/></Relationships>
</file>

<file path=xl/drawings/_rels/drawing4.xml.rels><?xml version="1.0" encoding="UTF-8" standalone="yes"?>
<Relationships xmlns="http://schemas.openxmlformats.org/package/2006/relationships"><Relationship Id="rId8" Type="http://schemas.openxmlformats.org/officeDocument/2006/relationships/chart" Target="../charts/chart24.xml"/><Relationship Id="rId13" Type="http://schemas.openxmlformats.org/officeDocument/2006/relationships/chart" Target="../charts/chart29.xml"/><Relationship Id="rId18" Type="http://schemas.openxmlformats.org/officeDocument/2006/relationships/chart" Target="../charts/chart34.xml"/><Relationship Id="rId26" Type="http://schemas.openxmlformats.org/officeDocument/2006/relationships/chart" Target="../charts/chart42.xml"/><Relationship Id="rId3" Type="http://schemas.openxmlformats.org/officeDocument/2006/relationships/chart" Target="../charts/chart19.xml"/><Relationship Id="rId21" Type="http://schemas.openxmlformats.org/officeDocument/2006/relationships/chart" Target="../charts/chart37.xml"/><Relationship Id="rId34" Type="http://schemas.openxmlformats.org/officeDocument/2006/relationships/chart" Target="../charts/chart50.xml"/><Relationship Id="rId7" Type="http://schemas.openxmlformats.org/officeDocument/2006/relationships/chart" Target="../charts/chart23.xml"/><Relationship Id="rId12" Type="http://schemas.openxmlformats.org/officeDocument/2006/relationships/chart" Target="../charts/chart28.xml"/><Relationship Id="rId17" Type="http://schemas.openxmlformats.org/officeDocument/2006/relationships/chart" Target="../charts/chart33.xml"/><Relationship Id="rId25" Type="http://schemas.openxmlformats.org/officeDocument/2006/relationships/chart" Target="../charts/chart41.xml"/><Relationship Id="rId33" Type="http://schemas.openxmlformats.org/officeDocument/2006/relationships/chart" Target="../charts/chart49.xml"/><Relationship Id="rId2" Type="http://schemas.openxmlformats.org/officeDocument/2006/relationships/chart" Target="../charts/chart18.xml"/><Relationship Id="rId16" Type="http://schemas.openxmlformats.org/officeDocument/2006/relationships/chart" Target="../charts/chart32.xml"/><Relationship Id="rId20" Type="http://schemas.openxmlformats.org/officeDocument/2006/relationships/chart" Target="../charts/chart36.xml"/><Relationship Id="rId29" Type="http://schemas.openxmlformats.org/officeDocument/2006/relationships/chart" Target="../charts/chart45.xml"/><Relationship Id="rId1" Type="http://schemas.openxmlformats.org/officeDocument/2006/relationships/chart" Target="../charts/chart17.xml"/><Relationship Id="rId6" Type="http://schemas.openxmlformats.org/officeDocument/2006/relationships/chart" Target="../charts/chart22.xml"/><Relationship Id="rId11" Type="http://schemas.openxmlformats.org/officeDocument/2006/relationships/chart" Target="../charts/chart27.xml"/><Relationship Id="rId24" Type="http://schemas.openxmlformats.org/officeDocument/2006/relationships/chart" Target="../charts/chart40.xml"/><Relationship Id="rId32" Type="http://schemas.openxmlformats.org/officeDocument/2006/relationships/chart" Target="../charts/chart48.xml"/><Relationship Id="rId5" Type="http://schemas.openxmlformats.org/officeDocument/2006/relationships/chart" Target="../charts/chart21.xml"/><Relationship Id="rId15" Type="http://schemas.openxmlformats.org/officeDocument/2006/relationships/chart" Target="../charts/chart31.xml"/><Relationship Id="rId23" Type="http://schemas.openxmlformats.org/officeDocument/2006/relationships/chart" Target="../charts/chart39.xml"/><Relationship Id="rId28" Type="http://schemas.openxmlformats.org/officeDocument/2006/relationships/chart" Target="../charts/chart44.xml"/><Relationship Id="rId10" Type="http://schemas.openxmlformats.org/officeDocument/2006/relationships/chart" Target="../charts/chart26.xml"/><Relationship Id="rId19" Type="http://schemas.openxmlformats.org/officeDocument/2006/relationships/chart" Target="../charts/chart35.xml"/><Relationship Id="rId31" Type="http://schemas.openxmlformats.org/officeDocument/2006/relationships/chart" Target="../charts/chart47.xml"/><Relationship Id="rId4" Type="http://schemas.openxmlformats.org/officeDocument/2006/relationships/chart" Target="../charts/chart20.xml"/><Relationship Id="rId9" Type="http://schemas.openxmlformats.org/officeDocument/2006/relationships/chart" Target="../charts/chart25.xml"/><Relationship Id="rId14" Type="http://schemas.openxmlformats.org/officeDocument/2006/relationships/chart" Target="../charts/chart30.xml"/><Relationship Id="rId22" Type="http://schemas.openxmlformats.org/officeDocument/2006/relationships/chart" Target="../charts/chart38.xml"/><Relationship Id="rId27" Type="http://schemas.openxmlformats.org/officeDocument/2006/relationships/chart" Target="../charts/chart43.xml"/><Relationship Id="rId30" Type="http://schemas.openxmlformats.org/officeDocument/2006/relationships/chart" Target="../charts/chart46.xml"/></Relationships>
</file>

<file path=xl/drawings/_rels/drawing5.xml.rels><?xml version="1.0" encoding="UTF-8" standalone="yes"?>
<Relationships xmlns="http://schemas.openxmlformats.org/package/2006/relationships"><Relationship Id="rId1" Type="http://schemas.openxmlformats.org/officeDocument/2006/relationships/chart" Target="../charts/chart51.xml"/></Relationships>
</file>

<file path=xl/drawings/_rels/drawing6.xml.rels><?xml version="1.0" encoding="UTF-8" standalone="yes"?>
<Relationships xmlns="http://schemas.openxmlformats.org/package/2006/relationships"><Relationship Id="rId8" Type="http://schemas.openxmlformats.org/officeDocument/2006/relationships/chart" Target="../charts/chart57.xml"/><Relationship Id="rId13" Type="http://schemas.openxmlformats.org/officeDocument/2006/relationships/chart" Target="../charts/chart61.xml"/><Relationship Id="rId18" Type="http://schemas.openxmlformats.org/officeDocument/2006/relationships/chart" Target="../charts/chart66.xml"/><Relationship Id="rId3" Type="http://schemas.openxmlformats.org/officeDocument/2006/relationships/chart" Target="../charts/chart52.xml"/><Relationship Id="rId7" Type="http://schemas.openxmlformats.org/officeDocument/2006/relationships/chart" Target="../charts/chart56.xml"/><Relationship Id="rId12" Type="http://schemas.openxmlformats.org/officeDocument/2006/relationships/chart" Target="../charts/chart60.xml"/><Relationship Id="rId17" Type="http://schemas.openxmlformats.org/officeDocument/2006/relationships/chart" Target="../charts/chart65.xml"/><Relationship Id="rId2" Type="http://schemas.openxmlformats.org/officeDocument/2006/relationships/image" Target="../media/image3.png"/><Relationship Id="rId16" Type="http://schemas.openxmlformats.org/officeDocument/2006/relationships/chart" Target="../charts/chart64.xml"/><Relationship Id="rId1" Type="http://schemas.openxmlformats.org/officeDocument/2006/relationships/image" Target="../media/image2.png"/><Relationship Id="rId6" Type="http://schemas.openxmlformats.org/officeDocument/2006/relationships/chart" Target="../charts/chart55.xml"/><Relationship Id="rId11" Type="http://schemas.openxmlformats.org/officeDocument/2006/relationships/chart" Target="../charts/chart59.xml"/><Relationship Id="rId5" Type="http://schemas.openxmlformats.org/officeDocument/2006/relationships/chart" Target="../charts/chart54.xml"/><Relationship Id="rId15" Type="http://schemas.openxmlformats.org/officeDocument/2006/relationships/chart" Target="../charts/chart63.xml"/><Relationship Id="rId10" Type="http://schemas.openxmlformats.org/officeDocument/2006/relationships/chart" Target="../charts/chart58.xml"/><Relationship Id="rId4" Type="http://schemas.openxmlformats.org/officeDocument/2006/relationships/chart" Target="../charts/chart53.xml"/><Relationship Id="rId9" Type="http://schemas.openxmlformats.org/officeDocument/2006/relationships/hyperlink" Target="#Analysis!C161"/><Relationship Id="rId14" Type="http://schemas.openxmlformats.org/officeDocument/2006/relationships/chart" Target="../charts/chart62.xml"/></Relationships>
</file>

<file path=xl/drawings/_rels/drawing7.xml.rels><?xml version="1.0" encoding="UTF-8" standalone="yes"?>
<Relationships xmlns="http://schemas.openxmlformats.org/package/2006/relationships"><Relationship Id="rId8" Type="http://schemas.openxmlformats.org/officeDocument/2006/relationships/chart" Target="../charts/chart72.xml"/><Relationship Id="rId13" Type="http://schemas.openxmlformats.org/officeDocument/2006/relationships/chart" Target="../charts/chart76.xml"/><Relationship Id="rId18" Type="http://schemas.openxmlformats.org/officeDocument/2006/relationships/chart" Target="../charts/chart81.xml"/><Relationship Id="rId3" Type="http://schemas.openxmlformats.org/officeDocument/2006/relationships/chart" Target="../charts/chart68.xml"/><Relationship Id="rId7" Type="http://schemas.openxmlformats.org/officeDocument/2006/relationships/image" Target="../media/image5.png"/><Relationship Id="rId12" Type="http://schemas.openxmlformats.org/officeDocument/2006/relationships/hyperlink" Target="#Analysis!C161"/><Relationship Id="rId17" Type="http://schemas.openxmlformats.org/officeDocument/2006/relationships/chart" Target="../charts/chart80.xml"/><Relationship Id="rId2" Type="http://schemas.openxmlformats.org/officeDocument/2006/relationships/image" Target="../media/image4.png"/><Relationship Id="rId16" Type="http://schemas.openxmlformats.org/officeDocument/2006/relationships/chart" Target="../charts/chart79.xml"/><Relationship Id="rId1" Type="http://schemas.openxmlformats.org/officeDocument/2006/relationships/chart" Target="../charts/chart67.xml"/><Relationship Id="rId6" Type="http://schemas.openxmlformats.org/officeDocument/2006/relationships/chart" Target="../charts/chart71.xml"/><Relationship Id="rId11" Type="http://schemas.openxmlformats.org/officeDocument/2006/relationships/chart" Target="../charts/chart75.xml"/><Relationship Id="rId5" Type="http://schemas.openxmlformats.org/officeDocument/2006/relationships/chart" Target="../charts/chart70.xml"/><Relationship Id="rId15" Type="http://schemas.openxmlformats.org/officeDocument/2006/relationships/chart" Target="../charts/chart78.xml"/><Relationship Id="rId10" Type="http://schemas.openxmlformats.org/officeDocument/2006/relationships/chart" Target="../charts/chart74.xml"/><Relationship Id="rId4" Type="http://schemas.openxmlformats.org/officeDocument/2006/relationships/chart" Target="../charts/chart69.xml"/><Relationship Id="rId9" Type="http://schemas.openxmlformats.org/officeDocument/2006/relationships/chart" Target="../charts/chart73.xml"/><Relationship Id="rId14" Type="http://schemas.openxmlformats.org/officeDocument/2006/relationships/chart" Target="../charts/chart77.xml"/></Relationships>
</file>

<file path=xl/drawings/_rels/drawing9.xml.rels><?xml version="1.0" encoding="UTF-8" standalone="yes"?>
<Relationships xmlns="http://schemas.openxmlformats.org/package/2006/relationships"><Relationship Id="rId8" Type="http://schemas.openxmlformats.org/officeDocument/2006/relationships/hyperlink" Target="#Analysis!C161"/><Relationship Id="rId13" Type="http://schemas.openxmlformats.org/officeDocument/2006/relationships/chart" Target="../charts/chart91.xml"/><Relationship Id="rId18" Type="http://schemas.openxmlformats.org/officeDocument/2006/relationships/chart" Target="../charts/chart96.xml"/><Relationship Id="rId3" Type="http://schemas.openxmlformats.org/officeDocument/2006/relationships/chart" Target="../charts/chart82.xml"/><Relationship Id="rId7" Type="http://schemas.openxmlformats.org/officeDocument/2006/relationships/chart" Target="../charts/chart86.xml"/><Relationship Id="rId12" Type="http://schemas.openxmlformats.org/officeDocument/2006/relationships/chart" Target="../charts/chart90.xml"/><Relationship Id="rId17" Type="http://schemas.openxmlformats.org/officeDocument/2006/relationships/chart" Target="../charts/chart95.xml"/><Relationship Id="rId2" Type="http://schemas.openxmlformats.org/officeDocument/2006/relationships/image" Target="../media/image7.png"/><Relationship Id="rId16" Type="http://schemas.openxmlformats.org/officeDocument/2006/relationships/chart" Target="../charts/chart94.xml"/><Relationship Id="rId1" Type="http://schemas.openxmlformats.org/officeDocument/2006/relationships/image" Target="../media/image6.png"/><Relationship Id="rId6" Type="http://schemas.openxmlformats.org/officeDocument/2006/relationships/chart" Target="../charts/chart85.xml"/><Relationship Id="rId11" Type="http://schemas.openxmlformats.org/officeDocument/2006/relationships/chart" Target="../charts/chart89.xml"/><Relationship Id="rId5" Type="http://schemas.openxmlformats.org/officeDocument/2006/relationships/chart" Target="../charts/chart84.xml"/><Relationship Id="rId15" Type="http://schemas.openxmlformats.org/officeDocument/2006/relationships/chart" Target="../charts/chart93.xml"/><Relationship Id="rId10" Type="http://schemas.openxmlformats.org/officeDocument/2006/relationships/chart" Target="../charts/chart88.xml"/><Relationship Id="rId4" Type="http://schemas.openxmlformats.org/officeDocument/2006/relationships/chart" Target="../charts/chart83.xml"/><Relationship Id="rId9" Type="http://schemas.openxmlformats.org/officeDocument/2006/relationships/chart" Target="../charts/chart87.xml"/><Relationship Id="rId14" Type="http://schemas.openxmlformats.org/officeDocument/2006/relationships/chart" Target="../charts/chart92.xml"/></Relationships>
</file>

<file path=xl/drawings/drawing1.xml><?xml version="1.0" encoding="utf-8"?>
<xdr:wsDr xmlns:xdr="http://schemas.openxmlformats.org/drawingml/2006/spreadsheetDrawing" xmlns:a="http://schemas.openxmlformats.org/drawingml/2006/main">
  <xdr:twoCellAnchor>
    <xdr:from>
      <xdr:col>6</xdr:col>
      <xdr:colOff>169623</xdr:colOff>
      <xdr:row>48</xdr:row>
      <xdr:rowOff>8390</xdr:rowOff>
    </xdr:from>
    <xdr:to>
      <xdr:col>10</xdr:col>
      <xdr:colOff>521917</xdr:colOff>
      <xdr:row>57</xdr:row>
      <xdr:rowOff>182672</xdr:rowOff>
    </xdr:to>
    <xdr:graphicFrame macro="">
      <xdr:nvGraphicFramePr>
        <xdr:cNvPr id="4" name="Chart 3">
          <a:extLst>
            <a:ext uri="{FF2B5EF4-FFF2-40B4-BE49-F238E27FC236}">
              <a16:creationId xmlns="" xmlns:a16="http://schemas.microsoft.com/office/drawing/2014/main" id="{00000000-0008-0000-04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619942</xdr:colOff>
      <xdr:row>48</xdr:row>
      <xdr:rowOff>13608</xdr:rowOff>
    </xdr:from>
    <xdr:to>
      <xdr:col>18</xdr:col>
      <xdr:colOff>26097</xdr:colOff>
      <xdr:row>58</xdr:row>
      <xdr:rowOff>10851</xdr:rowOff>
    </xdr:to>
    <xdr:graphicFrame macro="">
      <xdr:nvGraphicFramePr>
        <xdr:cNvPr id="5" name="Chart 4">
          <a:extLst>
            <a:ext uri="{FF2B5EF4-FFF2-40B4-BE49-F238E27FC236}">
              <a16:creationId xmlns="" xmlns:a16="http://schemas.microsoft.com/office/drawing/2014/main" id="{00000000-0008-0000-04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156575</xdr:colOff>
      <xdr:row>58</xdr:row>
      <xdr:rowOff>186978</xdr:rowOff>
    </xdr:from>
    <xdr:to>
      <xdr:col>10</xdr:col>
      <xdr:colOff>495822</xdr:colOff>
      <xdr:row>69</xdr:row>
      <xdr:rowOff>91336</xdr:rowOff>
    </xdr:to>
    <xdr:graphicFrame macro="">
      <xdr:nvGraphicFramePr>
        <xdr:cNvPr id="6" name="Chart 5">
          <a:extLst>
            <a:ext uri="{FF2B5EF4-FFF2-40B4-BE49-F238E27FC236}">
              <a16:creationId xmlns="" xmlns:a16="http://schemas.microsoft.com/office/drawing/2014/main" id="{00000000-0008-0000-04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606893</xdr:colOff>
      <xdr:row>58</xdr:row>
      <xdr:rowOff>193899</xdr:rowOff>
    </xdr:from>
    <xdr:to>
      <xdr:col>18</xdr:col>
      <xdr:colOff>52192</xdr:colOff>
      <xdr:row>69</xdr:row>
      <xdr:rowOff>107578</xdr:rowOff>
    </xdr:to>
    <xdr:graphicFrame macro="">
      <xdr:nvGraphicFramePr>
        <xdr:cNvPr id="7" name="Chart 6">
          <a:extLst>
            <a:ext uri="{FF2B5EF4-FFF2-40B4-BE49-F238E27FC236}">
              <a16:creationId xmlns="" xmlns:a16="http://schemas.microsoft.com/office/drawing/2014/main" id="{00000000-0008-0000-04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156575</xdr:colOff>
      <xdr:row>70</xdr:row>
      <xdr:rowOff>70894</xdr:rowOff>
    </xdr:from>
    <xdr:to>
      <xdr:col>10</xdr:col>
      <xdr:colOff>521917</xdr:colOff>
      <xdr:row>80</xdr:row>
      <xdr:rowOff>66824</xdr:rowOff>
    </xdr:to>
    <xdr:graphicFrame macro="">
      <xdr:nvGraphicFramePr>
        <xdr:cNvPr id="8" name="Chart 7">
          <a:extLst>
            <a:ext uri="{FF2B5EF4-FFF2-40B4-BE49-F238E27FC236}">
              <a16:creationId xmlns="" xmlns:a16="http://schemas.microsoft.com/office/drawing/2014/main" id="{00000000-0008-0000-04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619941</xdr:colOff>
      <xdr:row>70</xdr:row>
      <xdr:rowOff>74764</xdr:rowOff>
    </xdr:from>
    <xdr:to>
      <xdr:col>18</xdr:col>
      <xdr:colOff>117432</xdr:colOff>
      <xdr:row>80</xdr:row>
      <xdr:rowOff>26585</xdr:rowOff>
    </xdr:to>
    <xdr:graphicFrame macro="">
      <xdr:nvGraphicFramePr>
        <xdr:cNvPr id="9" name="Chart 8">
          <a:extLst>
            <a:ext uri="{FF2B5EF4-FFF2-40B4-BE49-F238E27FC236}">
              <a16:creationId xmlns="" xmlns:a16="http://schemas.microsoft.com/office/drawing/2014/main" id="{00000000-0008-0000-04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xdr:col>
      <xdr:colOff>6698</xdr:colOff>
      <xdr:row>94</xdr:row>
      <xdr:rowOff>168275</xdr:rowOff>
    </xdr:from>
    <xdr:to>
      <xdr:col>6</xdr:col>
      <xdr:colOff>430583</xdr:colOff>
      <xdr:row>111</xdr:row>
      <xdr:rowOff>143529</xdr:rowOff>
    </xdr:to>
    <xdr:graphicFrame macro="">
      <xdr:nvGraphicFramePr>
        <xdr:cNvPr id="3" name="Chart 2">
          <a:extLst>
            <a:ext uri="{FF2B5EF4-FFF2-40B4-BE49-F238E27FC236}">
              <a16:creationId xmlns="" xmlns:a16="http://schemas.microsoft.com/office/drawing/2014/main" id="{00000000-0008-0000-04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6</xdr:col>
      <xdr:colOff>652398</xdr:colOff>
      <xdr:row>94</xdr:row>
      <xdr:rowOff>169623</xdr:rowOff>
    </xdr:from>
    <xdr:to>
      <xdr:col>14</xdr:col>
      <xdr:colOff>678495</xdr:colOff>
      <xdr:row>111</xdr:row>
      <xdr:rowOff>130480</xdr:rowOff>
    </xdr:to>
    <xdr:graphicFrame macro="">
      <xdr:nvGraphicFramePr>
        <xdr:cNvPr id="11" name="Chart 10">
          <a:extLst>
            <a:ext uri="{FF2B5EF4-FFF2-40B4-BE49-F238E27FC236}">
              <a16:creationId xmlns="" xmlns:a16="http://schemas.microsoft.com/office/drawing/2014/main" id="{00000000-0008-0000-04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15</xdr:col>
      <xdr:colOff>326200</xdr:colOff>
      <xdr:row>94</xdr:row>
      <xdr:rowOff>117433</xdr:rowOff>
    </xdr:from>
    <xdr:to>
      <xdr:col>23</xdr:col>
      <xdr:colOff>156576</xdr:colOff>
      <xdr:row>112</xdr:row>
      <xdr:rowOff>1</xdr:rowOff>
    </xdr:to>
    <xdr:graphicFrame macro="">
      <xdr:nvGraphicFramePr>
        <xdr:cNvPr id="14" name="Chart 13">
          <a:extLst>
            <a:ext uri="{FF2B5EF4-FFF2-40B4-BE49-F238E27FC236}">
              <a16:creationId xmlns="" xmlns:a16="http://schemas.microsoft.com/office/drawing/2014/main" id="{00000000-0008-0000-04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9</xdr:col>
      <xdr:colOff>232253</xdr:colOff>
      <xdr:row>122</xdr:row>
      <xdr:rowOff>194153</xdr:rowOff>
    </xdr:from>
    <xdr:to>
      <xdr:col>19</xdr:col>
      <xdr:colOff>548014</xdr:colOff>
      <xdr:row>128</xdr:row>
      <xdr:rowOff>352294</xdr:rowOff>
    </xdr:to>
    <xdr:graphicFrame macro="">
      <xdr:nvGraphicFramePr>
        <xdr:cNvPr id="12" name="Chart 11">
          <a:extLst>
            <a:ext uri="{FF2B5EF4-FFF2-40B4-BE49-F238E27FC236}">
              <a16:creationId xmlns="" xmlns:a16="http://schemas.microsoft.com/office/drawing/2014/main" id="{00000000-0008-0000-0400-00000C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10</xdr:col>
      <xdr:colOff>0</xdr:colOff>
      <xdr:row>136</xdr:row>
      <xdr:rowOff>0</xdr:rowOff>
    </xdr:from>
    <xdr:to>
      <xdr:col>20</xdr:col>
      <xdr:colOff>315761</xdr:colOff>
      <xdr:row>143</xdr:row>
      <xdr:rowOff>79853</xdr:rowOff>
    </xdr:to>
    <xdr:graphicFrame macro="">
      <xdr:nvGraphicFramePr>
        <xdr:cNvPr id="15" name="Chart 14">
          <a:extLst>
            <a:ext uri="{FF2B5EF4-FFF2-40B4-BE49-F238E27FC236}">
              <a16:creationId xmlns="" xmlns:a16="http://schemas.microsoft.com/office/drawing/2014/main" id="{00000000-0008-0000-04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9</xdr:col>
      <xdr:colOff>416788</xdr:colOff>
      <xdr:row>153</xdr:row>
      <xdr:rowOff>141960</xdr:rowOff>
    </xdr:from>
    <xdr:to>
      <xdr:col>19</xdr:col>
      <xdr:colOff>723601</xdr:colOff>
      <xdr:row>162</xdr:row>
      <xdr:rowOff>75678</xdr:rowOff>
    </xdr:to>
    <xdr:graphicFrame macro="">
      <xdr:nvGraphicFramePr>
        <xdr:cNvPr id="16" name="Chart 15">
          <a:extLst>
            <a:ext uri="{FF2B5EF4-FFF2-40B4-BE49-F238E27FC236}">
              <a16:creationId xmlns="" xmlns:a16="http://schemas.microsoft.com/office/drawing/2014/main" id="{00000000-0008-0000-0400-000010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9</xdr:col>
      <xdr:colOff>454067</xdr:colOff>
      <xdr:row>166</xdr:row>
      <xdr:rowOff>76720</xdr:rowOff>
    </xdr:from>
    <xdr:to>
      <xdr:col>20</xdr:col>
      <xdr:colOff>430583</xdr:colOff>
      <xdr:row>176</xdr:row>
      <xdr:rowOff>378389</xdr:rowOff>
    </xdr:to>
    <xdr:graphicFrame macro="">
      <xdr:nvGraphicFramePr>
        <xdr:cNvPr id="17" name="Chart 16">
          <a:extLst>
            <a:ext uri="{FF2B5EF4-FFF2-40B4-BE49-F238E27FC236}">
              <a16:creationId xmlns="" xmlns:a16="http://schemas.microsoft.com/office/drawing/2014/main" id="{00000000-0008-0000-0400-000011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29</xdr:col>
      <xdr:colOff>13048</xdr:colOff>
      <xdr:row>121</xdr:row>
      <xdr:rowOff>130480</xdr:rowOff>
    </xdr:from>
    <xdr:to>
      <xdr:col>39</xdr:col>
      <xdr:colOff>589767</xdr:colOff>
      <xdr:row>128</xdr:row>
      <xdr:rowOff>92902</xdr:rowOff>
    </xdr:to>
    <xdr:graphicFrame macro="">
      <xdr:nvGraphicFramePr>
        <xdr:cNvPr id="18" name="Chart 17">
          <a:extLst>
            <a:ext uri="{FF2B5EF4-FFF2-40B4-BE49-F238E27FC236}">
              <a16:creationId xmlns="" xmlns:a16="http://schemas.microsoft.com/office/drawing/2014/main" id="{00000000-0008-0000-04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29</xdr:col>
      <xdr:colOff>36535</xdr:colOff>
      <xdr:row>154</xdr:row>
      <xdr:rowOff>115865</xdr:rowOff>
    </xdr:from>
    <xdr:to>
      <xdr:col>39</xdr:col>
      <xdr:colOff>26096</xdr:colOff>
      <xdr:row>160</xdr:row>
      <xdr:rowOff>469726</xdr:rowOff>
    </xdr:to>
    <xdr:graphicFrame macro="">
      <xdr:nvGraphicFramePr>
        <xdr:cNvPr id="20" name="Chart 19">
          <a:extLst>
            <a:ext uri="{FF2B5EF4-FFF2-40B4-BE49-F238E27FC236}">
              <a16:creationId xmlns="" xmlns:a16="http://schemas.microsoft.com/office/drawing/2014/main" id="{00000000-0008-0000-0400-00001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48</xdr:col>
      <xdr:colOff>500061</xdr:colOff>
      <xdr:row>122</xdr:row>
      <xdr:rowOff>426242</xdr:rowOff>
    </xdr:from>
    <xdr:to>
      <xdr:col>57</xdr:col>
      <xdr:colOff>511969</xdr:colOff>
      <xdr:row>127</xdr:row>
      <xdr:rowOff>476249</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4</xdr:col>
      <xdr:colOff>3524249</xdr:colOff>
      <xdr:row>3</xdr:row>
      <xdr:rowOff>23812</xdr:rowOff>
    </xdr:from>
    <xdr:to>
      <xdr:col>7</xdr:col>
      <xdr:colOff>550332</xdr:colOff>
      <xdr:row>30</xdr:row>
      <xdr:rowOff>148167</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10</xdr:row>
      <xdr:rowOff>196851</xdr:rowOff>
    </xdr:from>
    <xdr:to>
      <xdr:col>2</xdr:col>
      <xdr:colOff>179917</xdr:colOff>
      <xdr:row>22</xdr:row>
      <xdr:rowOff>158750</xdr:rowOff>
    </xdr:to>
    <mc:AlternateContent xmlns:mc="http://schemas.openxmlformats.org/markup-compatibility/2006">
      <mc:Choice xmlns:a14="http://schemas.microsoft.com/office/drawing/2010/main" Requires="a14">
        <xdr:graphicFrame macro="">
          <xdr:nvGraphicFramePr>
            <xdr:cNvPr id="3" name="WASH focal Agency 1"/>
            <xdr:cNvGraphicFramePr/>
          </xdr:nvGraphicFramePr>
          <xdr:xfrm>
            <a:off x="0" y="0"/>
            <a:ext cx="0" cy="0"/>
          </xdr:xfrm>
          <a:graphic>
            <a:graphicData uri="http://schemas.microsoft.com/office/drawing/2010/slicer">
              <sle:slicer xmlns:sle="http://schemas.microsoft.com/office/drawing/2010/slicer" name="WASH focal Agency 1"/>
            </a:graphicData>
          </a:graphic>
        </xdr:graphicFrame>
      </mc:Choice>
      <mc:Fallback>
        <xdr:sp macro="" textlink="">
          <xdr:nvSpPr>
            <xdr:cNvPr id="0" name=""/>
            <xdr:cNvSpPr>
              <a:spLocks noTextEdit="1"/>
            </xdr:cNvSpPr>
          </xdr:nvSpPr>
          <xdr:spPr>
            <a:xfrm>
              <a:off x="0" y="2345268"/>
              <a:ext cx="4688417" cy="2374899"/>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0</xdr:colOff>
      <xdr:row>3</xdr:row>
      <xdr:rowOff>38100</xdr:rowOff>
    </xdr:from>
    <xdr:to>
      <xdr:col>0</xdr:col>
      <xdr:colOff>1828800</xdr:colOff>
      <xdr:row>10</xdr:row>
      <xdr:rowOff>95249</xdr:rowOff>
    </xdr:to>
    <mc:AlternateContent xmlns:mc="http://schemas.openxmlformats.org/markup-compatibility/2006" xmlns:a14="http://schemas.microsoft.com/office/drawing/2010/main">
      <mc:Choice Requires="a14">
        <xdr:graphicFrame macro="">
          <xdr:nvGraphicFramePr>
            <xdr:cNvPr id="4" name="State 2"/>
            <xdr:cNvGraphicFramePr/>
          </xdr:nvGraphicFramePr>
          <xdr:xfrm>
            <a:off x="0" y="0"/>
            <a:ext cx="0" cy="0"/>
          </xdr:xfrm>
          <a:graphic>
            <a:graphicData uri="http://schemas.microsoft.com/office/drawing/2010/slicer">
              <sle:slicer xmlns:sle="http://schemas.microsoft.com/office/drawing/2010/slicer" name="State 2"/>
            </a:graphicData>
          </a:graphic>
        </xdr:graphicFrame>
      </mc:Choice>
      <mc:Fallback xmlns="">
        <xdr:sp macro="" textlink="">
          <xdr:nvSpPr>
            <xdr:cNvPr id="0" name=""/>
            <xdr:cNvSpPr>
              <a:spLocks noTextEdit="1"/>
            </xdr:cNvSpPr>
          </xdr:nvSpPr>
          <xdr:spPr>
            <a:xfrm>
              <a:off x="0" y="778933"/>
              <a:ext cx="1828800" cy="1464733"/>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2</xdr:col>
      <xdr:colOff>442383</xdr:colOff>
      <xdr:row>3</xdr:row>
      <xdr:rowOff>20109</xdr:rowOff>
    </xdr:from>
    <xdr:to>
      <xdr:col>3</xdr:col>
      <xdr:colOff>825500</xdr:colOff>
      <xdr:row>28</xdr:row>
      <xdr:rowOff>148166</xdr:rowOff>
    </xdr:to>
    <mc:AlternateContent xmlns:mc="http://schemas.openxmlformats.org/markup-compatibility/2006">
      <mc:Choice xmlns:a14="http://schemas.microsoft.com/office/drawing/2010/main" Requires="a14">
        <xdr:graphicFrame macro="">
          <xdr:nvGraphicFramePr>
            <xdr:cNvPr id="5" name="Township 1"/>
            <xdr:cNvGraphicFramePr/>
          </xdr:nvGraphicFramePr>
          <xdr:xfrm>
            <a:off x="0" y="0"/>
            <a:ext cx="0" cy="0"/>
          </xdr:xfrm>
          <a:graphic>
            <a:graphicData uri="http://schemas.microsoft.com/office/drawing/2010/slicer">
              <sle:slicer xmlns:sle="http://schemas.microsoft.com/office/drawing/2010/slicer" name="Township 1"/>
            </a:graphicData>
          </a:graphic>
        </xdr:graphicFrame>
      </mc:Choice>
      <mc:Fallback>
        <xdr:sp macro="" textlink="">
          <xdr:nvSpPr>
            <xdr:cNvPr id="0" name=""/>
            <xdr:cNvSpPr>
              <a:spLocks noTextEdit="1"/>
            </xdr:cNvSpPr>
          </xdr:nvSpPr>
          <xdr:spPr>
            <a:xfrm>
              <a:off x="4950883" y="760942"/>
              <a:ext cx="1822450" cy="5155141"/>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1904999</xdr:colOff>
      <xdr:row>3</xdr:row>
      <xdr:rowOff>28575</xdr:rowOff>
    </xdr:from>
    <xdr:to>
      <xdr:col>2</xdr:col>
      <xdr:colOff>190500</xdr:colOff>
      <xdr:row>10</xdr:row>
      <xdr:rowOff>66674</xdr:rowOff>
    </xdr:to>
    <mc:AlternateContent xmlns:mc="http://schemas.openxmlformats.org/markup-compatibility/2006" xmlns:a14="http://schemas.microsoft.com/office/drawing/2010/main">
      <mc:Choice Requires="a14">
        <xdr:graphicFrame macro="">
          <xdr:nvGraphicFramePr>
            <xdr:cNvPr id="6" name="Location Type 2"/>
            <xdr:cNvGraphicFramePr/>
          </xdr:nvGraphicFramePr>
          <xdr:xfrm>
            <a:off x="0" y="0"/>
            <a:ext cx="0" cy="0"/>
          </xdr:xfrm>
          <a:graphic>
            <a:graphicData uri="http://schemas.microsoft.com/office/drawing/2010/slicer">
              <sle:slicer xmlns:sle="http://schemas.microsoft.com/office/drawing/2010/slicer" name="Location Type 2"/>
            </a:graphicData>
          </a:graphic>
        </xdr:graphicFrame>
      </mc:Choice>
      <mc:Fallback xmlns="">
        <xdr:sp macro="" textlink="">
          <xdr:nvSpPr>
            <xdr:cNvPr id="0" name=""/>
            <xdr:cNvSpPr>
              <a:spLocks noTextEdit="1"/>
            </xdr:cNvSpPr>
          </xdr:nvSpPr>
          <xdr:spPr>
            <a:xfrm>
              <a:off x="1904999" y="769408"/>
              <a:ext cx="2794001" cy="1445683"/>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11.xml><?xml version="1.0" encoding="utf-8"?>
<xdr:wsDr xmlns:xdr="http://schemas.openxmlformats.org/drawingml/2006/spreadsheetDrawing" xmlns:a="http://schemas.openxmlformats.org/drawingml/2006/main">
  <xdr:twoCellAnchor>
    <xdr:from>
      <xdr:col>26</xdr:col>
      <xdr:colOff>666750</xdr:colOff>
      <xdr:row>2</xdr:row>
      <xdr:rowOff>95250</xdr:rowOff>
    </xdr:from>
    <xdr:to>
      <xdr:col>30</xdr:col>
      <xdr:colOff>381000</xdr:colOff>
      <xdr:row>2</xdr:row>
      <xdr:rowOff>866775</xdr:rowOff>
    </xdr:to>
    <xdr:sp macro="" textlink="">
      <xdr:nvSpPr>
        <xdr:cNvPr id="2" name="TextBox 1">
          <a:extLst>
            <a:ext uri="{FF2B5EF4-FFF2-40B4-BE49-F238E27FC236}">
              <a16:creationId xmlns="" xmlns:a16="http://schemas.microsoft.com/office/drawing/2014/main" id="{00000000-0008-0000-0E00-000002000000}"/>
            </a:ext>
          </a:extLst>
        </xdr:cNvPr>
        <xdr:cNvSpPr txBox="1"/>
      </xdr:nvSpPr>
      <xdr:spPr>
        <a:xfrm>
          <a:off x="19545300" y="523875"/>
          <a:ext cx="2762250" cy="7715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=OFFSET(Statestart_1,MATCH(</a:t>
          </a:r>
          <a:r>
            <a:rPr lang="en-US" sz="1100">
              <a:solidFill>
                <a:srgbClr val="FF0000"/>
              </a:solidFill>
            </a:rPr>
            <a:t>C5</a:t>
          </a:r>
          <a:r>
            <a:rPr lang="en-US" sz="1100"/>
            <a:t>, State_list, 0)-1, 1,COUNTIF(State_list,</a:t>
          </a:r>
          <a:r>
            <a:rPr lang="en-US" sz="1100">
              <a:solidFill>
                <a:srgbClr val="FF0000"/>
              </a:solidFill>
            </a:rPr>
            <a:t>C5</a:t>
          </a:r>
          <a:r>
            <a:rPr lang="en-US" sz="1100"/>
            <a:t>),1)</a:t>
          </a:r>
        </a:p>
      </xdr:txBody>
    </xdr:sp>
    <xdr:clientData/>
  </xdr:twoCellAnchor>
  <xdr:twoCellAnchor>
    <xdr:from>
      <xdr:col>30</xdr:col>
      <xdr:colOff>676276</xdr:colOff>
      <xdr:row>2</xdr:row>
      <xdr:rowOff>466725</xdr:rowOff>
    </xdr:from>
    <xdr:to>
      <xdr:col>33</xdr:col>
      <xdr:colOff>419101</xdr:colOff>
      <xdr:row>2</xdr:row>
      <xdr:rowOff>1257300</xdr:rowOff>
    </xdr:to>
    <xdr:sp macro="" textlink="">
      <xdr:nvSpPr>
        <xdr:cNvPr id="3" name="TextBox 2">
          <a:extLst>
            <a:ext uri="{FF2B5EF4-FFF2-40B4-BE49-F238E27FC236}">
              <a16:creationId xmlns="" xmlns:a16="http://schemas.microsoft.com/office/drawing/2014/main" id="{00000000-0008-0000-0E00-000003000000}"/>
            </a:ext>
          </a:extLst>
        </xdr:cNvPr>
        <xdr:cNvSpPr txBox="1"/>
      </xdr:nvSpPr>
      <xdr:spPr>
        <a:xfrm>
          <a:off x="22602826" y="895350"/>
          <a:ext cx="3209925" cy="7905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=offset(Tsps_lookstart,</a:t>
          </a:r>
          <a:r>
            <a:rPr lang="en-US" sz="1100" b="1">
              <a:solidFill>
                <a:schemeClr val="dk1"/>
              </a:solidFill>
              <a:effectLst/>
              <a:latin typeface="+mn-lt"/>
              <a:ea typeface="+mn-ea"/>
              <a:cs typeface="+mn-cs"/>
            </a:rPr>
            <a:t>match(</a:t>
          </a:r>
          <a:r>
            <a:rPr lang="en-US" sz="1100" b="1">
              <a:solidFill>
                <a:srgbClr val="FF0000"/>
              </a:solidFill>
              <a:effectLst/>
              <a:latin typeface="+mn-lt"/>
              <a:ea typeface="+mn-ea"/>
              <a:cs typeface="+mn-cs"/>
            </a:rPr>
            <a:t>D5</a:t>
          </a:r>
          <a:r>
            <a:rPr lang="en-US" sz="1100" b="1">
              <a:solidFill>
                <a:schemeClr val="dk1"/>
              </a:solidFill>
              <a:effectLst/>
              <a:latin typeface="+mn-lt"/>
              <a:ea typeface="+mn-ea"/>
              <a:cs typeface="+mn-cs"/>
            </a:rPr>
            <a:t>,Tsps_look, 0)-1</a:t>
          </a:r>
          <a:r>
            <a:rPr lang="en-US" sz="1100">
              <a:solidFill>
                <a:schemeClr val="dk1"/>
              </a:solidFill>
              <a:effectLst/>
              <a:latin typeface="+mn-lt"/>
              <a:ea typeface="+mn-ea"/>
              <a:cs typeface="+mn-cs"/>
            </a:rPr>
            <a:t>,</a:t>
          </a:r>
          <a:r>
            <a:rPr lang="en-US" sz="1100" baseline="0">
              <a:solidFill>
                <a:schemeClr val="dk1"/>
              </a:solidFill>
              <a:effectLst/>
              <a:latin typeface="+mn-lt"/>
              <a:ea typeface="+mn-ea"/>
              <a:cs typeface="+mn-cs"/>
            </a:rPr>
            <a:t> </a:t>
          </a:r>
          <a:r>
            <a:rPr lang="en-US" sz="1100" b="1" baseline="0">
              <a:solidFill>
                <a:schemeClr val="dk1"/>
              </a:solidFill>
              <a:effectLst/>
              <a:latin typeface="+mn-lt"/>
              <a:ea typeface="+mn-ea"/>
              <a:cs typeface="+mn-cs"/>
            </a:rPr>
            <a:t>1</a:t>
          </a:r>
          <a:r>
            <a:rPr lang="en-US" sz="1100" baseline="0">
              <a:solidFill>
                <a:schemeClr val="dk1"/>
              </a:solidFill>
              <a:effectLst/>
              <a:latin typeface="+mn-lt"/>
              <a:ea typeface="+mn-ea"/>
              <a:cs typeface="+mn-cs"/>
            </a:rPr>
            <a:t>,</a:t>
          </a:r>
          <a:r>
            <a:rPr lang="en-US" sz="1100" b="1" baseline="0">
              <a:solidFill>
                <a:schemeClr val="dk1"/>
              </a:solidFill>
              <a:effectLst/>
              <a:latin typeface="+mn-lt"/>
              <a:ea typeface="+mn-ea"/>
              <a:cs typeface="+mn-cs"/>
            </a:rPr>
            <a:t>countif(Tsps_look,</a:t>
          </a:r>
          <a:r>
            <a:rPr lang="en-US" sz="1100" b="1" baseline="0">
              <a:solidFill>
                <a:srgbClr val="FF0000"/>
              </a:solidFill>
              <a:effectLst/>
              <a:latin typeface="+mn-lt"/>
              <a:ea typeface="+mn-ea"/>
              <a:cs typeface="+mn-cs"/>
            </a:rPr>
            <a:t>D5</a:t>
          </a:r>
          <a:r>
            <a:rPr lang="en-US" sz="1100" b="1" baseline="0">
              <a:solidFill>
                <a:schemeClr val="dk1"/>
              </a:solidFill>
              <a:effectLst/>
              <a:latin typeface="+mn-lt"/>
              <a:ea typeface="+mn-ea"/>
              <a:cs typeface="+mn-cs"/>
            </a:rPr>
            <a:t>),1</a:t>
          </a:r>
          <a:r>
            <a:rPr lang="en-US" sz="1100" baseline="0">
              <a:solidFill>
                <a:schemeClr val="dk1"/>
              </a:solidFill>
              <a:effectLst/>
              <a:latin typeface="+mn-lt"/>
              <a:ea typeface="+mn-ea"/>
              <a:cs typeface="+mn-cs"/>
            </a:rPr>
            <a:t>)</a:t>
          </a:r>
          <a:endParaRPr lang="en-US">
            <a:effectLst/>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323850</xdr:colOff>
      <xdr:row>50</xdr:row>
      <xdr:rowOff>0</xdr:rowOff>
    </xdr:from>
    <xdr:to>
      <xdr:col>4</xdr:col>
      <xdr:colOff>276224</xdr:colOff>
      <xdr:row>61</xdr:row>
      <xdr:rowOff>28575</xdr:rowOff>
    </xdr:to>
    <xdr:pic>
      <xdr:nvPicPr>
        <xdr:cNvPr id="2" name="Picture 1">
          <a:extLst>
            <a:ext uri="{FF2B5EF4-FFF2-40B4-BE49-F238E27FC236}">
              <a16:creationId xmlns="" xmlns:a16="http://schemas.microsoft.com/office/drawing/2014/main" id="{00000000-0008-0000-0100-000002000000}"/>
            </a:ext>
          </a:extLst>
        </xdr:cNvPr>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7141" t="75523" r="23568" b="3741"/>
        <a:stretch/>
      </xdr:blipFill>
      <xdr:spPr bwMode="auto">
        <a:xfrm>
          <a:off x="323850" y="19335750"/>
          <a:ext cx="7238999" cy="2124075"/>
        </a:xfrm>
        <a:prstGeom prst="rect">
          <a:avLst/>
        </a:prstGeom>
        <a:noFill/>
        <a:ln>
          <a:noFill/>
        </a:ln>
        <a:extLst>
          <a:ext uri="{53640926-AAD7-44D8-BBD7-CCE9431645EC}">
            <a14:shadowObscured xmlns:a14="http://schemas.microsoft.com/office/drawing/2010/main"/>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314326</xdr:colOff>
      <xdr:row>48</xdr:row>
      <xdr:rowOff>0</xdr:rowOff>
    </xdr:from>
    <xdr:to>
      <xdr:col>3</xdr:col>
      <xdr:colOff>2324100</xdr:colOff>
      <xdr:row>59</xdr:row>
      <xdr:rowOff>28575</xdr:rowOff>
    </xdr:to>
    <xdr:pic>
      <xdr:nvPicPr>
        <xdr:cNvPr id="2" name="Picture 1">
          <a:extLst>
            <a:ext uri="{FF2B5EF4-FFF2-40B4-BE49-F238E27FC236}">
              <a16:creationId xmlns="" xmlns:a16="http://schemas.microsoft.com/office/drawing/2014/main" id="{00000000-0008-0000-0200-000002000000}"/>
            </a:ext>
          </a:extLst>
        </xdr:cNvPr>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7141" t="75523" r="23568" b="3741"/>
        <a:stretch/>
      </xdr:blipFill>
      <xdr:spPr bwMode="auto">
        <a:xfrm>
          <a:off x="314326" y="15944850"/>
          <a:ext cx="7238999" cy="2124075"/>
        </a:xfrm>
        <a:prstGeom prst="rect">
          <a:avLst/>
        </a:prstGeom>
        <a:noFill/>
        <a:ln>
          <a:noFill/>
        </a:ln>
        <a:extLst>
          <a:ext uri="{53640926-AAD7-44D8-BBD7-CCE9431645EC}">
            <a14:shadowObscured xmlns:a14="http://schemas.microsoft.com/office/drawing/2010/main"/>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5</xdr:col>
      <xdr:colOff>342900</xdr:colOff>
      <xdr:row>46</xdr:row>
      <xdr:rowOff>76200</xdr:rowOff>
    </xdr:from>
    <xdr:to>
      <xdr:col>9</xdr:col>
      <xdr:colOff>548476</xdr:colOff>
      <xdr:row>49</xdr:row>
      <xdr:rowOff>124837</xdr:rowOff>
    </xdr:to>
    <xdr:sp macro="" textlink="">
      <xdr:nvSpPr>
        <xdr:cNvPr id="21" name="TextBox 20">
          <a:extLst>
            <a:ext uri="{FF2B5EF4-FFF2-40B4-BE49-F238E27FC236}">
              <a16:creationId xmlns="" xmlns:a16="http://schemas.microsoft.com/office/drawing/2014/main" id="{00000000-0008-0000-0900-000015000000}"/>
            </a:ext>
          </a:extLst>
        </xdr:cNvPr>
        <xdr:cNvSpPr txBox="1"/>
      </xdr:nvSpPr>
      <xdr:spPr>
        <a:xfrm>
          <a:off x="4438650" y="7667625"/>
          <a:ext cx="3272626" cy="6106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a:t>Rakhine</a:t>
          </a:r>
        </a:p>
      </xdr:txBody>
    </xdr:sp>
    <xdr:clientData/>
  </xdr:twoCellAnchor>
  <xdr:twoCellAnchor>
    <xdr:from>
      <xdr:col>13</xdr:col>
      <xdr:colOff>114301</xdr:colOff>
      <xdr:row>151</xdr:row>
      <xdr:rowOff>28575</xdr:rowOff>
    </xdr:from>
    <xdr:to>
      <xdr:col>19</xdr:col>
      <xdr:colOff>666751</xdr:colOff>
      <xdr:row>164</xdr:row>
      <xdr:rowOff>190500</xdr:rowOff>
    </xdr:to>
    <xdr:graphicFrame macro="">
      <xdr:nvGraphicFramePr>
        <xdr:cNvPr id="10" name="Chart 9">
          <a:extLst>
            <a:ext uri="{FF2B5EF4-FFF2-40B4-BE49-F238E27FC236}">
              <a16:creationId xmlns="" xmlns:a16="http://schemas.microsoft.com/office/drawing/2014/main" id="{00000000-0008-0000-0900-00000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20</xdr:col>
      <xdr:colOff>176212</xdr:colOff>
      <xdr:row>151</xdr:row>
      <xdr:rowOff>19050</xdr:rowOff>
    </xdr:from>
    <xdr:to>
      <xdr:col>27</xdr:col>
      <xdr:colOff>80962</xdr:colOff>
      <xdr:row>164</xdr:row>
      <xdr:rowOff>133350</xdr:rowOff>
    </xdr:to>
    <xdr:graphicFrame macro="">
      <xdr:nvGraphicFramePr>
        <xdr:cNvPr id="17" name="Chart 16">
          <a:extLst>
            <a:ext uri="{FF2B5EF4-FFF2-40B4-BE49-F238E27FC236}">
              <a16:creationId xmlns="" xmlns:a16="http://schemas.microsoft.com/office/drawing/2014/main" id="{00000000-0008-0000-0900-000011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76200</xdr:colOff>
      <xdr:row>114</xdr:row>
      <xdr:rowOff>0</xdr:rowOff>
    </xdr:from>
    <xdr:to>
      <xdr:col>11</xdr:col>
      <xdr:colOff>304800</xdr:colOff>
      <xdr:row>126</xdr:row>
      <xdr:rowOff>47625</xdr:rowOff>
    </xdr:to>
    <xdr:graphicFrame macro="">
      <xdr:nvGraphicFramePr>
        <xdr:cNvPr id="31" name="Chart 30">
          <a:extLst>
            <a:ext uri="{FF2B5EF4-FFF2-40B4-BE49-F238E27FC236}">
              <a16:creationId xmlns="" xmlns:a16="http://schemas.microsoft.com/office/drawing/2014/main" id="{00000000-0008-0000-0900-00001F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57150</xdr:colOff>
      <xdr:row>114</xdr:row>
      <xdr:rowOff>19050</xdr:rowOff>
    </xdr:from>
    <xdr:to>
      <xdr:col>16</xdr:col>
      <xdr:colOff>628650</xdr:colOff>
      <xdr:row>126</xdr:row>
      <xdr:rowOff>38100</xdr:rowOff>
    </xdr:to>
    <xdr:graphicFrame macro="">
      <xdr:nvGraphicFramePr>
        <xdr:cNvPr id="36" name="Chart 35">
          <a:extLst>
            <a:ext uri="{FF2B5EF4-FFF2-40B4-BE49-F238E27FC236}">
              <a16:creationId xmlns="" xmlns:a16="http://schemas.microsoft.com/office/drawing/2014/main" id="{00000000-0008-0000-0900-00002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17</xdr:col>
      <xdr:colOff>142875</xdr:colOff>
      <xdr:row>114</xdr:row>
      <xdr:rowOff>66675</xdr:rowOff>
    </xdr:from>
    <xdr:to>
      <xdr:col>22</xdr:col>
      <xdr:colOff>542925</xdr:colOff>
      <xdr:row>126</xdr:row>
      <xdr:rowOff>57150</xdr:rowOff>
    </xdr:to>
    <xdr:graphicFrame macro="">
      <xdr:nvGraphicFramePr>
        <xdr:cNvPr id="37" name="Chart 36">
          <a:extLst>
            <a:ext uri="{FF2B5EF4-FFF2-40B4-BE49-F238E27FC236}">
              <a16:creationId xmlns="" xmlns:a16="http://schemas.microsoft.com/office/drawing/2014/main" id="{00000000-0008-0000-0900-00002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28575</xdr:colOff>
      <xdr:row>126</xdr:row>
      <xdr:rowOff>104775</xdr:rowOff>
    </xdr:from>
    <xdr:to>
      <xdr:col>11</xdr:col>
      <xdr:colOff>333375</xdr:colOff>
      <xdr:row>141</xdr:row>
      <xdr:rowOff>28575</xdr:rowOff>
    </xdr:to>
    <xdr:graphicFrame macro="">
      <xdr:nvGraphicFramePr>
        <xdr:cNvPr id="28" name="Chart 27">
          <a:extLst>
            <a:ext uri="{FF2B5EF4-FFF2-40B4-BE49-F238E27FC236}">
              <a16:creationId xmlns="" xmlns:a16="http://schemas.microsoft.com/office/drawing/2014/main" id="{00000000-0008-0000-0900-00001C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76200</xdr:colOff>
      <xdr:row>126</xdr:row>
      <xdr:rowOff>76200</xdr:rowOff>
    </xdr:from>
    <xdr:to>
      <xdr:col>16</xdr:col>
      <xdr:colOff>638175</xdr:colOff>
      <xdr:row>140</xdr:row>
      <xdr:rowOff>19050</xdr:rowOff>
    </xdr:to>
    <xdr:graphicFrame macro="">
      <xdr:nvGraphicFramePr>
        <xdr:cNvPr id="35" name="Chart 34">
          <a:extLst>
            <a:ext uri="{FF2B5EF4-FFF2-40B4-BE49-F238E27FC236}">
              <a16:creationId xmlns="" xmlns:a16="http://schemas.microsoft.com/office/drawing/2014/main" id="{00000000-0008-0000-0900-00002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17</xdr:col>
      <xdr:colOff>133350</xdr:colOff>
      <xdr:row>126</xdr:row>
      <xdr:rowOff>76200</xdr:rowOff>
    </xdr:from>
    <xdr:to>
      <xdr:col>22</xdr:col>
      <xdr:colOff>571500</xdr:colOff>
      <xdr:row>139</xdr:row>
      <xdr:rowOff>123825</xdr:rowOff>
    </xdr:to>
    <xdr:graphicFrame macro="">
      <xdr:nvGraphicFramePr>
        <xdr:cNvPr id="38" name="Chart 37">
          <a:extLst>
            <a:ext uri="{FF2B5EF4-FFF2-40B4-BE49-F238E27FC236}">
              <a16:creationId xmlns="" xmlns:a16="http://schemas.microsoft.com/office/drawing/2014/main" id="{00000000-0008-0000-0900-00002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0</xdr:colOff>
      <xdr:row>33</xdr:row>
      <xdr:rowOff>104775</xdr:rowOff>
    </xdr:from>
    <xdr:to>
      <xdr:col>4</xdr:col>
      <xdr:colOff>714375</xdr:colOff>
      <xdr:row>46</xdr:row>
      <xdr:rowOff>66675</xdr:rowOff>
    </xdr:to>
    <xdr:graphicFrame macro="">
      <xdr:nvGraphicFramePr>
        <xdr:cNvPr id="29" name="Chart 28">
          <a:extLst>
            <a:ext uri="{FF2B5EF4-FFF2-40B4-BE49-F238E27FC236}">
              <a16:creationId xmlns="" xmlns:a16="http://schemas.microsoft.com/office/drawing/2014/main" id="{00000000-0008-0000-0900-00001D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5</xdr:col>
      <xdr:colOff>33337</xdr:colOff>
      <xdr:row>33</xdr:row>
      <xdr:rowOff>95250</xdr:rowOff>
    </xdr:from>
    <xdr:to>
      <xdr:col>9</xdr:col>
      <xdr:colOff>600075</xdr:colOff>
      <xdr:row>46</xdr:row>
      <xdr:rowOff>114300</xdr:rowOff>
    </xdr:to>
    <xdr:graphicFrame macro="">
      <xdr:nvGraphicFramePr>
        <xdr:cNvPr id="34" name="Chart 33">
          <a:extLst>
            <a:ext uri="{FF2B5EF4-FFF2-40B4-BE49-F238E27FC236}">
              <a16:creationId xmlns="" xmlns:a16="http://schemas.microsoft.com/office/drawing/2014/main" id="{00000000-0008-0000-0900-00002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9</xdr:col>
      <xdr:colOff>623887</xdr:colOff>
      <xdr:row>33</xdr:row>
      <xdr:rowOff>19050</xdr:rowOff>
    </xdr:from>
    <xdr:to>
      <xdr:col>16</xdr:col>
      <xdr:colOff>61912</xdr:colOff>
      <xdr:row>47</xdr:row>
      <xdr:rowOff>9525</xdr:rowOff>
    </xdr:to>
    <xdr:graphicFrame macro="">
      <xdr:nvGraphicFramePr>
        <xdr:cNvPr id="39" name="Chart 38">
          <a:extLst>
            <a:ext uri="{FF2B5EF4-FFF2-40B4-BE49-F238E27FC236}">
              <a16:creationId xmlns="" xmlns:a16="http://schemas.microsoft.com/office/drawing/2014/main" id="{00000000-0008-0000-0900-00002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6</xdr:col>
      <xdr:colOff>66675</xdr:colOff>
      <xdr:row>151</xdr:row>
      <xdr:rowOff>76200</xdr:rowOff>
    </xdr:from>
    <xdr:to>
      <xdr:col>12</xdr:col>
      <xdr:colOff>481542</xdr:colOff>
      <xdr:row>165</xdr:row>
      <xdr:rowOff>70115</xdr:rowOff>
    </xdr:to>
    <xdr:graphicFrame macro="">
      <xdr:nvGraphicFramePr>
        <xdr:cNvPr id="40" name="Chart 39">
          <a:extLst>
            <a:ext uri="{FF2B5EF4-FFF2-40B4-BE49-F238E27FC236}">
              <a16:creationId xmlns="" xmlns:a16="http://schemas.microsoft.com/office/drawing/2014/main" id="{00000000-0008-0000-0900-00002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47625</xdr:colOff>
      <xdr:row>58</xdr:row>
      <xdr:rowOff>66674</xdr:rowOff>
    </xdr:from>
    <xdr:to>
      <xdr:col>3</xdr:col>
      <xdr:colOff>581025</xdr:colOff>
      <xdr:row>70</xdr:row>
      <xdr:rowOff>133349</xdr:rowOff>
    </xdr:to>
    <xdr:graphicFrame macro="">
      <xdr:nvGraphicFramePr>
        <xdr:cNvPr id="41" name="Chart 40">
          <a:extLst>
            <a:ext uri="{FF2B5EF4-FFF2-40B4-BE49-F238E27FC236}">
              <a16:creationId xmlns="" xmlns:a16="http://schemas.microsoft.com/office/drawing/2014/main" id="{00000000-0008-0000-0900-00002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5</xdr:col>
      <xdr:colOff>523875</xdr:colOff>
      <xdr:row>58</xdr:row>
      <xdr:rowOff>85725</xdr:rowOff>
    </xdr:from>
    <xdr:to>
      <xdr:col>8</xdr:col>
      <xdr:colOff>657225</xdr:colOff>
      <xdr:row>70</xdr:row>
      <xdr:rowOff>152400</xdr:rowOff>
    </xdr:to>
    <xdr:graphicFrame macro="">
      <xdr:nvGraphicFramePr>
        <xdr:cNvPr id="42" name="Chart 41">
          <a:extLst>
            <a:ext uri="{FF2B5EF4-FFF2-40B4-BE49-F238E27FC236}">
              <a16:creationId xmlns="" xmlns:a16="http://schemas.microsoft.com/office/drawing/2014/main" id="{00000000-0008-0000-0900-00002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10</xdr:col>
      <xdr:colOff>180975</xdr:colOff>
      <xdr:row>58</xdr:row>
      <xdr:rowOff>161925</xdr:rowOff>
    </xdr:from>
    <xdr:to>
      <xdr:col>13</xdr:col>
      <xdr:colOff>542925</xdr:colOff>
      <xdr:row>71</xdr:row>
      <xdr:rowOff>28575</xdr:rowOff>
    </xdr:to>
    <xdr:graphicFrame macro="">
      <xdr:nvGraphicFramePr>
        <xdr:cNvPr id="43" name="Chart 42">
          <a:extLst>
            <a:ext uri="{FF2B5EF4-FFF2-40B4-BE49-F238E27FC236}">
              <a16:creationId xmlns="" xmlns:a16="http://schemas.microsoft.com/office/drawing/2014/main" id="{00000000-0008-0000-0900-00002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xdr:col>
      <xdr:colOff>666750</xdr:colOff>
      <xdr:row>49</xdr:row>
      <xdr:rowOff>180975</xdr:rowOff>
    </xdr:from>
    <xdr:to>
      <xdr:col>5</xdr:col>
      <xdr:colOff>619125</xdr:colOff>
      <xdr:row>56</xdr:row>
      <xdr:rowOff>19050</xdr:rowOff>
    </xdr:to>
    <xdr:graphicFrame macro="">
      <xdr:nvGraphicFramePr>
        <xdr:cNvPr id="44" name="Chart 43">
          <a:extLst>
            <a:ext uri="{FF2B5EF4-FFF2-40B4-BE49-F238E27FC236}">
              <a16:creationId xmlns="" xmlns:a16="http://schemas.microsoft.com/office/drawing/2014/main" id="{00000000-0008-0000-0900-00002C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8</xdr:col>
      <xdr:colOff>104775</xdr:colOff>
      <xdr:row>57</xdr:row>
      <xdr:rowOff>85725</xdr:rowOff>
    </xdr:from>
    <xdr:to>
      <xdr:col>12</xdr:col>
      <xdr:colOff>609600</xdr:colOff>
      <xdr:row>67</xdr:row>
      <xdr:rowOff>47625</xdr:rowOff>
    </xdr:to>
    <xdr:graphicFrame macro="">
      <xdr:nvGraphicFramePr>
        <xdr:cNvPr id="45" name="Chart 44">
          <a:extLst>
            <a:ext uri="{FF2B5EF4-FFF2-40B4-BE49-F238E27FC236}">
              <a16:creationId xmlns="" xmlns:a16="http://schemas.microsoft.com/office/drawing/2014/main" id="{00000000-0008-0000-0900-00002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11</xdr:col>
      <xdr:colOff>390525</xdr:colOff>
      <xdr:row>49</xdr:row>
      <xdr:rowOff>104775</xdr:rowOff>
    </xdr:from>
    <xdr:to>
      <xdr:col>16</xdr:col>
      <xdr:colOff>38100</xdr:colOff>
      <xdr:row>55</xdr:row>
      <xdr:rowOff>142875</xdr:rowOff>
    </xdr:to>
    <xdr:graphicFrame macro="">
      <xdr:nvGraphicFramePr>
        <xdr:cNvPr id="46" name="Chart 45">
          <a:extLst>
            <a:ext uri="{FF2B5EF4-FFF2-40B4-BE49-F238E27FC236}">
              <a16:creationId xmlns="" xmlns:a16="http://schemas.microsoft.com/office/drawing/2014/main" id="{00000000-0008-0000-0900-00002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editAs="oneCell">
    <xdr:from>
      <xdr:col>11</xdr:col>
      <xdr:colOff>314325</xdr:colOff>
      <xdr:row>188</xdr:row>
      <xdr:rowOff>142875</xdr:rowOff>
    </xdr:from>
    <xdr:to>
      <xdr:col>13</xdr:col>
      <xdr:colOff>676275</xdr:colOff>
      <xdr:row>198</xdr:row>
      <xdr:rowOff>76200</xdr:rowOff>
    </xdr:to>
    <mc:AlternateContent xmlns:mc="http://schemas.openxmlformats.org/markup-compatibility/2006" xmlns:a14="http://schemas.microsoft.com/office/drawing/2010/main">
      <mc:Choice Requires="a14">
        <xdr:graphicFrame macro="">
          <xdr:nvGraphicFramePr>
            <xdr:cNvPr id="3" name="State">
              <a:extLst>
                <a:ext uri="{FF2B5EF4-FFF2-40B4-BE49-F238E27FC236}">
                  <a16:creationId xmlns="" xmlns:a16="http://schemas.microsoft.com/office/drawing/2014/main" id="{00000000-0008-0000-0900-000003000000}"/>
                </a:ext>
              </a:extLst>
            </xdr:cNvPr>
            <xdr:cNvGraphicFramePr/>
          </xdr:nvGraphicFramePr>
          <xdr:xfrm>
            <a:off x="0" y="0"/>
            <a:ext cx="0" cy="0"/>
          </xdr:xfrm>
          <a:graphic>
            <a:graphicData uri="http://schemas.microsoft.com/office/drawing/2010/slicer">
              <sle:slicer xmlns:sle="http://schemas.microsoft.com/office/drawing/2010/slicer" name="State"/>
            </a:graphicData>
          </a:graphic>
        </xdr:graphicFrame>
      </mc:Choice>
      <mc:Fallback xmlns="">
        <xdr:sp macro="" textlink="">
          <xdr:nvSpPr>
            <xdr:cNvPr id="0" name=""/>
            <xdr:cNvSpPr>
              <a:spLocks noTextEdit="1"/>
            </xdr:cNvSpPr>
          </xdr:nvSpPr>
          <xdr:spPr>
            <a:xfrm>
              <a:off x="8943975" y="30565725"/>
              <a:ext cx="1828800" cy="155257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13</xdr:col>
      <xdr:colOff>647700</xdr:colOff>
      <xdr:row>188</xdr:row>
      <xdr:rowOff>133350</xdr:rowOff>
    </xdr:from>
    <xdr:to>
      <xdr:col>16</xdr:col>
      <xdr:colOff>276225</xdr:colOff>
      <xdr:row>196</xdr:row>
      <xdr:rowOff>142875</xdr:rowOff>
    </xdr:to>
    <mc:AlternateContent xmlns:mc="http://schemas.openxmlformats.org/markup-compatibility/2006" xmlns:a14="http://schemas.microsoft.com/office/drawing/2010/main">
      <mc:Choice Requires="a14">
        <xdr:graphicFrame macro="">
          <xdr:nvGraphicFramePr>
            <xdr:cNvPr id="5" name="Location Type">
              <a:extLst>
                <a:ext uri="{FF2B5EF4-FFF2-40B4-BE49-F238E27FC236}">
                  <a16:creationId xmlns="" xmlns:a16="http://schemas.microsoft.com/office/drawing/2014/main" id="{00000000-0008-0000-0900-000005000000}"/>
                </a:ext>
              </a:extLst>
            </xdr:cNvPr>
            <xdr:cNvGraphicFramePr/>
          </xdr:nvGraphicFramePr>
          <xdr:xfrm>
            <a:off x="0" y="0"/>
            <a:ext cx="0" cy="0"/>
          </xdr:xfrm>
          <a:graphic>
            <a:graphicData uri="http://schemas.microsoft.com/office/drawing/2010/slicer">
              <sle:slicer xmlns:sle="http://schemas.microsoft.com/office/drawing/2010/slicer" name="Location Type"/>
            </a:graphicData>
          </a:graphic>
        </xdr:graphicFrame>
      </mc:Choice>
      <mc:Fallback xmlns="">
        <xdr:sp macro="" textlink="">
          <xdr:nvSpPr>
            <xdr:cNvPr id="0" name=""/>
            <xdr:cNvSpPr>
              <a:spLocks noTextEdit="1"/>
            </xdr:cNvSpPr>
          </xdr:nvSpPr>
          <xdr:spPr>
            <a:xfrm>
              <a:off x="10744200" y="30556200"/>
              <a:ext cx="1828800" cy="13049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10</xdr:col>
      <xdr:colOff>723900</xdr:colOff>
      <xdr:row>281</xdr:row>
      <xdr:rowOff>152400</xdr:rowOff>
    </xdr:from>
    <xdr:to>
      <xdr:col>17</xdr:col>
      <xdr:colOff>161925</xdr:colOff>
      <xdr:row>295</xdr:row>
      <xdr:rowOff>114300</xdr:rowOff>
    </xdr:to>
    <xdr:graphicFrame macro="">
      <xdr:nvGraphicFramePr>
        <xdr:cNvPr id="6" name="Chart 5">
          <a:extLst>
            <a:ext uri="{FF2B5EF4-FFF2-40B4-BE49-F238E27FC236}">
              <a16:creationId xmlns="" xmlns:a16="http://schemas.microsoft.com/office/drawing/2014/main" id="{00000000-0008-0000-09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0</xdr:col>
      <xdr:colOff>0</xdr:colOff>
      <xdr:row>98</xdr:row>
      <xdr:rowOff>152252</xdr:rowOff>
    </xdr:from>
    <xdr:to>
      <xdr:col>11</xdr:col>
      <xdr:colOff>323850</xdr:colOff>
      <xdr:row>109</xdr:row>
      <xdr:rowOff>180976</xdr:rowOff>
    </xdr:to>
    <xdr:grpSp>
      <xdr:nvGrpSpPr>
        <xdr:cNvPr id="4" name="Group 3">
          <a:extLst>
            <a:ext uri="{FF2B5EF4-FFF2-40B4-BE49-F238E27FC236}">
              <a16:creationId xmlns="" xmlns:a16="http://schemas.microsoft.com/office/drawing/2014/main" id="{00000000-0008-0000-0900-000004000000}"/>
            </a:ext>
          </a:extLst>
        </xdr:cNvPr>
        <xdr:cNvGrpSpPr/>
      </xdr:nvGrpSpPr>
      <xdr:grpSpPr>
        <a:xfrm>
          <a:off x="0" y="19773752"/>
          <a:ext cx="8953500" cy="2228999"/>
          <a:chOff x="0" y="19821377"/>
          <a:chExt cx="8953500" cy="2228999"/>
        </a:xfrm>
      </xdr:grpSpPr>
      <xdr:graphicFrame macro="">
        <xdr:nvGraphicFramePr>
          <xdr:cNvPr id="9" name="Chart 8">
            <a:extLst>
              <a:ext uri="{FF2B5EF4-FFF2-40B4-BE49-F238E27FC236}">
                <a16:creationId xmlns="" xmlns:a16="http://schemas.microsoft.com/office/drawing/2014/main" id="{00000000-0008-0000-0900-000009000000}"/>
              </a:ext>
            </a:extLst>
          </xdr:cNvPr>
          <xdr:cNvGraphicFramePr/>
        </xdr:nvGraphicFramePr>
        <xdr:xfrm>
          <a:off x="0" y="19821377"/>
          <a:ext cx="2743200" cy="2194560"/>
        </xdr:xfrm>
        <a:graphic>
          <a:graphicData uri="http://schemas.openxmlformats.org/drawingml/2006/chart">
            <c:chart xmlns:c="http://schemas.openxmlformats.org/drawingml/2006/chart" xmlns:r="http://schemas.openxmlformats.org/officeDocument/2006/relationships" r:id="rId20"/>
          </a:graphicData>
        </a:graphic>
      </xdr:graphicFrame>
      <xdr:graphicFrame macro="">
        <xdr:nvGraphicFramePr>
          <xdr:cNvPr id="11" name="Chart 10">
            <a:extLst>
              <a:ext uri="{FF2B5EF4-FFF2-40B4-BE49-F238E27FC236}">
                <a16:creationId xmlns="" xmlns:a16="http://schemas.microsoft.com/office/drawing/2014/main" id="{00000000-0008-0000-0900-00000B000000}"/>
              </a:ext>
            </a:extLst>
          </xdr:cNvPr>
          <xdr:cNvGraphicFramePr/>
        </xdr:nvGraphicFramePr>
        <xdr:xfrm>
          <a:off x="2962274" y="19840572"/>
          <a:ext cx="2286001" cy="2194560"/>
        </xdr:xfrm>
        <a:graphic>
          <a:graphicData uri="http://schemas.openxmlformats.org/drawingml/2006/chart">
            <c:chart xmlns:c="http://schemas.openxmlformats.org/drawingml/2006/chart" xmlns:r="http://schemas.openxmlformats.org/officeDocument/2006/relationships" r:id="rId21"/>
          </a:graphicData>
        </a:graphic>
      </xdr:graphicFrame>
      <xdr:graphicFrame macro="">
        <xdr:nvGraphicFramePr>
          <xdr:cNvPr id="15" name="Chart 14">
            <a:extLst>
              <a:ext uri="{FF2B5EF4-FFF2-40B4-BE49-F238E27FC236}">
                <a16:creationId xmlns="" xmlns:a16="http://schemas.microsoft.com/office/drawing/2014/main" id="{00000000-0008-0000-0900-00000F000000}"/>
              </a:ext>
            </a:extLst>
          </xdr:cNvPr>
          <xdr:cNvGraphicFramePr/>
        </xdr:nvGraphicFramePr>
        <xdr:xfrm>
          <a:off x="5457826" y="19878676"/>
          <a:ext cx="3495674" cy="2171700"/>
        </xdr:xfrm>
        <a:graphic>
          <a:graphicData uri="http://schemas.openxmlformats.org/drawingml/2006/chart">
            <c:chart xmlns:c="http://schemas.openxmlformats.org/drawingml/2006/chart" xmlns:r="http://schemas.openxmlformats.org/officeDocument/2006/relationships" r:id="rId22"/>
          </a:graphicData>
        </a:graphic>
      </xdr:graphicFrame>
    </xdr:grpSp>
    <xdr:clientData/>
  </xdr:twoCellAnchor>
  <xdr:twoCellAnchor>
    <xdr:from>
      <xdr:col>11</xdr:col>
      <xdr:colOff>676274</xdr:colOff>
      <xdr:row>98</xdr:row>
      <xdr:rowOff>200024</xdr:rowOff>
    </xdr:from>
    <xdr:to>
      <xdr:col>23</xdr:col>
      <xdr:colOff>19050</xdr:colOff>
      <xdr:row>109</xdr:row>
      <xdr:rowOff>190500</xdr:rowOff>
    </xdr:to>
    <xdr:grpSp>
      <xdr:nvGrpSpPr>
        <xdr:cNvPr id="12" name="Group 11">
          <a:extLst>
            <a:ext uri="{FF2B5EF4-FFF2-40B4-BE49-F238E27FC236}">
              <a16:creationId xmlns="" xmlns:a16="http://schemas.microsoft.com/office/drawing/2014/main" id="{00000000-0008-0000-0900-00000C000000}"/>
            </a:ext>
          </a:extLst>
        </xdr:cNvPr>
        <xdr:cNvGrpSpPr/>
      </xdr:nvGrpSpPr>
      <xdr:grpSpPr>
        <a:xfrm>
          <a:off x="9305924" y="19821524"/>
          <a:ext cx="8143876" cy="2190751"/>
          <a:chOff x="9886949" y="19764374"/>
          <a:chExt cx="8143876" cy="2190751"/>
        </a:xfrm>
      </xdr:grpSpPr>
      <xdr:graphicFrame macro="">
        <xdr:nvGraphicFramePr>
          <xdr:cNvPr id="7" name="Chart 6">
            <a:extLst>
              <a:ext uri="{FF2B5EF4-FFF2-40B4-BE49-F238E27FC236}">
                <a16:creationId xmlns="" xmlns:a16="http://schemas.microsoft.com/office/drawing/2014/main" id="{00000000-0008-0000-0900-000007000000}"/>
              </a:ext>
            </a:extLst>
          </xdr:cNvPr>
          <xdr:cNvGraphicFramePr/>
        </xdr:nvGraphicFramePr>
        <xdr:xfrm>
          <a:off x="12601575" y="19764375"/>
          <a:ext cx="2705100" cy="2190750"/>
        </xdr:xfrm>
        <a:graphic>
          <a:graphicData uri="http://schemas.openxmlformats.org/drawingml/2006/chart">
            <c:chart xmlns:c="http://schemas.openxmlformats.org/drawingml/2006/chart" xmlns:r="http://schemas.openxmlformats.org/officeDocument/2006/relationships" r:id="rId23"/>
          </a:graphicData>
        </a:graphic>
      </xdr:graphicFrame>
      <xdr:graphicFrame macro="">
        <xdr:nvGraphicFramePr>
          <xdr:cNvPr id="8" name="Chart 7">
            <a:extLst>
              <a:ext uri="{FF2B5EF4-FFF2-40B4-BE49-F238E27FC236}">
                <a16:creationId xmlns="" xmlns:a16="http://schemas.microsoft.com/office/drawing/2014/main" id="{00000000-0008-0000-0900-000008000000}"/>
              </a:ext>
            </a:extLst>
          </xdr:cNvPr>
          <xdr:cNvGraphicFramePr/>
        </xdr:nvGraphicFramePr>
        <xdr:xfrm>
          <a:off x="9886949" y="19764374"/>
          <a:ext cx="2695575" cy="2181225"/>
        </xdr:xfrm>
        <a:graphic>
          <a:graphicData uri="http://schemas.openxmlformats.org/drawingml/2006/chart">
            <c:chart xmlns:c="http://schemas.openxmlformats.org/drawingml/2006/chart" xmlns:r="http://schemas.openxmlformats.org/officeDocument/2006/relationships" r:id="rId24"/>
          </a:graphicData>
        </a:graphic>
      </xdr:graphicFrame>
      <xdr:graphicFrame macro="">
        <xdr:nvGraphicFramePr>
          <xdr:cNvPr id="32" name="Chart 31">
            <a:extLst>
              <a:ext uri="{FF2B5EF4-FFF2-40B4-BE49-F238E27FC236}">
                <a16:creationId xmlns="" xmlns:a16="http://schemas.microsoft.com/office/drawing/2014/main" id="{00000000-0008-0000-0900-000020000000}"/>
              </a:ext>
            </a:extLst>
          </xdr:cNvPr>
          <xdr:cNvGraphicFramePr>
            <a:graphicFrameLocks/>
          </xdr:cNvGraphicFramePr>
        </xdr:nvGraphicFramePr>
        <xdr:xfrm>
          <a:off x="15335250" y="19764375"/>
          <a:ext cx="2695575" cy="2181225"/>
        </xdr:xfrm>
        <a:graphic>
          <a:graphicData uri="http://schemas.openxmlformats.org/drawingml/2006/chart">
            <c:chart xmlns:c="http://schemas.openxmlformats.org/drawingml/2006/chart" xmlns:r="http://schemas.openxmlformats.org/officeDocument/2006/relationships" r:id="rId25"/>
          </a:graphicData>
        </a:graphic>
      </xdr:graphicFrame>
    </xdr:grpSp>
    <xdr:clientData/>
  </xdr:twoCellAnchor>
  <xdr:twoCellAnchor>
    <xdr:from>
      <xdr:col>23</xdr:col>
      <xdr:colOff>361951</xdr:colOff>
      <xdr:row>99</xdr:row>
      <xdr:rowOff>9525</xdr:rowOff>
    </xdr:from>
    <xdr:to>
      <xdr:col>27</xdr:col>
      <xdr:colOff>304801</xdr:colOff>
      <xdr:row>109</xdr:row>
      <xdr:rowOff>180975</xdr:rowOff>
    </xdr:to>
    <xdr:graphicFrame macro="">
      <xdr:nvGraphicFramePr>
        <xdr:cNvPr id="13" name="Chart 12">
          <a:extLst>
            <a:ext uri="{FF2B5EF4-FFF2-40B4-BE49-F238E27FC236}">
              <a16:creationId xmlns="" xmlns:a16="http://schemas.microsoft.com/office/drawing/2014/main" id="{00000000-0008-0000-0900-00000D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27</xdr:col>
      <xdr:colOff>304800</xdr:colOff>
      <xdr:row>99</xdr:row>
      <xdr:rowOff>9525</xdr:rowOff>
    </xdr:from>
    <xdr:to>
      <xdr:col>31</xdr:col>
      <xdr:colOff>247650</xdr:colOff>
      <xdr:row>109</xdr:row>
      <xdr:rowOff>180975</xdr:rowOff>
    </xdr:to>
    <xdr:graphicFrame macro="">
      <xdr:nvGraphicFramePr>
        <xdr:cNvPr id="47" name="Chart 46">
          <a:extLst>
            <a:ext uri="{FF2B5EF4-FFF2-40B4-BE49-F238E27FC236}">
              <a16:creationId xmlns="" xmlns:a16="http://schemas.microsoft.com/office/drawing/2014/main" id="{00000000-0008-0000-0900-00002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31</xdr:col>
      <xdr:colOff>238125</xdr:colOff>
      <xdr:row>99</xdr:row>
      <xdr:rowOff>9525</xdr:rowOff>
    </xdr:from>
    <xdr:to>
      <xdr:col>35</xdr:col>
      <xdr:colOff>276225</xdr:colOff>
      <xdr:row>109</xdr:row>
      <xdr:rowOff>180975</xdr:rowOff>
    </xdr:to>
    <xdr:graphicFrame macro="">
      <xdr:nvGraphicFramePr>
        <xdr:cNvPr id="48" name="Chart 47">
          <a:extLst>
            <a:ext uri="{FF2B5EF4-FFF2-40B4-BE49-F238E27FC236}">
              <a16:creationId xmlns="" xmlns:a16="http://schemas.microsoft.com/office/drawing/2014/main" id="{00000000-0008-0000-0900-00003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5</xdr:col>
      <xdr:colOff>590550</xdr:colOff>
      <xdr:row>90</xdr:row>
      <xdr:rowOff>166687</xdr:rowOff>
    </xdr:from>
    <xdr:to>
      <xdr:col>10</xdr:col>
      <xdr:colOff>257175</xdr:colOff>
      <xdr:row>96</xdr:row>
      <xdr:rowOff>247650</xdr:rowOff>
    </xdr:to>
    <xdr:graphicFrame macro="">
      <xdr:nvGraphicFramePr>
        <xdr:cNvPr id="14" name="Chart 13">
          <a:extLst>
            <a:ext uri="{FF2B5EF4-FFF2-40B4-BE49-F238E27FC236}">
              <a16:creationId xmlns="" xmlns:a16="http://schemas.microsoft.com/office/drawing/2014/main" id="{00000000-0008-0000-0900-00000E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17</xdr:col>
      <xdr:colOff>371475</xdr:colOff>
      <xdr:row>94</xdr:row>
      <xdr:rowOff>28575</xdr:rowOff>
    </xdr:from>
    <xdr:to>
      <xdr:col>22</xdr:col>
      <xdr:colOff>47625</xdr:colOff>
      <xdr:row>100</xdr:row>
      <xdr:rowOff>119062</xdr:rowOff>
    </xdr:to>
    <xdr:graphicFrame macro="">
      <xdr:nvGraphicFramePr>
        <xdr:cNvPr id="16" name="Chart 15">
          <a:extLst>
            <a:ext uri="{FF2B5EF4-FFF2-40B4-BE49-F238E27FC236}">
              <a16:creationId xmlns="" xmlns:a16="http://schemas.microsoft.com/office/drawing/2014/main" id="{00000000-0008-0000-0900-000010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25</xdr:col>
      <xdr:colOff>557212</xdr:colOff>
      <xdr:row>84</xdr:row>
      <xdr:rowOff>204787</xdr:rowOff>
    </xdr:from>
    <xdr:to>
      <xdr:col>31</xdr:col>
      <xdr:colOff>728662</xdr:colOff>
      <xdr:row>94</xdr:row>
      <xdr:rowOff>261937</xdr:rowOff>
    </xdr:to>
    <xdr:graphicFrame macro="">
      <xdr:nvGraphicFramePr>
        <xdr:cNvPr id="18" name="Chart 17">
          <a:extLst>
            <a:ext uri="{FF2B5EF4-FFF2-40B4-BE49-F238E27FC236}">
              <a16:creationId xmlns="" xmlns:a16="http://schemas.microsoft.com/office/drawing/2014/main" id="{00000000-0008-0000-0900-00001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1</xdr:col>
      <xdr:colOff>238125</xdr:colOff>
      <xdr:row>296</xdr:row>
      <xdr:rowOff>190500</xdr:rowOff>
    </xdr:from>
    <xdr:to>
      <xdr:col>6</xdr:col>
      <xdr:colOff>581025</xdr:colOff>
      <xdr:row>310</xdr:row>
      <xdr:rowOff>133350</xdr:rowOff>
    </xdr:to>
    <xdr:graphicFrame macro="">
      <xdr:nvGraphicFramePr>
        <xdr:cNvPr id="22" name="Chart 21">
          <a:extLst>
            <a:ext uri="{FF2B5EF4-FFF2-40B4-BE49-F238E27FC236}">
              <a16:creationId xmlns="" xmlns:a16="http://schemas.microsoft.com/office/drawing/2014/main" id="{5C5BC1FE-5138-4416-ABC9-565E39ED8B7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13</xdr:col>
      <xdr:colOff>314325</xdr:colOff>
      <xdr:row>296</xdr:row>
      <xdr:rowOff>171450</xdr:rowOff>
    </xdr:from>
    <xdr:to>
      <xdr:col>19</xdr:col>
      <xdr:colOff>485775</xdr:colOff>
      <xdr:row>310</xdr:row>
      <xdr:rowOff>114300</xdr:rowOff>
    </xdr:to>
    <xdr:graphicFrame macro="">
      <xdr:nvGraphicFramePr>
        <xdr:cNvPr id="49" name="Chart 48">
          <a:extLst>
            <a:ext uri="{FF2B5EF4-FFF2-40B4-BE49-F238E27FC236}">
              <a16:creationId xmlns="" xmlns:a16="http://schemas.microsoft.com/office/drawing/2014/main" id="{AD0D16B2-DF8E-4235-8285-6633CAD124B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6</xdr:col>
      <xdr:colOff>685800</xdr:colOff>
      <xdr:row>296</xdr:row>
      <xdr:rowOff>180975</xdr:rowOff>
    </xdr:from>
    <xdr:to>
      <xdr:col>13</xdr:col>
      <xdr:colOff>123825</xdr:colOff>
      <xdr:row>310</xdr:row>
      <xdr:rowOff>123825</xdr:rowOff>
    </xdr:to>
    <xdr:graphicFrame macro="">
      <xdr:nvGraphicFramePr>
        <xdr:cNvPr id="50" name="Chart 49">
          <a:extLst>
            <a:ext uri="{FF2B5EF4-FFF2-40B4-BE49-F238E27FC236}">
              <a16:creationId xmlns="" xmlns:a16="http://schemas.microsoft.com/office/drawing/2014/main" id="{832F53F6-F6A6-4AB2-9CE1-F0FFA85700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4</xdr:col>
      <xdr:colOff>508000</xdr:colOff>
      <xdr:row>0</xdr:row>
      <xdr:rowOff>23812</xdr:rowOff>
    </xdr:from>
    <xdr:to>
      <xdr:col>6</xdr:col>
      <xdr:colOff>1767416</xdr:colOff>
      <xdr:row>25</xdr:row>
      <xdr:rowOff>28575</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57150</xdr:colOff>
      <xdr:row>7</xdr:row>
      <xdr:rowOff>38101</xdr:rowOff>
    </xdr:from>
    <xdr:to>
      <xdr:col>2</xdr:col>
      <xdr:colOff>1104900</xdr:colOff>
      <xdr:row>19</xdr:row>
      <xdr:rowOff>0</xdr:rowOff>
    </xdr:to>
    <mc:AlternateContent xmlns:mc="http://schemas.openxmlformats.org/markup-compatibility/2006" xmlns:a14="http://schemas.microsoft.com/office/drawing/2010/main">
      <mc:Choice Requires="a14">
        <xdr:graphicFrame macro="">
          <xdr:nvGraphicFramePr>
            <xdr:cNvPr id="3" name="WASH focal Agency"/>
            <xdr:cNvGraphicFramePr/>
          </xdr:nvGraphicFramePr>
          <xdr:xfrm>
            <a:off x="0" y="0"/>
            <a:ext cx="0" cy="0"/>
          </xdr:xfrm>
          <a:graphic>
            <a:graphicData uri="http://schemas.microsoft.com/office/drawing/2010/slicer">
              <sle:slicer xmlns:sle="http://schemas.microsoft.com/office/drawing/2010/slicer" name="WASH focal Agency"/>
            </a:graphicData>
          </a:graphic>
        </xdr:graphicFrame>
      </mc:Choice>
      <mc:Fallback xmlns="">
        <xdr:sp macro="" textlink="">
          <xdr:nvSpPr>
            <xdr:cNvPr id="0" name=""/>
            <xdr:cNvSpPr>
              <a:spLocks noTextEdit="1"/>
            </xdr:cNvSpPr>
          </xdr:nvSpPr>
          <xdr:spPr>
            <a:xfrm>
              <a:off x="57150" y="1445684"/>
              <a:ext cx="4688417" cy="2374899"/>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0</xdr:colOff>
      <xdr:row>0</xdr:row>
      <xdr:rowOff>38100</xdr:rowOff>
    </xdr:from>
    <xdr:to>
      <xdr:col>0</xdr:col>
      <xdr:colOff>1828800</xdr:colOff>
      <xdr:row>7</xdr:row>
      <xdr:rowOff>95250</xdr:rowOff>
    </xdr:to>
    <mc:AlternateContent xmlns:mc="http://schemas.openxmlformats.org/markup-compatibility/2006" xmlns:a14="http://schemas.microsoft.com/office/drawing/2010/main">
      <mc:Choice Requires="a14">
        <xdr:graphicFrame macro="">
          <xdr:nvGraphicFramePr>
            <xdr:cNvPr id="4" name="State 1"/>
            <xdr:cNvGraphicFramePr/>
          </xdr:nvGraphicFramePr>
          <xdr:xfrm>
            <a:off x="0" y="0"/>
            <a:ext cx="0" cy="0"/>
          </xdr:xfrm>
          <a:graphic>
            <a:graphicData uri="http://schemas.microsoft.com/office/drawing/2010/slicer">
              <sle:slicer xmlns:sle="http://schemas.microsoft.com/office/drawing/2010/slicer" name="State 1"/>
            </a:graphicData>
          </a:graphic>
        </xdr:graphicFrame>
      </mc:Choice>
      <mc:Fallback xmlns="">
        <xdr:sp macro="" textlink="">
          <xdr:nvSpPr>
            <xdr:cNvPr id="0" name=""/>
            <xdr:cNvSpPr>
              <a:spLocks noTextEdit="1"/>
            </xdr:cNvSpPr>
          </xdr:nvSpPr>
          <xdr:spPr>
            <a:xfrm>
              <a:off x="0" y="38100"/>
              <a:ext cx="1828800" cy="1464733"/>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2</xdr:col>
      <xdr:colOff>1257300</xdr:colOff>
      <xdr:row>0</xdr:row>
      <xdr:rowOff>9525</xdr:rowOff>
    </xdr:from>
    <xdr:to>
      <xdr:col>4</xdr:col>
      <xdr:colOff>222250</xdr:colOff>
      <xdr:row>25</xdr:row>
      <xdr:rowOff>137583</xdr:rowOff>
    </xdr:to>
    <mc:AlternateContent xmlns:mc="http://schemas.openxmlformats.org/markup-compatibility/2006" xmlns:a14="http://schemas.microsoft.com/office/drawing/2010/main">
      <mc:Choice Requires="a14">
        <xdr:graphicFrame macro="">
          <xdr:nvGraphicFramePr>
            <xdr:cNvPr id="5" name="Township"/>
            <xdr:cNvGraphicFramePr/>
          </xdr:nvGraphicFramePr>
          <xdr:xfrm>
            <a:off x="0" y="0"/>
            <a:ext cx="0" cy="0"/>
          </xdr:xfrm>
          <a:graphic>
            <a:graphicData uri="http://schemas.microsoft.com/office/drawing/2010/slicer">
              <sle:slicer xmlns:sle="http://schemas.microsoft.com/office/drawing/2010/slicer" name="Township"/>
            </a:graphicData>
          </a:graphic>
        </xdr:graphicFrame>
      </mc:Choice>
      <mc:Fallback xmlns="">
        <xdr:sp macro="" textlink="">
          <xdr:nvSpPr>
            <xdr:cNvPr id="0" name=""/>
            <xdr:cNvSpPr>
              <a:spLocks noTextEdit="1"/>
            </xdr:cNvSpPr>
          </xdr:nvSpPr>
          <xdr:spPr>
            <a:xfrm>
              <a:off x="4897967" y="9525"/>
              <a:ext cx="1822450" cy="5155141"/>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1904999</xdr:colOff>
      <xdr:row>0</xdr:row>
      <xdr:rowOff>28575</xdr:rowOff>
    </xdr:from>
    <xdr:to>
      <xdr:col>2</xdr:col>
      <xdr:colOff>1209674</xdr:colOff>
      <xdr:row>7</xdr:row>
      <xdr:rowOff>66675</xdr:rowOff>
    </xdr:to>
    <mc:AlternateContent xmlns:mc="http://schemas.openxmlformats.org/markup-compatibility/2006" xmlns:a14="http://schemas.microsoft.com/office/drawing/2010/main">
      <mc:Choice Requires="a14">
        <xdr:graphicFrame macro="">
          <xdr:nvGraphicFramePr>
            <xdr:cNvPr id="6" name="Location Type 1"/>
            <xdr:cNvGraphicFramePr/>
          </xdr:nvGraphicFramePr>
          <xdr:xfrm>
            <a:off x="0" y="0"/>
            <a:ext cx="0" cy="0"/>
          </xdr:xfrm>
          <a:graphic>
            <a:graphicData uri="http://schemas.microsoft.com/office/drawing/2010/slicer">
              <sle:slicer xmlns:sle="http://schemas.microsoft.com/office/drawing/2010/slicer" name="Location Type 1"/>
            </a:graphicData>
          </a:graphic>
        </xdr:graphicFrame>
      </mc:Choice>
      <mc:Fallback xmlns="">
        <xdr:sp macro="" textlink="">
          <xdr:nvSpPr>
            <xdr:cNvPr id="0" name=""/>
            <xdr:cNvSpPr>
              <a:spLocks noTextEdit="1"/>
            </xdr:cNvSpPr>
          </xdr:nvSpPr>
          <xdr:spPr>
            <a:xfrm>
              <a:off x="1904999" y="28575"/>
              <a:ext cx="2945342" cy="1445683"/>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1</xdr:row>
      <xdr:rowOff>1323</xdr:rowOff>
    </xdr:from>
    <xdr:to>
      <xdr:col>7</xdr:col>
      <xdr:colOff>23812</xdr:colOff>
      <xdr:row>46</xdr:row>
      <xdr:rowOff>83343</xdr:rowOff>
    </xdr:to>
    <xdr:pic>
      <xdr:nvPicPr>
        <xdr:cNvPr id="10" name="Picture 9">
          <a:extLst>
            <a:ext uri="{FF2B5EF4-FFF2-40B4-BE49-F238E27FC236}">
              <a16:creationId xmlns="" xmlns:a16="http://schemas.microsoft.com/office/drawing/2014/main" id="{00000000-0008-0000-0A00-00000A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5257" t="11354" b="8526"/>
        <a:stretch/>
      </xdr:blipFill>
      <xdr:spPr>
        <a:xfrm>
          <a:off x="0" y="418042"/>
          <a:ext cx="6441281" cy="8071114"/>
        </a:xfrm>
        <a:prstGeom prst="rect">
          <a:avLst/>
        </a:prstGeom>
      </xdr:spPr>
    </xdr:pic>
    <xdr:clientData/>
  </xdr:twoCellAnchor>
  <xdr:twoCellAnchor editAs="oneCell">
    <xdr:from>
      <xdr:col>0</xdr:col>
      <xdr:colOff>30276</xdr:colOff>
      <xdr:row>1</xdr:row>
      <xdr:rowOff>64482</xdr:rowOff>
    </xdr:from>
    <xdr:to>
      <xdr:col>1</xdr:col>
      <xdr:colOff>1214098</xdr:colOff>
      <xdr:row>17</xdr:row>
      <xdr:rowOff>2495</xdr:rowOff>
    </xdr:to>
    <xdr:pic>
      <xdr:nvPicPr>
        <xdr:cNvPr id="4" name="Picture 3">
          <a:extLst>
            <a:ext uri="{FF2B5EF4-FFF2-40B4-BE49-F238E27FC236}">
              <a16:creationId xmlns="" xmlns:a16="http://schemas.microsoft.com/office/drawing/2014/main" id="{00000000-0008-0000-0A00-000004000000}"/>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2642" r="6617" b="1068"/>
        <a:stretch/>
      </xdr:blipFill>
      <xdr:spPr bwMode="auto">
        <a:xfrm>
          <a:off x="30276" y="481201"/>
          <a:ext cx="1302885" cy="25970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16</xdr:col>
      <xdr:colOff>92038</xdr:colOff>
      <xdr:row>48</xdr:row>
      <xdr:rowOff>83342</xdr:rowOff>
    </xdr:from>
    <xdr:to>
      <xdr:col>28</xdr:col>
      <xdr:colOff>552450</xdr:colOff>
      <xdr:row>62</xdr:row>
      <xdr:rowOff>40821</xdr:rowOff>
    </xdr:to>
    <xdr:graphicFrame macro="">
      <xdr:nvGraphicFramePr>
        <xdr:cNvPr id="8" name="Chart 7">
          <a:extLst>
            <a:ext uri="{FF2B5EF4-FFF2-40B4-BE49-F238E27FC236}">
              <a16:creationId xmlns="" xmlns:a16="http://schemas.microsoft.com/office/drawing/2014/main" id="{00000000-0008-0000-0A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2</xdr:rowOff>
    </xdr:from>
    <xdr:to>
      <xdr:col>28</xdr:col>
      <xdr:colOff>559594</xdr:colOff>
      <xdr:row>1</xdr:row>
      <xdr:rowOff>71438</xdr:rowOff>
    </xdr:to>
    <xdr:sp macro="" textlink="">
      <xdr:nvSpPr>
        <xdr:cNvPr id="3" name="TextBox 2">
          <a:extLst>
            <a:ext uri="{FF2B5EF4-FFF2-40B4-BE49-F238E27FC236}">
              <a16:creationId xmlns="" xmlns:a16="http://schemas.microsoft.com/office/drawing/2014/main" id="{00000000-0008-0000-0A00-000003000000}"/>
            </a:ext>
          </a:extLst>
        </xdr:cNvPr>
        <xdr:cNvSpPr txBox="1"/>
      </xdr:nvSpPr>
      <xdr:spPr>
        <a:xfrm>
          <a:off x="0" y="2"/>
          <a:ext cx="23657719" cy="488155"/>
        </a:xfrm>
        <a:prstGeom prst="rect">
          <a:avLst/>
        </a:prstGeom>
        <a:solidFill>
          <a:srgbClr val="098A9B"/>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400" b="1">
              <a:solidFill>
                <a:schemeClr val="bg1"/>
              </a:solidFill>
            </a:rPr>
            <a:t>		KACHIN STATE</a:t>
          </a:r>
          <a:r>
            <a:rPr lang="en-US" sz="1400" b="1" baseline="0">
              <a:solidFill>
                <a:schemeClr val="bg1"/>
              </a:solidFill>
            </a:rPr>
            <a:t>  (</a:t>
          </a:r>
          <a:r>
            <a:rPr lang="en-US" sz="1400" b="1" baseline="0">
              <a:solidFill>
                <a:schemeClr val="bg1"/>
              </a:solidFill>
              <a:effectLst/>
              <a:latin typeface="+mn-lt"/>
              <a:ea typeface="+mn-ea"/>
              <a:cs typeface="+mn-cs"/>
            </a:rPr>
            <a:t>2018-Qtr 1- 4W Analysis, as of 31  March 2018)</a:t>
          </a:r>
          <a:r>
            <a:rPr lang="en-US" sz="1400" b="1" baseline="0">
              <a:solidFill>
                <a:schemeClr val="dk1"/>
              </a:solidFill>
              <a:effectLst/>
              <a:latin typeface="+mn-lt"/>
              <a:ea typeface="+mn-ea"/>
              <a:cs typeface="+mn-cs"/>
            </a:rPr>
            <a:t>	</a:t>
          </a:r>
          <a:r>
            <a:rPr lang="en-US" sz="1400" b="1" baseline="0">
              <a:solidFill>
                <a:schemeClr val="bg1"/>
              </a:solidFill>
            </a:rPr>
            <a:t>			</a:t>
          </a:r>
          <a:endParaRPr lang="en-US" sz="1400" b="1">
            <a:solidFill>
              <a:schemeClr val="bg1"/>
            </a:solidFill>
          </a:endParaRPr>
        </a:p>
      </xdr:txBody>
    </xdr:sp>
    <xdr:clientData/>
  </xdr:twoCellAnchor>
  <xdr:twoCellAnchor>
    <xdr:from>
      <xdr:col>16</xdr:col>
      <xdr:colOff>59061</xdr:colOff>
      <xdr:row>2</xdr:row>
      <xdr:rowOff>81643</xdr:rowOff>
    </xdr:from>
    <xdr:to>
      <xdr:col>23</xdr:col>
      <xdr:colOff>511971</xdr:colOff>
      <xdr:row>20</xdr:row>
      <xdr:rowOff>136071</xdr:rowOff>
    </xdr:to>
    <xdr:graphicFrame macro="">
      <xdr:nvGraphicFramePr>
        <xdr:cNvPr id="26" name="Chart 25">
          <a:extLst>
            <a:ext uri="{FF2B5EF4-FFF2-40B4-BE49-F238E27FC236}">
              <a16:creationId xmlns="" xmlns:a16="http://schemas.microsoft.com/office/drawing/2014/main" id="{00000000-0008-0000-0A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21</xdr:col>
      <xdr:colOff>280647</xdr:colOff>
      <xdr:row>36</xdr:row>
      <xdr:rowOff>132671</xdr:rowOff>
    </xdr:from>
    <xdr:to>
      <xdr:col>25</xdr:col>
      <xdr:colOff>1004547</xdr:colOff>
      <xdr:row>47</xdr:row>
      <xdr:rowOff>21229</xdr:rowOff>
    </xdr:to>
    <xdr:graphicFrame macro="">
      <xdr:nvGraphicFramePr>
        <xdr:cNvPr id="9" name="Chart 8">
          <a:extLst>
            <a:ext uri="{FF2B5EF4-FFF2-40B4-BE49-F238E27FC236}">
              <a16:creationId xmlns="" xmlns:a16="http://schemas.microsoft.com/office/drawing/2014/main" id="{00000000-0008-0000-0A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25</xdr:col>
      <xdr:colOff>1086229</xdr:colOff>
      <xdr:row>36</xdr:row>
      <xdr:rowOff>143161</xdr:rowOff>
    </xdr:from>
    <xdr:to>
      <xdr:col>28</xdr:col>
      <xdr:colOff>705229</xdr:colOff>
      <xdr:row>47</xdr:row>
      <xdr:rowOff>31719</xdr:rowOff>
    </xdr:to>
    <xdr:graphicFrame macro="">
      <xdr:nvGraphicFramePr>
        <xdr:cNvPr id="13" name="Chart 12">
          <a:extLst>
            <a:ext uri="{FF2B5EF4-FFF2-40B4-BE49-F238E27FC236}">
              <a16:creationId xmlns="" xmlns:a16="http://schemas.microsoft.com/office/drawing/2014/main" id="{00000000-0008-0000-0A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23</xdr:col>
      <xdr:colOff>590550</xdr:colOff>
      <xdr:row>3</xdr:row>
      <xdr:rowOff>57150</xdr:rowOff>
    </xdr:from>
    <xdr:to>
      <xdr:col>28</xdr:col>
      <xdr:colOff>523872</xdr:colOff>
      <xdr:row>20</xdr:row>
      <xdr:rowOff>119063</xdr:rowOff>
    </xdr:to>
    <xdr:graphicFrame macro="">
      <xdr:nvGraphicFramePr>
        <xdr:cNvPr id="22" name="Chart 21">
          <a:extLst>
            <a:ext uri="{FF2B5EF4-FFF2-40B4-BE49-F238E27FC236}">
              <a16:creationId xmlns="" xmlns:a16="http://schemas.microsoft.com/office/drawing/2014/main" id="{00000000-0008-0000-0A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73042</xdr:colOff>
      <xdr:row>38</xdr:row>
      <xdr:rowOff>106151</xdr:rowOff>
    </xdr:from>
    <xdr:to>
      <xdr:col>16</xdr:col>
      <xdr:colOff>19050</xdr:colOff>
      <xdr:row>42</xdr:row>
      <xdr:rowOff>57150</xdr:rowOff>
    </xdr:to>
    <xdr:sp macro="" textlink="">
      <xdr:nvSpPr>
        <xdr:cNvPr id="30" name="Rectangle 29">
          <a:extLst>
            <a:ext uri="{FF2B5EF4-FFF2-40B4-BE49-F238E27FC236}">
              <a16:creationId xmlns="" xmlns:a16="http://schemas.microsoft.com/office/drawing/2014/main" id="{00000000-0008-0000-0A00-00001E000000}"/>
            </a:ext>
          </a:extLst>
        </xdr:cNvPr>
        <xdr:cNvSpPr/>
      </xdr:nvSpPr>
      <xdr:spPr>
        <a:xfrm>
          <a:off x="6473842" y="7268951"/>
          <a:ext cx="7546958" cy="636799"/>
        </a:xfrm>
        <a:prstGeom prst="rect">
          <a:avLst/>
        </a:prstGeom>
        <a:ln>
          <a:solidFill>
            <a:schemeClr val="accent1">
              <a:lumMod val="20000"/>
              <a:lumOff val="80000"/>
            </a:schemeClr>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endParaRPr lang="en-US" sz="1200" b="1" i="0" u="none" strike="noStrike">
            <a:solidFill>
              <a:schemeClr val="bg1">
                <a:lumMod val="50000"/>
              </a:schemeClr>
            </a:solidFill>
            <a:effectLst/>
            <a:latin typeface="+mn-lt"/>
            <a:ea typeface="+mn-ea"/>
            <a:cs typeface="+mn-cs"/>
          </a:endParaRPr>
        </a:p>
        <a:p>
          <a:pPr algn="l"/>
          <a:r>
            <a:rPr lang="en-US" sz="1200" b="1" i="0" u="none" strike="noStrike">
              <a:solidFill>
                <a:schemeClr val="bg1">
                  <a:lumMod val="50000"/>
                </a:schemeClr>
              </a:solidFill>
              <a:effectLst/>
              <a:latin typeface="+mn-lt"/>
              <a:ea typeface="+mn-ea"/>
              <a:cs typeface="+mn-cs"/>
            </a:rPr>
            <a:t>DONORS: </a:t>
          </a:r>
          <a:r>
            <a:rPr lang="en-US" sz="1200" b="0" i="0" u="none" strike="noStrike">
              <a:solidFill>
                <a:schemeClr val="bg1">
                  <a:lumMod val="50000"/>
                </a:schemeClr>
              </a:solidFill>
              <a:effectLst/>
              <a:latin typeface="+mn-lt"/>
              <a:ea typeface="+mn-ea"/>
              <a:cs typeface="+mn-cs"/>
            </a:rPr>
            <a:t>CIDA, DFID, ECHO, GFFO, HARP, Irish Aid, LDS , MHF, MoFA Lux, UNICEF, WHH-BMZ</a:t>
          </a:r>
          <a:endParaRPr lang="en-US" sz="1200">
            <a:solidFill>
              <a:schemeClr val="bg1">
                <a:lumMod val="50000"/>
              </a:schemeClr>
            </a:solidFill>
          </a:endParaRPr>
        </a:p>
      </xdr:txBody>
    </xdr:sp>
    <xdr:clientData/>
  </xdr:twoCellAnchor>
  <xdr:twoCellAnchor>
    <xdr:from>
      <xdr:col>7</xdr:col>
      <xdr:colOff>87504</xdr:colOff>
      <xdr:row>42</xdr:row>
      <xdr:rowOff>80624</xdr:rowOff>
    </xdr:from>
    <xdr:to>
      <xdr:col>16</xdr:col>
      <xdr:colOff>40822</xdr:colOff>
      <xdr:row>51</xdr:row>
      <xdr:rowOff>68036</xdr:rowOff>
    </xdr:to>
    <xdr:grpSp>
      <xdr:nvGrpSpPr>
        <xdr:cNvPr id="5" name="Group 4">
          <a:extLst>
            <a:ext uri="{FF2B5EF4-FFF2-40B4-BE49-F238E27FC236}">
              <a16:creationId xmlns="" xmlns:a16="http://schemas.microsoft.com/office/drawing/2014/main" id="{00000000-0008-0000-0A00-000005000000}"/>
            </a:ext>
          </a:extLst>
        </xdr:cNvPr>
        <xdr:cNvGrpSpPr/>
      </xdr:nvGrpSpPr>
      <xdr:grpSpPr>
        <a:xfrm>
          <a:off x="6469254" y="7398999"/>
          <a:ext cx="7509818" cy="2067037"/>
          <a:chOff x="10489189" y="3422564"/>
          <a:chExt cx="9921636" cy="725482"/>
        </a:xfrm>
      </xdr:grpSpPr>
      <xdr:graphicFrame macro="">
        <xdr:nvGraphicFramePr>
          <xdr:cNvPr id="23" name="Chart 22">
            <a:extLst>
              <a:ext uri="{FF2B5EF4-FFF2-40B4-BE49-F238E27FC236}">
                <a16:creationId xmlns="" xmlns:a16="http://schemas.microsoft.com/office/drawing/2014/main" id="{00000000-0008-0000-0A00-000017000000}"/>
              </a:ext>
            </a:extLst>
          </xdr:cNvPr>
          <xdr:cNvGraphicFramePr>
            <a:graphicFrameLocks/>
          </xdr:cNvGraphicFramePr>
        </xdr:nvGraphicFramePr>
        <xdr:xfrm>
          <a:off x="10489189" y="3422564"/>
          <a:ext cx="9921636" cy="725482"/>
        </xdr:xfrm>
        <a:graphic>
          <a:graphicData uri="http://schemas.openxmlformats.org/drawingml/2006/chart">
            <c:chart xmlns:c="http://schemas.openxmlformats.org/drawingml/2006/chart" xmlns:r="http://schemas.openxmlformats.org/officeDocument/2006/relationships" r:id="rId8"/>
          </a:graphicData>
        </a:graphic>
      </xdr:graphicFrame>
      <xdr:sp macro="" textlink="">
        <xdr:nvSpPr>
          <xdr:cNvPr id="17" name="TextBox 16">
            <a:hlinkClick xmlns:r="http://schemas.openxmlformats.org/officeDocument/2006/relationships" r:id="rId9"/>
            <a:extLst>
              <a:ext uri="{FF2B5EF4-FFF2-40B4-BE49-F238E27FC236}">
                <a16:creationId xmlns="" xmlns:a16="http://schemas.microsoft.com/office/drawing/2014/main" id="{00000000-0008-0000-0A00-000011000000}"/>
              </a:ext>
            </a:extLst>
          </xdr:cNvPr>
          <xdr:cNvSpPr txBox="1"/>
        </xdr:nvSpPr>
        <xdr:spPr>
          <a:xfrm>
            <a:off x="19057113" y="3439814"/>
            <a:ext cx="1323155" cy="184266"/>
          </a:xfrm>
          <a:prstGeom prst="rect">
            <a:avLst/>
          </a:prstGeom>
          <a:solidFill>
            <a:schemeClr val="accent1">
              <a:lumMod val="7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chemeClr val="bg1"/>
                </a:solidFill>
              </a:rPr>
              <a:t>More</a:t>
            </a:r>
            <a:r>
              <a:rPr lang="en-US" sz="1100" b="1" baseline="0">
                <a:solidFill>
                  <a:schemeClr val="bg1"/>
                </a:solidFill>
              </a:rPr>
              <a:t> info on gaps </a:t>
            </a:r>
            <a:r>
              <a:rPr lang="en-US" sz="800" b="1" baseline="0">
                <a:solidFill>
                  <a:schemeClr val="bg1"/>
                </a:solidFill>
              </a:rPr>
              <a:t>(click here)</a:t>
            </a:r>
            <a:endParaRPr lang="en-US" sz="800" b="1">
              <a:solidFill>
                <a:schemeClr val="bg1"/>
              </a:solidFill>
            </a:endParaRPr>
          </a:p>
        </xdr:txBody>
      </xdr:sp>
    </xdr:grpSp>
    <xdr:clientData/>
  </xdr:twoCellAnchor>
  <xdr:twoCellAnchor>
    <xdr:from>
      <xdr:col>16</xdr:col>
      <xdr:colOff>86744</xdr:colOff>
      <xdr:row>22</xdr:row>
      <xdr:rowOff>134370</xdr:rowOff>
    </xdr:from>
    <xdr:to>
      <xdr:col>21</xdr:col>
      <xdr:colOff>239144</xdr:colOff>
      <xdr:row>36</xdr:row>
      <xdr:rowOff>77609</xdr:rowOff>
    </xdr:to>
    <xdr:graphicFrame macro="">
      <xdr:nvGraphicFramePr>
        <xdr:cNvPr id="36" name="Chart 35">
          <a:extLst>
            <a:ext uri="{FF2B5EF4-FFF2-40B4-BE49-F238E27FC236}">
              <a16:creationId xmlns="" xmlns:a16="http://schemas.microsoft.com/office/drawing/2014/main" id="{00000000-0008-0000-0A00-00002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137584</xdr:colOff>
      <xdr:row>35</xdr:row>
      <xdr:rowOff>127000</xdr:rowOff>
    </xdr:from>
    <xdr:to>
      <xdr:col>21</xdr:col>
      <xdr:colOff>228600</xdr:colOff>
      <xdr:row>47</xdr:row>
      <xdr:rowOff>185736</xdr:rowOff>
    </xdr:to>
    <xdr:graphicFrame macro="">
      <xdr:nvGraphicFramePr>
        <xdr:cNvPr id="37" name="Chart 36">
          <a:extLst>
            <a:ext uri="{FF2B5EF4-FFF2-40B4-BE49-F238E27FC236}">
              <a16:creationId xmlns="" xmlns:a16="http://schemas.microsoft.com/office/drawing/2014/main" id="{00000000-0008-0000-0A00-00002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21</xdr:col>
      <xdr:colOff>354096</xdr:colOff>
      <xdr:row>22</xdr:row>
      <xdr:rowOff>124973</xdr:rowOff>
    </xdr:from>
    <xdr:to>
      <xdr:col>25</xdr:col>
      <xdr:colOff>1016794</xdr:colOff>
      <xdr:row>36</xdr:row>
      <xdr:rowOff>68212</xdr:rowOff>
    </xdr:to>
    <xdr:graphicFrame macro="">
      <xdr:nvGraphicFramePr>
        <xdr:cNvPr id="38" name="Chart 37">
          <a:extLst>
            <a:ext uri="{FF2B5EF4-FFF2-40B4-BE49-F238E27FC236}">
              <a16:creationId xmlns="" xmlns:a16="http://schemas.microsoft.com/office/drawing/2014/main" id="{00000000-0008-0000-0A00-00002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7</xdr:col>
      <xdr:colOff>76730</xdr:colOff>
      <xdr:row>1</xdr:row>
      <xdr:rowOff>119062</xdr:rowOff>
    </xdr:from>
    <xdr:to>
      <xdr:col>16</xdr:col>
      <xdr:colOff>11906</xdr:colOff>
      <xdr:row>28</xdr:row>
      <xdr:rowOff>168011</xdr:rowOff>
    </xdr:to>
    <xdr:graphicFrame macro="">
      <xdr:nvGraphicFramePr>
        <xdr:cNvPr id="39" name="Chart 38">
          <a:extLst>
            <a:ext uri="{FF2B5EF4-FFF2-40B4-BE49-F238E27FC236}">
              <a16:creationId xmlns="" xmlns:a16="http://schemas.microsoft.com/office/drawing/2014/main" id="{00000000-0008-0000-0A00-00002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25</xdr:col>
      <xdr:colOff>190500</xdr:colOff>
      <xdr:row>7</xdr:row>
      <xdr:rowOff>40821</xdr:rowOff>
    </xdr:from>
    <xdr:to>
      <xdr:col>27</xdr:col>
      <xdr:colOff>1117213</xdr:colOff>
      <xdr:row>8</xdr:row>
      <xdr:rowOff>85859</xdr:rowOff>
    </xdr:to>
    <xdr:cxnSp macro="">
      <xdr:nvCxnSpPr>
        <xdr:cNvPr id="7" name="Connector: Elbow 6">
          <a:extLst>
            <a:ext uri="{FF2B5EF4-FFF2-40B4-BE49-F238E27FC236}">
              <a16:creationId xmlns="" xmlns:a16="http://schemas.microsoft.com/office/drawing/2014/main" id="{00000000-0008-0000-0A00-000007000000}"/>
            </a:ext>
          </a:extLst>
        </xdr:cNvPr>
        <xdr:cNvCxnSpPr/>
      </xdr:nvCxnSpPr>
      <xdr:spPr>
        <a:xfrm>
          <a:off x="19662321" y="1442357"/>
          <a:ext cx="2831713" cy="208323"/>
        </a:xfrm>
        <a:prstGeom prst="bentConnector3">
          <a:avLst>
            <a:gd name="adj1" fmla="val 99494"/>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25</xdr:col>
      <xdr:colOff>1058333</xdr:colOff>
      <xdr:row>23</xdr:row>
      <xdr:rowOff>42334</xdr:rowOff>
    </xdr:from>
    <xdr:to>
      <xdr:col>28</xdr:col>
      <xdr:colOff>628651</xdr:colOff>
      <xdr:row>36</xdr:row>
      <xdr:rowOff>57150</xdr:rowOff>
    </xdr:to>
    <xdr:graphicFrame macro="">
      <xdr:nvGraphicFramePr>
        <xdr:cNvPr id="31" name="Chart 30">
          <a:extLst>
            <a:ext uri="{FF2B5EF4-FFF2-40B4-BE49-F238E27FC236}">
              <a16:creationId xmlns="" xmlns:a16="http://schemas.microsoft.com/office/drawing/2014/main" id="{00000000-0008-0000-0A00-00001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16</xdr:col>
      <xdr:colOff>95250</xdr:colOff>
      <xdr:row>21</xdr:row>
      <xdr:rowOff>71437</xdr:rowOff>
    </xdr:from>
    <xdr:to>
      <xdr:col>28</xdr:col>
      <xdr:colOff>564358</xdr:colOff>
      <xdr:row>22</xdr:row>
      <xdr:rowOff>152400</xdr:rowOff>
    </xdr:to>
    <xdr:sp macro="" textlink="">
      <xdr:nvSpPr>
        <xdr:cNvPr id="35" name="TextBox 34">
          <a:extLst>
            <a:ext uri="{FF2B5EF4-FFF2-40B4-BE49-F238E27FC236}">
              <a16:creationId xmlns="" xmlns:a16="http://schemas.microsoft.com/office/drawing/2014/main" id="{00000000-0008-0000-0A00-000023000000}"/>
            </a:ext>
          </a:extLst>
        </xdr:cNvPr>
        <xdr:cNvSpPr txBox="1"/>
      </xdr:nvSpPr>
      <xdr:spPr>
        <a:xfrm>
          <a:off x="14097000" y="3919537"/>
          <a:ext cx="9613108" cy="252413"/>
        </a:xfrm>
        <a:prstGeom prst="rect">
          <a:avLst/>
        </a:prstGeom>
        <a:solidFill>
          <a:schemeClr val="accent2">
            <a:lumMod val="7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rtl="0" eaLnBrk="1" fontAlgn="auto" latinLnBrk="0" hangingPunct="1">
            <a:lnSpc>
              <a:spcPct val="100000"/>
            </a:lnSpc>
            <a:spcBef>
              <a:spcPts val="0"/>
            </a:spcBef>
            <a:spcAft>
              <a:spcPts val="0"/>
            </a:spcAft>
            <a:buClrTx/>
            <a:buSzTx/>
            <a:buFontTx/>
            <a:buNone/>
            <a:tabLst/>
            <a:defRPr/>
          </a:pPr>
          <a:r>
            <a:rPr lang="en-US" sz="1200" b="1" i="0" baseline="0">
              <a:solidFill>
                <a:schemeClr val="bg1"/>
              </a:solidFill>
              <a:effectLst/>
              <a:latin typeface="+mn-lt"/>
              <a:ea typeface="+mn-ea"/>
              <a:cs typeface="+mn-cs"/>
            </a:rPr>
            <a:t>Sanitation Facilities 			                                                  Sanitation services</a:t>
          </a:r>
          <a:endParaRPr lang="en-US" sz="1200">
            <a:solidFill>
              <a:schemeClr val="bg1"/>
            </a:solidFill>
            <a:effectLst/>
          </a:endParaRPr>
        </a:p>
      </xdr:txBody>
    </xdr:sp>
    <xdr:clientData/>
  </xdr:twoCellAnchor>
  <xdr:twoCellAnchor>
    <xdr:from>
      <xdr:col>7</xdr:col>
      <xdr:colOff>71438</xdr:colOff>
      <xdr:row>28</xdr:row>
      <xdr:rowOff>222822</xdr:rowOff>
    </xdr:from>
    <xdr:to>
      <xdr:col>12</xdr:col>
      <xdr:colOff>260509</xdr:colOff>
      <xdr:row>38</xdr:row>
      <xdr:rowOff>87091</xdr:rowOff>
    </xdr:to>
    <xdr:graphicFrame macro="">
      <xdr:nvGraphicFramePr>
        <xdr:cNvPr id="43" name="Chart 42">
          <a:extLst>
            <a:ext uri="{FF2B5EF4-FFF2-40B4-BE49-F238E27FC236}">
              <a16:creationId xmlns="" xmlns:a16="http://schemas.microsoft.com/office/drawing/2014/main" id="{00000000-0008-0000-0A00-00002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12</xdr:col>
      <xdr:colOff>304668</xdr:colOff>
      <xdr:row>28</xdr:row>
      <xdr:rowOff>221455</xdr:rowOff>
    </xdr:from>
    <xdr:to>
      <xdr:col>16</xdr:col>
      <xdr:colOff>29396</xdr:colOff>
      <xdr:row>38</xdr:row>
      <xdr:rowOff>85724</xdr:rowOff>
    </xdr:to>
    <xdr:graphicFrame macro="">
      <xdr:nvGraphicFramePr>
        <xdr:cNvPr id="44" name="Chart 43">
          <a:extLst>
            <a:ext uri="{FF2B5EF4-FFF2-40B4-BE49-F238E27FC236}">
              <a16:creationId xmlns="" xmlns:a16="http://schemas.microsoft.com/office/drawing/2014/main" id="{00000000-0008-0000-0A00-00002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16</xdr:col>
      <xdr:colOff>57150</xdr:colOff>
      <xdr:row>47</xdr:row>
      <xdr:rowOff>142875</xdr:rowOff>
    </xdr:from>
    <xdr:to>
      <xdr:col>28</xdr:col>
      <xdr:colOff>600074</xdr:colOff>
      <xdr:row>47</xdr:row>
      <xdr:rowOff>419100</xdr:rowOff>
    </xdr:to>
    <xdr:sp macro="" textlink="">
      <xdr:nvSpPr>
        <xdr:cNvPr id="45" name="TextBox 45">
          <a:extLst>
            <a:ext uri="{FF2B5EF4-FFF2-40B4-BE49-F238E27FC236}">
              <a16:creationId xmlns="" xmlns:a16="http://schemas.microsoft.com/office/drawing/2014/main" id="{00000000-0008-0000-0A00-00002D000000}"/>
            </a:ext>
          </a:extLst>
        </xdr:cNvPr>
        <xdr:cNvSpPr txBox="1"/>
      </xdr:nvSpPr>
      <xdr:spPr>
        <a:xfrm>
          <a:off x="14058900" y="8943975"/>
          <a:ext cx="9686924" cy="276225"/>
        </a:xfrm>
        <a:prstGeom prst="rect">
          <a:avLst/>
        </a:prstGeom>
        <a:solidFill>
          <a:schemeClr val="accent6">
            <a:lumMod val="7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marR="0" lvl="0" indent="0" defTabSz="914400" rtl="0" eaLnBrk="1" fontAlgn="auto" latinLnBrk="0" hangingPunct="1">
            <a:lnSpc>
              <a:spcPct val="100000"/>
            </a:lnSpc>
            <a:spcBef>
              <a:spcPts val="0"/>
            </a:spcBef>
            <a:spcAft>
              <a:spcPts val="0"/>
            </a:spcAft>
            <a:buClrTx/>
            <a:buSzTx/>
            <a:buFontTx/>
            <a:buNone/>
            <a:tabLst/>
            <a:defRPr/>
          </a:pPr>
          <a:r>
            <a:rPr lang="en-US" sz="1200" b="1" i="0" baseline="0">
              <a:solidFill>
                <a:schemeClr val="bg1"/>
              </a:solidFill>
              <a:effectLst/>
              <a:latin typeface="+mn-lt"/>
              <a:ea typeface="+mn-ea"/>
              <a:cs typeface="+mn-cs"/>
            </a:rPr>
            <a:t>Hygiene Items 			                                      </a:t>
          </a:r>
          <a:endParaRPr lang="en-US" sz="1200">
            <a:solidFill>
              <a:schemeClr val="bg1"/>
            </a:solidFill>
            <a:effectLst/>
          </a:endParaRPr>
        </a:p>
      </xdr:txBody>
    </xdr:sp>
    <xdr:clientData/>
  </xdr:twoCellAnchor>
  <xdr:twoCellAnchor>
    <xdr:from>
      <xdr:col>16</xdr:col>
      <xdr:colOff>1</xdr:colOff>
      <xdr:row>1</xdr:row>
      <xdr:rowOff>71437</xdr:rowOff>
    </xdr:from>
    <xdr:to>
      <xdr:col>28</xdr:col>
      <xdr:colOff>552451</xdr:colOff>
      <xdr:row>3</xdr:row>
      <xdr:rowOff>0</xdr:rowOff>
    </xdr:to>
    <xdr:sp macro="" textlink="">
      <xdr:nvSpPr>
        <xdr:cNvPr id="46" name="Rectangle 45">
          <a:extLst>
            <a:ext uri="{FF2B5EF4-FFF2-40B4-BE49-F238E27FC236}">
              <a16:creationId xmlns="" xmlns:a16="http://schemas.microsoft.com/office/drawing/2014/main" id="{00000000-0008-0000-0A00-00002E000000}"/>
            </a:ext>
          </a:extLst>
        </xdr:cNvPr>
        <xdr:cNvSpPr/>
      </xdr:nvSpPr>
      <xdr:spPr>
        <a:xfrm>
          <a:off x="14001751" y="490537"/>
          <a:ext cx="9696450" cy="271463"/>
        </a:xfrm>
        <a:prstGeom prst="rect">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200" b="1"/>
            <a:t>Water Quantity                                                                                                                               Water Quality</a:t>
          </a:r>
        </a:p>
      </xdr:txBody>
    </xdr:sp>
    <xdr:clientData/>
  </xdr:twoCellAnchor>
  <xdr:twoCellAnchor>
    <xdr:from>
      <xdr:col>7</xdr:col>
      <xdr:colOff>678656</xdr:colOff>
      <xdr:row>60</xdr:row>
      <xdr:rowOff>-1</xdr:rowOff>
    </xdr:from>
    <xdr:to>
      <xdr:col>10</xdr:col>
      <xdr:colOff>252508</xdr:colOff>
      <xdr:row>61</xdr:row>
      <xdr:rowOff>37707</xdr:rowOff>
    </xdr:to>
    <xdr:sp macro="" textlink="">
      <xdr:nvSpPr>
        <xdr:cNvPr id="47" name="Rectangle 46">
          <a:extLst>
            <a:ext uri="{FF2B5EF4-FFF2-40B4-BE49-F238E27FC236}">
              <a16:creationId xmlns="" xmlns:a16="http://schemas.microsoft.com/office/drawing/2014/main" id="{00000000-0008-0000-0A00-00002F000000}"/>
            </a:ext>
          </a:extLst>
        </xdr:cNvPr>
        <xdr:cNvSpPr/>
      </xdr:nvSpPr>
      <xdr:spPr>
        <a:xfrm>
          <a:off x="7096125" y="11882437"/>
          <a:ext cx="1645539" cy="27583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900" b="1">
              <a:solidFill>
                <a:srgbClr val="002060"/>
              </a:solidFill>
            </a:rPr>
            <a:t>Nb of Sites</a:t>
          </a:r>
        </a:p>
      </xdr:txBody>
    </xdr:sp>
    <xdr:clientData/>
  </xdr:twoCellAnchor>
  <xdr:twoCellAnchor>
    <xdr:from>
      <xdr:col>26</xdr:col>
      <xdr:colOff>95249</xdr:colOff>
      <xdr:row>9</xdr:row>
      <xdr:rowOff>19050</xdr:rowOff>
    </xdr:from>
    <xdr:to>
      <xdr:col>28</xdr:col>
      <xdr:colOff>495300</xdr:colOff>
      <xdr:row>20</xdr:row>
      <xdr:rowOff>59532</xdr:rowOff>
    </xdr:to>
    <xdr:graphicFrame macro="">
      <xdr:nvGraphicFramePr>
        <xdr:cNvPr id="48" name="Chart 47">
          <a:extLst>
            <a:ext uri="{FF2B5EF4-FFF2-40B4-BE49-F238E27FC236}">
              <a16:creationId xmlns="" xmlns:a16="http://schemas.microsoft.com/office/drawing/2014/main" id="{00000000-0008-0000-0A00-00003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7</xdr:col>
      <xdr:colOff>152401</xdr:colOff>
      <xdr:row>50</xdr:row>
      <xdr:rowOff>228600</xdr:rowOff>
    </xdr:from>
    <xdr:to>
      <xdr:col>16</xdr:col>
      <xdr:colOff>95250</xdr:colOff>
      <xdr:row>62</xdr:row>
      <xdr:rowOff>38100</xdr:rowOff>
    </xdr:to>
    <xdr:graphicFrame macro="">
      <xdr:nvGraphicFramePr>
        <xdr:cNvPr id="32" name="Chart 31">
          <a:extLst>
            <a:ext uri="{FF2B5EF4-FFF2-40B4-BE49-F238E27FC236}">
              <a16:creationId xmlns="" xmlns:a16="http://schemas.microsoft.com/office/drawing/2014/main" id="{308718F3-57CD-41D7-8391-A420F1F35C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16</xdr:col>
      <xdr:colOff>466588</xdr:colOff>
      <xdr:row>34</xdr:row>
      <xdr:rowOff>11907</xdr:rowOff>
    </xdr:from>
    <xdr:to>
      <xdr:col>21</xdr:col>
      <xdr:colOff>605381</xdr:colOff>
      <xdr:row>42</xdr:row>
      <xdr:rowOff>440532</xdr:rowOff>
    </xdr:to>
    <xdr:graphicFrame macro="">
      <xdr:nvGraphicFramePr>
        <xdr:cNvPr id="35" name="Chart 34">
          <a:extLst>
            <a:ext uri="{FF2B5EF4-FFF2-40B4-BE49-F238E27FC236}">
              <a16:creationId xmlns="" xmlns:a16="http://schemas.microsoft.com/office/drawing/2014/main" id="{00000000-0008-0000-0B00-00002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27214</xdr:colOff>
      <xdr:row>1</xdr:row>
      <xdr:rowOff>57149</xdr:rowOff>
    </xdr:from>
    <xdr:to>
      <xdr:col>7</xdr:col>
      <xdr:colOff>508000</xdr:colOff>
      <xdr:row>42</xdr:row>
      <xdr:rowOff>13608</xdr:rowOff>
    </xdr:to>
    <xdr:pic>
      <xdr:nvPicPr>
        <xdr:cNvPr id="26" name="Picture 25">
          <a:extLst>
            <a:ext uri="{FF2B5EF4-FFF2-40B4-BE49-F238E27FC236}">
              <a16:creationId xmlns="" xmlns:a16="http://schemas.microsoft.com/office/drawing/2014/main" id="{00000000-0008-0000-0B00-00001A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r="6338" b="11932"/>
        <a:stretch/>
      </xdr:blipFill>
      <xdr:spPr>
        <a:xfrm>
          <a:off x="27214" y="370113"/>
          <a:ext cx="6699250" cy="7494816"/>
        </a:xfrm>
        <a:prstGeom prst="rect">
          <a:avLst/>
        </a:prstGeom>
      </xdr:spPr>
    </xdr:pic>
    <xdr:clientData/>
  </xdr:twoCellAnchor>
  <xdr:twoCellAnchor>
    <xdr:from>
      <xdr:col>0</xdr:col>
      <xdr:colOff>0</xdr:colOff>
      <xdr:row>0</xdr:row>
      <xdr:rowOff>2</xdr:rowOff>
    </xdr:from>
    <xdr:to>
      <xdr:col>29</xdr:col>
      <xdr:colOff>13607</xdr:colOff>
      <xdr:row>1</xdr:row>
      <xdr:rowOff>71438</xdr:rowOff>
    </xdr:to>
    <xdr:sp macro="" textlink="">
      <xdr:nvSpPr>
        <xdr:cNvPr id="13" name="TextBox 12">
          <a:extLst>
            <a:ext uri="{FF2B5EF4-FFF2-40B4-BE49-F238E27FC236}">
              <a16:creationId xmlns="" xmlns:a16="http://schemas.microsoft.com/office/drawing/2014/main" id="{00000000-0008-0000-0B00-00000D000000}"/>
            </a:ext>
          </a:extLst>
        </xdr:cNvPr>
        <xdr:cNvSpPr txBox="1"/>
      </xdr:nvSpPr>
      <xdr:spPr>
        <a:xfrm>
          <a:off x="0" y="2"/>
          <a:ext cx="23635607" cy="384400"/>
        </a:xfrm>
        <a:prstGeom prst="rect">
          <a:avLst/>
        </a:prstGeom>
        <a:solidFill>
          <a:srgbClr val="098A9B"/>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a:solidFill>
                <a:schemeClr val="bg1"/>
              </a:solidFill>
            </a:rPr>
            <a:t>		</a:t>
          </a:r>
          <a:r>
            <a:rPr lang="en-US" sz="1400" b="1">
              <a:solidFill>
                <a:schemeClr val="bg1"/>
              </a:solidFill>
            </a:rPr>
            <a:t>RAKHINE STATE</a:t>
          </a:r>
          <a:r>
            <a:rPr lang="en-US" sz="1400" b="1" baseline="0">
              <a:solidFill>
                <a:schemeClr val="bg1"/>
              </a:solidFill>
            </a:rPr>
            <a:t>  (</a:t>
          </a:r>
          <a:r>
            <a:rPr lang="en-US" sz="1400" b="1" baseline="0">
              <a:solidFill>
                <a:schemeClr val="bg1"/>
              </a:solidFill>
              <a:effectLst/>
              <a:latin typeface="+mn-lt"/>
              <a:ea typeface="+mn-ea"/>
              <a:cs typeface="+mn-cs"/>
            </a:rPr>
            <a:t>2018-Qtr 1- 4W Analysis, as of 31  March 2018)</a:t>
          </a:r>
          <a:r>
            <a:rPr lang="en-US" sz="1100" b="1" baseline="0">
              <a:solidFill>
                <a:schemeClr val="dk1"/>
              </a:solidFill>
              <a:effectLst/>
              <a:latin typeface="+mn-lt"/>
              <a:ea typeface="+mn-ea"/>
              <a:cs typeface="+mn-cs"/>
            </a:rPr>
            <a:t>	</a:t>
          </a:r>
          <a:r>
            <a:rPr lang="en-US" sz="1100" b="1" baseline="0">
              <a:solidFill>
                <a:schemeClr val="bg1"/>
              </a:solidFill>
            </a:rPr>
            <a:t>			</a:t>
          </a:r>
          <a:endParaRPr lang="en-US" sz="1100" b="1">
            <a:solidFill>
              <a:schemeClr val="bg1"/>
            </a:solidFill>
          </a:endParaRPr>
        </a:p>
      </xdr:txBody>
    </xdr:sp>
    <xdr:clientData/>
  </xdr:twoCellAnchor>
  <xdr:twoCellAnchor>
    <xdr:from>
      <xdr:col>16</xdr:col>
      <xdr:colOff>462953</xdr:colOff>
      <xdr:row>42</xdr:row>
      <xdr:rowOff>462641</xdr:rowOff>
    </xdr:from>
    <xdr:to>
      <xdr:col>29</xdr:col>
      <xdr:colOff>23812</xdr:colOff>
      <xdr:row>54</xdr:row>
      <xdr:rowOff>23812</xdr:rowOff>
    </xdr:to>
    <xdr:graphicFrame macro="">
      <xdr:nvGraphicFramePr>
        <xdr:cNvPr id="20" name="Chart 19">
          <a:extLst>
            <a:ext uri="{FF2B5EF4-FFF2-40B4-BE49-F238E27FC236}">
              <a16:creationId xmlns="" xmlns:a16="http://schemas.microsoft.com/office/drawing/2014/main" id="{00000000-0008-0000-0B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16</xdr:col>
      <xdr:colOff>491521</xdr:colOff>
      <xdr:row>3</xdr:row>
      <xdr:rowOff>23812</xdr:rowOff>
    </xdr:from>
    <xdr:to>
      <xdr:col>24</xdr:col>
      <xdr:colOff>269875</xdr:colOff>
      <xdr:row>18</xdr:row>
      <xdr:rowOff>1</xdr:rowOff>
    </xdr:to>
    <xdr:graphicFrame macro="">
      <xdr:nvGraphicFramePr>
        <xdr:cNvPr id="21" name="Chart 20">
          <a:extLst>
            <a:ext uri="{FF2B5EF4-FFF2-40B4-BE49-F238E27FC236}">
              <a16:creationId xmlns="" xmlns:a16="http://schemas.microsoft.com/office/drawing/2014/main" id="{00000000-0008-0000-0B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22</xdr:col>
      <xdr:colOff>11903</xdr:colOff>
      <xdr:row>34</xdr:row>
      <xdr:rowOff>66270</xdr:rowOff>
    </xdr:from>
    <xdr:to>
      <xdr:col>26</xdr:col>
      <xdr:colOff>446652</xdr:colOff>
      <xdr:row>42</xdr:row>
      <xdr:rowOff>321469</xdr:rowOff>
    </xdr:to>
    <xdr:graphicFrame macro="">
      <xdr:nvGraphicFramePr>
        <xdr:cNvPr id="23" name="Chart 22">
          <a:extLst>
            <a:ext uri="{FF2B5EF4-FFF2-40B4-BE49-F238E27FC236}">
              <a16:creationId xmlns="" xmlns:a16="http://schemas.microsoft.com/office/drawing/2014/main" id="{00000000-0008-0000-0B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26</xdr:col>
      <xdr:colOff>381001</xdr:colOff>
      <xdr:row>34</xdr:row>
      <xdr:rowOff>76213</xdr:rowOff>
    </xdr:from>
    <xdr:to>
      <xdr:col>29</xdr:col>
      <xdr:colOff>11906</xdr:colOff>
      <xdr:row>42</xdr:row>
      <xdr:rowOff>345281</xdr:rowOff>
    </xdr:to>
    <xdr:graphicFrame macro="">
      <xdr:nvGraphicFramePr>
        <xdr:cNvPr id="24" name="Chart 23">
          <a:extLst>
            <a:ext uri="{FF2B5EF4-FFF2-40B4-BE49-F238E27FC236}">
              <a16:creationId xmlns="" xmlns:a16="http://schemas.microsoft.com/office/drawing/2014/main" id="{00000000-0008-0000-0B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5</xdr:col>
      <xdr:colOff>574225</xdr:colOff>
      <xdr:row>1</xdr:row>
      <xdr:rowOff>145645</xdr:rowOff>
    </xdr:from>
    <xdr:to>
      <xdr:col>6</xdr:col>
      <xdr:colOff>766715</xdr:colOff>
      <xdr:row>14</xdr:row>
      <xdr:rowOff>147115</xdr:rowOff>
    </xdr:to>
    <xdr:pic>
      <xdr:nvPicPr>
        <xdr:cNvPr id="25" name="Picture 24">
          <a:extLst>
            <a:ext uri="{FF2B5EF4-FFF2-40B4-BE49-F238E27FC236}">
              <a16:creationId xmlns="" xmlns:a16="http://schemas.microsoft.com/office/drawing/2014/main" id="{00000000-0008-0000-0B00-000019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5698675" y="469495"/>
          <a:ext cx="1068790" cy="22303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32523</xdr:colOff>
      <xdr:row>38</xdr:row>
      <xdr:rowOff>62659</xdr:rowOff>
    </xdr:from>
    <xdr:to>
      <xdr:col>16</xdr:col>
      <xdr:colOff>446768</xdr:colOff>
      <xdr:row>41</xdr:row>
      <xdr:rowOff>119063</xdr:rowOff>
    </xdr:to>
    <xdr:sp macro="" textlink="">
      <xdr:nvSpPr>
        <xdr:cNvPr id="2" name="Rectangle 1">
          <a:extLst>
            <a:ext uri="{FF2B5EF4-FFF2-40B4-BE49-F238E27FC236}">
              <a16:creationId xmlns="" xmlns:a16="http://schemas.microsoft.com/office/drawing/2014/main" id="{00000000-0008-0000-0B00-000002000000}"/>
            </a:ext>
          </a:extLst>
        </xdr:cNvPr>
        <xdr:cNvSpPr/>
      </xdr:nvSpPr>
      <xdr:spPr>
        <a:xfrm>
          <a:off x="6235679" y="6980190"/>
          <a:ext cx="7688964" cy="485029"/>
        </a:xfrm>
        <a:prstGeom prst="rect">
          <a:avLst/>
        </a:prstGeom>
        <a:ln>
          <a:solidFill>
            <a:schemeClr val="accent1">
              <a:lumMod val="40000"/>
              <a:lumOff val="60000"/>
            </a:schemeClr>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r>
            <a:rPr lang="en-US" sz="1200" b="1" i="0" u="none" strike="noStrike">
              <a:solidFill>
                <a:schemeClr val="bg1">
                  <a:lumMod val="50000"/>
                </a:schemeClr>
              </a:solidFill>
              <a:effectLst/>
              <a:latin typeface="+mn-lt"/>
              <a:ea typeface="+mn-ea"/>
              <a:cs typeface="+mn-cs"/>
            </a:rPr>
            <a:t>DONORS: </a:t>
          </a:r>
          <a:r>
            <a:rPr lang="en-US" sz="1200" b="0" i="0" u="none" strike="noStrike">
              <a:solidFill>
                <a:schemeClr val="bg1">
                  <a:lumMod val="50000"/>
                </a:schemeClr>
              </a:solidFill>
              <a:effectLst/>
              <a:latin typeface="+mn-lt"/>
              <a:ea typeface="+mn-ea"/>
              <a:cs typeface="+mn-cs"/>
            </a:rPr>
            <a:t>BMZ, DRC internal, ECHO, German Humanitarain Assistance (AA), GIZ, HARP, HIF, LIFT, MdP, MHF, OFDA, Ole Kirk's Foundation, SDC, UNICEF, USA, USA (OFDA)  </a:t>
          </a:r>
          <a:r>
            <a:rPr lang="en-US" sz="1200">
              <a:solidFill>
                <a:schemeClr val="bg1">
                  <a:lumMod val="50000"/>
                </a:schemeClr>
              </a:solidFill>
            </a:rPr>
            <a:t> </a:t>
          </a:r>
        </a:p>
      </xdr:txBody>
    </xdr:sp>
    <xdr:clientData/>
  </xdr:twoCellAnchor>
  <xdr:twoCellAnchor>
    <xdr:from>
      <xdr:col>6</xdr:col>
      <xdr:colOff>285152</xdr:colOff>
      <xdr:row>25</xdr:row>
      <xdr:rowOff>201581</xdr:rowOff>
    </xdr:from>
    <xdr:to>
      <xdr:col>7</xdr:col>
      <xdr:colOff>563412</xdr:colOff>
      <xdr:row>27</xdr:row>
      <xdr:rowOff>85066</xdr:rowOff>
    </xdr:to>
    <xdr:sp macro="" textlink="">
      <xdr:nvSpPr>
        <xdr:cNvPr id="4" name="Rectangle 3">
          <a:extLst>
            <a:ext uri="{FF2B5EF4-FFF2-40B4-BE49-F238E27FC236}">
              <a16:creationId xmlns="" xmlns:a16="http://schemas.microsoft.com/office/drawing/2014/main" id="{00000000-0008-0000-0B00-000004000000}"/>
            </a:ext>
          </a:extLst>
        </xdr:cNvPr>
        <xdr:cNvSpPr/>
      </xdr:nvSpPr>
      <xdr:spPr>
        <a:xfrm>
          <a:off x="5381027" y="5376831"/>
          <a:ext cx="960885" cy="29623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i="1">
              <a:solidFill>
                <a:srgbClr val="0070C0"/>
              </a:solidFill>
            </a:rPr>
            <a:t>Bay</a:t>
          </a:r>
          <a:r>
            <a:rPr lang="en-US" sz="1100" i="1" baseline="0">
              <a:solidFill>
                <a:srgbClr val="0070C0"/>
              </a:solidFill>
            </a:rPr>
            <a:t> of Bengal</a:t>
          </a:r>
          <a:endParaRPr lang="en-US" sz="1100" i="1">
            <a:solidFill>
              <a:srgbClr val="0070C0"/>
            </a:solidFill>
          </a:endParaRPr>
        </a:p>
      </xdr:txBody>
    </xdr:sp>
    <xdr:clientData/>
  </xdr:twoCellAnchor>
  <xdr:twoCellAnchor>
    <xdr:from>
      <xdr:col>24</xdr:col>
      <xdr:colOff>288018</xdr:colOff>
      <xdr:row>2</xdr:row>
      <xdr:rowOff>154781</xdr:rowOff>
    </xdr:from>
    <xdr:to>
      <xdr:col>28</xdr:col>
      <xdr:colOff>1319893</xdr:colOff>
      <xdr:row>18</xdr:row>
      <xdr:rowOff>10426</xdr:rowOff>
    </xdr:to>
    <xdr:graphicFrame macro="">
      <xdr:nvGraphicFramePr>
        <xdr:cNvPr id="34" name="Chart 33">
          <a:extLst>
            <a:ext uri="{FF2B5EF4-FFF2-40B4-BE49-F238E27FC236}">
              <a16:creationId xmlns="" xmlns:a16="http://schemas.microsoft.com/office/drawing/2014/main" id="{00000000-0008-0000-0B00-00002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35983</xdr:colOff>
      <xdr:row>29</xdr:row>
      <xdr:rowOff>112788</xdr:rowOff>
    </xdr:from>
    <xdr:to>
      <xdr:col>11</xdr:col>
      <xdr:colOff>1259416</xdr:colOff>
      <xdr:row>38</xdr:row>
      <xdr:rowOff>22981</xdr:rowOff>
    </xdr:to>
    <xdr:graphicFrame macro="">
      <xdr:nvGraphicFramePr>
        <xdr:cNvPr id="36" name="Chart 35">
          <a:extLst>
            <a:ext uri="{FF2B5EF4-FFF2-40B4-BE49-F238E27FC236}">
              <a16:creationId xmlns="" xmlns:a16="http://schemas.microsoft.com/office/drawing/2014/main" id="{00000000-0008-0000-0B00-00002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11</xdr:col>
      <xdr:colOff>1155700</xdr:colOff>
      <xdr:row>29</xdr:row>
      <xdr:rowOff>100088</xdr:rowOff>
    </xdr:from>
    <xdr:to>
      <xdr:col>16</xdr:col>
      <xdr:colOff>444500</xdr:colOff>
      <xdr:row>38</xdr:row>
      <xdr:rowOff>10281</xdr:rowOff>
    </xdr:to>
    <xdr:graphicFrame macro="">
      <xdr:nvGraphicFramePr>
        <xdr:cNvPr id="38" name="Chart 37">
          <a:extLst>
            <a:ext uri="{FF2B5EF4-FFF2-40B4-BE49-F238E27FC236}">
              <a16:creationId xmlns="" xmlns:a16="http://schemas.microsoft.com/office/drawing/2014/main" id="{00000000-0008-0000-0B00-00002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7</xdr:col>
      <xdr:colOff>38100</xdr:colOff>
      <xdr:row>41</xdr:row>
      <xdr:rowOff>110970</xdr:rowOff>
    </xdr:from>
    <xdr:to>
      <xdr:col>16</xdr:col>
      <xdr:colOff>464343</xdr:colOff>
      <xdr:row>45</xdr:row>
      <xdr:rowOff>190500</xdr:rowOff>
    </xdr:to>
    <xdr:grpSp>
      <xdr:nvGrpSpPr>
        <xdr:cNvPr id="5" name="Group 4">
          <a:extLst>
            <a:ext uri="{FF2B5EF4-FFF2-40B4-BE49-F238E27FC236}">
              <a16:creationId xmlns="" xmlns:a16="http://schemas.microsoft.com/office/drawing/2014/main" id="{00000000-0008-0000-0B00-000005000000}"/>
            </a:ext>
          </a:extLst>
        </xdr:cNvPr>
        <xdr:cNvGrpSpPr/>
      </xdr:nvGrpSpPr>
      <xdr:grpSpPr>
        <a:xfrm>
          <a:off x="6245225" y="7159470"/>
          <a:ext cx="7649368" cy="1889280"/>
          <a:chOff x="6910423" y="7259680"/>
          <a:chExt cx="6379545" cy="2506182"/>
        </a:xfrm>
      </xdr:grpSpPr>
      <xdr:graphicFrame macro="">
        <xdr:nvGraphicFramePr>
          <xdr:cNvPr id="18" name="Chart 17">
            <a:extLst>
              <a:ext uri="{FF2B5EF4-FFF2-40B4-BE49-F238E27FC236}">
                <a16:creationId xmlns="" xmlns:a16="http://schemas.microsoft.com/office/drawing/2014/main" id="{00000000-0008-0000-0B00-000012000000}"/>
              </a:ext>
            </a:extLst>
          </xdr:cNvPr>
          <xdr:cNvGraphicFramePr>
            <a:graphicFrameLocks/>
          </xdr:cNvGraphicFramePr>
        </xdr:nvGraphicFramePr>
        <xdr:xfrm>
          <a:off x="6910423" y="7259680"/>
          <a:ext cx="6361075" cy="2506182"/>
        </xdr:xfrm>
        <a:graphic>
          <a:graphicData uri="http://schemas.openxmlformats.org/drawingml/2006/chart">
            <c:chart xmlns:c="http://schemas.openxmlformats.org/drawingml/2006/chart" xmlns:r="http://schemas.openxmlformats.org/officeDocument/2006/relationships" r:id="rId11"/>
          </a:graphicData>
        </a:graphic>
      </xdr:graphicFrame>
      <xdr:sp macro="" textlink="">
        <xdr:nvSpPr>
          <xdr:cNvPr id="28" name="TextBox 27">
            <a:hlinkClick xmlns:r="http://schemas.openxmlformats.org/officeDocument/2006/relationships" r:id="rId12"/>
            <a:extLst>
              <a:ext uri="{FF2B5EF4-FFF2-40B4-BE49-F238E27FC236}">
                <a16:creationId xmlns="" xmlns:a16="http://schemas.microsoft.com/office/drawing/2014/main" id="{00000000-0008-0000-0B00-00001C000000}"/>
              </a:ext>
            </a:extLst>
          </xdr:cNvPr>
          <xdr:cNvSpPr txBox="1"/>
        </xdr:nvSpPr>
        <xdr:spPr>
          <a:xfrm>
            <a:off x="12224738" y="7343336"/>
            <a:ext cx="1065230" cy="592406"/>
          </a:xfrm>
          <a:prstGeom prst="rect">
            <a:avLst/>
          </a:prstGeom>
          <a:solidFill>
            <a:schemeClr val="accent1">
              <a:lumMod val="7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chemeClr val="bg1"/>
                </a:solidFill>
              </a:rPr>
              <a:t>More</a:t>
            </a:r>
            <a:r>
              <a:rPr lang="en-US" sz="1100" b="1" baseline="0">
                <a:solidFill>
                  <a:schemeClr val="bg1"/>
                </a:solidFill>
              </a:rPr>
              <a:t> info on gaps </a:t>
            </a:r>
            <a:r>
              <a:rPr lang="en-US" sz="800" b="1" baseline="0">
                <a:solidFill>
                  <a:schemeClr val="bg1"/>
                </a:solidFill>
              </a:rPr>
              <a:t>(click here)</a:t>
            </a:r>
            <a:endParaRPr lang="en-US" sz="800" b="1">
              <a:solidFill>
                <a:schemeClr val="bg1"/>
              </a:solidFill>
            </a:endParaRPr>
          </a:p>
        </xdr:txBody>
      </xdr:sp>
    </xdr:grpSp>
    <xdr:clientData/>
  </xdr:twoCellAnchor>
  <xdr:twoCellAnchor>
    <xdr:from>
      <xdr:col>16</xdr:col>
      <xdr:colOff>471714</xdr:colOff>
      <xdr:row>1</xdr:row>
      <xdr:rowOff>70141</xdr:rowOff>
    </xdr:from>
    <xdr:to>
      <xdr:col>29</xdr:col>
      <xdr:colOff>11906</xdr:colOff>
      <xdr:row>2</xdr:row>
      <xdr:rowOff>154782</xdr:rowOff>
    </xdr:to>
    <xdr:sp macro="" textlink="">
      <xdr:nvSpPr>
        <xdr:cNvPr id="6" name="Rectangle 5">
          <a:extLst>
            <a:ext uri="{FF2B5EF4-FFF2-40B4-BE49-F238E27FC236}">
              <a16:creationId xmlns="" xmlns:a16="http://schemas.microsoft.com/office/drawing/2014/main" id="{00000000-0008-0000-0B00-000006000000}"/>
            </a:ext>
          </a:extLst>
        </xdr:cNvPr>
        <xdr:cNvSpPr/>
      </xdr:nvSpPr>
      <xdr:spPr>
        <a:xfrm>
          <a:off x="13949589" y="379704"/>
          <a:ext cx="9648598" cy="251328"/>
        </a:xfrm>
        <a:prstGeom prst="rect">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200" b="1"/>
            <a:t>WATER Quantity                                                                                                                               WATER Quality</a:t>
          </a:r>
        </a:p>
      </xdr:txBody>
    </xdr:sp>
    <xdr:clientData/>
  </xdr:twoCellAnchor>
  <xdr:twoCellAnchor>
    <xdr:from>
      <xdr:col>7</xdr:col>
      <xdr:colOff>13608</xdr:colOff>
      <xdr:row>1</xdr:row>
      <xdr:rowOff>95250</xdr:rowOff>
    </xdr:from>
    <xdr:to>
      <xdr:col>16</xdr:col>
      <xdr:colOff>453090</xdr:colOff>
      <xdr:row>29</xdr:row>
      <xdr:rowOff>95250</xdr:rowOff>
    </xdr:to>
    <xdr:graphicFrame macro="">
      <xdr:nvGraphicFramePr>
        <xdr:cNvPr id="29" name="Chart 28">
          <a:extLst>
            <a:ext uri="{FF2B5EF4-FFF2-40B4-BE49-F238E27FC236}">
              <a16:creationId xmlns="" xmlns:a16="http://schemas.microsoft.com/office/drawing/2014/main" id="{00000000-0008-0000-0B00-00001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16</xdr:col>
      <xdr:colOff>476250</xdr:colOff>
      <xdr:row>19</xdr:row>
      <xdr:rowOff>19844</xdr:rowOff>
    </xdr:from>
    <xdr:to>
      <xdr:col>22</xdr:col>
      <xdr:colOff>16329</xdr:colOff>
      <xdr:row>34</xdr:row>
      <xdr:rowOff>71437</xdr:rowOff>
    </xdr:to>
    <xdr:graphicFrame macro="">
      <xdr:nvGraphicFramePr>
        <xdr:cNvPr id="40" name="Chart 39">
          <a:extLst>
            <a:ext uri="{FF2B5EF4-FFF2-40B4-BE49-F238E27FC236}">
              <a16:creationId xmlns="" xmlns:a16="http://schemas.microsoft.com/office/drawing/2014/main" id="{00000000-0008-0000-0B00-00002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21</xdr:col>
      <xdr:colOff>617427</xdr:colOff>
      <xdr:row>20</xdr:row>
      <xdr:rowOff>3864</xdr:rowOff>
    </xdr:from>
    <xdr:to>
      <xdr:col>26</xdr:col>
      <xdr:colOff>441554</xdr:colOff>
      <xdr:row>34</xdr:row>
      <xdr:rowOff>47625</xdr:rowOff>
    </xdr:to>
    <xdr:graphicFrame macro="">
      <xdr:nvGraphicFramePr>
        <xdr:cNvPr id="45" name="Chart 44">
          <a:extLst>
            <a:ext uri="{FF2B5EF4-FFF2-40B4-BE49-F238E27FC236}">
              <a16:creationId xmlns="" xmlns:a16="http://schemas.microsoft.com/office/drawing/2014/main" id="{00000000-0008-0000-0B00-00002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16</xdr:col>
      <xdr:colOff>489857</xdr:colOff>
      <xdr:row>18</xdr:row>
      <xdr:rowOff>68036</xdr:rowOff>
    </xdr:from>
    <xdr:to>
      <xdr:col>28</xdr:col>
      <xdr:colOff>1314450</xdr:colOff>
      <xdr:row>20</xdr:row>
      <xdr:rowOff>11906</xdr:rowOff>
    </xdr:to>
    <xdr:sp macro="" textlink="">
      <xdr:nvSpPr>
        <xdr:cNvPr id="31" name="TextBox 30">
          <a:extLst>
            <a:ext uri="{FF2B5EF4-FFF2-40B4-BE49-F238E27FC236}">
              <a16:creationId xmlns="" xmlns:a16="http://schemas.microsoft.com/office/drawing/2014/main" id="{00000000-0008-0000-0B00-00001F000000}"/>
            </a:ext>
          </a:extLst>
        </xdr:cNvPr>
        <xdr:cNvSpPr txBox="1"/>
      </xdr:nvSpPr>
      <xdr:spPr>
        <a:xfrm>
          <a:off x="13967732" y="3211286"/>
          <a:ext cx="9599499" cy="277245"/>
        </a:xfrm>
        <a:prstGeom prst="rect">
          <a:avLst/>
        </a:prstGeom>
        <a:solidFill>
          <a:schemeClr val="accent2">
            <a:lumMod val="7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rtl="0" eaLnBrk="1" fontAlgn="auto" latinLnBrk="0" hangingPunct="1">
            <a:lnSpc>
              <a:spcPct val="100000"/>
            </a:lnSpc>
            <a:spcBef>
              <a:spcPts val="0"/>
            </a:spcBef>
            <a:spcAft>
              <a:spcPts val="0"/>
            </a:spcAft>
            <a:buClrTx/>
            <a:buSzTx/>
            <a:buFontTx/>
            <a:buNone/>
            <a:tabLst/>
            <a:defRPr/>
          </a:pPr>
          <a:r>
            <a:rPr lang="en-US" sz="1200" b="1" i="0" baseline="0">
              <a:solidFill>
                <a:schemeClr val="bg1"/>
              </a:solidFill>
              <a:effectLst/>
              <a:latin typeface="+mn-lt"/>
              <a:ea typeface="+mn-ea"/>
              <a:cs typeface="+mn-cs"/>
            </a:rPr>
            <a:t>Sanitation Facilities 			                                                         Sanitation services</a:t>
          </a:r>
          <a:endParaRPr lang="en-US" sz="1200">
            <a:solidFill>
              <a:schemeClr val="bg1"/>
            </a:solidFill>
            <a:effectLst/>
          </a:endParaRPr>
        </a:p>
      </xdr:txBody>
    </xdr:sp>
    <xdr:clientData/>
  </xdr:twoCellAnchor>
  <xdr:twoCellAnchor>
    <xdr:from>
      <xdr:col>16</xdr:col>
      <xdr:colOff>464342</xdr:colOff>
      <xdr:row>42</xdr:row>
      <xdr:rowOff>333377</xdr:rowOff>
    </xdr:from>
    <xdr:to>
      <xdr:col>28</xdr:col>
      <xdr:colOff>1288935</xdr:colOff>
      <xdr:row>43</xdr:row>
      <xdr:rowOff>11907</xdr:rowOff>
    </xdr:to>
    <xdr:sp macro="" textlink="">
      <xdr:nvSpPr>
        <xdr:cNvPr id="41" name="TextBox 45">
          <a:extLst>
            <a:ext uri="{FF2B5EF4-FFF2-40B4-BE49-F238E27FC236}">
              <a16:creationId xmlns="" xmlns:a16="http://schemas.microsoft.com/office/drawing/2014/main" id="{00000000-0008-0000-0B00-000029000000}"/>
            </a:ext>
          </a:extLst>
        </xdr:cNvPr>
        <xdr:cNvSpPr txBox="1"/>
      </xdr:nvSpPr>
      <xdr:spPr>
        <a:xfrm>
          <a:off x="13942217" y="8286752"/>
          <a:ext cx="9599499" cy="250030"/>
        </a:xfrm>
        <a:prstGeom prst="rect">
          <a:avLst/>
        </a:prstGeom>
        <a:solidFill>
          <a:schemeClr val="accent6">
            <a:lumMod val="7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marR="0" lvl="0" indent="0" defTabSz="914400" rtl="0" eaLnBrk="1" fontAlgn="auto" latinLnBrk="0" hangingPunct="1">
            <a:lnSpc>
              <a:spcPct val="100000"/>
            </a:lnSpc>
            <a:spcBef>
              <a:spcPts val="0"/>
            </a:spcBef>
            <a:spcAft>
              <a:spcPts val="0"/>
            </a:spcAft>
            <a:buClrTx/>
            <a:buSzTx/>
            <a:buFontTx/>
            <a:buNone/>
            <a:tabLst/>
            <a:defRPr/>
          </a:pPr>
          <a:r>
            <a:rPr lang="en-US" sz="1200" b="1" i="0" baseline="0">
              <a:solidFill>
                <a:schemeClr val="bg1"/>
              </a:solidFill>
              <a:effectLst/>
              <a:latin typeface="+mn-lt"/>
              <a:ea typeface="+mn-ea"/>
              <a:cs typeface="+mn-cs"/>
            </a:rPr>
            <a:t>Hygiene Items 			                                      </a:t>
          </a:r>
          <a:endParaRPr lang="en-US" sz="1200">
            <a:solidFill>
              <a:schemeClr val="bg1"/>
            </a:solidFill>
            <a:effectLst/>
          </a:endParaRPr>
        </a:p>
      </xdr:txBody>
    </xdr:sp>
    <xdr:clientData/>
  </xdr:twoCellAnchor>
  <xdr:twoCellAnchor>
    <xdr:from>
      <xdr:col>26</xdr:col>
      <xdr:colOff>472849</xdr:colOff>
      <xdr:row>20</xdr:row>
      <xdr:rowOff>132669</xdr:rowOff>
    </xdr:from>
    <xdr:to>
      <xdr:col>28</xdr:col>
      <xdr:colOff>1332820</xdr:colOff>
      <xdr:row>34</xdr:row>
      <xdr:rowOff>23812</xdr:rowOff>
    </xdr:to>
    <xdr:graphicFrame macro="">
      <xdr:nvGraphicFramePr>
        <xdr:cNvPr id="42" name="Chart 41">
          <a:extLst>
            <a:ext uri="{FF2B5EF4-FFF2-40B4-BE49-F238E27FC236}">
              <a16:creationId xmlns="" xmlns:a16="http://schemas.microsoft.com/office/drawing/2014/main" id="{00000000-0008-0000-0B00-00002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27</xdr:col>
      <xdr:colOff>122465</xdr:colOff>
      <xdr:row>7</xdr:row>
      <xdr:rowOff>-1</xdr:rowOff>
    </xdr:from>
    <xdr:to>
      <xdr:col>28</xdr:col>
      <xdr:colOff>1224643</xdr:colOff>
      <xdr:row>17</xdr:row>
      <xdr:rowOff>122464</xdr:rowOff>
    </xdr:to>
    <xdr:graphicFrame macro="">
      <xdr:nvGraphicFramePr>
        <xdr:cNvPr id="43" name="Chart 42">
          <a:extLst>
            <a:ext uri="{FF2B5EF4-FFF2-40B4-BE49-F238E27FC236}">
              <a16:creationId xmlns="" xmlns:a16="http://schemas.microsoft.com/office/drawing/2014/main" id="{00000000-0008-0000-0B00-00002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7</xdr:col>
      <xdr:colOff>8505</xdr:colOff>
      <xdr:row>45</xdr:row>
      <xdr:rowOff>154780</xdr:rowOff>
    </xdr:from>
    <xdr:to>
      <xdr:col>16</xdr:col>
      <xdr:colOff>452437</xdr:colOff>
      <xdr:row>54</xdr:row>
      <xdr:rowOff>0</xdr:rowOff>
    </xdr:to>
    <xdr:graphicFrame macro="">
      <xdr:nvGraphicFramePr>
        <xdr:cNvPr id="32" name="Chart 31">
          <a:extLst>
            <a:ext uri="{FF2B5EF4-FFF2-40B4-BE49-F238E27FC236}">
              <a16:creationId xmlns="" xmlns:a16="http://schemas.microsoft.com/office/drawing/2014/main" id="{500DADEE-7F66-40AF-9C7E-D8D51CD00A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wsDr>
</file>

<file path=xl/drawings/drawing8.xml><?xml version="1.0" encoding="utf-8"?>
<c:userShapes xmlns:c="http://schemas.openxmlformats.org/drawingml/2006/chart">
  <cdr:relSizeAnchor xmlns:cdr="http://schemas.openxmlformats.org/drawingml/2006/chartDrawing">
    <cdr:from>
      <cdr:x>0.18928</cdr:x>
      <cdr:y>0.11042</cdr:y>
    </cdr:from>
    <cdr:to>
      <cdr:x>0.76633</cdr:x>
      <cdr:y>0.22196</cdr:y>
    </cdr:to>
    <cdr:grpSp>
      <cdr:nvGrpSpPr>
        <cdr:cNvPr id="12" name="Group 11">
          <a:extLst xmlns:a="http://schemas.openxmlformats.org/drawingml/2006/main">
            <a:ext uri="{FF2B5EF4-FFF2-40B4-BE49-F238E27FC236}">
              <a16:creationId xmlns="" xmlns:a16="http://schemas.microsoft.com/office/drawing/2014/main" id="{BD850A98-C5B7-4E84-BE64-46C2141B3123}"/>
            </a:ext>
          </a:extLst>
        </cdr:cNvPr>
        <cdr:cNvGrpSpPr/>
      </cdr:nvGrpSpPr>
      <cdr:grpSpPr>
        <a:xfrm xmlns:a="http://schemas.openxmlformats.org/drawingml/2006/main">
          <a:off x="925485" y="264527"/>
          <a:ext cx="2821486" cy="267210"/>
          <a:chOff x="902607" y="281966"/>
          <a:chExt cx="2751666" cy="284835"/>
        </a:xfrm>
      </cdr:grpSpPr>
      <cdr:cxnSp macro="">
        <cdr:nvCxnSpPr>
          <cdr:cNvPr id="3" name="Connector: Elbow 2">
            <a:extLst xmlns:a="http://schemas.openxmlformats.org/drawingml/2006/main">
              <a:ext uri="{FF2B5EF4-FFF2-40B4-BE49-F238E27FC236}">
                <a16:creationId xmlns="" xmlns:a16="http://schemas.microsoft.com/office/drawing/2014/main" id="{84415940-AC22-41DC-8A0F-BA56FECA2780}"/>
              </a:ext>
            </a:extLst>
          </cdr:cNvPr>
          <cdr:cNvCxnSpPr/>
        </cdr:nvCxnSpPr>
        <cdr:spPr>
          <a:xfrm xmlns:a="http://schemas.openxmlformats.org/drawingml/2006/main">
            <a:off x="1082523" y="281966"/>
            <a:ext cx="2571750" cy="284835"/>
          </a:xfrm>
          <a:prstGeom xmlns:a="http://schemas.openxmlformats.org/drawingml/2006/main" prst="bentConnector3">
            <a:avLst>
              <a:gd name="adj1" fmla="val 99794"/>
            </a:avLst>
          </a:prstGeom>
          <a:ln xmlns:a="http://schemas.openxmlformats.org/drawingml/2006/main">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cxnSp macro="">
        <cdr:nvCxnSpPr>
          <cdr:cNvPr id="11" name="Straight Connector 10">
            <a:extLst xmlns:a="http://schemas.openxmlformats.org/drawingml/2006/main">
              <a:ext uri="{FF2B5EF4-FFF2-40B4-BE49-F238E27FC236}">
                <a16:creationId xmlns="" xmlns:a16="http://schemas.microsoft.com/office/drawing/2014/main" id="{033ABF3E-1E9D-4003-9DC6-1FA7DCBE6713}"/>
              </a:ext>
            </a:extLst>
          </cdr:cNvPr>
          <cdr:cNvCxnSpPr/>
        </cdr:nvCxnSpPr>
        <cdr:spPr>
          <a:xfrm xmlns:a="http://schemas.openxmlformats.org/drawingml/2006/main" flipV="1">
            <a:off x="902607" y="281966"/>
            <a:ext cx="179916" cy="158750"/>
          </a:xfrm>
          <a:prstGeom xmlns:a="http://schemas.openxmlformats.org/drawingml/2006/main" prst="line">
            <a:avLst/>
          </a:prstGeom>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grpSp>
  </cdr:relSizeAnchor>
</c:userShapes>
</file>

<file path=xl/drawings/drawing9.xml><?xml version="1.0" encoding="utf-8"?>
<xdr:wsDr xmlns:xdr="http://schemas.openxmlformats.org/drawingml/2006/spreadsheetDrawing" xmlns:a="http://schemas.openxmlformats.org/drawingml/2006/main">
  <xdr:twoCellAnchor editAs="oneCell">
    <xdr:from>
      <xdr:col>1</xdr:col>
      <xdr:colOff>79376</xdr:colOff>
      <xdr:row>1</xdr:row>
      <xdr:rowOff>269875</xdr:rowOff>
    </xdr:from>
    <xdr:to>
      <xdr:col>7</xdr:col>
      <xdr:colOff>0</xdr:colOff>
      <xdr:row>36</xdr:row>
      <xdr:rowOff>269875</xdr:rowOff>
    </xdr:to>
    <xdr:pic>
      <xdr:nvPicPr>
        <xdr:cNvPr id="3" name="Picture 2">
          <a:extLst>
            <a:ext uri="{FF2B5EF4-FFF2-40B4-BE49-F238E27FC236}">
              <a16:creationId xmlns="" xmlns:a16="http://schemas.microsoft.com/office/drawing/2014/main" id="{00000000-0008-0000-0C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3513" r="21710" b="7410"/>
        <a:stretch/>
      </xdr:blipFill>
      <xdr:spPr>
        <a:xfrm>
          <a:off x="158751" y="428625"/>
          <a:ext cx="6302374" cy="7112000"/>
        </a:xfrm>
        <a:prstGeom prst="rect">
          <a:avLst/>
        </a:prstGeom>
      </xdr:spPr>
    </xdr:pic>
    <xdr:clientData/>
  </xdr:twoCellAnchor>
  <xdr:twoCellAnchor>
    <xdr:from>
      <xdr:col>0</xdr:col>
      <xdr:colOff>0</xdr:colOff>
      <xdr:row>1</xdr:row>
      <xdr:rowOff>2</xdr:rowOff>
    </xdr:from>
    <xdr:to>
      <xdr:col>27</xdr:col>
      <xdr:colOff>154780</xdr:colOff>
      <xdr:row>2</xdr:row>
      <xdr:rowOff>71438</xdr:rowOff>
    </xdr:to>
    <xdr:sp macro="" textlink="">
      <xdr:nvSpPr>
        <xdr:cNvPr id="17" name="TextBox 16">
          <a:extLst>
            <a:ext uri="{FF2B5EF4-FFF2-40B4-BE49-F238E27FC236}">
              <a16:creationId xmlns="" xmlns:a16="http://schemas.microsoft.com/office/drawing/2014/main" id="{00000000-0008-0000-0C00-000011000000}"/>
            </a:ext>
          </a:extLst>
        </xdr:cNvPr>
        <xdr:cNvSpPr txBox="1"/>
      </xdr:nvSpPr>
      <xdr:spPr>
        <a:xfrm>
          <a:off x="0" y="166690"/>
          <a:ext cx="23883936" cy="476248"/>
        </a:xfrm>
        <a:prstGeom prst="rect">
          <a:avLst/>
        </a:prstGeom>
        <a:solidFill>
          <a:srgbClr val="098A9B"/>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a:solidFill>
                <a:schemeClr val="bg1"/>
              </a:solidFill>
            </a:rPr>
            <a:t>		</a:t>
          </a:r>
          <a:r>
            <a:rPr lang="en-US" sz="1400" b="1" baseline="0">
              <a:solidFill>
                <a:schemeClr val="bg1"/>
              </a:solidFill>
              <a:effectLst/>
              <a:latin typeface="+mn-lt"/>
              <a:ea typeface="+mn-ea"/>
              <a:cs typeface="+mn-cs"/>
            </a:rPr>
            <a:t>NORTHERN SHAN  STATE  </a:t>
          </a:r>
          <a:r>
            <a:rPr lang="en-US" sz="1400" b="1" baseline="0">
              <a:solidFill>
                <a:schemeClr val="bg1"/>
              </a:solidFill>
            </a:rPr>
            <a:t>(</a:t>
          </a:r>
          <a:r>
            <a:rPr lang="en-US" sz="1400" b="1" baseline="0">
              <a:solidFill>
                <a:schemeClr val="bg1"/>
              </a:solidFill>
              <a:effectLst/>
              <a:latin typeface="+mn-lt"/>
              <a:ea typeface="+mn-ea"/>
              <a:cs typeface="+mn-cs"/>
            </a:rPr>
            <a:t>2018-Qtr 1- 4W Analysis, as of 31  March 2018)</a:t>
          </a:r>
          <a:r>
            <a:rPr lang="en-US" sz="1100" b="1" baseline="0">
              <a:solidFill>
                <a:schemeClr val="dk1"/>
              </a:solidFill>
              <a:effectLst/>
              <a:latin typeface="+mn-lt"/>
              <a:ea typeface="+mn-ea"/>
              <a:cs typeface="+mn-cs"/>
            </a:rPr>
            <a:t>	</a:t>
          </a:r>
          <a:r>
            <a:rPr lang="en-US" sz="1100" b="1" baseline="0">
              <a:solidFill>
                <a:schemeClr val="bg1"/>
              </a:solidFill>
            </a:rPr>
            <a:t>			</a:t>
          </a:r>
          <a:endParaRPr lang="en-US" sz="1100" b="1">
            <a:solidFill>
              <a:schemeClr val="bg1"/>
            </a:solidFill>
          </a:endParaRPr>
        </a:p>
      </xdr:txBody>
    </xdr:sp>
    <xdr:clientData/>
  </xdr:twoCellAnchor>
  <xdr:twoCellAnchor editAs="oneCell">
    <xdr:from>
      <xdr:col>0</xdr:col>
      <xdr:colOff>24714</xdr:colOff>
      <xdr:row>2</xdr:row>
      <xdr:rowOff>105834</xdr:rowOff>
    </xdr:from>
    <xdr:to>
      <xdr:col>2</xdr:col>
      <xdr:colOff>217013</xdr:colOff>
      <xdr:row>18</xdr:row>
      <xdr:rowOff>4529</xdr:rowOff>
    </xdr:to>
    <xdr:pic>
      <xdr:nvPicPr>
        <xdr:cNvPr id="20" name="Picture 19">
          <a:extLst>
            <a:ext uri="{FF2B5EF4-FFF2-40B4-BE49-F238E27FC236}">
              <a16:creationId xmlns="" xmlns:a16="http://schemas.microsoft.com/office/drawing/2014/main" id="{00000000-0008-0000-0C00-00001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4714" y="661459"/>
          <a:ext cx="1351174" cy="2597445"/>
        </a:xfrm>
        <a:prstGeom prst="rect">
          <a:avLst/>
        </a:prstGeom>
      </xdr:spPr>
    </xdr:pic>
    <xdr:clientData/>
  </xdr:twoCellAnchor>
  <xdr:twoCellAnchor>
    <xdr:from>
      <xdr:col>15</xdr:col>
      <xdr:colOff>83342</xdr:colOff>
      <xdr:row>38</xdr:row>
      <xdr:rowOff>166687</xdr:rowOff>
    </xdr:from>
    <xdr:to>
      <xdr:col>26</xdr:col>
      <xdr:colOff>738186</xdr:colOff>
      <xdr:row>50</xdr:row>
      <xdr:rowOff>23813</xdr:rowOff>
    </xdr:to>
    <xdr:graphicFrame macro="">
      <xdr:nvGraphicFramePr>
        <xdr:cNvPr id="35" name="Chart 34">
          <a:extLst>
            <a:ext uri="{FF2B5EF4-FFF2-40B4-BE49-F238E27FC236}">
              <a16:creationId xmlns="" xmlns:a16="http://schemas.microsoft.com/office/drawing/2014/main" id="{00000000-0008-0000-0C00-00002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15</xdr:col>
      <xdr:colOff>98260</xdr:colOff>
      <xdr:row>5</xdr:row>
      <xdr:rowOff>24677</xdr:rowOff>
    </xdr:from>
    <xdr:to>
      <xdr:col>22</xdr:col>
      <xdr:colOff>757390</xdr:colOff>
      <xdr:row>17</xdr:row>
      <xdr:rowOff>155646</xdr:rowOff>
    </xdr:to>
    <xdr:graphicFrame macro="">
      <xdr:nvGraphicFramePr>
        <xdr:cNvPr id="37" name="Chart 36">
          <a:extLst>
            <a:ext uri="{FF2B5EF4-FFF2-40B4-BE49-F238E27FC236}">
              <a16:creationId xmlns="" xmlns:a16="http://schemas.microsoft.com/office/drawing/2014/main" id="{00000000-0008-0000-0C00-00002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43737</xdr:colOff>
      <xdr:row>34</xdr:row>
      <xdr:rowOff>20459</xdr:rowOff>
    </xdr:from>
    <xdr:to>
      <xdr:col>15</xdr:col>
      <xdr:colOff>55563</xdr:colOff>
      <xdr:row>35</xdr:row>
      <xdr:rowOff>107156</xdr:rowOff>
    </xdr:to>
    <xdr:sp macro="" textlink="">
      <xdr:nvSpPr>
        <xdr:cNvPr id="26" name="Rectangle 25">
          <a:extLst>
            <a:ext uri="{FF2B5EF4-FFF2-40B4-BE49-F238E27FC236}">
              <a16:creationId xmlns="" xmlns:a16="http://schemas.microsoft.com/office/drawing/2014/main" id="{00000000-0008-0000-0C00-00001A000000}"/>
            </a:ext>
          </a:extLst>
        </xdr:cNvPr>
        <xdr:cNvSpPr/>
      </xdr:nvSpPr>
      <xdr:spPr>
        <a:xfrm>
          <a:off x="6532643" y="7045147"/>
          <a:ext cx="7512764" cy="324822"/>
        </a:xfrm>
        <a:prstGeom prst="rect">
          <a:avLst/>
        </a:prstGeom>
        <a:ln>
          <a:solidFill>
            <a:schemeClr val="accent1">
              <a:lumMod val="20000"/>
              <a:lumOff val="80000"/>
            </a:schemeClr>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r>
            <a:rPr lang="en-US" sz="1200" b="1" i="0" u="none" strike="noStrike">
              <a:solidFill>
                <a:schemeClr val="bg1">
                  <a:lumMod val="50000"/>
                </a:schemeClr>
              </a:solidFill>
              <a:effectLst/>
              <a:latin typeface="+mn-lt"/>
              <a:ea typeface="+mn-ea"/>
              <a:cs typeface="+mn-cs"/>
            </a:rPr>
            <a:t>DONORS: </a:t>
          </a:r>
          <a:r>
            <a:rPr lang="en-US" sz="1200" b="0" i="0" u="none" strike="noStrike">
              <a:solidFill>
                <a:schemeClr val="bg1">
                  <a:lumMod val="50000"/>
                </a:schemeClr>
              </a:solidFill>
              <a:effectLst/>
              <a:latin typeface="+mn-lt"/>
              <a:ea typeface="+mn-ea"/>
              <a:cs typeface="+mn-cs"/>
            </a:rPr>
            <a:t>CIDA, DFID, ECHO, GFFO, HARP, Irish Aid, LDS , MHF, MoFA Lux, UNICEF, WHH-BMZ</a:t>
          </a:r>
          <a:endParaRPr lang="en-US" sz="1200">
            <a:solidFill>
              <a:schemeClr val="bg1">
                <a:lumMod val="50000"/>
              </a:schemeClr>
            </a:solidFill>
          </a:endParaRPr>
        </a:p>
      </xdr:txBody>
    </xdr:sp>
    <xdr:clientData/>
  </xdr:twoCellAnchor>
  <xdr:twoCellAnchor>
    <xdr:from>
      <xdr:col>20</xdr:col>
      <xdr:colOff>476250</xdr:colOff>
      <xdr:row>31</xdr:row>
      <xdr:rowOff>71436</xdr:rowOff>
    </xdr:from>
    <xdr:to>
      <xdr:col>24</xdr:col>
      <xdr:colOff>658073</xdr:colOff>
      <xdr:row>37</xdr:row>
      <xdr:rowOff>464343</xdr:rowOff>
    </xdr:to>
    <xdr:graphicFrame macro="">
      <xdr:nvGraphicFramePr>
        <xdr:cNvPr id="39" name="Chart 38">
          <a:extLst>
            <a:ext uri="{FF2B5EF4-FFF2-40B4-BE49-F238E27FC236}">
              <a16:creationId xmlns="" xmlns:a16="http://schemas.microsoft.com/office/drawing/2014/main" id="{00000000-0008-0000-0C00-00002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24</xdr:col>
      <xdr:colOff>642937</xdr:colOff>
      <xdr:row>31</xdr:row>
      <xdr:rowOff>47625</xdr:rowOff>
    </xdr:from>
    <xdr:to>
      <xdr:col>27</xdr:col>
      <xdr:colOff>119062</xdr:colOff>
      <xdr:row>37</xdr:row>
      <xdr:rowOff>452437</xdr:rowOff>
    </xdr:to>
    <xdr:graphicFrame macro="">
      <xdr:nvGraphicFramePr>
        <xdr:cNvPr id="40" name="Chart 39">
          <a:extLst>
            <a:ext uri="{FF2B5EF4-FFF2-40B4-BE49-F238E27FC236}">
              <a16:creationId xmlns="" xmlns:a16="http://schemas.microsoft.com/office/drawing/2014/main" id="{00000000-0008-0000-0C00-00002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39421</xdr:colOff>
      <xdr:row>35</xdr:row>
      <xdr:rowOff>104556</xdr:rowOff>
    </xdr:from>
    <xdr:to>
      <xdr:col>15</xdr:col>
      <xdr:colOff>71437</xdr:colOff>
      <xdr:row>39</xdr:row>
      <xdr:rowOff>321469</xdr:rowOff>
    </xdr:to>
    <xdr:grpSp>
      <xdr:nvGrpSpPr>
        <xdr:cNvPr id="2" name="Group 1">
          <a:extLst>
            <a:ext uri="{FF2B5EF4-FFF2-40B4-BE49-F238E27FC236}">
              <a16:creationId xmlns="" xmlns:a16="http://schemas.microsoft.com/office/drawing/2014/main" id="{00000000-0008-0000-0C00-000002000000}"/>
            </a:ext>
          </a:extLst>
        </xdr:cNvPr>
        <xdr:cNvGrpSpPr/>
      </xdr:nvGrpSpPr>
      <xdr:grpSpPr>
        <a:xfrm>
          <a:off x="6500546" y="7137181"/>
          <a:ext cx="7509141" cy="1740913"/>
          <a:chOff x="10012890" y="3751792"/>
          <a:chExt cx="5602819" cy="1812925"/>
        </a:xfrm>
      </xdr:grpSpPr>
      <xdr:graphicFrame macro="">
        <xdr:nvGraphicFramePr>
          <xdr:cNvPr id="15" name="Chart 14">
            <a:extLst>
              <a:ext uri="{FF2B5EF4-FFF2-40B4-BE49-F238E27FC236}">
                <a16:creationId xmlns="" xmlns:a16="http://schemas.microsoft.com/office/drawing/2014/main" id="{00000000-0008-0000-0C00-00000F000000}"/>
              </a:ext>
            </a:extLst>
          </xdr:cNvPr>
          <xdr:cNvGraphicFramePr>
            <a:graphicFrameLocks/>
          </xdr:cNvGraphicFramePr>
        </xdr:nvGraphicFramePr>
        <xdr:xfrm>
          <a:off x="10012890" y="3751792"/>
          <a:ext cx="5602819" cy="1812925"/>
        </xdr:xfrm>
        <a:graphic>
          <a:graphicData uri="http://schemas.openxmlformats.org/drawingml/2006/chart">
            <c:chart xmlns:c="http://schemas.openxmlformats.org/drawingml/2006/chart" xmlns:r="http://schemas.openxmlformats.org/officeDocument/2006/relationships" r:id="rId7"/>
          </a:graphicData>
        </a:graphic>
      </xdr:graphicFrame>
      <xdr:sp macro="" textlink="">
        <xdr:nvSpPr>
          <xdr:cNvPr id="18" name="TextBox 17">
            <a:hlinkClick xmlns:r="http://schemas.openxmlformats.org/officeDocument/2006/relationships" r:id="rId8"/>
            <a:extLst>
              <a:ext uri="{FF2B5EF4-FFF2-40B4-BE49-F238E27FC236}">
                <a16:creationId xmlns="" xmlns:a16="http://schemas.microsoft.com/office/drawing/2014/main" id="{00000000-0008-0000-0C00-000012000000}"/>
              </a:ext>
            </a:extLst>
          </xdr:cNvPr>
          <xdr:cNvSpPr txBox="1"/>
        </xdr:nvSpPr>
        <xdr:spPr>
          <a:xfrm>
            <a:off x="14473341" y="3778950"/>
            <a:ext cx="1013275" cy="229368"/>
          </a:xfrm>
          <a:prstGeom prst="rect">
            <a:avLst/>
          </a:prstGeom>
          <a:solidFill>
            <a:schemeClr val="accent1">
              <a:lumMod val="7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chemeClr val="bg1"/>
                </a:solidFill>
              </a:rPr>
              <a:t>More</a:t>
            </a:r>
            <a:r>
              <a:rPr lang="en-US" sz="1100" b="1" baseline="0">
                <a:solidFill>
                  <a:schemeClr val="bg1"/>
                </a:solidFill>
              </a:rPr>
              <a:t> info on gaps </a:t>
            </a:r>
            <a:r>
              <a:rPr lang="en-US" sz="800" b="1" baseline="0">
                <a:solidFill>
                  <a:schemeClr val="bg1"/>
                </a:solidFill>
              </a:rPr>
              <a:t>(click here)</a:t>
            </a:r>
            <a:endParaRPr lang="en-US" sz="800" b="1">
              <a:solidFill>
                <a:schemeClr val="bg1"/>
              </a:solidFill>
            </a:endParaRPr>
          </a:p>
        </xdr:txBody>
      </xdr:sp>
    </xdr:grpSp>
    <xdr:clientData/>
  </xdr:twoCellAnchor>
  <xdr:twoCellAnchor>
    <xdr:from>
      <xdr:col>7</xdr:col>
      <xdr:colOff>1</xdr:colOff>
      <xdr:row>2</xdr:row>
      <xdr:rowOff>95249</xdr:rowOff>
    </xdr:from>
    <xdr:to>
      <xdr:col>15</xdr:col>
      <xdr:colOff>11907</xdr:colOff>
      <xdr:row>28</xdr:row>
      <xdr:rowOff>119061</xdr:rowOff>
    </xdr:to>
    <xdr:graphicFrame macro="">
      <xdr:nvGraphicFramePr>
        <xdr:cNvPr id="31" name="Chart 30">
          <a:extLst>
            <a:ext uri="{FF2B5EF4-FFF2-40B4-BE49-F238E27FC236}">
              <a16:creationId xmlns="" xmlns:a16="http://schemas.microsoft.com/office/drawing/2014/main" id="{00000000-0008-0000-0C00-00001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15</xdr:col>
      <xdr:colOff>80603</xdr:colOff>
      <xdr:row>20</xdr:row>
      <xdr:rowOff>70616</xdr:rowOff>
    </xdr:from>
    <xdr:to>
      <xdr:col>20</xdr:col>
      <xdr:colOff>423503</xdr:colOff>
      <xdr:row>31</xdr:row>
      <xdr:rowOff>46803</xdr:rowOff>
    </xdr:to>
    <xdr:graphicFrame macro="">
      <xdr:nvGraphicFramePr>
        <xdr:cNvPr id="32" name="Chart 31">
          <a:extLst>
            <a:ext uri="{FF2B5EF4-FFF2-40B4-BE49-F238E27FC236}">
              <a16:creationId xmlns="" xmlns:a16="http://schemas.microsoft.com/office/drawing/2014/main" id="{00000000-0008-0000-0C00-00002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15</xdr:col>
      <xdr:colOff>91715</xdr:colOff>
      <xdr:row>31</xdr:row>
      <xdr:rowOff>59531</xdr:rowOff>
    </xdr:from>
    <xdr:to>
      <xdr:col>20</xdr:col>
      <xdr:colOff>452436</xdr:colOff>
      <xdr:row>38</xdr:row>
      <xdr:rowOff>106335</xdr:rowOff>
    </xdr:to>
    <xdr:graphicFrame macro="">
      <xdr:nvGraphicFramePr>
        <xdr:cNvPr id="33" name="Chart 32">
          <a:extLst>
            <a:ext uri="{FF2B5EF4-FFF2-40B4-BE49-F238E27FC236}">
              <a16:creationId xmlns="" xmlns:a16="http://schemas.microsoft.com/office/drawing/2014/main" id="{00000000-0008-0000-0C00-00002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20</xdr:col>
      <xdr:colOff>446520</xdr:colOff>
      <xdr:row>20</xdr:row>
      <xdr:rowOff>82522</xdr:rowOff>
    </xdr:from>
    <xdr:to>
      <xdr:col>24</xdr:col>
      <xdr:colOff>619125</xdr:colOff>
      <xdr:row>31</xdr:row>
      <xdr:rowOff>35718</xdr:rowOff>
    </xdr:to>
    <xdr:graphicFrame macro="">
      <xdr:nvGraphicFramePr>
        <xdr:cNvPr id="34" name="Chart 33">
          <a:extLst>
            <a:ext uri="{FF2B5EF4-FFF2-40B4-BE49-F238E27FC236}">
              <a16:creationId xmlns="" xmlns:a16="http://schemas.microsoft.com/office/drawing/2014/main" id="{00000000-0008-0000-0C00-00002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22</xdr:col>
      <xdr:colOff>750093</xdr:colOff>
      <xdr:row>5</xdr:row>
      <xdr:rowOff>6844</xdr:rowOff>
    </xdr:from>
    <xdr:to>
      <xdr:col>26</xdr:col>
      <xdr:colOff>726281</xdr:colOff>
      <xdr:row>17</xdr:row>
      <xdr:rowOff>137813</xdr:rowOff>
    </xdr:to>
    <xdr:grpSp>
      <xdr:nvGrpSpPr>
        <xdr:cNvPr id="6" name="Group 5">
          <a:extLst>
            <a:ext uri="{FF2B5EF4-FFF2-40B4-BE49-F238E27FC236}">
              <a16:creationId xmlns="" xmlns:a16="http://schemas.microsoft.com/office/drawing/2014/main" id="{00000000-0008-0000-0C00-000006000000}"/>
            </a:ext>
          </a:extLst>
        </xdr:cNvPr>
        <xdr:cNvGrpSpPr/>
      </xdr:nvGrpSpPr>
      <xdr:grpSpPr>
        <a:xfrm>
          <a:off x="18799968" y="1038719"/>
          <a:ext cx="4865688" cy="2194719"/>
          <a:chOff x="18880562" y="844756"/>
          <a:chExt cx="4530117" cy="2155716"/>
        </a:xfrm>
      </xdr:grpSpPr>
      <xdr:graphicFrame macro="">
        <xdr:nvGraphicFramePr>
          <xdr:cNvPr id="28" name="Chart 27">
            <a:extLst>
              <a:ext uri="{FF2B5EF4-FFF2-40B4-BE49-F238E27FC236}">
                <a16:creationId xmlns="" xmlns:a16="http://schemas.microsoft.com/office/drawing/2014/main" id="{00000000-0008-0000-0C00-00001C000000}"/>
              </a:ext>
            </a:extLst>
          </xdr:cNvPr>
          <xdr:cNvGraphicFramePr>
            <a:graphicFrameLocks/>
          </xdr:cNvGraphicFramePr>
        </xdr:nvGraphicFramePr>
        <xdr:xfrm>
          <a:off x="18880562" y="844756"/>
          <a:ext cx="4530117" cy="2155716"/>
        </xdr:xfrm>
        <a:graphic>
          <a:graphicData uri="http://schemas.openxmlformats.org/drawingml/2006/chart">
            <c:chart xmlns:c="http://schemas.openxmlformats.org/drawingml/2006/chart" xmlns:r="http://schemas.openxmlformats.org/officeDocument/2006/relationships" r:id="rId13"/>
          </a:graphicData>
        </a:graphic>
      </xdr:graphicFrame>
      <xdr:graphicFrame macro="">
        <xdr:nvGraphicFramePr>
          <xdr:cNvPr id="27" name="Chart 26">
            <a:extLst>
              <a:ext uri="{FF2B5EF4-FFF2-40B4-BE49-F238E27FC236}">
                <a16:creationId xmlns="" xmlns:a16="http://schemas.microsoft.com/office/drawing/2014/main" id="{00000000-0008-0000-0C00-00001B000000}"/>
              </a:ext>
            </a:extLst>
          </xdr:cNvPr>
          <xdr:cNvGraphicFramePr>
            <a:graphicFrameLocks/>
          </xdr:cNvGraphicFramePr>
        </xdr:nvGraphicFramePr>
        <xdr:xfrm>
          <a:off x="21160652" y="1529811"/>
          <a:ext cx="2207162" cy="1429845"/>
        </xdr:xfrm>
        <a:graphic>
          <a:graphicData uri="http://schemas.openxmlformats.org/drawingml/2006/chart">
            <c:chart xmlns:c="http://schemas.openxmlformats.org/drawingml/2006/chart" xmlns:r="http://schemas.openxmlformats.org/officeDocument/2006/relationships" r:id="rId14"/>
          </a:graphicData>
        </a:graphic>
      </xdr:graphicFrame>
      <xdr:cxnSp macro="">
        <xdr:nvCxnSpPr>
          <xdr:cNvPr id="5" name="Connector: Elbow 4">
            <a:extLst>
              <a:ext uri="{FF2B5EF4-FFF2-40B4-BE49-F238E27FC236}">
                <a16:creationId xmlns="" xmlns:a16="http://schemas.microsoft.com/office/drawing/2014/main" id="{00000000-0008-0000-0C00-000005000000}"/>
              </a:ext>
            </a:extLst>
          </xdr:cNvPr>
          <xdr:cNvCxnSpPr/>
        </xdr:nvCxnSpPr>
        <xdr:spPr>
          <a:xfrm>
            <a:off x="20043892" y="1235941"/>
            <a:ext cx="2648598" cy="264794"/>
          </a:xfrm>
          <a:prstGeom prst="bentConnector3">
            <a:avLst>
              <a:gd name="adj1" fmla="val 99106"/>
            </a:avLst>
          </a:prstGeom>
          <a:ln>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7</xdr:col>
      <xdr:colOff>23944</xdr:colOff>
      <xdr:row>28</xdr:row>
      <xdr:rowOff>120430</xdr:rowOff>
    </xdr:from>
    <xdr:to>
      <xdr:col>11</xdr:col>
      <xdr:colOff>879765</xdr:colOff>
      <xdr:row>33</xdr:row>
      <xdr:rowOff>168166</xdr:rowOff>
    </xdr:to>
    <xdr:graphicFrame macro="">
      <xdr:nvGraphicFramePr>
        <xdr:cNvPr id="45" name="Chart 44">
          <a:extLst>
            <a:ext uri="{FF2B5EF4-FFF2-40B4-BE49-F238E27FC236}">
              <a16:creationId xmlns="" xmlns:a16="http://schemas.microsoft.com/office/drawing/2014/main" id="{00000000-0008-0000-0C00-00002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11</xdr:col>
      <xdr:colOff>871072</xdr:colOff>
      <xdr:row>28</xdr:row>
      <xdr:rowOff>98535</xdr:rowOff>
    </xdr:from>
    <xdr:to>
      <xdr:col>15</xdr:col>
      <xdr:colOff>12393</xdr:colOff>
      <xdr:row>33</xdr:row>
      <xdr:rowOff>226001</xdr:rowOff>
    </xdr:to>
    <xdr:graphicFrame macro="">
      <xdr:nvGraphicFramePr>
        <xdr:cNvPr id="44" name="Chart 43">
          <a:extLst>
            <a:ext uri="{FF2B5EF4-FFF2-40B4-BE49-F238E27FC236}">
              <a16:creationId xmlns="" xmlns:a16="http://schemas.microsoft.com/office/drawing/2014/main" id="{00000000-0008-0000-0C00-00002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24</xdr:col>
      <xdr:colOff>642937</xdr:colOff>
      <xdr:row>20</xdr:row>
      <xdr:rowOff>83345</xdr:rowOff>
    </xdr:from>
    <xdr:to>
      <xdr:col>27</xdr:col>
      <xdr:colOff>107156</xdr:colOff>
      <xdr:row>31</xdr:row>
      <xdr:rowOff>35719</xdr:rowOff>
    </xdr:to>
    <xdr:graphicFrame macro="">
      <xdr:nvGraphicFramePr>
        <xdr:cNvPr id="47" name="Chart 46">
          <a:extLst>
            <a:ext uri="{FF2B5EF4-FFF2-40B4-BE49-F238E27FC236}">
              <a16:creationId xmlns="" xmlns:a16="http://schemas.microsoft.com/office/drawing/2014/main" id="{00000000-0008-0000-0C00-00002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15</xdr:col>
      <xdr:colOff>95249</xdr:colOff>
      <xdr:row>2</xdr:row>
      <xdr:rowOff>95251</xdr:rowOff>
    </xdr:from>
    <xdr:to>
      <xdr:col>28</xdr:col>
      <xdr:colOff>11905</xdr:colOff>
      <xdr:row>4</xdr:row>
      <xdr:rowOff>47625</xdr:rowOff>
    </xdr:to>
    <xdr:sp macro="" textlink="">
      <xdr:nvSpPr>
        <xdr:cNvPr id="48" name="Rectangle 47">
          <a:extLst>
            <a:ext uri="{FF2B5EF4-FFF2-40B4-BE49-F238E27FC236}">
              <a16:creationId xmlns="" xmlns:a16="http://schemas.microsoft.com/office/drawing/2014/main" id="{00000000-0008-0000-0C00-000030000000}"/>
            </a:ext>
          </a:extLst>
        </xdr:cNvPr>
        <xdr:cNvSpPr/>
      </xdr:nvSpPr>
      <xdr:spPr>
        <a:xfrm>
          <a:off x="14085093" y="666751"/>
          <a:ext cx="9786937" cy="285749"/>
        </a:xfrm>
        <a:prstGeom prst="rect">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200" b="1"/>
            <a:t>Water Quantity                                                                                                                               Water Quality</a:t>
          </a:r>
        </a:p>
      </xdr:txBody>
    </xdr:sp>
    <xdr:clientData/>
  </xdr:twoCellAnchor>
  <xdr:twoCellAnchor>
    <xdr:from>
      <xdr:col>15</xdr:col>
      <xdr:colOff>71438</xdr:colOff>
      <xdr:row>18</xdr:row>
      <xdr:rowOff>95250</xdr:rowOff>
    </xdr:from>
    <xdr:to>
      <xdr:col>27</xdr:col>
      <xdr:colOff>0</xdr:colOff>
      <xdr:row>20</xdr:row>
      <xdr:rowOff>47625</xdr:rowOff>
    </xdr:to>
    <xdr:sp macro="" textlink="">
      <xdr:nvSpPr>
        <xdr:cNvPr id="52" name="TextBox 51">
          <a:extLst>
            <a:ext uri="{FF2B5EF4-FFF2-40B4-BE49-F238E27FC236}">
              <a16:creationId xmlns="" xmlns:a16="http://schemas.microsoft.com/office/drawing/2014/main" id="{00000000-0008-0000-0C00-000034000000}"/>
            </a:ext>
          </a:extLst>
        </xdr:cNvPr>
        <xdr:cNvSpPr txBox="1"/>
      </xdr:nvSpPr>
      <xdr:spPr>
        <a:xfrm>
          <a:off x="14061282" y="3488531"/>
          <a:ext cx="9667874" cy="285750"/>
        </a:xfrm>
        <a:prstGeom prst="rect">
          <a:avLst/>
        </a:prstGeom>
        <a:solidFill>
          <a:schemeClr val="accent2">
            <a:lumMod val="7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rtl="0" eaLnBrk="1" fontAlgn="auto" latinLnBrk="0" hangingPunct="1">
            <a:lnSpc>
              <a:spcPct val="100000"/>
            </a:lnSpc>
            <a:spcBef>
              <a:spcPts val="0"/>
            </a:spcBef>
            <a:spcAft>
              <a:spcPts val="0"/>
            </a:spcAft>
            <a:buClrTx/>
            <a:buSzTx/>
            <a:buFontTx/>
            <a:buNone/>
            <a:tabLst/>
            <a:defRPr/>
          </a:pPr>
          <a:r>
            <a:rPr lang="en-US" sz="1200" b="1" i="0" baseline="0">
              <a:solidFill>
                <a:schemeClr val="bg1"/>
              </a:solidFill>
              <a:effectLst/>
              <a:latin typeface="+mn-lt"/>
              <a:ea typeface="+mn-ea"/>
              <a:cs typeface="+mn-cs"/>
            </a:rPr>
            <a:t>Sanitation Facilities 			                                               Sanitation services</a:t>
          </a:r>
          <a:endParaRPr lang="en-US" sz="1200">
            <a:solidFill>
              <a:schemeClr val="bg1"/>
            </a:solidFill>
            <a:effectLst/>
          </a:endParaRPr>
        </a:p>
      </xdr:txBody>
    </xdr:sp>
    <xdr:clientData/>
  </xdr:twoCellAnchor>
  <xdr:twoCellAnchor>
    <xdr:from>
      <xdr:col>15</xdr:col>
      <xdr:colOff>83344</xdr:colOff>
      <xdr:row>37</xdr:row>
      <xdr:rowOff>476250</xdr:rowOff>
    </xdr:from>
    <xdr:to>
      <xdr:col>27</xdr:col>
      <xdr:colOff>0</xdr:colOff>
      <xdr:row>38</xdr:row>
      <xdr:rowOff>250031</xdr:rowOff>
    </xdr:to>
    <xdr:sp macro="" textlink="">
      <xdr:nvSpPr>
        <xdr:cNvPr id="53" name="TextBox 45">
          <a:extLst>
            <a:ext uri="{FF2B5EF4-FFF2-40B4-BE49-F238E27FC236}">
              <a16:creationId xmlns="" xmlns:a16="http://schemas.microsoft.com/office/drawing/2014/main" id="{00000000-0008-0000-0C00-000035000000}"/>
            </a:ext>
          </a:extLst>
        </xdr:cNvPr>
        <xdr:cNvSpPr txBox="1"/>
      </xdr:nvSpPr>
      <xdr:spPr>
        <a:xfrm>
          <a:off x="14073188" y="8429625"/>
          <a:ext cx="9655968" cy="261937"/>
        </a:xfrm>
        <a:prstGeom prst="rect">
          <a:avLst/>
        </a:prstGeom>
        <a:solidFill>
          <a:schemeClr val="accent6">
            <a:lumMod val="7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marR="0" lvl="0" indent="0" defTabSz="914400" rtl="0" eaLnBrk="1" fontAlgn="auto" latinLnBrk="0" hangingPunct="1">
            <a:lnSpc>
              <a:spcPct val="100000"/>
            </a:lnSpc>
            <a:spcBef>
              <a:spcPts val="0"/>
            </a:spcBef>
            <a:spcAft>
              <a:spcPts val="0"/>
            </a:spcAft>
            <a:buClrTx/>
            <a:buSzTx/>
            <a:buFontTx/>
            <a:buNone/>
            <a:tabLst/>
            <a:defRPr/>
          </a:pPr>
          <a:r>
            <a:rPr lang="en-US" sz="1200" b="1" i="0" baseline="0">
              <a:solidFill>
                <a:schemeClr val="bg1"/>
              </a:solidFill>
              <a:effectLst/>
              <a:latin typeface="+mn-lt"/>
              <a:ea typeface="+mn-ea"/>
              <a:cs typeface="+mn-cs"/>
            </a:rPr>
            <a:t>Hygiene Items 			                                      </a:t>
          </a:r>
          <a:endParaRPr lang="en-US" sz="1200">
            <a:solidFill>
              <a:schemeClr val="bg1"/>
            </a:solidFill>
            <a:effectLst/>
          </a:endParaRPr>
        </a:p>
      </xdr:txBody>
    </xdr:sp>
    <xdr:clientData/>
  </xdr:twoCellAnchor>
  <xdr:twoCellAnchor>
    <xdr:from>
      <xdr:col>6</xdr:col>
      <xdr:colOff>686898</xdr:colOff>
      <xdr:row>39</xdr:row>
      <xdr:rowOff>323300</xdr:rowOff>
    </xdr:from>
    <xdr:to>
      <xdr:col>15</xdr:col>
      <xdr:colOff>83343</xdr:colOff>
      <xdr:row>50</xdr:row>
      <xdr:rowOff>1</xdr:rowOff>
    </xdr:to>
    <xdr:graphicFrame macro="">
      <xdr:nvGraphicFramePr>
        <xdr:cNvPr id="36" name="Chart 35">
          <a:extLst>
            <a:ext uri="{FF2B5EF4-FFF2-40B4-BE49-F238E27FC236}">
              <a16:creationId xmlns="" xmlns:a16="http://schemas.microsoft.com/office/drawing/2014/main" id="{A521F450-18C4-4463-B8E6-F991980D67B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A:\Finance\Delegates\Delegate%20Per%20Diem%20Sheets.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unicef-my.sharepoint.com/Users/mthaw/Mee%20Mee/2.%20Information%20Management/B_%204%20W/002.%204Ws%20matrix/002.Rakhine/4W%202016/3.%204Ws%20Wash_Matrix_Summary_Rakhine_%20March%20201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unicef-my.sharepoint.com/Users/mminsoe/Downloads/2.shelter-nfi-cccm_rakhine_cluster_analysis_report_28_february_2018.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unicef-my.sharepoint.com/Users/mthaw/Mee%20Mee/2.%20Information%20Management/C_Camp%20Info/2.%20CCCM%20Camp%20list/Rakhine/2016/2016_09/shelter-nfi-cccm_rakhine_cluster_analysis_report_1st_september_2016_1.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unicef-my.sharepoint.com/personal/mminsoe_unicef_org/Documents/Data/2018_4W_funding_matrix/received/KBC_Myitkyina_4W%20update%20KBC_2018%20April.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mthaw/Mee%20Mee/2.%20Information%20Management/B_%204%20W/KO%20myo%20min%20soe/Myanmar_WASH_4W_2018_Q1_2018-05-15.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Users/mthaw/Mee%20Mee/2.%20Information%20Management/B_%204%20W/002.%204Ws%20matrix/001.New%204%20W/2017/20170404_New_4W_Corefile_2017.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Users/mthaw/Mee%20Mee/2.%20Information%20Management/J_Funding/2018/2018_Q1/2018-05-31_Funding%20Matrix__Consolidate%20-%20Copy.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Users/mthaw/Mee%20Mee/2.%20Information%20Management/J_Funding/2018/2018_Q1/2018-05-31_Funding%20Matrix__Consolidate%20%20-%2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mpty Sheet"/>
      <sheetName val="PD Sheet"/>
      <sheetName val="Data"/>
      <sheetName val="Sheet5"/>
      <sheetName val="Fund_Analysis_Rakhine"/>
    </sheetNames>
    <sheetDataSet>
      <sheetData sheetId="0"/>
      <sheetData sheetId="1"/>
      <sheetData sheetId="2"/>
      <sheetData sheetId="3" refreshError="1"/>
      <sheetData sheetId="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de"/>
      <sheetName val="Snapshot"/>
      <sheetName val="Situation Analysis"/>
      <sheetName val="Funds analysis"/>
      <sheetName val="Cluster indicator 2015"/>
      <sheetName val="UNICEF"/>
      <sheetName val="Database"/>
      <sheetName val="Agency funds received"/>
      <sheetName val="List"/>
      <sheetName val="Lookup"/>
      <sheetName val="SiteDatabase"/>
    </sheetNames>
    <sheetDataSet>
      <sheetData sheetId="0"/>
      <sheetData sheetId="1"/>
      <sheetData sheetId="2"/>
      <sheetData sheetId="3"/>
      <sheetData sheetId="4"/>
      <sheetData sheetId="5"/>
      <sheetData sheetId="6"/>
      <sheetData sheetId="7"/>
      <sheetData sheetId="8">
        <row r="23">
          <cell r="E23" t="str">
            <v>Gender Separate, clearly perceived</v>
          </cell>
          <cell r="F23" t="str">
            <v>Household Latrines</v>
          </cell>
        </row>
        <row r="24">
          <cell r="E24" t="str">
            <v>Gender Separate, but not clearly perceived</v>
          </cell>
          <cell r="F24" t="str">
            <v>Share Household Latriens</v>
          </cell>
        </row>
        <row r="25">
          <cell r="E25" t="str">
            <v>Attributed per families</v>
          </cell>
          <cell r="F25" t="str">
            <v>Mixed</v>
          </cell>
        </row>
        <row r="26">
          <cell r="E26" t="str">
            <v>No Specification</v>
          </cell>
        </row>
      </sheetData>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le_details"/>
      <sheetName val="Home"/>
      <sheetName val="Definition_TCL"/>
      <sheetName val="Definition"/>
      <sheetName val="Key CCCM Definitions"/>
      <sheetName val="Shelter Tracking"/>
      <sheetName val="Camp List"/>
      <sheetName val="ReturntoIH"/>
      <sheetName val="Camp List (printable) "/>
      <sheetName val="CCCM Dashboard"/>
      <sheetName val="Map"/>
      <sheetName val="Sheet2"/>
      <sheetName val="Camp_Profile"/>
      <sheetName val="Camp Analysis"/>
      <sheetName val="Age-Sex Breakdown per Camp"/>
      <sheetName val="Vulnerability per Camp"/>
      <sheetName val="Displacement Areas"/>
      <sheetName val="Camp Management-Focal Point"/>
      <sheetName val="Relocation &amp; Returned"/>
      <sheetName val="Camp List (closed)"/>
      <sheetName val="Shelter Maintenance in 2017"/>
      <sheetName val="Shelter Progress"/>
      <sheetName val="Shelter Summary (by agency)"/>
      <sheetName val="Shelter Coverage &amp; Gaps"/>
      <sheetName val="Camp Infrastructure"/>
      <sheetName val="NFI Tracking"/>
      <sheetName val="NFI Pipeline"/>
      <sheetName val="NFI Distribution by 12 Months"/>
      <sheetName val="NFI Summary"/>
      <sheetName val="Distribution by Year"/>
      <sheetName val="2"/>
    </sheetNames>
    <sheetDataSet>
      <sheetData sheetId="0" refreshError="1"/>
      <sheetData sheetId="1" refreshError="1"/>
      <sheetData sheetId="2">
        <row r="4">
          <cell r="A4" t="str">
            <v>TOWNSHIP_NAME</v>
          </cell>
        </row>
      </sheetData>
      <sheetData sheetId="3">
        <row r="2">
          <cell r="A2" t="str">
            <v>Blanket</v>
          </cell>
          <cell r="N2" t="str">
            <v>Collective Center</v>
          </cell>
          <cell r="V2" t="str">
            <v>IDP</v>
          </cell>
          <cell r="Z2" t="str">
            <v xml:space="preserve"> </v>
          </cell>
        </row>
        <row r="3">
          <cell r="N3" t="str">
            <v>Host Families</v>
          </cell>
          <cell r="V3" t="str">
            <v>Other directly affected persons</v>
          </cell>
          <cell r="Z3" t="str">
            <v>DRC</v>
          </cell>
        </row>
        <row r="4">
          <cell r="N4" t="str">
            <v>Individual House</v>
          </cell>
          <cell r="V4" t="str">
            <v>People in host communities</v>
          </cell>
          <cell r="Z4" t="str">
            <v>LWF</v>
          </cell>
        </row>
        <row r="5">
          <cell r="N5" t="str">
            <v>Planned Camp</v>
          </cell>
          <cell r="V5" t="str">
            <v>People in other affected communities</v>
          </cell>
          <cell r="Z5" t="str">
            <v>RI</v>
          </cell>
        </row>
        <row r="6">
          <cell r="N6" t="str">
            <v>Self Settled Camp</v>
          </cell>
          <cell r="V6" t="str">
            <v>People in surrounding communities</v>
          </cell>
          <cell r="Z6" t="str">
            <v>NRC</v>
          </cell>
        </row>
        <row r="7">
          <cell r="V7" t="str">
            <v>Refugee</v>
          </cell>
          <cell r="Z7" t="str">
            <v>UNHCR</v>
          </cell>
        </row>
        <row r="8">
          <cell r="V8" t="str">
            <v>Resettled IDP</v>
          </cell>
        </row>
        <row r="9">
          <cell r="V9" t="str">
            <v>Returnee IDP</v>
          </cell>
        </row>
        <row r="10">
          <cell r="V10" t="str">
            <v>Returnee Refugee</v>
          </cell>
        </row>
      </sheetData>
      <sheetData sheetId="4" refreshError="1"/>
      <sheetData sheetId="5">
        <row r="4">
          <cell r="E4" t="str">
            <v>Township</v>
          </cell>
        </row>
      </sheetData>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ow r="1">
          <cell r="L1">
            <v>1</v>
          </cell>
        </row>
      </sheetData>
      <sheetData sheetId="26" refreshError="1"/>
      <sheetData sheetId="27" refreshError="1"/>
      <sheetData sheetId="28" refreshError="1"/>
      <sheetData sheetId="29" refreshError="1"/>
      <sheetData sheetId="3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le_details"/>
      <sheetName val="Home"/>
      <sheetName val="Definition_TCL"/>
      <sheetName val="Definition"/>
      <sheetName val="Key CCCM Definitions"/>
      <sheetName val="Camp List"/>
      <sheetName val="ReturntoIH"/>
      <sheetName val="Camp List (printable) "/>
      <sheetName val="CCCM Dashboard"/>
      <sheetName val="Map"/>
      <sheetName val="Sheet2"/>
      <sheetName val="Camp_Profile"/>
      <sheetName val="Camp Analysis"/>
      <sheetName val="Age-Sex Breakdown per Camp"/>
      <sheetName val="Vulnerability per Camp"/>
      <sheetName val="Displacement Areas"/>
      <sheetName val="Camp Management-Focal Point"/>
      <sheetName val="Relocation &amp; Returned"/>
      <sheetName val="Camp List (closed)"/>
      <sheetName val="Shelter Tracking"/>
      <sheetName val="Camp Infrastructure"/>
      <sheetName val="Shelter Progress"/>
      <sheetName val="Shelter Summary (by agency)"/>
      <sheetName val="Shelter Coverage &amp; Gaps"/>
      <sheetName val="NFI Tracking"/>
      <sheetName val="NFI Pipeline"/>
      <sheetName val="NFI Distribution (by Tship)"/>
      <sheetName val="NFI Summary"/>
      <sheetName val="Distribution by Year"/>
    </sheetNames>
    <sheetDataSet>
      <sheetData sheetId="0" refreshError="1"/>
      <sheetData sheetId="1" refreshError="1"/>
      <sheetData sheetId="2" refreshError="1"/>
      <sheetData sheetId="3">
        <row r="2">
          <cell r="Z2" t="str">
            <v xml:space="preserve"> </v>
          </cell>
        </row>
        <row r="3">
          <cell r="Z3" t="str">
            <v>DRC</v>
          </cell>
        </row>
        <row r="4">
          <cell r="Z4" t="str">
            <v>LWF</v>
          </cell>
        </row>
        <row r="5">
          <cell r="Z5" t="str">
            <v>RI</v>
          </cell>
        </row>
        <row r="6">
          <cell r="Z6" t="str">
            <v>NRC</v>
          </cell>
        </row>
        <row r="7">
          <cell r="Z7" t="str">
            <v>UNHCR</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18 HRP New Sites"/>
      <sheetName val="HRP Calculations"/>
      <sheetName val="Indicator Summary  Eng"/>
      <sheetName val="Indicator Summary MM "/>
      <sheetName val="Guide"/>
      <sheetName val="DATABASE"/>
      <sheetName val="Sheet2"/>
      <sheetName val="Sheet1"/>
      <sheetName val="SiteDB"/>
      <sheetName val="Lookup"/>
    </sheetNames>
    <sheetDataSet>
      <sheetData sheetId="0"/>
      <sheetData sheetId="1"/>
      <sheetData sheetId="2"/>
      <sheetData sheetId="3"/>
      <sheetData sheetId="4"/>
      <sheetData sheetId="5"/>
      <sheetData sheetId="6"/>
      <sheetData sheetId="7"/>
      <sheetData sheetId="8"/>
      <sheetData sheetId="9">
        <row r="3">
          <cell r="AB3" t="str">
            <v>State_list</v>
          </cell>
        </row>
        <row r="4">
          <cell r="AB4" t="str">
            <v>Kachin</v>
          </cell>
        </row>
        <row r="5">
          <cell r="AB5" t="str">
            <v>Kachin</v>
          </cell>
        </row>
        <row r="6">
          <cell r="AB6" t="str">
            <v>Kachin</v>
          </cell>
        </row>
        <row r="7">
          <cell r="AB7" t="str">
            <v>Kachin</v>
          </cell>
        </row>
        <row r="8">
          <cell r="AB8" t="str">
            <v>Kachin</v>
          </cell>
        </row>
        <row r="9">
          <cell r="AB9" t="str">
            <v>Kachin</v>
          </cell>
        </row>
        <row r="10">
          <cell r="AB10" t="str">
            <v>Kachin</v>
          </cell>
        </row>
        <row r="11">
          <cell r="AB11" t="str">
            <v>Kachin</v>
          </cell>
        </row>
        <row r="12">
          <cell r="AB12" t="str">
            <v>Kachin</v>
          </cell>
        </row>
        <row r="13">
          <cell r="AB13" t="str">
            <v>Kachin</v>
          </cell>
        </row>
        <row r="14">
          <cell r="AB14" t="str">
            <v>Kachin</v>
          </cell>
        </row>
        <row r="15">
          <cell r="AB15" t="str">
            <v>Kachin</v>
          </cell>
        </row>
        <row r="16">
          <cell r="AB16" t="str">
            <v>Kachin</v>
          </cell>
        </row>
        <row r="17">
          <cell r="AB17" t="str">
            <v>Kachin</v>
          </cell>
        </row>
        <row r="18">
          <cell r="AB18" t="str">
            <v>Kachin</v>
          </cell>
        </row>
        <row r="19">
          <cell r="AB19" t="str">
            <v>Kachin</v>
          </cell>
        </row>
        <row r="20">
          <cell r="AB20" t="str">
            <v>Kachin</v>
          </cell>
        </row>
        <row r="21">
          <cell r="AB21" t="str">
            <v>Kachin</v>
          </cell>
        </row>
        <row r="22">
          <cell r="AB22" t="str">
            <v>Kachin</v>
          </cell>
        </row>
        <row r="23">
          <cell r="AB23" t="str">
            <v>Rakhine</v>
          </cell>
        </row>
        <row r="24">
          <cell r="AB24" t="str">
            <v>Rakhine</v>
          </cell>
        </row>
        <row r="25">
          <cell r="AB25" t="str">
            <v>Rakhine</v>
          </cell>
        </row>
        <row r="26">
          <cell r="AB26" t="str">
            <v>Rakhine</v>
          </cell>
        </row>
        <row r="27">
          <cell r="AB27" t="str">
            <v>Rakhine</v>
          </cell>
        </row>
        <row r="28">
          <cell r="AB28" t="str">
            <v>Rakhine</v>
          </cell>
        </row>
        <row r="29">
          <cell r="AB29" t="str">
            <v>Rakhine</v>
          </cell>
        </row>
        <row r="30">
          <cell r="AB30" t="str">
            <v>Rakhine</v>
          </cell>
        </row>
        <row r="31">
          <cell r="AB31" t="str">
            <v>Rakhine</v>
          </cell>
        </row>
        <row r="32">
          <cell r="AB32" t="str">
            <v>Rakhine</v>
          </cell>
        </row>
        <row r="33">
          <cell r="AB33" t="str">
            <v>Rakhine</v>
          </cell>
        </row>
        <row r="34">
          <cell r="AB34" t="str">
            <v>Rakhine</v>
          </cell>
        </row>
        <row r="35">
          <cell r="AB35" t="str">
            <v>Rakhine</v>
          </cell>
        </row>
        <row r="36">
          <cell r="AB36" t="str">
            <v>Rakhine</v>
          </cell>
        </row>
        <row r="37">
          <cell r="AB37" t="str">
            <v>Rakhine</v>
          </cell>
        </row>
        <row r="38">
          <cell r="AB38" t="str">
            <v>Rakhine</v>
          </cell>
        </row>
        <row r="39">
          <cell r="AB39" t="str">
            <v>Rakhine</v>
          </cell>
        </row>
        <row r="40">
          <cell r="AB40" t="str">
            <v>Shan (North)</v>
          </cell>
        </row>
        <row r="41">
          <cell r="AB41" t="str">
            <v>Shan (North)</v>
          </cell>
        </row>
        <row r="42">
          <cell r="AB42" t="str">
            <v>Shan (North)</v>
          </cell>
        </row>
        <row r="43">
          <cell r="AB43" t="str">
            <v>Shan (North)</v>
          </cell>
        </row>
        <row r="44">
          <cell r="AB44" t="str">
            <v>Shan (North)</v>
          </cell>
        </row>
        <row r="45">
          <cell r="AB45" t="str">
            <v>Shan (North)</v>
          </cell>
        </row>
        <row r="46">
          <cell r="AB46" t="str">
            <v>Shan (North)</v>
          </cell>
        </row>
        <row r="47">
          <cell r="AB47" t="str">
            <v>Shan (North)</v>
          </cell>
        </row>
        <row r="48">
          <cell r="AB48" t="str">
            <v>Shan (North)</v>
          </cell>
        </row>
        <row r="49">
          <cell r="AB49" t="str">
            <v>Shan (North)</v>
          </cell>
        </row>
        <row r="50">
          <cell r="AB50" t="str">
            <v>Shan (North)</v>
          </cell>
        </row>
        <row r="51">
          <cell r="AB51" t="str">
            <v>Shan (North)</v>
          </cell>
        </row>
        <row r="52">
          <cell r="AB52" t="str">
            <v>Shan (North)</v>
          </cell>
        </row>
        <row r="53">
          <cell r="AB53" t="str">
            <v>Shan (North)</v>
          </cell>
        </row>
        <row r="54">
          <cell r="AB54" t="str">
            <v>Shan (North)</v>
          </cell>
        </row>
        <row r="55">
          <cell r="AB55" t="str">
            <v>Shan (North)</v>
          </cell>
        </row>
        <row r="56">
          <cell r="AB56" t="str">
            <v>Shan (North)</v>
          </cell>
        </row>
        <row r="57">
          <cell r="AB57" t="str">
            <v>Shan (North)</v>
          </cell>
        </row>
        <row r="58">
          <cell r="AB58" t="str">
            <v>Shan (North)</v>
          </cell>
        </row>
        <row r="59">
          <cell r="AB59" t="str">
            <v>Shan (North)</v>
          </cell>
        </row>
        <row r="60">
          <cell r="AB60" t="str">
            <v>Shan (North)</v>
          </cell>
        </row>
        <row r="61">
          <cell r="AB61" t="str">
            <v>Shan (North)</v>
          </cell>
        </row>
        <row r="62">
          <cell r="AB62" t="str">
            <v>Shan (North)</v>
          </cell>
        </row>
        <row r="63">
          <cell r="AB63" t="str">
            <v>Shan (North)</v>
          </cell>
        </row>
        <row r="64">
          <cell r="AB64" t="str">
            <v>Shan (North)</v>
          </cell>
        </row>
        <row r="65">
          <cell r="AB65" t="str">
            <v>Shan (North)</v>
          </cell>
        </row>
        <row r="66">
          <cell r="AB66" t="str">
            <v>Shan (North)</v>
          </cell>
        </row>
        <row r="67">
          <cell r="AB67" t="str">
            <v>Shan (North)</v>
          </cell>
        </row>
        <row r="68">
          <cell r="AB68" t="str">
            <v>Shan (North)</v>
          </cell>
        </row>
        <row r="69">
          <cell r="AB69" t="str">
            <v>Shan (North)</v>
          </cell>
        </row>
        <row r="70">
          <cell r="AB70" t="str">
            <v>Shan (North)</v>
          </cell>
        </row>
        <row r="71">
          <cell r="AB71" t="str">
            <v>Shan (North)</v>
          </cell>
        </row>
        <row r="72">
          <cell r="AB72" t="str">
            <v>Shan (North)</v>
          </cell>
        </row>
        <row r="73">
          <cell r="AB73" t="str">
            <v>Shan (North)</v>
          </cell>
        </row>
        <row r="74">
          <cell r="AB74" t="str">
            <v>Shan (North)</v>
          </cell>
        </row>
        <row r="75">
          <cell r="AB75" t="str">
            <v>Shan (North)</v>
          </cell>
        </row>
        <row r="76">
          <cell r="AB76" t="str">
            <v>Shan (North)</v>
          </cell>
        </row>
        <row r="77">
          <cell r="AB77" t="str">
            <v>Shan (North)</v>
          </cell>
        </row>
        <row r="78">
          <cell r="AB78" t="str">
            <v>Shan (North)</v>
          </cell>
        </row>
        <row r="79">
          <cell r="AB79" t="str">
            <v>Shan (North)</v>
          </cell>
        </row>
        <row r="80">
          <cell r="AB80" t="str">
            <v>Shan (North)</v>
          </cell>
        </row>
        <row r="81">
          <cell r="AB81" t="str">
            <v>Shan (North)</v>
          </cell>
        </row>
        <row r="82">
          <cell r="AB82" t="str">
            <v>Shan (North)</v>
          </cell>
        </row>
        <row r="83">
          <cell r="AB83" t="str">
            <v>Shan (North)</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RP Calculations"/>
      <sheetName val="Indicator Summary  Eng"/>
      <sheetName val="Indicator Summary MM "/>
      <sheetName val="Guide"/>
      <sheetName val="HRP"/>
      <sheetName val="Sheet1"/>
      <sheetName val="DATABASE"/>
      <sheetName val="Analysis"/>
      <sheetName val="Shan(n)"/>
      <sheetName val="Kachin"/>
      <sheetName val="Site_DB"/>
      <sheetName val="Lookup"/>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iteDatabase"/>
      <sheetName val="Lookup"/>
      <sheetName val="Guide"/>
      <sheetName val="Indicator Summary "/>
      <sheetName val="DATABASE"/>
      <sheetName val="WASH Trends 2014-2017"/>
      <sheetName val="Tables"/>
      <sheetName val="TrendPivot"/>
      <sheetName val="DRAFT-1"/>
      <sheetName val="Sheet2"/>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18"/>
      <sheetName val="Charts2018"/>
      <sheetName val="Kachin-shan_funding_matrix1"/>
      <sheetName val="Donor Report"/>
      <sheetName val="Rakhine_funding_matrix1"/>
      <sheetName val="Timeline"/>
      <sheetName val="Rakhine_funding_timeline"/>
      <sheetName val="Rakhine Analysis 2"/>
      <sheetName val="Rakhine_funding_matrix"/>
      <sheetName val="Kachin-shan_funding_matrix"/>
      <sheetName val="Fund_Analysis_Rakhine"/>
      <sheetName val="Kachin Analysis 2"/>
      <sheetName val="Fund_Analysis_Kachin-shan"/>
      <sheetName val="Sheet1"/>
    </sheetNames>
    <sheetDataSet>
      <sheetData sheetId="0"/>
      <sheetData sheetId="1"/>
      <sheetData sheetId="2"/>
      <sheetData sheetId="3"/>
      <sheetData sheetId="4"/>
      <sheetData sheetId="5"/>
      <sheetData sheetId="6"/>
      <sheetData sheetId="7"/>
      <sheetData sheetId="8"/>
      <sheetData sheetId="9"/>
      <sheetData sheetId="10">
        <row r="72">
          <cell r="B72" t="str">
            <v>Funding requirements</v>
          </cell>
          <cell r="C72" t="str">
            <v>Approximate Fund 2018</v>
          </cell>
          <cell r="D72" t="str">
            <v>Gap</v>
          </cell>
          <cell r="E72" t="str">
            <v>%Gap</v>
          </cell>
        </row>
        <row r="73">
          <cell r="A73" t="str">
            <v>Kachin/Shan</v>
          </cell>
          <cell r="B73">
            <v>9700000</v>
          </cell>
          <cell r="C73">
            <v>1944515.5121868772</v>
          </cell>
          <cell r="D73">
            <v>7755484.4878131226</v>
          </cell>
          <cell r="E73">
            <v>0.79953448327970333</v>
          </cell>
        </row>
        <row r="74">
          <cell r="A74" t="str">
            <v>Rakhine</v>
          </cell>
          <cell r="B74">
            <v>21600000</v>
          </cell>
          <cell r="C74">
            <v>6050988.2278582146</v>
          </cell>
          <cell r="D74">
            <v>15549011.772141784</v>
          </cell>
          <cell r="E74">
            <v>0.71986165611767516</v>
          </cell>
        </row>
        <row r="75">
          <cell r="A75" t="str">
            <v>National (Total)</v>
          </cell>
          <cell r="B75">
            <v>31300000</v>
          </cell>
          <cell r="C75">
            <v>7995503.7400450921</v>
          </cell>
          <cell r="D75">
            <v>23304496.259954907</v>
          </cell>
          <cell r="E75">
            <v>0.74455259616469349</v>
          </cell>
        </row>
      </sheetData>
      <sheetData sheetId="11"/>
      <sheetData sheetId="12"/>
      <sheetData sheetId="13"/>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18"/>
      <sheetName val="Charts2018"/>
      <sheetName val="Kachin-shan_funding_matrix1"/>
      <sheetName val="Donor Report"/>
      <sheetName val="Rakhine_funding_matrix1"/>
      <sheetName val="Timeline"/>
      <sheetName val="Rakhine_funding_timeline"/>
      <sheetName val="Rakhine Analysis 2"/>
      <sheetName val="Rakhine_funding_matrix"/>
      <sheetName val="Kachin-shan_funding_matrix"/>
      <sheetName val="Fund_Analysis_Rakhine"/>
      <sheetName val="Kachin Analysis 2"/>
      <sheetName val="Fund_Analysis_Kachin-shan"/>
      <sheetName val="National"/>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72">
          <cell r="B72" t="str">
            <v>Funding requirements</v>
          </cell>
          <cell r="C72" t="str">
            <v>Approximate Fund 2018</v>
          </cell>
          <cell r="D72" t="str">
            <v>Gap</v>
          </cell>
          <cell r="E72" t="str">
            <v>%Gap</v>
          </cell>
        </row>
        <row r="73">
          <cell r="A73" t="str">
            <v>Kachin/Shan</v>
          </cell>
          <cell r="B73">
            <v>9700000</v>
          </cell>
          <cell r="C73">
            <v>1944515.5121868772</v>
          </cell>
          <cell r="D73">
            <v>7755484.4878131226</v>
          </cell>
          <cell r="E73">
            <v>0.79953448327970333</v>
          </cell>
        </row>
        <row r="74">
          <cell r="A74" t="str">
            <v>Rakhine</v>
          </cell>
          <cell r="B74">
            <v>21600000</v>
          </cell>
          <cell r="C74">
            <v>6050988.2278582146</v>
          </cell>
          <cell r="D74">
            <v>15549011.772141784</v>
          </cell>
          <cell r="E74">
            <v>0.71986165611767516</v>
          </cell>
        </row>
        <row r="75">
          <cell r="A75" t="str">
            <v>National (Total)</v>
          </cell>
          <cell r="B75">
            <v>31300000</v>
          </cell>
          <cell r="C75">
            <v>7995503.7400450921</v>
          </cell>
          <cell r="D75">
            <v>23304496.259954907</v>
          </cell>
          <cell r="E75">
            <v>0.74455259616469349</v>
          </cell>
        </row>
      </sheetData>
      <sheetData sheetId="11" refreshError="1"/>
      <sheetData sheetId="12" refreshError="1"/>
      <sheetData sheetId="13" refreshError="1"/>
      <sheetData sheetId="14" refreshError="1"/>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Myo Min Soe" refreshedDate="43256.469208796298" createdVersion="6" refreshedVersion="6" minRefreshableVersion="3" recordCount="383">
  <cacheSource type="worksheet">
    <worksheetSource name="WWWW"/>
  </cacheSource>
  <cacheFields count="92">
    <cacheField name="Reporting Period" numFmtId="14">
      <sharedItems containsBlank="1" count="7">
        <s v="2018_Q1"/>
        <m u="1"/>
        <s v="2017_Q4" u="1"/>
        <s v="2018  Q1" u="1"/>
        <s v="2018-Q1" u="1"/>
        <s v="2017_Q3" u="1"/>
        <s v="2018 -Q1" u="1"/>
      </sharedItems>
    </cacheField>
    <cacheField name="WASH focal Agency" numFmtId="0">
      <sharedItems count="41">
        <s v="KMSS"/>
        <s v="Metta"/>
        <s v="SI"/>
        <s v="None"/>
        <s v="Shalom"/>
        <s v="WPN"/>
        <s v="KBC"/>
        <s v="SI, KBC"/>
        <s v="SCI"/>
        <s v="KMSS,KBC"/>
        <s v="Arche Nova"/>
        <s v="MHDO"/>
        <s v="Oxfam"/>
        <s v="CDN"/>
        <s v="MA_UK"/>
        <s v="RI"/>
        <s v="CDN,(MA_UK)"/>
        <s v="DRC"/>
        <s v="SCI, Metta"/>
        <s v="SCI,Metta"/>
        <s v="KMSS,Metta"/>
        <s v="Metta, KBC-HDD-NSS"/>
        <s v="Metta,KBC-HDD-NSS"/>
        <s v="Metta,KBC-HDD-NSS,KMSS"/>
        <s v="Metta,KMSS"/>
        <s v="SCI,KMSS"/>
        <s v="SCI,KBC-HDD-NSS"/>
        <s v="SCI,Metta,KBC-HDD-NSS"/>
        <s v="SCI,Metta, KBC-HDD-NSS"/>
        <s v="KMSS,SCI" u="1"/>
        <s v="SI,(MA_UK)" u="1"/>
        <s v="Metta,SCI" u="1"/>
        <s v="ACF" u="1"/>
        <s v="ACF, CDN" u="1"/>
        <s v="SCI,(MA_UK)" u="1"/>
        <s v="Oxfam,(MA_UK)" u="1"/>
        <s v="CARE, CDN" u="1"/>
        <s v="SI,KBC" u="1"/>
        <s v="Metta,ICRC" u="1"/>
        <s v="CARE" u="1"/>
        <s v="Malteser" u="1"/>
      </sharedItems>
    </cacheField>
    <cacheField name="State" numFmtId="0">
      <sharedItems containsBlank="1" count="4">
        <s v="Kachin"/>
        <s v="Rakhine"/>
        <s v="Shan (North)"/>
        <m u="1"/>
      </sharedItems>
    </cacheField>
    <cacheField name="Township" numFmtId="0">
      <sharedItems count="36">
        <s v="Mansi"/>
        <s v="Momauk"/>
        <s v="Waingmaw"/>
        <s v="Bhamo"/>
        <s v="Mohnyin"/>
        <s v="Puta-O"/>
        <s v="Shwegu"/>
        <s v="Sumprabum"/>
        <s v="Hpakant"/>
        <s v="Chipwi"/>
        <s v="Myitkyina"/>
        <s v="Mogaung"/>
        <s v="Tanai"/>
        <s v="Ann"/>
        <s v="Buthidaung"/>
        <s v="Kyaukpyu"/>
        <s v="Kyauktaw"/>
        <s v="Maungdaw"/>
        <s v="Minbya"/>
        <s v="Mrauk-U"/>
        <s v="Myebon"/>
        <s v="Pauktaw"/>
        <s v="Ponnagyun"/>
        <s v="Rathedaung"/>
        <s v="Sittwe"/>
        <s v="Kutkai"/>
        <s v="Manton"/>
        <s v="Muse"/>
        <s v="Hsipaw"/>
        <s v="Hseni"/>
        <s v="Namtu"/>
        <s v="Namhkan"/>
        <s v="Pangsang" u="1"/>
        <s v="Lashio" u="1"/>
        <s v="Mai Ja Yang " u="1"/>
        <s v="Ramree" u="1"/>
      </sharedItems>
    </cacheField>
    <cacheField name="Site Name" numFmtId="0">
      <sharedItems count="581">
        <s v="Maing Khaung Catholic Church"/>
        <s v="Hpun Lum Yang "/>
        <s v="Loi Je Baptist Church"/>
        <s v="Loi Je Catholic Church"/>
        <s v="Woi Chyai "/>
        <s v="IDP Boarding School, A Len Bum"/>
        <s v="Hka Shi"/>
        <s v="Man Wing Host Families"/>
        <s v="Ta Gun Taing Monastery (Shwe Kyi Na)"/>
        <s v="Bhamo_Host Families"/>
        <s v="Mansi_Host Families"/>
        <s v="Hopin Host Families"/>
        <s v="Moenyin Host Families"/>
        <s v="Khun Sint Village"/>
        <s v="Myo Thit "/>
        <s v="Momauk_Host Families"/>
        <s v="Tote Tan Ward"/>
        <s v="Inn Lel Yan - Host Families"/>
        <s v="Lawk Awng Mare D. (Sinbo Area)"/>
        <s v="Sumprabum"/>
        <s v="5 Ward RC Church(lon Khin)"/>
        <s v="AD-2000 Tharthana Compound"/>
        <s v="AG Church, Hmaw Si Sa"/>
        <s v="AG Church, Maw Wan"/>
        <s v="Aung Thar Church"/>
        <s v="Baptist Church, Hmaw Si Sar(Lon Khin)"/>
        <s v="Border Post 8"/>
        <s v="Bum Tsit Pa"/>
        <s v="Chin Church, Seik Mu"/>
        <s v="Chipwi KBC camp"/>
        <s v="Dhama Rakhita, Nyein Chan Tar Yar Ward(Lon Khin)"/>
        <s v="Du Kahtawng Baptist"/>
        <s v="Dum Bung "/>
        <s v="Hkat Cho "/>
        <s v="Hkau Shau (BP 12)"/>
        <s v="Hlaing Naung Baptist"/>
        <s v="Hmaw Wan, Anglican"/>
        <s v="Hpakant Baptist Church, Nam Ma Hpit"/>
        <s v="Hpare Hkyer - BP6"/>
        <s v="Htoi San Church"/>
        <s v="Jan Mai Kawng Baptist Church"/>
        <s v="Jan Mai Kawng Catholic Church"/>
        <s v="Je Yang Hka "/>
        <s v="Kyun Pin Thar Baptist Church"/>
        <s v="Kyun Taw Baptist Church "/>
        <s v="Lana Zup Ja"/>
        <s v="Lawng Hkang Shait Yang Camp​ ( Lel Pyin)​ "/>
        <s v="Le Kone Bethlehem Church"/>
        <s v="Le Kone Ziun Baptist Church "/>
        <s v="Lhaovao Baptist Church (LBC)"/>
        <s v="Lisu Baptist Church, Maw Shan Vil,. Seik Mu"/>
        <s v="Lisu Baptist Church, Maw Wan Ward"/>
        <s v="Lisu Boarding-House"/>
        <s v="Loi Je Lisu Camp"/>
        <s v="Lung Sut"/>
        <s v="Ma Hawng RC "/>
        <s v="Mading Baptist Church"/>
        <s v="Maga Yang "/>
        <s v="Maina AG Church"/>
        <s v="Maina Catholic Church (St. Joseph)"/>
        <s v="Maina KBC (Bawng Ring)"/>
        <s v="Maina Lawang Baptist Church"/>
        <s v="Maing Khaung"/>
        <s v="Maliyang Baptist Church"/>
        <s v="Man Bung Catholic compound"/>
        <s v="Man Hkring Baptist Church"/>
        <s v="Man Wing Baptist Church"/>
        <s v="Man Wing Baptist Church Cultural Compound"/>
        <s v="Man Wing Catholic Church"/>
        <s v="Man Wing Catholic Church II"/>
        <s v="Mandalay Monestry"/>
        <s v="Mang Hawng Baptist Church"/>
        <s v="Mansi Baptist Church"/>
        <s v="Maw Hpawng Hka Nan Baptist Church"/>
        <s v="Maw Hpawng Lhaovo Baptist Church"/>
        <s v="Maw Wan, Mu-yin Baptist Church"/>
        <s v="Momauk Baptist Church"/>
        <s v="Mu-yin Baptist Church"/>
        <s v="Muyin church (Aung Yar pre-school compound)"/>
        <s v="Nam Ma Phyit, COC"/>
        <s v="Nan Kway St. John Catholic Church"/>
        <s v="Nant Hlaing Church"/>
        <s v="Nant Ma Hpit Catholic Church"/>
        <s v="Nat Gyi Kone Baptist Church "/>
        <s v="Nawng Hee Village"/>
        <s v="Nawng Ing (Indawgyi) Baptist Church "/>
        <s v="Ndup Yang"/>
        <s v="Nhkawng Pa "/>
        <s v="Njang Dung Baptist Church "/>
        <s v="Nyaung Na Pin "/>
        <s v="Pa Dauk Myaing(Pa La Na)"/>
        <s v="Pa Kahtawng "/>
        <s v="Pajau - Jan Mai"/>
        <s v="Pan Wa"/>
        <s v="Phan Khar Kone"/>
        <s v="Post 6 Camp"/>
        <s v="Qtr. 2 Lhaovo Baptist Church"/>
        <s v="Qtr. 2 Myoma Baptist Church"/>
        <s v="Qtr. 3 Mu-yin  Baptist Church"/>
        <s v="Qtr. 4 Monestry (Thargaya Thayett Taw)"/>
        <s v="Rawan Baptist Church, Maw Shan Vil., Seik Mu"/>
        <s v="Robert Church"/>
        <s v="Sai Nai Baptish Church, Maw Shan Vil., Seki Mu"/>
        <s v="Salang Yang"/>
        <s v="Sar Hmaw - KBC"/>
        <s v="Saw Zam"/>
        <s v="Seng Ja "/>
        <s v="Sha-It Yang"/>
        <s v="Shar Du Zut KBC church "/>
        <s v="Shar Du Zut RC church"/>
        <s v="Shatapru Sut Ngai Tawng"/>
        <s v="Shatapru Thida Aye Baptist Church"/>
        <s v="Shing Jai"/>
        <s v="Shwe Gu Baptist Church"/>
        <s v="Shwe Gu Catholic Church"/>
        <s v="Shwe Zet Baptist Church"/>
        <s v="St. Patrick Catholic Church "/>
        <s v="Tanai AG Church "/>
        <s v="Tanai CoC"/>
        <s v="Tanai KBC Church "/>
        <s v="Tanai RC Church - Kinsa Ra "/>
        <s v="Tat Kone Baptist Church"/>
        <s v="Tat Kone COC Baptist - Tat Kone Htoi San"/>
        <s v="Tat Kone Emanuel Church"/>
        <s v="Tat Kone Galile Baptist Church"/>
        <s v="Tat Kone San Pya Baptist Church"/>
        <s v="Thargaya Lisu Baptist Church"/>
        <s v="Waingmaw AG Church"/>
        <s v="Ward 2 Sai Taung Baptist Church, Seik Mu "/>
        <s v="Yoe Kyi Monastery"/>
        <s v="Yumar Baptist Church"/>
        <s v="Sin Bo"/>
        <s v="Woi Chyai host families"/>
        <s v="Woi Chyai (Mong Lai)"/>
        <s v="AD-2000 Extension camp"/>
        <s v="Agritural Compound (KBC)"/>
        <s v="Kachin Su Baptist Church (ECCD)"/>
        <s v="Khar Nan (1) Baptist Church"/>
        <s v="Laiza Je Yang School"/>
        <s v="Lwegel High School"/>
        <s v="Man Bung Edin Baptist Church"/>
        <s v="Robert -Middle school"/>
        <s v="Shar Du Zut SanPya"/>
        <s v="Mingalar on"/>
        <s v="Mei Za Li Kaing"/>
        <s v="Nyaung Chaung_ann"/>
        <s v="Kan Za Li"/>
        <s v="Taik Maw"/>
        <s v="Wet Mee To"/>
        <s v="Lun Kyaw"/>
        <s v="Taung Chauk"/>
        <s v="Oe Pone"/>
        <s v="Sa Khan Maw"/>
        <s v="Tan Chaung"/>
        <s v="Laung Sat"/>
        <s v="Kha Yan Kyun"/>
        <s v="Nga Let Kya"/>
        <s v="Chin Kone"/>
        <s v="Pyaung Chaung"/>
        <s v="Sin U Taik"/>
        <s v="Zu Kaing"/>
        <s v="Swi Chaung"/>
        <s v="Kyeik Chaung"/>
        <s v="Za Yat Kwin"/>
        <s v="Dar Let (South)"/>
        <s v="Ywar Haung Ah Htet"/>
        <s v="Dar Let Ah Lel Kyun"/>
        <s v="Nat Maw (Upper)"/>
        <s v="Shan Kone"/>
        <s v="Dar Let (North)"/>
        <s v="Kwayt Shey Ywar Thit_x000a_(Kwayt Shay)"/>
        <s v="Sein Hnyin Pyar_Tha Pyay Taw"/>
        <s v="Kin Chaung"/>
        <s v="Pale Taung"/>
        <s v="Kyein Chaung"/>
        <s v="Kin Taung (Taung + Myauk)"/>
        <s v="Inn Hpauk"/>
        <s v="Nga Kyi Tauk Daing Nat"/>
        <s v="Kyauk Ta Lone"/>
        <s v="Ka Nyin Taw"/>
        <s v="Palae' Kaine"/>
        <s v="Pin Zaing"/>
        <s v="Thone Gwa"/>
        <s v="Wa Lar Kan"/>
        <s v="Wa Lar Kann"/>
        <s v="Tha Yet Oak"/>
        <s v="Oke Taung Pyin"/>
        <s v="In Bar Yi"/>
        <s v="Doke Kan Chaung"/>
        <s v="Nay Pu Khan"/>
        <s v="Min Thar Seik"/>
        <s v="Hla Nyo Kan"/>
        <s v="Kyauk Se"/>
        <s v="Ngar Yauk Kaing"/>
        <s v="Shauk Chaung"/>
        <s v="Gar Pu (Lower)"/>
        <s v="Ah Htet Gar Pu"/>
        <s v="Taung Htaung Ha Yar"/>
        <s v="Pyaing Chaung"/>
        <s v="Kyar Nyo Inn"/>
        <s v="Taung Htaung"/>
        <s v="Nga Ta Paung"/>
        <s v="Tha Yet Oke Ywar Haung"/>
        <s v="Pyaung Seik"/>
        <s v="NiDin"/>
        <s v="Ah Lel Mu"/>
        <s v="Sapar Seik (Shari)"/>
        <s v="Gaw Yaw Ma Ni"/>
        <s v="Goke Pi Htaunt (Rakhine)"/>
        <s v="Goke Pi Htaunt"/>
        <s v="Ah Pauk Wa"/>
        <s v="Ywar Thit Kay"/>
        <s v="Yun Nyar"/>
        <s v="Shwe Hlaing"/>
        <s v="Shwe Hlaing Rakhine"/>
        <s v="Let Saung Kauk"/>
        <s v="Taung Pauk"/>
        <s v="Khaung Htoke"/>
        <s v="Pa Lat Kay"/>
        <s v="Pyein Chaung"/>
        <s v="La Mu Ta Pin"/>
        <s v="Ahla Madi"/>
        <s v="Kyaung Swae Phyu"/>
        <s v="Aung Thar Yar (NaTaLa)"/>
        <s v="Hpar Wut Chaung"/>
        <s v="Zin Paing Nyar"/>
        <s v="Ngan Chaung_Gone Nar"/>
        <s v="Yai Myet Taung Ywa Thit"/>
        <s v="Baw Di Kone"/>
        <s v="Tha Ray Kon Baung"/>
        <s v="Ka Nyin"/>
        <s v="Min Ga Lar Gyi"/>
        <s v="Paung Zar"/>
        <s v="Ywet Nyo Taung ( Rakhine)"/>
        <s v="Cheit Taung"/>
        <s v="Kan Ni"/>
        <s v="Tha Dar"/>
        <s v="Chaik Taung"/>
        <s v="Shwe Zin Khin (Rakhine)"/>
        <s v="Kan Chaung Wa"/>
        <s v="San Htoe Tan"/>
        <s v="Shwe Ta Mar"/>
        <s v="Let Than Chi (Ywar Thit)"/>
        <s v="Let Than Chi (Haung)"/>
        <s v="Bu Chaung"/>
        <s v="Ah Htet See Maung"/>
        <s v="Oke Kan"/>
        <s v="Taung Paw"/>
        <s v="Kan Thar Htwat Wa"/>
        <s v="Nget Chaung 1"/>
        <s v="Nget Chaung 2"/>
        <s v="Ah Nauk Ywe"/>
        <s v="Tan Khoe"/>
        <s v="Tan Zwei"/>
        <s v="Thar Si"/>
        <s v="Yoe Ngu"/>
        <s v="Myet Tauk"/>
        <s v="Dar Peit"/>
        <s v="U Htoe Dan "/>
        <s v="Tauk Sone"/>
        <s v="Yin Chaung"/>
        <s v="Pyin Hlyar Shey"/>
        <s v="Kar Di"/>
        <s v="Kywe Lan Chaung"/>
        <s v="Pet Khwet Seik"/>
        <s v="Maw"/>
        <s v="Aung Thar Yar"/>
        <s v="Naw Wai"/>
        <s v="Kyauk Sar Taing"/>
        <s v="Zee kone Tan (or) Kon Tan Zay"/>
        <s v="Mi Chaung Yae Thauk"/>
        <s v="Yan Aung Pyin"/>
        <s v="Lone Tin"/>
        <s v="Thit Ka Toe"/>
        <s v="Kyone Pyin"/>
        <s v="Ah Htet Nan Yar (Muslim)"/>
        <s v="Chut Pyin"/>
        <s v="Chin Ywa(Pyaing Taung)"/>
        <s v="Kone Tan"/>
        <s v="Kan Pyin"/>
        <s v="Mi Nyo Htaunt"/>
        <s v="Mi Nyo Htaunt_Thar Si"/>
        <s v="Nyaung Pin Hla"/>
        <s v="Nyaung Pin Gyi (Ku Lar)"/>
        <s v="Nyaung Pin Gyi (Rakhine)"/>
        <s v="Ah Nauk Pyin"/>
        <s v="Khaung Doke Khar"/>
        <s v="Ohn Taw Chay"/>
        <s v="Sat Roe Kya 1"/>
        <s v="Phwe Yar Kone"/>
        <s v="Ohn Taw Gyi (South)"/>
        <s v="Ah Hla Sin"/>
        <s v="Thar Yar Kone (M)"/>
        <s v="Bu May"/>
        <s v="Hla May Shwe"/>
        <s v="Thet Kay Pyin Ywar Ma"/>
        <s v="Done Pyin Village"/>
        <s v="Ohn Taw Shey"/>
        <s v="Thein Tan"/>
        <s v="Nga/Tauk Tet"/>
        <s v="Kywi Te"/>
        <s v="Chi Laing Hpin"/>
        <s v="Ah Nauk Ye Ku Lar"/>
        <s v="Phwe Yar Gone village"/>
        <s v="Ah Lar Than"/>
        <s v="Kyet Taw Pyin"/>
        <s v="Maw Ti Ngar"/>
        <s v="Ohn Taw Gyi"/>
        <s v="Ohn Taw Gyi (North)"/>
        <s v="Sat Roe Kya 2"/>
        <s v="Say Tha Mar Gyi"/>
        <s v="Say Tha Mar Gyi village"/>
        <s v="Say Tha Mar Nge"/>
        <s v="Set Yone Su 1"/>
        <s v="Set Yone Su 3 (Mingan)"/>
        <s v="Thet Kae Pyin "/>
        <s v="Thet Kae Pyin Village (IDPs in host family)"/>
        <s v="Aung Daing "/>
        <s v="Bar Sa Yar Host"/>
        <s v="Daung Pyauk Kay"/>
        <s v="Me la zi Kone"/>
        <s v="Nga/ Pun Ywar Gyi"/>
        <s v="Nga/ Pun Ywar Shey"/>
        <s v="Zaw Pu Gyar"/>
        <s v="Baw Du Pha village"/>
        <s v="Baw Du Pha (IDP in host families)"/>
        <s v="Kyein Ni Pyin"/>
        <s v="Basare"/>
        <s v="Baw Du Pha 1"/>
        <s v="Baw Du Pha 2"/>
        <s v="Dar Pai"/>
        <s v="Dar Pai (IDP in host families)"/>
        <s v="Hmanzi "/>
        <s v="Thae Chaung"/>
        <s v="Thae Chaung(Rakhine)"/>
        <s v="Thea Chaung Let Tha Mar Kone"/>
        <s v="Sin Aing"/>
        <s v="Sin Tet Maw"/>
        <s v="Sin Tet Maw (Host)"/>
        <s v="Sin Tet Maw Rakhine(Baw Da Li)"/>
        <s v="Dar Paing Village"/>
        <s v="Thea Chaung Ku Lar"/>
        <s v="Pan Law"/>
        <s v="Man Sa"/>
        <s v="Nam Hkawng"/>
        <s v="Hpai Kawng"/>
        <s v="Man Kaung/Naung Ti Kyar Village"/>
        <s v="Narte"/>
        <s v="Hpai Kawng Mare"/>
        <s v="Jwan Jaw KBC"/>
        <s v="Kone Khem Camp"/>
        <s v="Kutkai downtown (KBC Church)"/>
        <s v="Kutkai downtown (KBC Church-2)"/>
        <s v="Kutkai downtown (RC Church)"/>
        <s v="Kutkhai KBC-2 (Block-6)"/>
        <s v="Kyu Sot"/>
        <s v="Lisu Baptist Church"/>
        <s v="Lisu Church Namtu"/>
        <s v="Mai Yu Lay Ta'ang"/>
        <s v="Man Loi"/>
        <s v="Mandung - Jinghpaw"/>
        <s v="Mandung - RC"/>
        <s v="Mine Yu Lay village"/>
        <s v="Mong Wee Shan"/>
        <s v="Mung Hawm "/>
        <s v="Mungji Pa Dabang (Baptist Church)"/>
        <s v="Mungji Pa Dabang (Catholic Church)"/>
        <s v="Muse Baptist Church"/>
        <s v="Muse Catholic Church"/>
        <s v="Nam Hkam - Nay Win Ni (Palawng)"/>
        <s v="Nam Hkam (KBC Jaw Wang)"/>
        <s v="Nam Hkam (KBC Jaw Wang) II"/>
        <s v="Nam Hkam Catholic Church ( St. Thomas I)"/>
        <s v="Nam Hpak Ka Mare "/>
        <s v="Nam Hpak Ka Ta'ang"/>
        <s v="Nam Sa Larp"/>
        <s v="Nam Tu Baptist"/>
        <s v="Namhkan - Pang Long KBC"/>
        <s v="New Pang Ku "/>
        <s v="Pan Ta Pyae"/>
        <s v="Tsan Lun - Namjarap"/>
        <s v="Zup Aung Camp"/>
        <s v="Ramree Town" u="1"/>
        <s v="Sa Pe Kong A Nauk Ywa" u="1"/>
        <s v="Pyu Chaing" u="1"/>
        <s v="Hindu" u="1"/>
        <s v="Thein Taung pyin (Dine Net)" u="1"/>
        <s v="Tha Yet Taung" u="1"/>
        <s v="Ywa Gyi (Tha Yet Kin Ma Nu)" u="1"/>
        <s v="Hpaung Taw Pyin" u="1"/>
        <s v="Maw Htet" u="1"/>
        <s v="Zee Khaung" u="1"/>
        <s v="Let Wea Det Pyin Shey" u="1"/>
        <s v="Godzilla (Hteik Tu Pauk Myauk)" u="1"/>
        <s v="Zin Kha Mar" u="1"/>
        <s v="Mardilla" u="1"/>
        <s v="Lu Fan Pyin" u="1"/>
        <s v="Muslim (Aley Ywa)" u="1"/>
        <s v="Ohn Chaung" u="1"/>
        <s v="Langui" u="1"/>
        <s v="Inn Chaung (Muslim)" u="1"/>
        <s v="Nant Yar Gaing (Nant Yar Gaing)" u="1"/>
        <s v="Set Yone Su 3" u="1"/>
        <s v="Koe Tan Kauk" u="1"/>
        <s v="Maw Staw Bis" u="1"/>
        <s v="Ywa thit Kay" u="1"/>
        <s v="Ah Htet Nan Yar" u="1"/>
        <s v="Ah Nauk" u="1"/>
        <s v="Kyaung Taung" u="1"/>
        <s v="Tat Oo Anauk" u="1"/>
        <s v="Thit Tone Na Gwa Sone (Ywa Ma)" u="1"/>
        <s v="Ramree Ward 6" u="1"/>
        <s v="Wa Hmyaung" u="1"/>
        <s v="Kyauk Ka Lay" u="1"/>
        <s v="Kyar Nyo Pyin (Muslim)" u="1"/>
        <s v="Nga San Baw (Moke Soe Chaung) (Ywar Haung)" u="1"/>
        <s v="Ni Lin Paw" u="1"/>
        <s v="Rakhine Ywa" u="1"/>
        <s v="Aung Pa" u="1"/>
        <s v="Faw Tay Ali " u="1"/>
        <s v="Ah Du" u="1"/>
        <s v="Kan Pyi Tha Zi" u="1"/>
        <s v="Nur Ru Lar" u="1"/>
        <s v="Kyauk Yan (Rakhine)" u="1"/>
        <s v="Ba Da Nar" u="1"/>
        <s v="Kon Tan (U Daung Ah Nauk)" u="1"/>
        <s v="Thein Taung pyin (Muslim)" u="1"/>
        <s v="Thein Tan (Rakhine)" u="1"/>
        <s v="Kyauk Pan Du (NTL)" u="1"/>
        <s v="Tha Yet Oke Ywar Thit" u="1"/>
        <s v="Palay Taung Ywa Thit" u="1"/>
        <s v="Ahr Kar Taung" u="1"/>
        <s v="Phyar Pyin" u="1"/>
        <s v="Kyauk Yit Muslim" u="1"/>
        <s v="DPA" u="1"/>
        <s v="Ywar Gyi (Middle)" u="1"/>
        <s v="Bomu Ywa" u="1"/>
        <s v="Ashit Ywa_M" u="1"/>
        <s v="Thein Tan (Muslim)" u="1"/>
        <s v="Kha Yay Myaing (NaTaLa)" u="1"/>
        <s v="Wai Thar Le" u="1"/>
        <s v="Ashit Ywa_R" u="1"/>
        <s v="Rakhine Ywa_R" u="1"/>
        <s v="Inn Chaung (Daing Net)" u="1"/>
        <s v="Chin Ywar Min Pyin" u="1"/>
        <s v="Chin Pyin" u="1"/>
        <s v="Pyaing Taung" u="1"/>
        <s v="Myauk Ywa" u="1"/>
        <s v="Kyauk Yit RK" u="1"/>
        <s v="Sin Oe" u="1"/>
        <s v="Honsara (Zaw Ma Tat)" u="1"/>
        <s v="Yai Mya" u="1"/>
        <s v="Let Wea Det Pyin Shey_Ywar Thit" u="1"/>
        <s v="Pyin  Hla Zay Ywa" u="1"/>
        <s v="Aung Thay Pyay (San Suri)" u="1"/>
        <s v="Pe Tha Du" u="1"/>
        <s v="Myoma Myauk (Chitta Ywa)" u="1"/>
        <s v="Kha Maung Seik North" u="1"/>
        <s v="Mee Chaung Zay_Ywar Thit" u="1"/>
        <s v="Khat Pa Kaung" u="1"/>
        <s v="Kine Gyi (Rakhine)" u="1"/>
        <s v="Lin Bar Gone Nar" u="1"/>
        <s v="Phas Kawri" u="1"/>
        <s v="Let Wea Det" u="1"/>
        <s v="Say Tha Ma" u="1"/>
        <s v="Thaing Ta Poke" u="1"/>
        <s v="Kha Yu Chaung (Muslim)" u="1"/>
        <s v="Nga Khu Ya (Myauk Ywar)" u="1"/>
        <s v="Nyaung Chaung" u="1"/>
        <s v="Be Lar Mi" u="1"/>
        <s v="Doe Tan" u="1"/>
        <s v="Kyet Mauk Taung (Myauk Ywar)" u="1"/>
        <s v="Nwar Yone Taung" u="1"/>
        <s v="Gaung Gyi" u="1"/>
        <s v="Ywar Gyi" u="1"/>
        <s v="San Go Taung" u="1"/>
        <s v="Hla Tha Ma" u="1"/>
        <s v="Oe Hpauk Ywar Thit" u="1"/>
        <s v="Gwa Sone Rakhine" u="1"/>
        <s v="Pyin Chay" u="1"/>
        <s v="Kan Sit" u="1"/>
        <s v="Kyauk Pyin Seik" u="1"/>
        <s v="Kywe Ta Ma" u="1"/>
        <s v="Shwe Yin Aye" u="1"/>
        <s v="Done Thein" u="1"/>
        <s v="Kan Kyar Myauk" u="1"/>
        <s v="Zon Mar" u="1"/>
        <s v="Myaung Nar" u="1"/>
        <s v="Hin Thar Ra" u="1"/>
        <s v="Saw Kina Ma" u="1"/>
        <s v="Phwe Ra" u="1"/>
        <s v="Taung (Pale Taung)" u="1"/>
        <s v="That Kaing Nyar (Thet)" u="1"/>
        <s v="Laung Chaung (Daing Net)" u="1"/>
        <s v="Ah Htet Nan Yar (Rakhine)" u="1"/>
        <s v="Play Taung Ywa Gyi North" u="1"/>
        <s v="Man wing gyi (host school)" u="1"/>
        <s v="Rakhine" u="1"/>
        <s v="Kyun Pauk Ku Lar" u="1"/>
        <s v="Yet Khone Taing" u="1"/>
        <s v="Zay Teit Taung" u="1"/>
        <s v="Let Wea Det Pyin Shey_Tha Pyay Taw" u="1"/>
        <s v="Hpar Wut Chaung (Myauk Ywar)" u="1"/>
        <s v="Chaung Pauk" u="1"/>
        <s v="Ah Nauk Ka Maung Seik" u="1"/>
        <s v="Taung Chaung" u="1"/>
        <s v="Aung Thay Pyay (NaTaLa)" u="1"/>
        <s v="Than Chay RK" u="1"/>
        <s v="Thit Taw Ywa" u="1"/>
        <s v="Yae Myet" u="1"/>
        <s v="Gwa Sone Muslim" u="1"/>
        <s v="Chein Khar Li" u="1"/>
        <s v="Kyauk Yan Thar Si" u="1"/>
        <s v="Raza Bil" u="1"/>
        <s v="Kan Tha Ya" u="1"/>
        <s v="War Net Chun" u="1"/>
        <s v="Pauk Pin Yin" u="1"/>
        <s v="Taung Ywa" u="1"/>
        <s v="Nan Yah Gone Ahtet" u="1"/>
        <s v="Baw Li " u="1"/>
        <s v="Baw Ya Par" u="1"/>
        <s v="Wa Khote Chaung" u="1"/>
        <s v="Kyar Nyo Pyin (Rakhine)_x000a_+ Pyar Yae" u="1"/>
        <s v="Alay Mushee" u="1"/>
        <s v="Sin Khone Taing (Rakhine)" u="1"/>
        <s v="Du Than Dar" u="1"/>
        <s v="Pyaing Taung (Rakhine)" u="1"/>
        <s v="U Yin Thar" u="1"/>
        <s v="Thet Kaing Ngyar" u="1"/>
        <s v="Sin Thay Pyin (Zay Di Pyin)" u="1"/>
        <s v="Namtu RC" u="1"/>
        <s v="Say Taung" u="1"/>
        <s v="Ywa Haung_M" u="1"/>
        <s v="Muslim (Taung Ywa)" u="1"/>
        <s v="Din Gar" u="1"/>
        <s v="Kan Kyar Taung " u="1"/>
        <s v="Nat Chaung (Garapyin)" u="1"/>
        <s v="Ah Myet Taung" u="1"/>
        <s v="Ywa Haung_R" u="1"/>
        <s v="Ywa Ma" u="1"/>
        <s v="Let Thar Ywa" u="1"/>
        <s v="Girl Boarding house, A Len Bum" u="1"/>
        <s v="Ma Gyi Koung" u="1"/>
        <s v="Kar Di (Kywe Cho Maw)" u="1"/>
        <s v="Zedi Taung (Muslim)" u="1"/>
        <s v="Oke Hpo (Oe Hpauk)" u="1"/>
        <s v="Thar Yar Kone" u="1"/>
        <s v="Majee Ywa" u="1"/>
        <s v="Si Tar (Pa Zun Chaung)" u="1"/>
        <s v="Sin Khone Taing (Ku Lar)" u="1"/>
        <s v="Gudar Pyin" u="1"/>
        <s v="Lam Bar Gone Nah" u="1"/>
        <s v="Taungchay Ywa Muslim" u="1"/>
        <s v="Maung Hpyu (Da Pyu Chaung)" u="1"/>
        <s v="Kyet Mauk Taung (Taung Ywar)" u="1"/>
        <s v="Navy Seik" u="1"/>
        <s v="Wet Ma Kya" u="1"/>
        <s v="Ywa Thar Yar" u="1"/>
        <s v="Thit Tone Na Gwa Sone (Daung Ywa)" u="1"/>
        <s v="Ngwe Taung" u="1"/>
        <s v="Ah Lel Ywa" u="1"/>
        <s v="Gone Nar" u="1"/>
        <s v="Fatar" u="1"/>
        <s v="San Pai Pin Yin" u="1"/>
        <s v="Myaunk Ywa_R" u="1"/>
        <s v="Rakhine Min Pyin" u="1"/>
        <s v="Thaung Paing Nyar" u="1"/>
        <s v="Koun Tan" u="1"/>
        <s v="Gan Gaw Myaing ( Na Ta La )" u="1"/>
        <s v="Zaw Ma Tat" u="1"/>
        <s v="Ward-6 (Lay Myaing)" u="1"/>
        <s v="Ka Doe Seik" u="1"/>
        <s v="Pann Phaw Pyin" u="1"/>
        <s v="Ywar Thar Yar" u="1"/>
        <s v="Taung Maw" u="1"/>
        <s v="Shat Shar Taung" u="1"/>
        <s v="Kyauk Sar Dine" u="1"/>
        <s v="Boys Boarding house, A Len Bum" u="1"/>
        <s v="Thit Tone Nar Lay Myo" u="1"/>
        <s v="Tha Pyay Seik" u="1"/>
        <s v="Than Du" u="1"/>
      </sharedItems>
    </cacheField>
    <cacheField name="Total HH" numFmtId="0">
      <sharedItems containsSemiMixedTypes="0" containsString="0" containsNumber="1" containsInteger="1" minValue="3" maxValue="2428"/>
    </cacheField>
    <cacheField name="Total PoP " numFmtId="1">
      <sharedItems containsSemiMixedTypes="0" containsString="0" containsNumber="1" containsInteger="1" minValue="13" maxValue="13302"/>
    </cacheField>
    <cacheField name="#of students at TLS" numFmtId="0">
      <sharedItems containsBlank="1" containsMixedTypes="1" containsNumber="1" containsInteger="1" minValue="0" maxValue="221"/>
    </cacheField>
    <cacheField name="Primary Donor covering WASH activities at site " numFmtId="0">
      <sharedItems containsBlank="1"/>
    </cacheField>
    <cacheField name="Expected end of funding for WASH activties at site" numFmtId="165">
      <sharedItems containsDate="1" containsBlank="1" containsMixedTypes="1" minDate="2017-07-31T00:00:00" maxDate="2021-01-01T00:00:00"/>
    </cacheField>
    <cacheField name="# Work days (approx) lost in this site due to access restrictions" numFmtId="0">
      <sharedItems containsString="0" containsBlank="1" containsNumber="1" containsInteger="1" minValue="0" maxValue="36"/>
    </cacheField>
    <cacheField name="WASH Committee part of camp management structures " numFmtId="0">
      <sharedItems containsBlank="1"/>
    </cacheField>
    <cacheField name="% Women on camp WASH committee" numFmtId="0">
      <sharedItems containsBlank="1" containsMixedTypes="1" containsNumber="1" minValue="0" maxValue="1"/>
    </cacheField>
    <cacheField name="%Women in leadership positions in wash committees" numFmtId="0">
      <sharedItems containsBlank="1" containsMixedTypes="1" containsNumber="1" minValue="0" maxValue="1"/>
    </cacheField>
    <cacheField name="# Functioning protected hand dug well" numFmtId="0">
      <sharedItems containsString="0" containsBlank="1" containsNumber="1" containsInteger="1" minValue="0" maxValue="50"/>
    </cacheField>
    <cacheField name="# Functioning Tube wells/boreholes " numFmtId="0">
      <sharedItems containsString="0" containsBlank="1" containsNumber="1" containsInteger="1" minValue="0" maxValue="172"/>
    </cacheField>
    <cacheField name="# Litres/Day provided" numFmtId="1">
      <sharedItems containsString="0" containsBlank="1" containsNumber="1" containsInteger="1" minValue="0" maxValue="9331200"/>
    </cacheField>
    <cacheField name="# Existing protected/fenced ponds " numFmtId="1">
      <sharedItems containsString="0" containsBlank="1" containsNumber="1" containsInteger="1" minValue="0" maxValue="8"/>
    </cacheField>
    <cacheField name="# Water points fully handed over" numFmtId="1">
      <sharedItems containsBlank="1" containsMixedTypes="1" containsNumber="1" containsInteger="1" minValue="0" maxValue="234"/>
    </cacheField>
    <cacheField name="# of Water tested at source" numFmtId="1">
      <sharedItems containsString="0" containsBlank="1" containsNumber="1" containsInteger="1" minValue="0" maxValue="211"/>
    </cacheField>
    <cacheField name="# of Water passed at source" numFmtId="1">
      <sharedItems containsString="0" containsBlank="1" containsNumber="1" containsInteger="1" minValue="0" maxValue="198"/>
    </cacheField>
    <cacheField name="# of Water tested at HH" numFmtId="1">
      <sharedItems containsString="0" containsBlank="1" containsNumber="1" containsInteger="1" minValue="0" maxValue="204"/>
    </cacheField>
    <cacheField name="# of Water passed at HH" numFmtId="1">
      <sharedItems containsString="0" containsBlank="1" containsNumber="1" containsInteger="1" minValue="0" maxValue="156"/>
    </cacheField>
    <cacheField name="# of hand washing station for TLS" numFmtId="1">
      <sharedItems containsString="0" containsBlank="1" containsNumber="1" containsInteger="1" minValue="0" maxValue="51"/>
    </cacheField>
    <cacheField name="WATER Comments" numFmtId="1">
      <sharedItems containsBlank="1" containsMixedTypes="1" containsNumber="1" containsInteger="1" minValue="0" maxValue="14"/>
    </cacheField>
    <cacheField name="# Existing functional latrines" numFmtId="0">
      <sharedItems containsString="0" containsBlank="1" containsNumber="1" containsInteger="1" minValue="0" maxValue="608"/>
    </cacheField>
    <cacheField name="# Existing latrines dysfunctional" numFmtId="0">
      <sharedItems containsString="0" containsBlank="1" containsNumber="1" containsInteger="1" minValue="0" maxValue="347"/>
    </cacheField>
    <cacheField name="# of latrines desludged" numFmtId="0">
      <sharedItems containsString="0" containsBlank="1" containsNumber="1" containsInteger="1" minValue="0" maxValue="197"/>
    </cacheField>
    <cacheField name="# Latrines fully handed over" numFmtId="1">
      <sharedItems containsString="0" containsBlank="1" containsNumber="1" containsInteger="1" minValue="0" maxValue="788"/>
    </cacheField>
    <cacheField name="effective solid waste management system" numFmtId="0">
      <sharedItems containsMixedTypes="1" containsNumber="1" containsInteger="1" minValue="0" maxValue="0" count="5">
        <s v="Functional"/>
        <s v="NA"/>
        <s v="Not_inPlace"/>
        <s v="Not_Functional"/>
        <n v="0" u="1"/>
      </sharedItems>
    </cacheField>
    <cacheField name="Does the camp have surface water drainage" numFmtId="0">
      <sharedItems containsMixedTypes="1" containsNumber="1" containsInteger="1" minValue="0" maxValue="0" count="5">
        <s v="Functional"/>
        <s v="NA"/>
        <s v="Not_Functional"/>
        <s v="Not_inPlace"/>
        <n v="0" u="1"/>
      </sharedItems>
    </cacheField>
    <cacheField name="# of children Latrine " numFmtId="0">
      <sharedItems containsString="0" containsBlank="1" containsNumber="1" containsInteger="1" minValue="0" maxValue="4"/>
    </cacheField>
    <cacheField name="# of latrines in TLS (schools)" numFmtId="0">
      <sharedItems containsString="0" containsBlank="1" containsNumber="1" containsInteger="1" minValue="0" maxValue="30"/>
    </cacheField>
    <cacheField name="Sanitation Comments" numFmtId="1">
      <sharedItems containsBlank="1" containsMixedTypes="1" containsNumber="1" containsInteger="1" minValue="0" maxValue="0"/>
    </cacheField>
    <cacheField name="%HHs with access to functional hand washing stations" numFmtId="9">
      <sharedItems containsString="0" containsBlank="1" containsNumber="1" minValue="0" maxValue="1"/>
    </cacheField>
    <cacheField name="Type of handwashing approach" numFmtId="0">
      <sharedItems containsBlank="1"/>
    </cacheField>
    <cacheField name="# Individual functioning bathing spaces " numFmtId="0">
      <sharedItems containsString="0" containsBlank="1" containsNumber="1" containsInteger="1" minValue="0" maxValue="2428"/>
    </cacheField>
    <cacheField name="# Communal functioning bathing spaces " numFmtId="1">
      <sharedItems containsString="0" containsBlank="1" containsNumber="1" containsInteger="1" minValue="0" maxValue="49"/>
    </cacheField>
    <cacheField name="# Hygiene Promoters " numFmtId="1">
      <sharedItems containsString="0" containsBlank="1" containsNumber="1" containsInteger="1" minValue="0" maxValue="1167"/>
    </cacheField>
    <cacheField name="# HH received soaps" numFmtId="0">
      <sharedItems containsString="0" containsBlank="1" containsNumber="1" containsInteger="1" minValue="0" maxValue="2428"/>
    </cacheField>
    <cacheField name="# HH received Sanitary Pads" numFmtId="0">
      <sharedItems containsString="0" containsBlank="1" containsNumber="1" containsInteger="1" minValue="0" maxValue="2428"/>
    </cacheField>
    <cacheField name="Is sufficient soap available for TLS?" numFmtId="0">
      <sharedItems containsBlank="1"/>
    </cacheField>
    <cacheField name="Hygiene Comments" numFmtId="1">
      <sharedItems containsBlank="1" containsMixedTypes="1" containsNumber="1" containsInteger="1" minValue="0" maxValue="0"/>
    </cacheField>
    <cacheField name="%of Water samples which passed at water source" numFmtId="9">
      <sharedItems containsMixedTypes="1" containsNumber="1" minValue="0" maxValue="1"/>
    </cacheField>
    <cacheField name="%Water samples which passed at HH" numFmtId="9">
      <sharedItems containsMixedTypes="1" containsNumber="1" minValue="0" maxValue="1"/>
    </cacheField>
    <cacheField name="Access to safe drinking water for Camp" numFmtId="9">
      <sharedItems containsSemiMixedTypes="0" containsString="0" containsNumber="1" minValue="0" maxValue="1"/>
    </cacheField>
    <cacheField name="Access to safe drinking water for Village" numFmtId="9">
      <sharedItems containsSemiMixedTypes="0" containsString="0" containsNumber="1" minValue="0" maxValue="1"/>
    </cacheField>
    <cacheField name="%Equitable and continuous access to sufficient quantity of safe drinking water" numFmtId="9">
      <sharedItems containsSemiMixedTypes="0" containsString="0" containsNumber="1" minValue="0" maxValue="1"/>
    </cacheField>
    <cacheField name="#ppl Equitable and continuous access to sufficient quantity of safe drinking water_1" numFmtId="1">
      <sharedItems containsSemiMixedTypes="0" containsString="0" containsNumber="1" minValue="0" maxValue="13302"/>
    </cacheField>
    <cacheField name="Access to unimproved water points" numFmtId="9">
      <sharedItems containsSemiMixedTypes="0" containsString="0" containsNumber="1" minValue="0" maxValue="1"/>
    </cacheField>
    <cacheField name="#People access to unimproved water sources" numFmtId="1">
      <sharedItems containsSemiMixedTypes="0" containsString="0" containsNumber="1" minValue="0" maxValue="1250"/>
    </cacheField>
    <cacheField name="%Equitable and continuous access to sufficient quantity of domestic water borehole n ponds" numFmtId="9">
      <sharedItems containsSemiMixedTypes="0" containsString="0" containsNumber="1" minValue="0" maxValue="1"/>
    </cacheField>
    <cacheField name="#people Equitable and continuous access to sufficient quantity of domestic water borehole n ponds_2" numFmtId="1">
      <sharedItems containsSemiMixedTypes="0" containsString="0" containsNumber="1" minValue="0" maxValue="13302"/>
    </cacheField>
    <cacheField name="#Water points coverage" numFmtId="1">
      <sharedItems containsString="0" containsBlank="1" containsNumber="1" minValue="0" maxValue="26.603999999999999"/>
    </cacheField>
    <cacheField name="%equitable and continuous access to sufficient quantity of safe drinking and domestic water's GAP" numFmtId="9">
      <sharedItems containsSemiMixedTypes="0" containsString="0" containsNumber="1" minValue="0" maxValue="1"/>
    </cacheField>
    <cacheField name="#people needs equitable and continuous access to sufficient quantity of safe drinking and domestic water GAP" numFmtId="1">
      <sharedItems containsSemiMixedTypes="0" containsString="0" containsNumber="1" minValue="0" maxValue="4073"/>
    </cacheField>
    <cacheField name="#Potential required new water points" numFmtId="1">
      <sharedItems containsSemiMixedTypes="0" containsString="0" containsNumber="1" minValue="0" maxValue="8"/>
    </cacheField>
    <cacheField name="Total required water points" numFmtId="1">
      <sharedItems containsSemiMixedTypes="0" containsString="0" containsNumber="1" containsInteger="1" minValue="1" maxValue="27"/>
    </cacheField>
    <cacheField name="Warter quality test made" numFmtId="1">
      <sharedItems count="2">
        <s v="No Test"/>
        <s v="Tested"/>
      </sharedItems>
    </cacheField>
    <cacheField name="Total # of latrine" numFmtId="1">
      <sharedItems containsSemiMixedTypes="0" containsString="0" containsNumber="1" containsInteger="1" minValue="0" maxValue="788"/>
    </cacheField>
    <cacheField name="% people access to functioning Latrine" numFmtId="9">
      <sharedItems containsSemiMixedTypes="0" containsString="0" containsNumber="1" minValue="0" maxValue="1"/>
    </cacheField>
    <cacheField name="#people access to functioning Latrine_3" numFmtId="1">
      <sharedItems containsSemiMixedTypes="0" containsString="0" containsNumber="1" minValue="0" maxValue="12121"/>
    </cacheField>
    <cacheField name="% of Latrine Gap" numFmtId="9">
      <sharedItems containsSemiMixedTypes="0" containsString="0" containsNumber="1" minValue="0" maxValue="1.3333333333333333"/>
    </cacheField>
    <cacheField name="# potential required new latrines" numFmtId="1">
      <sharedItems containsSemiMixedTypes="0" containsString="0" containsNumber="1" containsInteger="1" minValue="0" maxValue="678"/>
    </cacheField>
    <cacheField name="Total required Latrines" numFmtId="1">
      <sharedItems containsSemiMixedTypes="0" containsString="0" containsNumber="1" containsInteger="1" minValue="1" maxValue="679"/>
    </cacheField>
    <cacheField name="% Latrines requiring  repairs" numFmtId="9">
      <sharedItems containsSemiMixedTypes="0" containsString="0" containsNumber="1" minValue="0" maxValue="0.5714285714285714"/>
    </cacheField>
    <cacheField name="# people with access to continuous sanitation services desluding_4" numFmtId="1">
      <sharedItems containsMixedTypes="1" containsNumber="1" containsInteger="1" minValue="0" maxValue="3940"/>
    </cacheField>
    <cacheField name="Hygiene Coverage%" numFmtId="9">
      <sharedItems containsSemiMixedTypes="0" containsString="0" containsNumber="1" containsInteger="1" minValue="0" maxValue="1"/>
    </cacheField>
    <cacheField name="Hygiene Gap%" numFmtId="9">
      <sharedItems containsSemiMixedTypes="0" containsString="0" containsNumber="1" containsInteger="1" minValue="0" maxValue="1"/>
    </cacheField>
    <cacheField name="# people reached by regular dedicated hygiene promotion_5" numFmtId="1">
      <sharedItems containsSemiMixedTypes="0" containsString="0" containsNumber="1" containsInteger="1" minValue="0" maxValue="12121"/>
    </cacheField>
    <cacheField name="% of HHs with access to Sanitary pad more than #%" numFmtId="1">
      <sharedItems containsSemiMixedTypes="0" containsString="0" containsNumber="1" containsInteger="1" minValue="0" maxValue="1"/>
    </cacheField>
    <cacheField name="Ratio of Hyiene promoters to people less than #" numFmtId="1">
      <sharedItems containsSemiMixedTypes="0" containsString="0" containsNumber="1" containsInteger="1" minValue="0" maxValue="1"/>
    </cacheField>
    <cacheField name="% of HHs with access to soap more than #%" numFmtId="1">
      <sharedItems containsSemiMixedTypes="0" containsString="0" containsNumber="1" containsInteger="1" minValue="0" maxValue="1"/>
    </cacheField>
    <cacheField name="People adopt basic personal and community hygiene practices" numFmtId="1">
      <sharedItems containsSemiMixedTypes="0" containsString="0" containsNumber="1" containsInteger="1" minValue="0" maxValue="13302"/>
    </cacheField>
    <cacheField name="%people reached by regular dedicated hygiene promotion" numFmtId="9">
      <sharedItems containsSemiMixedTypes="0" containsString="0" containsNumber="1" minValue="0" maxValue="1"/>
    </cacheField>
    <cacheField name="%HH with access to soap" numFmtId="9">
      <sharedItems containsSemiMixedTypes="0" containsString="0" containsNumber="1" minValue="0" maxValue="1"/>
    </cacheField>
    <cacheField name="% of HH with access to Sanitary Pad" numFmtId="9">
      <sharedItems containsSemiMixedTypes="0" containsString="0" containsNumber="1" minValue="0" maxValue="1"/>
    </cacheField>
    <cacheField name="# People with access to soap" numFmtId="1">
      <sharedItems containsSemiMixedTypes="0" containsString="0" containsNumber="1" containsInteger="1" minValue="0" maxValue="12140"/>
    </cacheField>
    <cacheField name="# People with access to Sanity Pads" numFmtId="1">
      <sharedItems containsSemiMixedTypes="0" containsString="0" containsNumber="1" containsInteger="1" minValue="0" maxValue="12140"/>
    </cacheField>
    <cacheField name="# People received regular supply of hygiene items_6" numFmtId="1">
      <sharedItems containsSemiMixedTypes="0" containsString="0" containsNumber="1" containsInteger="1" minValue="0" maxValue="12140"/>
    </cacheField>
    <cacheField name="#HH with access to Hand Washing Station" numFmtId="1">
      <sharedItems containsSemiMixedTypes="0" containsString="0" containsNumber="1" minValue="0" maxValue="2428"/>
    </cacheField>
    <cacheField name="CCCM Management" numFmtId="0">
      <sharedItems containsMixedTypes="1" containsNumber="1" containsInteger="1" minValue="0" maxValue="0"/>
    </cacheField>
    <cacheField name="CCCM Focal Agency" numFmtId="0">
      <sharedItems containsMixedTypes="1" containsNumber="1" containsInteger="1" minValue="0" maxValue="0"/>
    </cacheField>
    <cacheField name="Location Type" numFmtId="0">
      <sharedItems containsMixedTypes="1" containsNumber="1" containsInteger="1" minValue="0" maxValue="0" count="5">
        <s v="Camp"/>
        <s v="Camp_not registered"/>
        <s v="Village_Not HRP"/>
        <s v="Village"/>
        <n v="0" u="1"/>
      </sharedItems>
    </cacheField>
    <cacheField name="Location Type 1" numFmtId="0">
      <sharedItems/>
    </cacheField>
    <cacheField name="Type of accommodation" numFmtId="0">
      <sharedItems count="13">
        <s v="Camp"/>
        <s v="Boarding School"/>
        <s v="Camp like setting"/>
        <s v="Host Families"/>
        <s v="Closed Camp"/>
        <s v="School"/>
        <s v="Village_Not HRP"/>
        <s v="Village"/>
        <s v="Planned Camp"/>
        <s v="Relocated"/>
        <s v="Returned"/>
        <s v="Self Settled Camp"/>
        <s v="Individual House"/>
      </sharedItems>
    </cacheField>
    <cacheField name="Ethnic or GCA/NGCA" numFmtId="0">
      <sharedItems containsMixedTypes="1" containsNumber="1" containsInteger="1" minValue="0" maxValue="0" count="12">
        <s v="GCA"/>
        <s v="NGCA"/>
        <s v="Chin"/>
        <s v="Rakhine"/>
        <s v="Chin+Rakhine"/>
        <s v="Muslim"/>
        <s v="Daing Net"/>
        <n v="0"/>
        <s v="Myo "/>
        <s v="Mixed"/>
        <e v="#N/A"/>
        <s v="Maramargyi"/>
      </sharedItems>
    </cacheField>
    <cacheField name="Lat" numFmtId="0">
      <sharedItems containsSemiMixedTypes="0" containsString="0" containsNumber="1" minValue="0" maxValue="27.337499999999999"/>
    </cacheField>
    <cacheField name="Long" numFmtId="0">
      <sharedItems containsSemiMixedTypes="0" containsString="0" containsNumber="1" minValue="0" maxValue="98.475719999999995"/>
    </cacheField>
    <cacheField name="Pcode" numFmtId="0">
      <sharedItems containsMixedTypes="1" containsNumber="1" containsInteger="1" minValue="0" maxValue="220734"/>
    </cacheField>
    <cacheField name="Covered" numFmtId="9">
      <sharedItems containsBlank="1" count="4">
        <s v="Covered"/>
        <s v="Notcovered"/>
        <m u="1"/>
        <e v="#REF!" u="1"/>
      </sharedItems>
    </cacheField>
    <cacheField name="Remark" numFmtId="0">
      <sharedItems containsBlank="1"/>
    </cacheField>
  </cacheFields>
  <extLst>
    <ext xmlns:x14="http://schemas.microsoft.com/office/spreadsheetml/2009/9/main" uri="{725AE2AE-9491-48be-B2B4-4EB974FC3084}">
      <x14:pivotCacheDefinition pivotCacheId="1"/>
    </ext>
  </extLst>
</pivotCacheDefinition>
</file>

<file path=xl/pivotCache/pivotCacheRecords1.xml><?xml version="1.0" encoding="utf-8"?>
<pivotCacheRecords xmlns="http://schemas.openxmlformats.org/spreadsheetml/2006/main" xmlns:r="http://schemas.openxmlformats.org/officeDocument/2006/relationships" count="383">
  <r>
    <x v="0"/>
    <x v="0"/>
    <x v="0"/>
    <x v="0"/>
    <x v="0"/>
    <n v="172"/>
    <n v="803"/>
    <m/>
    <s v="DFID/HARP"/>
    <d v="2020-12-31T00:00:00"/>
    <n v="0"/>
    <s v="No"/>
    <n v="0"/>
    <n v="0"/>
    <n v="3"/>
    <n v="2"/>
    <n v="0"/>
    <n v="0"/>
    <s v="-"/>
    <m/>
    <m/>
    <m/>
    <m/>
    <m/>
    <s v="Already tested the water quality test in Mai Khaung camp and the water quality report has not been develop yet."/>
    <n v="47"/>
    <n v="0"/>
    <m/>
    <n v="0"/>
    <x v="0"/>
    <x v="0"/>
    <m/>
    <m/>
    <m/>
    <n v="0.75"/>
    <s v="Household"/>
    <n v="0"/>
    <n v="4"/>
    <n v="2"/>
    <m/>
    <m/>
    <m/>
    <s v="Quarterly Hygiene kits distribution is doing by Metta."/>
    <s v="no test"/>
    <s v="no test"/>
    <n v="1"/>
    <n v="1"/>
    <n v="1"/>
    <n v="803"/>
    <n v="0"/>
    <n v="0"/>
    <n v="1"/>
    <n v="803"/>
    <n v="2"/>
    <n v="0"/>
    <n v="0"/>
    <n v="0"/>
    <n v="2"/>
    <x v="0"/>
    <n v="47"/>
    <n v="1"/>
    <n v="803"/>
    <n v="0"/>
    <n v="0"/>
    <n v="40"/>
    <n v="0"/>
    <n v="0"/>
    <n v="0"/>
    <n v="1"/>
    <n v="803"/>
    <n v="0"/>
    <n v="1"/>
    <n v="0"/>
    <n v="0"/>
    <n v="1"/>
    <n v="0"/>
    <n v="0"/>
    <n v="0"/>
    <n v="0"/>
    <n v="0"/>
    <n v="129"/>
    <s v="Yes"/>
    <s v="KMSS-BMO"/>
    <x v="0"/>
    <s v="Camp"/>
    <x v="0"/>
    <x v="0"/>
    <n v="23.976571"/>
    <n v="97.227057000000002"/>
    <s v="MMR001CMP223"/>
    <x v="0"/>
    <s v="to confirm not found in Q1-2018"/>
  </r>
  <r>
    <x v="0"/>
    <x v="1"/>
    <x v="0"/>
    <x v="1"/>
    <x v="1"/>
    <n v="664"/>
    <n v="3294"/>
    <m/>
    <s v="WHH-BMZ,WHH-AA"/>
    <d v="2018-06-30T00:00:00"/>
    <n v="0"/>
    <s v="Yes"/>
    <n v="0.4"/>
    <n v="0.4"/>
    <n v="3"/>
    <n v="0"/>
    <n v="65880"/>
    <n v="0"/>
    <n v="0"/>
    <m/>
    <m/>
    <m/>
    <m/>
    <m/>
    <n v="0"/>
    <n v="202"/>
    <n v="4"/>
    <m/>
    <n v="1"/>
    <x v="0"/>
    <x v="0"/>
    <m/>
    <m/>
    <n v="0"/>
    <n v="0.99"/>
    <s v="Communal"/>
    <n v="0"/>
    <n v="21"/>
    <n v="4"/>
    <m/>
    <m/>
    <m/>
    <n v="0"/>
    <s v="no test"/>
    <s v="no test"/>
    <n v="1"/>
    <n v="1"/>
    <n v="1"/>
    <n v="3294"/>
    <n v="0"/>
    <n v="0"/>
    <n v="1"/>
    <n v="3294"/>
    <n v="7"/>
    <n v="0"/>
    <n v="0"/>
    <n v="0"/>
    <n v="7"/>
    <x v="0"/>
    <n v="206"/>
    <n v="1"/>
    <n v="3294"/>
    <n v="0"/>
    <n v="0"/>
    <n v="165"/>
    <n v="1.9417475728155338E-2"/>
    <n v="0"/>
    <n v="0"/>
    <n v="1"/>
    <n v="2000"/>
    <n v="0"/>
    <n v="0"/>
    <n v="0"/>
    <n v="0"/>
    <n v="0.60716454159077105"/>
    <n v="0"/>
    <n v="0"/>
    <n v="0"/>
    <n v="0"/>
    <n v="0"/>
    <n v="657.36"/>
    <s v="Yes"/>
    <s v="KMSS-MYT"/>
    <x v="0"/>
    <s v="Camp"/>
    <x v="0"/>
    <x v="1"/>
    <n v="24.661905999999998"/>
    <n v="97.573126000000002"/>
    <s v="MMR001CMP122"/>
    <x v="0"/>
    <m/>
  </r>
  <r>
    <x v="0"/>
    <x v="2"/>
    <x v="0"/>
    <x v="1"/>
    <x v="2"/>
    <n v="37"/>
    <n v="225"/>
    <m/>
    <s v="ECHO/OFDA"/>
    <s v="30-04-2018"/>
    <n v="0"/>
    <s v="Yes"/>
    <n v="1"/>
    <n v="0"/>
    <n v="0"/>
    <n v="1"/>
    <n v="90000"/>
    <n v="0"/>
    <n v="0"/>
    <m/>
    <m/>
    <m/>
    <m/>
    <m/>
    <m/>
    <n v="9"/>
    <n v="0"/>
    <m/>
    <n v="0"/>
    <x v="0"/>
    <x v="0"/>
    <m/>
    <m/>
    <s v="nil"/>
    <n v="1"/>
    <s v="Both"/>
    <n v="0"/>
    <n v="1"/>
    <n v="0"/>
    <m/>
    <m/>
    <m/>
    <s v="Nill"/>
    <s v="no test"/>
    <s v="no test"/>
    <n v="1"/>
    <n v="1"/>
    <n v="1"/>
    <n v="225"/>
    <n v="0"/>
    <n v="0"/>
    <n v="1"/>
    <n v="225"/>
    <n v="0"/>
    <n v="0"/>
    <n v="0"/>
    <n v="1"/>
    <n v="1"/>
    <x v="0"/>
    <n v="9"/>
    <n v="0.8"/>
    <n v="180"/>
    <n v="0.17777777777777778"/>
    <n v="2"/>
    <n v="11"/>
    <n v="0"/>
    <n v="0"/>
    <n v="0"/>
    <n v="1"/>
    <n v="0"/>
    <n v="0"/>
    <n v="0"/>
    <n v="0"/>
    <n v="0"/>
    <n v="0"/>
    <n v="0"/>
    <n v="0"/>
    <n v="0"/>
    <n v="0"/>
    <n v="0"/>
    <n v="37"/>
    <s v="Yes"/>
    <s v="KBC"/>
    <x v="0"/>
    <s v="Camp"/>
    <x v="0"/>
    <x v="0"/>
    <n v="24.200972"/>
    <n v="97.718582999999995"/>
    <s v="MMR001CMP071"/>
    <x v="0"/>
    <s v="to ask not found in Q1 2018"/>
  </r>
  <r>
    <x v="0"/>
    <x v="2"/>
    <x v="0"/>
    <x v="1"/>
    <x v="3"/>
    <n v="63"/>
    <n v="348"/>
    <m/>
    <s v="ECHO/OFDA"/>
    <s v="30-04-2018"/>
    <n v="0"/>
    <s v="Yes"/>
    <n v="0.5"/>
    <n v="0"/>
    <n v="0"/>
    <n v="1"/>
    <n v="115200"/>
    <n v="0"/>
    <n v="0"/>
    <m/>
    <m/>
    <m/>
    <m/>
    <m/>
    <m/>
    <n v="13"/>
    <n v="0"/>
    <n v="16"/>
    <n v="0"/>
    <x v="0"/>
    <x v="0"/>
    <m/>
    <m/>
    <s v="nil"/>
    <n v="1"/>
    <s v="Both"/>
    <n v="0"/>
    <n v="2"/>
    <n v="0"/>
    <n v="47"/>
    <n v="0"/>
    <s v="No"/>
    <s v="Nill"/>
    <s v="no test"/>
    <s v="no test"/>
    <n v="1"/>
    <n v="1"/>
    <n v="1"/>
    <n v="348"/>
    <n v="0"/>
    <n v="0"/>
    <n v="1"/>
    <n v="348"/>
    <n v="1"/>
    <n v="0"/>
    <n v="0"/>
    <n v="0"/>
    <n v="1"/>
    <x v="0"/>
    <n v="13"/>
    <n v="0.74712643678160917"/>
    <n v="260"/>
    <n v="0.22988505747126439"/>
    <n v="4"/>
    <n v="17"/>
    <n v="0"/>
    <n v="320"/>
    <n v="0"/>
    <n v="1"/>
    <n v="0"/>
    <n v="0"/>
    <n v="0"/>
    <n v="0"/>
    <n v="0"/>
    <n v="0"/>
    <n v="0.74603174603174605"/>
    <n v="0"/>
    <n v="235"/>
    <n v="0"/>
    <n v="235"/>
    <n v="63"/>
    <s v="Yes"/>
    <s v="KMSS-BMO"/>
    <x v="0"/>
    <s v="Camp"/>
    <x v="0"/>
    <x v="0"/>
    <n v="24.205417000000001"/>
    <n v="97.724566999999993"/>
    <s v="MMR001CMP069"/>
    <x v="0"/>
    <s v="to ask not found in Q1 2018"/>
  </r>
  <r>
    <x v="0"/>
    <x v="1"/>
    <x v="0"/>
    <x v="2"/>
    <x v="4"/>
    <n v="560"/>
    <n v="2902"/>
    <m/>
    <s v="WHH-BMZ,WHH-AA"/>
    <d v="2018-06-30T00:00:00"/>
    <n v="0"/>
    <s v="Yes"/>
    <n v="0.31"/>
    <n v="0.31"/>
    <n v="0"/>
    <n v="0"/>
    <n v="58040"/>
    <n v="0"/>
    <n v="0"/>
    <m/>
    <m/>
    <m/>
    <m/>
    <m/>
    <n v="0"/>
    <n v="78"/>
    <n v="8"/>
    <m/>
    <n v="1"/>
    <x v="0"/>
    <x v="0"/>
    <m/>
    <m/>
    <n v="0"/>
    <n v="0.99"/>
    <s v="Communal"/>
    <n v="0"/>
    <n v="5"/>
    <n v="5"/>
    <m/>
    <m/>
    <m/>
    <n v="0"/>
    <s v="no test"/>
    <s v="no test"/>
    <n v="1"/>
    <n v="1"/>
    <n v="1"/>
    <n v="2902"/>
    <n v="0"/>
    <n v="0"/>
    <n v="1"/>
    <n v="2902"/>
    <n v="6"/>
    <n v="0"/>
    <n v="0"/>
    <n v="0"/>
    <n v="6"/>
    <x v="0"/>
    <n v="86"/>
    <n v="0.53756030323914539"/>
    <n v="1560"/>
    <n v="0.4066161268090972"/>
    <n v="59"/>
    <n v="145"/>
    <n v="9.3023255813953487E-2"/>
    <n v="0"/>
    <n v="0"/>
    <n v="1"/>
    <n v="2500"/>
    <n v="0"/>
    <n v="1"/>
    <n v="0"/>
    <n v="0"/>
    <n v="0.86147484493452786"/>
    <n v="0"/>
    <n v="0"/>
    <n v="0"/>
    <n v="0"/>
    <n v="0"/>
    <n v="554.4"/>
    <s v="Yes"/>
    <s v="KMSS-MYT"/>
    <x v="0"/>
    <s v="Camp"/>
    <x v="0"/>
    <x v="1"/>
    <n v="24.755253"/>
    <n v="97.546893999999995"/>
    <s v="MMR001CMP116"/>
    <x v="0"/>
    <m/>
  </r>
  <r>
    <x v="0"/>
    <x v="1"/>
    <x v="0"/>
    <x v="2"/>
    <x v="5"/>
    <n v="144"/>
    <n v="862"/>
    <m/>
    <s v="WHH-BMZ,WHH-AA"/>
    <d v="2018-06-30T00:00:00"/>
    <n v="0"/>
    <s v="Yes"/>
    <n v="0.5"/>
    <n v="0.5"/>
    <n v="0"/>
    <n v="0"/>
    <n v="5172"/>
    <n v="0"/>
    <n v="0"/>
    <m/>
    <m/>
    <m/>
    <m/>
    <m/>
    <n v="0"/>
    <n v="20"/>
    <n v="0"/>
    <m/>
    <n v="0"/>
    <x v="0"/>
    <x v="0"/>
    <m/>
    <m/>
    <n v="0"/>
    <n v="1"/>
    <s v="Communal"/>
    <n v="0"/>
    <n v="0"/>
    <n v="0"/>
    <m/>
    <m/>
    <m/>
    <n v="0"/>
    <s v="no test"/>
    <s v="no test"/>
    <n v="0.4"/>
    <n v="0.4"/>
    <n v="0.4"/>
    <n v="344.8"/>
    <n v="0"/>
    <n v="0"/>
    <n v="0.4"/>
    <n v="344.8"/>
    <n v="1"/>
    <n v="0.6"/>
    <n v="517.19999999999993"/>
    <n v="1"/>
    <n v="2"/>
    <x v="0"/>
    <n v="20"/>
    <n v="0.46403712296983757"/>
    <n v="400"/>
    <n v="0.53364269141531318"/>
    <n v="23"/>
    <n v="43"/>
    <n v="0"/>
    <n v="0"/>
    <n v="0"/>
    <n v="1"/>
    <n v="0"/>
    <n v="0"/>
    <n v="0"/>
    <n v="0"/>
    <n v="0"/>
    <n v="0"/>
    <n v="0"/>
    <n v="0"/>
    <n v="0"/>
    <n v="0"/>
    <n v="0"/>
    <n v="144"/>
    <n v="0"/>
    <n v="0"/>
    <x v="0"/>
    <s v="Camp"/>
    <x v="1"/>
    <x v="1"/>
    <n v="24.752471"/>
    <n v="97.541793999999996"/>
    <s v="MMR001CMP208"/>
    <x v="0"/>
    <m/>
  </r>
  <r>
    <x v="0"/>
    <x v="3"/>
    <x v="0"/>
    <x v="2"/>
    <x v="6"/>
    <n v="62"/>
    <n v="410"/>
    <m/>
    <m/>
    <m/>
    <n v="0"/>
    <s v="No"/>
    <n v="0"/>
    <n v="0"/>
    <n v="0"/>
    <n v="2"/>
    <m/>
    <m/>
    <n v="0"/>
    <m/>
    <m/>
    <m/>
    <m/>
    <m/>
    <m/>
    <n v="10"/>
    <m/>
    <m/>
    <n v="0"/>
    <x v="1"/>
    <x v="1"/>
    <m/>
    <m/>
    <m/>
    <n v="1"/>
    <s v="Both"/>
    <n v="0"/>
    <n v="3"/>
    <n v="3"/>
    <m/>
    <m/>
    <m/>
    <m/>
    <s v="no test"/>
    <s v="no test"/>
    <n v="1"/>
    <n v="1"/>
    <n v="1"/>
    <n v="410"/>
    <n v="0"/>
    <n v="0"/>
    <n v="1"/>
    <n v="410"/>
    <n v="1"/>
    <n v="0"/>
    <n v="0"/>
    <n v="0"/>
    <n v="1"/>
    <x v="0"/>
    <n v="10"/>
    <n v="0.48780487804878048"/>
    <n v="200"/>
    <n v="0.53658536585365857"/>
    <n v="11"/>
    <n v="21"/>
    <n v="0"/>
    <n v="0"/>
    <n v="0"/>
    <n v="1"/>
    <n v="410"/>
    <n v="0"/>
    <n v="1"/>
    <n v="0"/>
    <n v="0"/>
    <n v="1"/>
    <n v="0"/>
    <n v="0"/>
    <n v="0"/>
    <n v="0"/>
    <n v="0"/>
    <n v="62"/>
    <n v="0"/>
    <n v="0"/>
    <x v="0"/>
    <s v="Camp"/>
    <x v="2"/>
    <x v="0"/>
    <n v="25.305008999999998"/>
    <n v="97.430321000000006"/>
    <s v="MMR001CMP248"/>
    <x v="1"/>
    <m/>
  </r>
  <r>
    <x v="0"/>
    <x v="3"/>
    <x v="0"/>
    <x v="0"/>
    <x v="7"/>
    <n v="175"/>
    <n v="834"/>
    <m/>
    <m/>
    <m/>
    <m/>
    <s v="No"/>
    <n v="0"/>
    <n v="0"/>
    <m/>
    <m/>
    <m/>
    <m/>
    <m/>
    <m/>
    <m/>
    <m/>
    <m/>
    <m/>
    <m/>
    <n v="0"/>
    <m/>
    <m/>
    <m/>
    <x v="1"/>
    <x v="1"/>
    <m/>
    <m/>
    <m/>
    <m/>
    <m/>
    <m/>
    <m/>
    <m/>
    <m/>
    <m/>
    <m/>
    <m/>
    <s v="no test"/>
    <s v="no test"/>
    <n v="0"/>
    <n v="0"/>
    <n v="0"/>
    <n v="0"/>
    <n v="0"/>
    <n v="0"/>
    <n v="0"/>
    <n v="0"/>
    <n v="0"/>
    <n v="1"/>
    <n v="834"/>
    <n v="2"/>
    <n v="2"/>
    <x v="0"/>
    <n v="0"/>
    <n v="0"/>
    <n v="0"/>
    <n v="1.0071942446043165"/>
    <n v="42"/>
    <n v="42"/>
    <n v="0"/>
    <n v="0"/>
    <n v="0"/>
    <n v="1"/>
    <n v="0"/>
    <n v="0"/>
    <n v="0"/>
    <n v="0"/>
    <n v="0"/>
    <n v="0"/>
    <n v="0"/>
    <n v="0"/>
    <n v="0"/>
    <n v="0"/>
    <n v="0"/>
    <n v="0"/>
    <n v="0"/>
    <n v="0"/>
    <x v="0"/>
    <s v="Camp"/>
    <x v="3"/>
    <x v="0"/>
    <n v="23.827870999999998"/>
    <n v="97.588291999999996"/>
    <s v="MMR001CMP134"/>
    <x v="1"/>
    <m/>
  </r>
  <r>
    <x v="0"/>
    <x v="3"/>
    <x v="0"/>
    <x v="3"/>
    <x v="8"/>
    <n v="21"/>
    <n v="95"/>
    <m/>
    <m/>
    <m/>
    <m/>
    <s v="No"/>
    <n v="0"/>
    <n v="0"/>
    <m/>
    <m/>
    <m/>
    <m/>
    <m/>
    <m/>
    <m/>
    <m/>
    <m/>
    <m/>
    <m/>
    <n v="0"/>
    <m/>
    <m/>
    <m/>
    <x v="1"/>
    <x v="1"/>
    <m/>
    <m/>
    <m/>
    <m/>
    <m/>
    <m/>
    <m/>
    <m/>
    <m/>
    <m/>
    <m/>
    <m/>
    <s v="no test"/>
    <s v="no test"/>
    <n v="0"/>
    <n v="0"/>
    <n v="0"/>
    <n v="0"/>
    <n v="0"/>
    <n v="0"/>
    <n v="0"/>
    <n v="0"/>
    <n v="0"/>
    <n v="1"/>
    <n v="95"/>
    <n v="1"/>
    <n v="1"/>
    <x v="0"/>
    <n v="0"/>
    <n v="0"/>
    <n v="0"/>
    <n v="1.0526315789473684"/>
    <n v="5"/>
    <n v="5"/>
    <n v="0"/>
    <n v="0"/>
    <n v="0"/>
    <n v="1"/>
    <n v="0"/>
    <n v="0"/>
    <n v="0"/>
    <n v="0"/>
    <n v="0"/>
    <n v="0"/>
    <n v="0"/>
    <n v="0"/>
    <n v="0"/>
    <n v="0"/>
    <n v="0"/>
    <n v="0"/>
    <s v="Yes"/>
    <s v="Shalom"/>
    <x v="0"/>
    <s v="Camp"/>
    <x v="0"/>
    <x v="0"/>
    <n v="24.29138"/>
    <n v="97.227789999999999"/>
    <s v="MMR001CMP055"/>
    <x v="1"/>
    <m/>
  </r>
  <r>
    <x v="0"/>
    <x v="3"/>
    <x v="0"/>
    <x v="3"/>
    <x v="9"/>
    <n v="76"/>
    <n v="256"/>
    <m/>
    <m/>
    <m/>
    <m/>
    <s v="No"/>
    <n v="0"/>
    <n v="0"/>
    <m/>
    <m/>
    <m/>
    <m/>
    <m/>
    <m/>
    <m/>
    <m/>
    <m/>
    <m/>
    <m/>
    <n v="0"/>
    <m/>
    <m/>
    <m/>
    <x v="1"/>
    <x v="1"/>
    <m/>
    <m/>
    <m/>
    <m/>
    <m/>
    <m/>
    <m/>
    <m/>
    <m/>
    <m/>
    <m/>
    <m/>
    <s v="no test"/>
    <s v="no test"/>
    <n v="0"/>
    <n v="0"/>
    <n v="0"/>
    <n v="0"/>
    <n v="0"/>
    <n v="0"/>
    <n v="0"/>
    <n v="0"/>
    <n v="0"/>
    <n v="1"/>
    <n v="256"/>
    <n v="1"/>
    <n v="1"/>
    <x v="0"/>
    <n v="0"/>
    <n v="0"/>
    <n v="0"/>
    <n v="1.015625"/>
    <n v="13"/>
    <n v="13"/>
    <n v="0"/>
    <n v="0"/>
    <n v="0"/>
    <n v="1"/>
    <n v="0"/>
    <n v="0"/>
    <n v="0"/>
    <n v="0"/>
    <n v="0"/>
    <n v="0"/>
    <n v="0"/>
    <n v="0"/>
    <n v="0"/>
    <n v="0"/>
    <n v="0"/>
    <n v="0"/>
    <n v="0"/>
    <n v="0"/>
    <x v="0"/>
    <s v="Camp"/>
    <x v="3"/>
    <x v="0"/>
    <n v="24.263786"/>
    <n v="97.228835000000004"/>
    <s v="MMR001CMP163"/>
    <x v="1"/>
    <m/>
  </r>
  <r>
    <x v="0"/>
    <x v="3"/>
    <x v="0"/>
    <x v="0"/>
    <x v="10"/>
    <n v="80"/>
    <n v="290"/>
    <m/>
    <m/>
    <m/>
    <m/>
    <s v="No"/>
    <n v="0"/>
    <n v="0"/>
    <m/>
    <m/>
    <m/>
    <m/>
    <m/>
    <m/>
    <m/>
    <m/>
    <m/>
    <m/>
    <m/>
    <n v="0"/>
    <m/>
    <m/>
    <m/>
    <x v="1"/>
    <x v="1"/>
    <m/>
    <m/>
    <m/>
    <m/>
    <m/>
    <m/>
    <m/>
    <m/>
    <m/>
    <m/>
    <m/>
    <m/>
    <s v="no test"/>
    <s v="no test"/>
    <n v="0"/>
    <n v="0"/>
    <n v="0"/>
    <n v="0"/>
    <n v="0"/>
    <n v="0"/>
    <n v="0"/>
    <n v="0"/>
    <n v="0"/>
    <n v="1"/>
    <n v="290"/>
    <n v="1"/>
    <n v="1"/>
    <x v="0"/>
    <n v="0"/>
    <n v="0"/>
    <n v="0"/>
    <n v="1.0344827586206897"/>
    <n v="15"/>
    <n v="15"/>
    <n v="0"/>
    <n v="0"/>
    <n v="0"/>
    <n v="1"/>
    <n v="0"/>
    <n v="0"/>
    <n v="0"/>
    <n v="0"/>
    <n v="0"/>
    <n v="0"/>
    <n v="0"/>
    <n v="0"/>
    <n v="0"/>
    <n v="0"/>
    <n v="0"/>
    <n v="0"/>
    <n v="0"/>
    <n v="0"/>
    <x v="0"/>
    <s v="Camp"/>
    <x v="3"/>
    <x v="0"/>
    <n v="24.118618999999999"/>
    <n v="97.298055000000005"/>
    <s v="MMR001CMP196"/>
    <x v="1"/>
    <m/>
  </r>
  <r>
    <x v="0"/>
    <x v="3"/>
    <x v="0"/>
    <x v="4"/>
    <x v="11"/>
    <n v="27"/>
    <n v="121"/>
    <m/>
    <m/>
    <m/>
    <m/>
    <s v="No"/>
    <n v="0"/>
    <n v="0"/>
    <m/>
    <m/>
    <m/>
    <m/>
    <m/>
    <m/>
    <m/>
    <m/>
    <m/>
    <m/>
    <m/>
    <n v="0"/>
    <m/>
    <m/>
    <m/>
    <x v="1"/>
    <x v="1"/>
    <m/>
    <m/>
    <m/>
    <m/>
    <m/>
    <m/>
    <m/>
    <m/>
    <m/>
    <m/>
    <m/>
    <m/>
    <s v="no test"/>
    <s v="no test"/>
    <n v="0"/>
    <n v="0"/>
    <n v="0"/>
    <n v="0"/>
    <n v="0"/>
    <n v="0"/>
    <n v="0"/>
    <n v="0"/>
    <n v="0"/>
    <n v="1"/>
    <n v="121"/>
    <n v="1"/>
    <n v="1"/>
    <x v="0"/>
    <n v="0"/>
    <n v="0"/>
    <n v="0"/>
    <n v="0.99173553719008267"/>
    <n v="6"/>
    <n v="6"/>
    <n v="0"/>
    <n v="0"/>
    <n v="0"/>
    <n v="1"/>
    <n v="0"/>
    <n v="0"/>
    <n v="0"/>
    <n v="0"/>
    <n v="0"/>
    <n v="0"/>
    <n v="0"/>
    <n v="0"/>
    <n v="0"/>
    <n v="0"/>
    <n v="0"/>
    <n v="0"/>
    <n v="0"/>
    <n v="0"/>
    <x v="0"/>
    <s v="Camp"/>
    <x v="3"/>
    <x v="0"/>
    <n v="24.996279999999999"/>
    <n v="96.52534"/>
    <s v="MMR001CMP232"/>
    <x v="1"/>
    <m/>
  </r>
  <r>
    <x v="0"/>
    <x v="3"/>
    <x v="0"/>
    <x v="4"/>
    <x v="12"/>
    <n v="14"/>
    <n v="63"/>
    <m/>
    <m/>
    <m/>
    <m/>
    <s v="No"/>
    <n v="0"/>
    <n v="0"/>
    <m/>
    <m/>
    <m/>
    <m/>
    <m/>
    <m/>
    <m/>
    <m/>
    <m/>
    <m/>
    <m/>
    <n v="0"/>
    <m/>
    <m/>
    <m/>
    <x v="1"/>
    <x v="1"/>
    <m/>
    <m/>
    <m/>
    <m/>
    <m/>
    <m/>
    <m/>
    <m/>
    <m/>
    <m/>
    <m/>
    <m/>
    <s v="no test"/>
    <s v="no test"/>
    <n v="0"/>
    <n v="0"/>
    <n v="0"/>
    <n v="0"/>
    <n v="0"/>
    <n v="0"/>
    <n v="0"/>
    <n v="0"/>
    <n v="0"/>
    <n v="1"/>
    <n v="63"/>
    <n v="1"/>
    <n v="1"/>
    <x v="0"/>
    <n v="0"/>
    <n v="0"/>
    <n v="0"/>
    <n v="0.95238095238095244"/>
    <n v="3"/>
    <n v="3"/>
    <n v="0"/>
    <n v="0"/>
    <n v="0"/>
    <n v="1"/>
    <n v="0"/>
    <n v="0"/>
    <n v="0"/>
    <n v="0"/>
    <n v="0"/>
    <n v="0"/>
    <n v="0"/>
    <n v="0"/>
    <n v="0"/>
    <n v="0"/>
    <n v="0"/>
    <n v="0"/>
    <n v="0"/>
    <n v="0"/>
    <x v="0"/>
    <s v="Camp"/>
    <x v="3"/>
    <x v="0"/>
    <n v="24.764959999999999"/>
    <n v="96.366919999999993"/>
    <s v="MMR001CMP233"/>
    <x v="1"/>
    <m/>
  </r>
  <r>
    <x v="0"/>
    <x v="3"/>
    <x v="0"/>
    <x v="1"/>
    <x v="13"/>
    <n v="3"/>
    <n v="18"/>
    <m/>
    <m/>
    <m/>
    <m/>
    <s v="No"/>
    <n v="0"/>
    <n v="0"/>
    <m/>
    <m/>
    <m/>
    <m/>
    <m/>
    <m/>
    <m/>
    <m/>
    <m/>
    <m/>
    <m/>
    <n v="0"/>
    <m/>
    <m/>
    <m/>
    <x v="1"/>
    <x v="1"/>
    <m/>
    <m/>
    <m/>
    <m/>
    <m/>
    <m/>
    <m/>
    <m/>
    <m/>
    <m/>
    <m/>
    <m/>
    <s v="no test"/>
    <s v="no test"/>
    <n v="0"/>
    <n v="0"/>
    <n v="0"/>
    <n v="0"/>
    <n v="0"/>
    <n v="0"/>
    <n v="0"/>
    <n v="0"/>
    <n v="0"/>
    <n v="1"/>
    <n v="18"/>
    <n v="1"/>
    <n v="1"/>
    <x v="0"/>
    <n v="0"/>
    <n v="0"/>
    <n v="0"/>
    <n v="1.1111111111111112"/>
    <n v="1"/>
    <n v="1"/>
    <n v="0"/>
    <n v="0"/>
    <n v="0"/>
    <n v="1"/>
    <n v="0"/>
    <n v="0"/>
    <n v="0"/>
    <n v="0"/>
    <n v="0"/>
    <n v="0"/>
    <n v="0"/>
    <n v="0"/>
    <n v="0"/>
    <n v="0"/>
    <n v="0"/>
    <n v="0"/>
    <n v="0"/>
    <n v="0"/>
    <x v="0"/>
    <s v="Camp"/>
    <x v="3"/>
    <x v="0"/>
    <n v="24.377054000000001"/>
    <n v="97.343406999999999"/>
    <s v="MMR001CMP200"/>
    <x v="1"/>
    <m/>
  </r>
  <r>
    <x v="0"/>
    <x v="3"/>
    <x v="0"/>
    <x v="1"/>
    <x v="14"/>
    <n v="47"/>
    <n v="153"/>
    <m/>
    <m/>
    <m/>
    <m/>
    <s v="No"/>
    <n v="0"/>
    <n v="0"/>
    <m/>
    <m/>
    <m/>
    <m/>
    <m/>
    <m/>
    <m/>
    <m/>
    <m/>
    <m/>
    <m/>
    <n v="0"/>
    <m/>
    <m/>
    <m/>
    <x v="1"/>
    <x v="1"/>
    <m/>
    <m/>
    <m/>
    <m/>
    <m/>
    <m/>
    <m/>
    <m/>
    <m/>
    <m/>
    <m/>
    <m/>
    <s v="no test"/>
    <s v="no test"/>
    <n v="0"/>
    <n v="0"/>
    <n v="0"/>
    <n v="0"/>
    <n v="0"/>
    <n v="0"/>
    <n v="0"/>
    <n v="0"/>
    <n v="0"/>
    <n v="1"/>
    <n v="153"/>
    <n v="1"/>
    <n v="1"/>
    <x v="0"/>
    <n v="0"/>
    <n v="0"/>
    <n v="0"/>
    <n v="1.0457516339869282"/>
    <n v="8"/>
    <n v="8"/>
    <n v="0"/>
    <n v="0"/>
    <n v="0"/>
    <n v="1"/>
    <n v="0"/>
    <n v="0"/>
    <n v="0"/>
    <n v="0"/>
    <n v="0"/>
    <n v="0"/>
    <n v="0"/>
    <n v="0"/>
    <n v="0"/>
    <n v="0"/>
    <n v="0"/>
    <n v="0"/>
    <n v="0"/>
    <n v="0"/>
    <x v="0"/>
    <s v="Camp"/>
    <x v="3"/>
    <x v="0"/>
    <n v="24.404876999999999"/>
    <n v="97.407787999999996"/>
    <s v="MMR001CMP061"/>
    <x v="1"/>
    <m/>
  </r>
  <r>
    <x v="0"/>
    <x v="3"/>
    <x v="0"/>
    <x v="1"/>
    <x v="15"/>
    <n v="223"/>
    <n v="1067"/>
    <m/>
    <m/>
    <m/>
    <m/>
    <s v="No"/>
    <n v="0"/>
    <n v="0"/>
    <m/>
    <m/>
    <m/>
    <m/>
    <m/>
    <m/>
    <m/>
    <m/>
    <m/>
    <m/>
    <m/>
    <n v="0"/>
    <m/>
    <m/>
    <m/>
    <x v="1"/>
    <x v="1"/>
    <m/>
    <m/>
    <m/>
    <m/>
    <m/>
    <m/>
    <m/>
    <m/>
    <m/>
    <m/>
    <m/>
    <m/>
    <s v="no test"/>
    <s v="no test"/>
    <n v="0"/>
    <n v="0"/>
    <n v="0"/>
    <n v="0"/>
    <n v="0"/>
    <n v="0"/>
    <n v="0"/>
    <n v="0"/>
    <n v="0"/>
    <n v="1"/>
    <n v="1067"/>
    <n v="2"/>
    <n v="2"/>
    <x v="0"/>
    <n v="0"/>
    <n v="0"/>
    <n v="0"/>
    <n v="0.99343955014058105"/>
    <n v="53"/>
    <n v="53"/>
    <n v="0"/>
    <n v="0"/>
    <n v="0"/>
    <n v="1"/>
    <n v="0"/>
    <n v="0"/>
    <n v="0"/>
    <n v="0"/>
    <n v="0"/>
    <n v="0"/>
    <n v="0"/>
    <n v="0"/>
    <n v="0"/>
    <n v="0"/>
    <n v="0"/>
    <n v="0"/>
    <n v="0"/>
    <n v="0"/>
    <x v="0"/>
    <s v="Camp"/>
    <x v="3"/>
    <x v="0"/>
    <n v="24.251232000000002"/>
    <n v="97.348405"/>
    <s v="MMR001CMP197"/>
    <x v="1"/>
    <m/>
  </r>
  <r>
    <x v="0"/>
    <x v="3"/>
    <x v="0"/>
    <x v="5"/>
    <x v="16"/>
    <n v="14"/>
    <n v="75"/>
    <m/>
    <m/>
    <m/>
    <m/>
    <s v="No"/>
    <n v="0"/>
    <n v="0"/>
    <m/>
    <m/>
    <m/>
    <m/>
    <m/>
    <m/>
    <m/>
    <m/>
    <m/>
    <m/>
    <m/>
    <n v="0"/>
    <m/>
    <m/>
    <m/>
    <x v="1"/>
    <x v="1"/>
    <m/>
    <m/>
    <m/>
    <m/>
    <m/>
    <m/>
    <m/>
    <m/>
    <m/>
    <m/>
    <m/>
    <m/>
    <s v="no test"/>
    <s v="no test"/>
    <n v="0"/>
    <n v="0"/>
    <n v="0"/>
    <n v="0"/>
    <n v="0"/>
    <n v="0"/>
    <n v="0"/>
    <n v="0"/>
    <n v="0"/>
    <n v="1"/>
    <n v="75"/>
    <n v="1"/>
    <n v="1"/>
    <x v="0"/>
    <n v="0"/>
    <n v="0"/>
    <n v="0"/>
    <n v="1.0666666666666667"/>
    <n v="4"/>
    <n v="4"/>
    <n v="0"/>
    <n v="0"/>
    <n v="0"/>
    <n v="1"/>
    <n v="0"/>
    <n v="0"/>
    <n v="0"/>
    <n v="0"/>
    <n v="0"/>
    <n v="0"/>
    <n v="0"/>
    <n v="0"/>
    <n v="0"/>
    <n v="0"/>
    <n v="0"/>
    <n v="0"/>
    <n v="0"/>
    <n v="0"/>
    <x v="0"/>
    <s v="Camp"/>
    <x v="3"/>
    <x v="0"/>
    <n v="27.311699999999998"/>
    <n v="97.415289999999999"/>
    <s v="MMR001CMP075"/>
    <x v="1"/>
    <m/>
  </r>
  <r>
    <x v="0"/>
    <x v="3"/>
    <x v="0"/>
    <x v="5"/>
    <x v="17"/>
    <n v="10"/>
    <n v="56"/>
    <m/>
    <m/>
    <m/>
    <m/>
    <s v="No"/>
    <n v="0"/>
    <n v="0"/>
    <m/>
    <m/>
    <m/>
    <m/>
    <m/>
    <m/>
    <m/>
    <m/>
    <m/>
    <m/>
    <m/>
    <n v="0"/>
    <m/>
    <m/>
    <m/>
    <x v="1"/>
    <x v="1"/>
    <m/>
    <m/>
    <m/>
    <m/>
    <m/>
    <m/>
    <m/>
    <m/>
    <m/>
    <m/>
    <m/>
    <m/>
    <s v="no test"/>
    <s v="no test"/>
    <n v="0"/>
    <n v="0"/>
    <n v="0"/>
    <n v="0"/>
    <n v="0"/>
    <n v="0"/>
    <n v="0"/>
    <n v="0"/>
    <n v="0"/>
    <n v="1"/>
    <n v="56"/>
    <n v="1"/>
    <n v="1"/>
    <x v="0"/>
    <n v="0"/>
    <n v="0"/>
    <n v="0"/>
    <n v="1.0714285714285714"/>
    <n v="3"/>
    <n v="3"/>
    <n v="0"/>
    <n v="0"/>
    <n v="0"/>
    <n v="1"/>
    <n v="0"/>
    <n v="0"/>
    <n v="0"/>
    <n v="0"/>
    <n v="0"/>
    <n v="0"/>
    <n v="0"/>
    <n v="0"/>
    <n v="0"/>
    <n v="0"/>
    <n v="0"/>
    <n v="0"/>
    <n v="0"/>
    <n v="0"/>
    <x v="0"/>
    <s v="Camp"/>
    <x v="3"/>
    <x v="0"/>
    <n v="27.248964999999998"/>
    <n v="97.561105999999995"/>
    <s v="MMR001CMP227"/>
    <x v="1"/>
    <m/>
  </r>
  <r>
    <x v="0"/>
    <x v="3"/>
    <x v="0"/>
    <x v="6"/>
    <x v="18"/>
    <n v="375"/>
    <n v="1691"/>
    <m/>
    <m/>
    <m/>
    <m/>
    <s v="No"/>
    <n v="0"/>
    <n v="0"/>
    <m/>
    <m/>
    <m/>
    <m/>
    <m/>
    <m/>
    <m/>
    <m/>
    <m/>
    <m/>
    <m/>
    <n v="0"/>
    <m/>
    <m/>
    <m/>
    <x v="1"/>
    <x v="1"/>
    <m/>
    <m/>
    <m/>
    <m/>
    <m/>
    <m/>
    <m/>
    <m/>
    <m/>
    <m/>
    <m/>
    <m/>
    <s v="no test"/>
    <s v="no test"/>
    <n v="0"/>
    <n v="0"/>
    <n v="0"/>
    <n v="0"/>
    <n v="0"/>
    <n v="0"/>
    <n v="0"/>
    <n v="0"/>
    <n v="0"/>
    <n v="1"/>
    <n v="1691"/>
    <n v="3"/>
    <n v="3"/>
    <x v="0"/>
    <n v="0"/>
    <n v="0"/>
    <n v="0"/>
    <n v="1.0053222945002958"/>
    <n v="85"/>
    <n v="85"/>
    <n v="0"/>
    <n v="0"/>
    <n v="0"/>
    <n v="1"/>
    <n v="0"/>
    <n v="0"/>
    <n v="0"/>
    <n v="0"/>
    <n v="0"/>
    <n v="0"/>
    <n v="0"/>
    <n v="0"/>
    <n v="0"/>
    <n v="0"/>
    <n v="0"/>
    <n v="0"/>
    <n v="0"/>
    <n v="0"/>
    <x v="0"/>
    <s v="Camp"/>
    <x v="3"/>
    <x v="0"/>
    <n v="0"/>
    <n v="0"/>
    <s v="MMR001CMP147"/>
    <x v="1"/>
    <m/>
  </r>
  <r>
    <x v="0"/>
    <x v="3"/>
    <x v="0"/>
    <x v="7"/>
    <x v="19"/>
    <n v="5"/>
    <n v="32"/>
    <m/>
    <m/>
    <m/>
    <m/>
    <s v="No"/>
    <n v="0"/>
    <n v="0"/>
    <m/>
    <m/>
    <m/>
    <m/>
    <m/>
    <m/>
    <m/>
    <m/>
    <m/>
    <m/>
    <m/>
    <n v="0"/>
    <m/>
    <m/>
    <m/>
    <x v="1"/>
    <x v="1"/>
    <m/>
    <m/>
    <m/>
    <m/>
    <m/>
    <m/>
    <m/>
    <m/>
    <m/>
    <m/>
    <m/>
    <m/>
    <s v="no test"/>
    <s v="no test"/>
    <n v="0"/>
    <n v="0"/>
    <n v="0"/>
    <n v="0"/>
    <n v="0"/>
    <n v="0"/>
    <n v="0"/>
    <n v="0"/>
    <n v="0"/>
    <n v="1"/>
    <n v="32"/>
    <n v="1"/>
    <n v="1"/>
    <x v="0"/>
    <n v="0"/>
    <n v="0"/>
    <n v="0"/>
    <n v="1.25"/>
    <n v="2"/>
    <n v="2"/>
    <n v="0"/>
    <n v="0"/>
    <n v="0"/>
    <n v="1"/>
    <n v="0"/>
    <n v="0"/>
    <n v="0"/>
    <n v="0"/>
    <n v="0"/>
    <n v="0"/>
    <n v="0"/>
    <n v="0"/>
    <n v="0"/>
    <n v="0"/>
    <n v="0"/>
    <n v="0"/>
    <n v="0"/>
    <n v="0"/>
    <x v="0"/>
    <s v="Camp"/>
    <x v="2"/>
    <x v="0"/>
    <n v="26.541930000000001"/>
    <n v="97.568836000000005"/>
    <s v="MMR001CMP206"/>
    <x v="1"/>
    <m/>
  </r>
  <r>
    <x v="0"/>
    <x v="0"/>
    <x v="0"/>
    <x v="8"/>
    <x v="20"/>
    <n v="70"/>
    <n v="350"/>
    <m/>
    <s v="DFID/UNICEF"/>
    <d v="2018-12-31T00:00:00"/>
    <n v="0"/>
    <s v="Yes"/>
    <n v="0.5"/>
    <n v="0.1"/>
    <n v="2"/>
    <n v="0"/>
    <n v="4000"/>
    <n v="0"/>
    <n v="3"/>
    <n v="1"/>
    <n v="0"/>
    <n v="12"/>
    <n v="1"/>
    <n v="0"/>
    <m/>
    <n v="8"/>
    <n v="0"/>
    <n v="0"/>
    <n v="8"/>
    <x v="0"/>
    <x v="2"/>
    <n v="0"/>
    <n v="0"/>
    <m/>
    <n v="0"/>
    <s v="Communal"/>
    <n v="0"/>
    <n v="3"/>
    <n v="2"/>
    <n v="0"/>
    <n v="0"/>
    <s v="No"/>
    <m/>
    <n v="0"/>
    <n v="8.3333333333333329E-2"/>
    <n v="1"/>
    <n v="1"/>
    <n v="1"/>
    <n v="350"/>
    <n v="0"/>
    <n v="0"/>
    <n v="1"/>
    <n v="350"/>
    <n v="0.7"/>
    <n v="0"/>
    <n v="0"/>
    <n v="0.30000000000000004"/>
    <n v="1"/>
    <x v="1"/>
    <n v="8"/>
    <n v="0.45714285714285713"/>
    <n v="160"/>
    <n v="0.5714285714285714"/>
    <n v="10"/>
    <n v="18"/>
    <n v="0"/>
    <n v="0"/>
    <n v="0"/>
    <n v="1"/>
    <n v="350"/>
    <n v="0"/>
    <n v="1"/>
    <n v="0"/>
    <n v="0"/>
    <n v="1"/>
    <n v="0"/>
    <n v="0"/>
    <n v="0"/>
    <n v="0"/>
    <n v="0"/>
    <n v="0"/>
    <s v="Yes"/>
    <s v="KMSS-MYT"/>
    <x v="0"/>
    <s v="Camp"/>
    <x v="0"/>
    <x v="0"/>
    <n v="25.656009999999998"/>
    <n v="96.361609999999999"/>
    <s v="MMR001CMP168"/>
    <x v="0"/>
    <m/>
  </r>
  <r>
    <x v="0"/>
    <x v="2"/>
    <x v="0"/>
    <x v="3"/>
    <x v="21"/>
    <n v="177"/>
    <n v="895"/>
    <m/>
    <s v="OFDA"/>
    <d v="2018-04-30T00:00:00"/>
    <n v="0"/>
    <s v="Yes"/>
    <n v="0.6"/>
    <n v="0"/>
    <n v="0"/>
    <n v="1"/>
    <n v="1270080"/>
    <n v="0"/>
    <n v="0"/>
    <m/>
    <m/>
    <n v="3"/>
    <n v="3"/>
    <m/>
    <m/>
    <n v="36"/>
    <n v="0"/>
    <n v="25"/>
    <n v="0"/>
    <x v="0"/>
    <x v="0"/>
    <n v="0"/>
    <n v="0"/>
    <m/>
    <n v="1"/>
    <s v="Both"/>
    <n v="0"/>
    <n v="3"/>
    <n v="132"/>
    <n v="0"/>
    <m/>
    <m/>
    <m/>
    <s v="no test"/>
    <n v="1"/>
    <n v="1"/>
    <n v="1"/>
    <n v="1"/>
    <n v="895"/>
    <n v="0"/>
    <n v="0"/>
    <n v="1"/>
    <n v="895"/>
    <n v="1.79"/>
    <n v="0"/>
    <n v="0"/>
    <n v="0.20999999999999996"/>
    <n v="2"/>
    <x v="1"/>
    <n v="36"/>
    <n v="0.8044692737430168"/>
    <n v="720"/>
    <n v="0.2011173184357542"/>
    <n v="9"/>
    <n v="45"/>
    <n v="0"/>
    <n v="500"/>
    <n v="0"/>
    <n v="1"/>
    <n v="895"/>
    <n v="0"/>
    <n v="1"/>
    <n v="0"/>
    <n v="0"/>
    <n v="1"/>
    <n v="0"/>
    <n v="0"/>
    <n v="0"/>
    <n v="0"/>
    <n v="0"/>
    <n v="177"/>
    <s v="Yes"/>
    <s v="KMSS-BMO"/>
    <x v="0"/>
    <s v="Camp"/>
    <x v="0"/>
    <x v="0"/>
    <n v="24.260719999999999"/>
    <n v="97.238829999999993"/>
    <s v="MMR001CMP050"/>
    <x v="0"/>
    <m/>
  </r>
  <r>
    <x v="0"/>
    <x v="4"/>
    <x v="0"/>
    <x v="8"/>
    <x v="22"/>
    <n v="65"/>
    <n v="350"/>
    <m/>
    <s v="OFDA"/>
    <d v="2017-07-31T00:00:00"/>
    <n v="0"/>
    <s v="Yes"/>
    <n v="0.2"/>
    <n v="1"/>
    <n v="2"/>
    <n v="1"/>
    <n v="1500"/>
    <n v="0"/>
    <n v="3"/>
    <n v="0"/>
    <n v="0"/>
    <n v="0"/>
    <n v="0"/>
    <n v="0"/>
    <m/>
    <n v="20"/>
    <n v="20"/>
    <n v="0"/>
    <n v="20"/>
    <x v="0"/>
    <x v="2"/>
    <n v="0"/>
    <n v="0"/>
    <m/>
    <n v="0.5"/>
    <s v="Communal"/>
    <n v="0"/>
    <n v="4"/>
    <n v="0"/>
    <n v="0"/>
    <n v="0"/>
    <m/>
    <m/>
    <s v="no test"/>
    <s v="no test"/>
    <n v="1"/>
    <n v="1"/>
    <n v="1"/>
    <n v="350"/>
    <n v="0"/>
    <n v="0"/>
    <n v="1"/>
    <n v="350"/>
    <n v="0.7"/>
    <n v="0"/>
    <n v="0"/>
    <n v="0.30000000000000004"/>
    <n v="1"/>
    <x v="0"/>
    <n v="40"/>
    <n v="1"/>
    <n v="350"/>
    <n v="0"/>
    <n v="0"/>
    <n v="18"/>
    <n v="0.5"/>
    <n v="0"/>
    <n v="0"/>
    <n v="1"/>
    <n v="0"/>
    <n v="0"/>
    <n v="0"/>
    <n v="0"/>
    <n v="0"/>
    <n v="0"/>
    <n v="0"/>
    <n v="0"/>
    <n v="0"/>
    <n v="0"/>
    <n v="0"/>
    <n v="32.5"/>
    <s v="Yes"/>
    <s v="Shalom"/>
    <x v="0"/>
    <s v="Camp"/>
    <x v="0"/>
    <x v="0"/>
    <n v="25.635300000000001"/>
    <n v="96.345569999999995"/>
    <s v="MMR001CMP176"/>
    <x v="0"/>
    <m/>
  </r>
  <r>
    <x v="0"/>
    <x v="4"/>
    <x v="0"/>
    <x v="8"/>
    <x v="23"/>
    <n v="14"/>
    <n v="81"/>
    <m/>
    <s v="OFDA"/>
    <d v="2017-07-31T00:00:00"/>
    <n v="0"/>
    <s v="Yes"/>
    <n v="0.5"/>
    <n v="0"/>
    <n v="1"/>
    <n v="0"/>
    <n v="500"/>
    <n v="0"/>
    <n v="1"/>
    <n v="0"/>
    <n v="0"/>
    <n v="0"/>
    <n v="0"/>
    <n v="0"/>
    <m/>
    <n v="4"/>
    <n v="0"/>
    <n v="0"/>
    <n v="4"/>
    <x v="0"/>
    <x v="2"/>
    <n v="0"/>
    <n v="0"/>
    <m/>
    <n v="0.2"/>
    <s v="Communal"/>
    <n v="0"/>
    <n v="2"/>
    <n v="0"/>
    <n v="0"/>
    <n v="0"/>
    <m/>
    <m/>
    <s v="no test"/>
    <s v="no test"/>
    <n v="1"/>
    <n v="1"/>
    <n v="1"/>
    <n v="81"/>
    <n v="0"/>
    <n v="0"/>
    <n v="1"/>
    <n v="81"/>
    <n v="0.16200000000000001"/>
    <n v="0"/>
    <n v="0"/>
    <n v="0.83799999999999997"/>
    <n v="1"/>
    <x v="0"/>
    <n v="4"/>
    <n v="0.98765432098765427"/>
    <n v="80"/>
    <n v="0"/>
    <n v="0"/>
    <n v="4"/>
    <n v="0"/>
    <n v="0"/>
    <n v="0"/>
    <n v="1"/>
    <n v="0"/>
    <n v="0"/>
    <n v="0"/>
    <n v="0"/>
    <n v="0"/>
    <n v="0"/>
    <n v="0"/>
    <n v="0"/>
    <n v="0"/>
    <n v="0"/>
    <n v="0"/>
    <n v="2.8000000000000003"/>
    <s v="Yes"/>
    <s v="Shalom"/>
    <x v="0"/>
    <s v="Camp"/>
    <x v="0"/>
    <x v="0"/>
    <n v="25.616509000000001"/>
    <n v="96.317350000000005"/>
    <s v="MMR001CMP190"/>
    <x v="0"/>
    <m/>
  </r>
  <r>
    <x v="0"/>
    <x v="1"/>
    <x v="0"/>
    <x v="3"/>
    <x v="24"/>
    <n v="11"/>
    <n v="52"/>
    <m/>
    <s v="USAID"/>
    <d v="2018-09-01T00:00:00"/>
    <n v="0"/>
    <s v="No"/>
    <n v="0"/>
    <n v="0"/>
    <n v="1"/>
    <n v="1"/>
    <n v="0"/>
    <n v="0"/>
    <n v="0"/>
    <m/>
    <m/>
    <m/>
    <m/>
    <m/>
    <m/>
    <n v="2"/>
    <n v="0"/>
    <m/>
    <n v="0"/>
    <x v="0"/>
    <x v="0"/>
    <m/>
    <m/>
    <m/>
    <n v="0"/>
    <s v="Both"/>
    <n v="0"/>
    <n v="1"/>
    <n v="0"/>
    <n v="11"/>
    <n v="11"/>
    <m/>
    <m/>
    <s v="no test"/>
    <s v="no test"/>
    <n v="1"/>
    <n v="1"/>
    <n v="1"/>
    <n v="52"/>
    <n v="0"/>
    <n v="0"/>
    <n v="1"/>
    <n v="52"/>
    <n v="0.104"/>
    <n v="0"/>
    <n v="0"/>
    <n v="0.89600000000000002"/>
    <n v="1"/>
    <x v="0"/>
    <n v="2"/>
    <n v="0.76923076923076927"/>
    <n v="40"/>
    <n v="0.38461538461538458"/>
    <n v="1"/>
    <n v="3"/>
    <n v="0"/>
    <n v="0"/>
    <n v="1"/>
    <n v="0"/>
    <n v="0"/>
    <n v="1"/>
    <n v="0"/>
    <n v="1"/>
    <n v="52"/>
    <n v="0"/>
    <n v="1"/>
    <n v="1"/>
    <n v="55"/>
    <n v="55"/>
    <n v="55"/>
    <n v="0"/>
    <s v="Yes"/>
    <s v="KBC"/>
    <x v="0"/>
    <s v="Camp"/>
    <x v="0"/>
    <x v="0"/>
    <n v="24.260466999999998"/>
    <n v="97.252650000000003"/>
    <s v="MMR001CMP194"/>
    <x v="0"/>
    <m/>
  </r>
  <r>
    <x v="0"/>
    <x v="4"/>
    <x v="0"/>
    <x v="8"/>
    <x v="25"/>
    <n v="37"/>
    <n v="228"/>
    <m/>
    <s v="OFDA"/>
    <d v="2017-07-31T00:00:00"/>
    <n v="0"/>
    <s v="Yes"/>
    <n v="0.5"/>
    <n v="0"/>
    <n v="2"/>
    <n v="0"/>
    <n v="2000"/>
    <n v="0"/>
    <n v="2"/>
    <n v="0"/>
    <n v="0"/>
    <n v="0"/>
    <n v="0"/>
    <n v="0"/>
    <s v="Water distribution system(overhead tank) is not functioning"/>
    <n v="10"/>
    <n v="4"/>
    <n v="0"/>
    <n v="10"/>
    <x v="0"/>
    <x v="2"/>
    <n v="0"/>
    <n v="0"/>
    <m/>
    <n v="0.6"/>
    <s v="Communal"/>
    <n v="0"/>
    <n v="3"/>
    <n v="0"/>
    <n v="0"/>
    <n v="0"/>
    <m/>
    <m/>
    <s v="no test"/>
    <s v="no test"/>
    <n v="1"/>
    <n v="1"/>
    <n v="1"/>
    <n v="228"/>
    <n v="0"/>
    <n v="0"/>
    <n v="1"/>
    <n v="228"/>
    <n v="0.45600000000000002"/>
    <n v="0"/>
    <n v="0"/>
    <n v="0.54400000000000004"/>
    <n v="1"/>
    <x v="0"/>
    <n v="14"/>
    <n v="0.8771929824561403"/>
    <n v="200"/>
    <n v="0"/>
    <n v="0"/>
    <n v="11"/>
    <n v="0.2857142857142857"/>
    <n v="0"/>
    <n v="0"/>
    <n v="1"/>
    <n v="0"/>
    <n v="0"/>
    <n v="0"/>
    <n v="0"/>
    <n v="0"/>
    <n v="0"/>
    <n v="0"/>
    <n v="0"/>
    <n v="0"/>
    <n v="0"/>
    <n v="0"/>
    <n v="22.2"/>
    <s v="Yes"/>
    <s v="KBC"/>
    <x v="0"/>
    <s v="Camp"/>
    <x v="0"/>
    <x v="0"/>
    <n v="25.647649999999999"/>
    <n v="96.346469999999997"/>
    <s v="MMR001CMP169"/>
    <x v="0"/>
    <m/>
  </r>
  <r>
    <x v="0"/>
    <x v="0"/>
    <x v="0"/>
    <x v="2"/>
    <x v="26"/>
    <n v="130"/>
    <n v="527"/>
    <m/>
    <s v="DFID/UNICEF"/>
    <d v="2018-12-31T00:00:00"/>
    <n v="0"/>
    <s v="Yes"/>
    <n v="0.6"/>
    <n v="0.3"/>
    <n v="0"/>
    <n v="0"/>
    <n v="10000"/>
    <n v="0"/>
    <n v="6"/>
    <n v="0"/>
    <n v="0"/>
    <n v="0"/>
    <n v="0"/>
    <n v="0"/>
    <m/>
    <n v="90"/>
    <n v="0"/>
    <n v="0"/>
    <n v="25"/>
    <x v="0"/>
    <x v="2"/>
    <n v="0"/>
    <n v="0"/>
    <m/>
    <n v="0"/>
    <s v="Communal"/>
    <n v="0"/>
    <n v="2"/>
    <n v="2"/>
    <n v="0"/>
    <n v="0"/>
    <s v="No"/>
    <m/>
    <s v="no test"/>
    <s v="no test"/>
    <n v="1"/>
    <n v="1"/>
    <n v="1"/>
    <n v="527"/>
    <n v="0"/>
    <n v="0"/>
    <n v="1"/>
    <n v="527"/>
    <n v="1.054"/>
    <n v="0"/>
    <n v="0"/>
    <n v="0"/>
    <n v="1"/>
    <x v="0"/>
    <n v="90"/>
    <n v="1"/>
    <n v="527"/>
    <n v="0"/>
    <n v="0"/>
    <n v="26"/>
    <n v="0"/>
    <n v="0"/>
    <n v="0"/>
    <n v="1"/>
    <n v="527"/>
    <n v="0"/>
    <n v="1"/>
    <n v="0"/>
    <n v="0"/>
    <n v="1"/>
    <n v="0"/>
    <n v="0"/>
    <n v="0"/>
    <n v="0"/>
    <n v="0"/>
    <n v="0"/>
    <s v="Yes"/>
    <s v="KMSS-MYT"/>
    <x v="0"/>
    <s v="Camp"/>
    <x v="0"/>
    <x v="1"/>
    <n v="25.220278"/>
    <n v="97.915833000000006"/>
    <s v="MMR001CMP113"/>
    <x v="0"/>
    <m/>
  </r>
  <r>
    <x v="0"/>
    <x v="5"/>
    <x v="0"/>
    <x v="0"/>
    <x v="27"/>
    <n v="415"/>
    <n v="1786"/>
    <m/>
    <s v="ECHO"/>
    <d v="2017-12-31T00:00:00"/>
    <n v="0"/>
    <s v="NA"/>
    <n v="0"/>
    <n v="0"/>
    <n v="1"/>
    <n v="0"/>
    <n v="0"/>
    <n v="0"/>
    <n v="0"/>
    <n v="0"/>
    <n v="0"/>
    <n v="0"/>
    <n v="0"/>
    <n v="0"/>
    <m/>
    <n v="177"/>
    <n v="40"/>
    <n v="0"/>
    <n v="0"/>
    <x v="2"/>
    <x v="3"/>
    <n v="0"/>
    <n v="0"/>
    <m/>
    <n v="0"/>
    <s v="Both"/>
    <n v="0"/>
    <n v="15"/>
    <n v="1"/>
    <n v="374"/>
    <n v="0"/>
    <s v="No"/>
    <m/>
    <s v="no test"/>
    <s v="no test"/>
    <n v="1"/>
    <n v="0.13997760358342665"/>
    <n v="1"/>
    <n v="1786"/>
    <n v="0"/>
    <n v="0"/>
    <n v="1"/>
    <n v="1786"/>
    <n v="3.5720000000000001"/>
    <n v="0"/>
    <n v="0"/>
    <n v="0.42799999999999994"/>
    <n v="4"/>
    <x v="0"/>
    <n v="217"/>
    <n v="1"/>
    <n v="1786"/>
    <n v="0"/>
    <n v="0"/>
    <n v="89"/>
    <n v="0.18433179723502305"/>
    <n v="0"/>
    <n v="0"/>
    <n v="1"/>
    <n v="500"/>
    <n v="0"/>
    <n v="0"/>
    <n v="0"/>
    <n v="0"/>
    <n v="0.27995520716685329"/>
    <n v="0.90120481927710838"/>
    <n v="0"/>
    <n v="1870"/>
    <n v="0"/>
    <n v="1870"/>
    <n v="0"/>
    <s v="Yes"/>
    <s v="KMSS-BMO"/>
    <x v="0"/>
    <s v="Camp"/>
    <x v="0"/>
    <x v="1"/>
    <n v="24.002433"/>
    <n v="97.609832999999995"/>
    <s v="MMR001CMP129"/>
    <x v="0"/>
    <m/>
  </r>
  <r>
    <x v="0"/>
    <x v="4"/>
    <x v="0"/>
    <x v="8"/>
    <x v="28"/>
    <n v="5"/>
    <n v="26"/>
    <m/>
    <s v="OFDA"/>
    <d v="2017-07-31T00:00:00"/>
    <n v="0"/>
    <s v="Yes"/>
    <n v="0.25"/>
    <n v="1"/>
    <n v="0"/>
    <n v="0"/>
    <n v="0"/>
    <n v="0"/>
    <n v="1"/>
    <n v="0"/>
    <n v="0"/>
    <n v="0"/>
    <n v="0"/>
    <n v="0"/>
    <s v="This camp using water source from private pipe line distribution."/>
    <n v="2"/>
    <n v="0"/>
    <n v="0"/>
    <n v="2"/>
    <x v="0"/>
    <x v="2"/>
    <n v="0"/>
    <n v="0"/>
    <m/>
    <n v="0.5"/>
    <s v="Communal"/>
    <n v="0"/>
    <n v="1"/>
    <n v="0"/>
    <n v="0"/>
    <n v="0"/>
    <m/>
    <m/>
    <s v="no test"/>
    <s v="no test"/>
    <n v="0"/>
    <n v="0"/>
    <n v="0"/>
    <n v="0"/>
    <n v="0"/>
    <n v="0"/>
    <n v="0"/>
    <n v="0"/>
    <n v="0"/>
    <n v="1"/>
    <n v="26"/>
    <n v="1"/>
    <n v="1"/>
    <x v="0"/>
    <n v="2"/>
    <n v="1"/>
    <n v="26"/>
    <n v="0"/>
    <n v="0"/>
    <n v="1"/>
    <n v="0"/>
    <n v="0"/>
    <n v="0"/>
    <n v="1"/>
    <n v="0"/>
    <n v="0"/>
    <n v="0"/>
    <n v="0"/>
    <n v="0"/>
    <n v="0"/>
    <n v="0"/>
    <n v="0"/>
    <n v="0"/>
    <n v="0"/>
    <n v="0"/>
    <n v="2.5"/>
    <s v="Yes"/>
    <s v="Shalom"/>
    <x v="0"/>
    <s v="Camp"/>
    <x v="0"/>
    <x v="0"/>
    <n v="25.582065"/>
    <n v="96.283377000000002"/>
    <s v="MMR001CMP109"/>
    <x v="0"/>
    <m/>
  </r>
  <r>
    <x v="0"/>
    <x v="4"/>
    <x v="0"/>
    <x v="9"/>
    <x v="29"/>
    <n v="108"/>
    <n v="519"/>
    <m/>
    <s v="UNICEF/OFDA"/>
    <d v="2017-07-31T00:00:00"/>
    <n v="0"/>
    <s v="Yes"/>
    <n v="0.6"/>
    <n v="1"/>
    <n v="0"/>
    <n v="0"/>
    <n v="0"/>
    <n v="0"/>
    <n v="1"/>
    <n v="0"/>
    <n v="0"/>
    <n v="0"/>
    <n v="0"/>
    <n v="0"/>
    <s v="We need to check with how many litre/day of gravity system when we will go field trip to Chihpwi"/>
    <n v="26"/>
    <n v="4"/>
    <n v="0"/>
    <n v="26"/>
    <x v="3"/>
    <x v="2"/>
    <n v="0"/>
    <n v="0"/>
    <m/>
    <n v="0.5"/>
    <s v="Communal"/>
    <n v="0"/>
    <n v="5"/>
    <n v="0"/>
    <n v="0"/>
    <n v="0"/>
    <m/>
    <m/>
    <s v="no test"/>
    <s v="no test"/>
    <n v="0"/>
    <n v="0"/>
    <n v="0"/>
    <n v="0"/>
    <n v="0"/>
    <n v="0"/>
    <n v="0"/>
    <n v="0"/>
    <n v="0"/>
    <n v="1"/>
    <n v="519"/>
    <n v="1"/>
    <n v="1"/>
    <x v="0"/>
    <n v="30"/>
    <n v="1"/>
    <n v="519"/>
    <n v="0"/>
    <n v="0"/>
    <n v="26"/>
    <n v="0.13333333333333333"/>
    <n v="0"/>
    <n v="0"/>
    <n v="1"/>
    <n v="0"/>
    <n v="0"/>
    <n v="0"/>
    <n v="0"/>
    <n v="0"/>
    <n v="0"/>
    <n v="0"/>
    <n v="0"/>
    <n v="0"/>
    <n v="0"/>
    <n v="0"/>
    <n v="54"/>
    <s v="Yes"/>
    <s v="Shalom"/>
    <x v="0"/>
    <s v="Camp"/>
    <x v="0"/>
    <x v="0"/>
    <n v="25.889410000000002"/>
    <n v="98.131550000000004"/>
    <s v="MMR001CMP042"/>
    <x v="0"/>
    <m/>
  </r>
  <r>
    <x v="0"/>
    <x v="4"/>
    <x v="0"/>
    <x v="8"/>
    <x v="30"/>
    <n v="70"/>
    <n v="365"/>
    <m/>
    <s v="OFDA"/>
    <d v="2017-07-31T00:00:00"/>
    <n v="0"/>
    <s v="Yes"/>
    <n v="0.56999999999999995"/>
    <n v="0"/>
    <n v="1"/>
    <n v="1"/>
    <n v="0"/>
    <n v="0"/>
    <n v="2"/>
    <n v="0"/>
    <n v="0"/>
    <n v="0"/>
    <n v="0"/>
    <n v="0"/>
    <m/>
    <n v="22"/>
    <n v="18"/>
    <n v="4"/>
    <n v="22"/>
    <x v="0"/>
    <x v="0"/>
    <n v="0"/>
    <n v="0"/>
    <m/>
    <n v="0.2"/>
    <s v="Communal"/>
    <n v="0"/>
    <n v="3"/>
    <n v="0"/>
    <n v="0"/>
    <n v="0"/>
    <m/>
    <m/>
    <s v="no test"/>
    <s v="no test"/>
    <n v="1"/>
    <n v="1"/>
    <n v="1"/>
    <n v="365"/>
    <n v="0"/>
    <n v="0"/>
    <n v="1"/>
    <n v="365"/>
    <n v="0.73"/>
    <n v="0"/>
    <n v="0"/>
    <n v="0.27"/>
    <n v="1"/>
    <x v="0"/>
    <n v="40"/>
    <n v="1"/>
    <n v="365"/>
    <n v="0"/>
    <n v="0"/>
    <n v="18"/>
    <n v="0.45"/>
    <n v="80"/>
    <n v="0"/>
    <n v="1"/>
    <n v="0"/>
    <n v="0"/>
    <n v="0"/>
    <n v="0"/>
    <n v="0"/>
    <n v="0"/>
    <n v="0"/>
    <n v="0"/>
    <n v="0"/>
    <n v="0"/>
    <n v="0"/>
    <n v="14"/>
    <s v="Yes"/>
    <s v="Shalom"/>
    <x v="0"/>
    <s v="Camp"/>
    <x v="0"/>
    <x v="0"/>
    <n v="25.637309999999999"/>
    <n v="96.35257"/>
    <s v="MMR001CMP174"/>
    <x v="0"/>
    <m/>
  </r>
  <r>
    <x v="0"/>
    <x v="6"/>
    <x v="0"/>
    <x v="10"/>
    <x v="31"/>
    <n v="42"/>
    <n v="185"/>
    <m/>
    <s v="Plan/GFFO,ADRA/CANADA  "/>
    <d v="2019-03-31T00:00:00"/>
    <n v="0"/>
    <s v="Yes"/>
    <n v="0.6"/>
    <n v="0.5"/>
    <n v="0"/>
    <n v="3"/>
    <n v="4000"/>
    <n v="0"/>
    <n v="0"/>
    <n v="0"/>
    <n v="0"/>
    <n v="0"/>
    <n v="0"/>
    <n v="0"/>
    <m/>
    <n v="7"/>
    <n v="0"/>
    <n v="0"/>
    <n v="0"/>
    <x v="0"/>
    <x v="2"/>
    <m/>
    <m/>
    <m/>
    <n v="0.6"/>
    <s v="Communal"/>
    <n v="0"/>
    <n v="3"/>
    <n v="1"/>
    <n v="0"/>
    <n v="0"/>
    <m/>
    <m/>
    <s v="no test"/>
    <s v="no test"/>
    <n v="1"/>
    <n v="1"/>
    <n v="1"/>
    <n v="185"/>
    <n v="0"/>
    <n v="0"/>
    <n v="1"/>
    <n v="185"/>
    <n v="0.37"/>
    <n v="0"/>
    <n v="0"/>
    <n v="0.63"/>
    <n v="1"/>
    <x v="0"/>
    <n v="7"/>
    <n v="0.7567567567567568"/>
    <n v="140"/>
    <n v="0.21621621621621623"/>
    <n v="2"/>
    <n v="9"/>
    <n v="0"/>
    <n v="0"/>
    <n v="0"/>
    <n v="1"/>
    <n v="185"/>
    <n v="0"/>
    <n v="1"/>
    <n v="0"/>
    <n v="0"/>
    <n v="1"/>
    <n v="0"/>
    <n v="0"/>
    <n v="0"/>
    <n v="0"/>
    <n v="0"/>
    <n v="25.2"/>
    <s v="Yes"/>
    <s v="KBC"/>
    <x v="0"/>
    <s v="Camp"/>
    <x v="0"/>
    <x v="0"/>
    <n v="25.3959740909091"/>
    <n v="97.382997575757599"/>
    <s v="MMR001CMP010"/>
    <x v="0"/>
    <m/>
  </r>
  <r>
    <x v="0"/>
    <x v="0"/>
    <x v="0"/>
    <x v="1"/>
    <x v="32"/>
    <n v="98"/>
    <n v="446"/>
    <m/>
    <s v="DFID/UNICEF"/>
    <d v="2018-12-31T00:00:00"/>
    <n v="0"/>
    <s v="Yes"/>
    <n v="0.5"/>
    <n v="0.3"/>
    <n v="0"/>
    <n v="0"/>
    <n v="7000"/>
    <n v="0"/>
    <n v="8"/>
    <n v="0"/>
    <n v="0"/>
    <n v="0"/>
    <n v="0"/>
    <n v="0"/>
    <m/>
    <n v="93"/>
    <n v="0"/>
    <n v="0"/>
    <n v="0"/>
    <x v="0"/>
    <x v="2"/>
    <n v="0"/>
    <n v="0"/>
    <m/>
    <n v="0"/>
    <s v="Communal"/>
    <n v="0"/>
    <n v="2"/>
    <n v="2"/>
    <n v="0"/>
    <n v="0"/>
    <s v="No"/>
    <m/>
    <s v="no test"/>
    <s v="no test"/>
    <n v="1"/>
    <n v="1"/>
    <n v="1"/>
    <n v="446"/>
    <n v="0"/>
    <n v="0"/>
    <n v="1"/>
    <n v="446"/>
    <n v="0.89200000000000002"/>
    <n v="0"/>
    <n v="0"/>
    <n v="0.10799999999999998"/>
    <n v="1"/>
    <x v="0"/>
    <n v="93"/>
    <n v="1"/>
    <n v="446"/>
    <n v="0"/>
    <n v="0"/>
    <n v="22"/>
    <n v="0"/>
    <n v="0"/>
    <n v="0"/>
    <n v="1"/>
    <n v="446"/>
    <n v="0"/>
    <n v="1"/>
    <n v="0"/>
    <n v="0"/>
    <n v="1"/>
    <n v="0"/>
    <n v="0"/>
    <n v="0"/>
    <n v="0"/>
    <n v="0"/>
    <n v="0"/>
    <s v="Yes"/>
    <s v="KMSS-MYT"/>
    <x v="0"/>
    <s v="Camp"/>
    <x v="0"/>
    <x v="1"/>
    <n v="24.461033"/>
    <n v="97.537099999999995"/>
    <s v="MMR001CMP123"/>
    <x v="0"/>
    <m/>
  </r>
  <r>
    <x v="0"/>
    <x v="4"/>
    <x v="0"/>
    <x v="2"/>
    <x v="33"/>
    <n v="103"/>
    <n v="503"/>
    <m/>
    <s v="OFDA"/>
    <d v="2017-07-31T00:00:00"/>
    <n v="0"/>
    <s v="Yes"/>
    <n v="1"/>
    <n v="1"/>
    <n v="2"/>
    <n v="0"/>
    <n v="2000"/>
    <n v="0"/>
    <n v="2"/>
    <n v="0"/>
    <n v="0"/>
    <n v="0"/>
    <n v="0"/>
    <n v="0"/>
    <m/>
    <n v="16"/>
    <n v="6"/>
    <n v="4"/>
    <n v="16"/>
    <x v="0"/>
    <x v="2"/>
    <n v="0"/>
    <n v="0"/>
    <m/>
    <n v="0.5"/>
    <s v="Communal"/>
    <n v="0"/>
    <n v="4"/>
    <n v="0"/>
    <n v="0"/>
    <n v="0"/>
    <m/>
    <m/>
    <s v="no test"/>
    <s v="no test"/>
    <n v="1"/>
    <n v="1"/>
    <n v="1"/>
    <n v="503"/>
    <n v="0"/>
    <n v="0"/>
    <n v="1"/>
    <n v="503"/>
    <n v="1.006"/>
    <n v="0"/>
    <n v="0"/>
    <n v="0"/>
    <n v="1"/>
    <x v="0"/>
    <n v="22"/>
    <n v="0.63618290258449306"/>
    <n v="320"/>
    <n v="0.11928429423459246"/>
    <n v="3"/>
    <n v="25"/>
    <n v="0.27272727272727271"/>
    <n v="80"/>
    <n v="0"/>
    <n v="1"/>
    <n v="0"/>
    <n v="0"/>
    <n v="0"/>
    <n v="0"/>
    <n v="0"/>
    <n v="0"/>
    <n v="0"/>
    <n v="0"/>
    <n v="0"/>
    <n v="0"/>
    <n v="0"/>
    <n v="51.5"/>
    <s v="Yes"/>
    <s v="Shalom"/>
    <x v="0"/>
    <s v="Camp"/>
    <x v="0"/>
    <x v="0"/>
    <n v="25.321710740740698"/>
    <n v="97.404195925926004"/>
    <s v="MMR001CMP028"/>
    <x v="0"/>
    <m/>
  </r>
  <r>
    <x v="0"/>
    <x v="6"/>
    <x v="0"/>
    <x v="2"/>
    <x v="34"/>
    <n v="154"/>
    <n v="903"/>
    <m/>
    <s v="ADRA/CANADA"/>
    <s v="31-01-2018"/>
    <n v="0"/>
    <s v="Yes"/>
    <n v="0.6"/>
    <n v="0.5"/>
    <n v="0"/>
    <n v="0"/>
    <n v="116640"/>
    <n v="0"/>
    <n v="0"/>
    <n v="0"/>
    <n v="0"/>
    <n v="0"/>
    <n v="0"/>
    <n v="0"/>
    <m/>
    <n v="50"/>
    <n v="0"/>
    <n v="0"/>
    <n v="0"/>
    <x v="0"/>
    <x v="0"/>
    <m/>
    <m/>
    <m/>
    <n v="0.6"/>
    <s v="Both"/>
    <n v="0"/>
    <n v="4"/>
    <n v="3"/>
    <n v="0"/>
    <n v="0"/>
    <m/>
    <m/>
    <s v="no test"/>
    <s v="no test"/>
    <n v="1"/>
    <n v="1"/>
    <n v="1"/>
    <n v="903"/>
    <n v="0"/>
    <n v="0"/>
    <n v="1"/>
    <n v="903"/>
    <n v="1.806"/>
    <n v="0"/>
    <n v="0"/>
    <n v="0.19399999999999995"/>
    <n v="2"/>
    <x v="0"/>
    <n v="50"/>
    <n v="1"/>
    <n v="903"/>
    <n v="0"/>
    <n v="0"/>
    <n v="45"/>
    <n v="0"/>
    <n v="0"/>
    <n v="0"/>
    <n v="1"/>
    <n v="903"/>
    <n v="0"/>
    <n v="1"/>
    <n v="0"/>
    <n v="0"/>
    <n v="1"/>
    <n v="0"/>
    <n v="0"/>
    <n v="0"/>
    <n v="0"/>
    <n v="0"/>
    <n v="92.399999999999991"/>
    <s v="Yes"/>
    <s v="KBC"/>
    <x v="0"/>
    <s v="Camp"/>
    <x v="0"/>
    <x v="1"/>
    <n v="25.200333000000001"/>
    <n v="97.807182999999995"/>
    <s v="MMR001CMP115"/>
    <x v="0"/>
    <m/>
  </r>
  <r>
    <x v="0"/>
    <x v="6"/>
    <x v="0"/>
    <x v="8"/>
    <x v="35"/>
    <n v="13"/>
    <n v="46"/>
    <m/>
    <s v="ADRA/CANADA"/>
    <d v="2018-01-31T00:00:00"/>
    <n v="0"/>
    <s v="Yes"/>
    <n v="0.6"/>
    <n v="0.5"/>
    <n v="0"/>
    <n v="3"/>
    <n v="2000"/>
    <n v="0"/>
    <n v="0"/>
    <n v="0"/>
    <n v="0"/>
    <n v="0"/>
    <n v="0"/>
    <n v="0"/>
    <m/>
    <n v="9"/>
    <n v="0"/>
    <n v="0"/>
    <n v="0"/>
    <x v="0"/>
    <x v="2"/>
    <m/>
    <m/>
    <m/>
    <n v="1"/>
    <s v="Communal"/>
    <n v="0"/>
    <n v="2"/>
    <n v="1"/>
    <n v="0"/>
    <n v="0"/>
    <m/>
    <m/>
    <s v="no test"/>
    <s v="no test"/>
    <n v="1"/>
    <n v="1"/>
    <n v="1"/>
    <n v="46"/>
    <n v="0"/>
    <n v="0"/>
    <n v="1"/>
    <n v="46"/>
    <n v="9.1999999999999998E-2"/>
    <n v="0"/>
    <n v="0"/>
    <n v="0.90800000000000003"/>
    <n v="1"/>
    <x v="0"/>
    <n v="9"/>
    <n v="1"/>
    <n v="46"/>
    <n v="0"/>
    <n v="0"/>
    <n v="2"/>
    <n v="0"/>
    <n v="0"/>
    <n v="0"/>
    <n v="1"/>
    <n v="46"/>
    <n v="0"/>
    <n v="1"/>
    <n v="0"/>
    <n v="0"/>
    <n v="1"/>
    <n v="0"/>
    <n v="0"/>
    <n v="0"/>
    <n v="0"/>
    <n v="0"/>
    <n v="13"/>
    <s v="Yes"/>
    <s v="KBC"/>
    <x v="0"/>
    <s v="Camp"/>
    <x v="0"/>
    <x v="0"/>
    <n v="25.51352"/>
    <n v="96.705960000000005"/>
    <s v="MMR001CMP148"/>
    <x v="0"/>
    <m/>
  </r>
  <r>
    <x v="0"/>
    <x v="4"/>
    <x v="0"/>
    <x v="8"/>
    <x v="36"/>
    <n v="4"/>
    <n v="27"/>
    <m/>
    <s v="OFDA"/>
    <d v="2017-07-31T00:00:00"/>
    <n v="0"/>
    <s v="Yes"/>
    <n v="1"/>
    <n v="0"/>
    <n v="1"/>
    <n v="0"/>
    <n v="1000"/>
    <n v="0"/>
    <n v="1"/>
    <n v="0"/>
    <n v="0"/>
    <n v="0"/>
    <n v="0"/>
    <n v="0"/>
    <m/>
    <n v="0"/>
    <n v="0"/>
    <n v="0"/>
    <n v="0"/>
    <x v="0"/>
    <x v="2"/>
    <n v="0"/>
    <n v="0"/>
    <m/>
    <n v="0.6"/>
    <s v="Communal"/>
    <n v="0"/>
    <n v="0"/>
    <n v="0"/>
    <n v="0"/>
    <n v="0"/>
    <m/>
    <m/>
    <s v="no test"/>
    <s v="no test"/>
    <n v="1"/>
    <n v="1"/>
    <n v="1"/>
    <n v="27"/>
    <n v="0"/>
    <n v="0"/>
    <n v="1"/>
    <n v="27"/>
    <n v="5.3999999999999999E-2"/>
    <n v="0"/>
    <n v="0"/>
    <n v="0.94599999999999995"/>
    <n v="1"/>
    <x v="0"/>
    <n v="0"/>
    <n v="0"/>
    <n v="0"/>
    <n v="0.7407407407407407"/>
    <n v="1"/>
    <n v="1"/>
    <n v="0"/>
    <n v="0"/>
    <n v="0"/>
    <n v="1"/>
    <n v="0"/>
    <n v="0"/>
    <n v="0"/>
    <n v="0"/>
    <n v="0"/>
    <n v="0"/>
    <n v="0"/>
    <n v="0"/>
    <n v="0"/>
    <n v="0"/>
    <n v="0"/>
    <n v="2.4"/>
    <s v="Yes"/>
    <s v="Shalom"/>
    <x v="0"/>
    <s v="Camp"/>
    <x v="0"/>
    <x v="0"/>
    <n v="25.615960999999999"/>
    <n v="96.316564"/>
    <s v="MMR001CMP191"/>
    <x v="0"/>
    <m/>
  </r>
  <r>
    <x v="0"/>
    <x v="4"/>
    <x v="0"/>
    <x v="8"/>
    <x v="37"/>
    <n v="103"/>
    <n v="504"/>
    <m/>
    <s v="OFDA"/>
    <d v="2017-07-31T00:00:00"/>
    <n v="0"/>
    <s v="Yes"/>
    <n v="0.56999999999999995"/>
    <n v="0"/>
    <n v="0"/>
    <n v="1"/>
    <n v="4000"/>
    <n v="0"/>
    <n v="1"/>
    <n v="0"/>
    <n v="0"/>
    <n v="0"/>
    <n v="0"/>
    <n v="0"/>
    <m/>
    <n v="30"/>
    <n v="2"/>
    <n v="0"/>
    <n v="30"/>
    <x v="0"/>
    <x v="0"/>
    <n v="0"/>
    <n v="0"/>
    <m/>
    <n v="0.5"/>
    <s v="Communal"/>
    <n v="0"/>
    <n v="4"/>
    <n v="0"/>
    <n v="0"/>
    <n v="0"/>
    <m/>
    <m/>
    <s v="no test"/>
    <s v="no test"/>
    <n v="1"/>
    <n v="1"/>
    <n v="1"/>
    <n v="504"/>
    <n v="0"/>
    <n v="0"/>
    <n v="1"/>
    <n v="504"/>
    <n v="1.008"/>
    <n v="0"/>
    <n v="0"/>
    <n v="0"/>
    <n v="1"/>
    <x v="0"/>
    <n v="32"/>
    <n v="1"/>
    <n v="504"/>
    <n v="0"/>
    <n v="0"/>
    <n v="25"/>
    <n v="6.25E-2"/>
    <n v="0"/>
    <n v="0"/>
    <n v="1"/>
    <n v="0"/>
    <n v="0"/>
    <n v="0"/>
    <n v="0"/>
    <n v="0"/>
    <n v="0"/>
    <n v="0"/>
    <n v="0"/>
    <n v="0"/>
    <n v="0"/>
    <n v="0"/>
    <n v="51.5"/>
    <s v="Yes"/>
    <s v="KBC"/>
    <x v="0"/>
    <s v="Camp"/>
    <x v="0"/>
    <x v="0"/>
    <n v="25.611160000000002"/>
    <n v="96.312790000000007"/>
    <s v="MMR001CMP229"/>
    <x v="0"/>
    <m/>
  </r>
  <r>
    <x v="0"/>
    <x v="6"/>
    <x v="0"/>
    <x v="9"/>
    <x v="38"/>
    <n v="160"/>
    <n v="823"/>
    <m/>
    <s v="Plan/GFFO,ADRA/CANADA  "/>
    <d v="2019-03-31T00:00:00"/>
    <n v="0"/>
    <s v="Yes"/>
    <n v="0.6"/>
    <n v="0.5"/>
    <n v="0"/>
    <n v="0"/>
    <n v="349920"/>
    <n v="0"/>
    <n v="0"/>
    <n v="0"/>
    <n v="0"/>
    <n v="0"/>
    <n v="0"/>
    <n v="0"/>
    <m/>
    <n v="27"/>
    <n v="0"/>
    <n v="0"/>
    <n v="0"/>
    <x v="0"/>
    <x v="0"/>
    <m/>
    <n v="5"/>
    <m/>
    <n v="0.6"/>
    <s v="Both"/>
    <n v="0"/>
    <n v="4"/>
    <n v="3"/>
    <n v="0"/>
    <n v="0"/>
    <m/>
    <m/>
    <s v="no test"/>
    <s v="no test"/>
    <n v="1"/>
    <n v="1"/>
    <n v="1"/>
    <n v="823"/>
    <n v="0"/>
    <n v="0"/>
    <n v="1"/>
    <n v="823"/>
    <n v="1.6459999999999999"/>
    <n v="0"/>
    <n v="0"/>
    <n v="0.35400000000000009"/>
    <n v="2"/>
    <x v="0"/>
    <n v="27"/>
    <n v="0.65613608748481167"/>
    <n v="540"/>
    <n v="0.3402187120291616"/>
    <n v="14"/>
    <n v="41"/>
    <n v="0"/>
    <n v="0"/>
    <n v="0"/>
    <n v="1"/>
    <n v="823"/>
    <n v="0"/>
    <n v="1"/>
    <n v="0"/>
    <n v="0"/>
    <n v="1"/>
    <n v="0"/>
    <n v="0"/>
    <n v="0"/>
    <n v="0"/>
    <n v="0"/>
    <n v="96"/>
    <s v="Yes"/>
    <s v="KBC"/>
    <x v="0"/>
    <s v="Camp"/>
    <x v="0"/>
    <x v="1"/>
    <n v="25.754110000000001"/>
    <n v="98.475719999999995"/>
    <s v="MMR001CMP043"/>
    <x v="0"/>
    <m/>
  </r>
  <r>
    <x v="0"/>
    <x v="1"/>
    <x v="0"/>
    <x v="3"/>
    <x v="39"/>
    <n v="39"/>
    <n v="232"/>
    <m/>
    <s v="USAID, Christian AID, HIDA, WHH ( AA )"/>
    <s v="9/1/2018,1-dec-2018"/>
    <n v="0"/>
    <s v="Yes"/>
    <n v="0.4"/>
    <n v="0.2"/>
    <n v="0"/>
    <n v="2"/>
    <n v="0"/>
    <n v="0"/>
    <n v="0"/>
    <m/>
    <m/>
    <m/>
    <m/>
    <m/>
    <m/>
    <n v="7"/>
    <n v="0"/>
    <m/>
    <n v="0"/>
    <x v="0"/>
    <x v="2"/>
    <m/>
    <m/>
    <m/>
    <n v="1"/>
    <s v="Both"/>
    <n v="0"/>
    <n v="2"/>
    <n v="2"/>
    <n v="39"/>
    <n v="39"/>
    <m/>
    <m/>
    <s v="no test"/>
    <s v="no test"/>
    <n v="1"/>
    <n v="1"/>
    <n v="1"/>
    <n v="232"/>
    <n v="0"/>
    <n v="0"/>
    <n v="1"/>
    <n v="232"/>
    <n v="0.46400000000000002"/>
    <n v="0"/>
    <n v="0"/>
    <n v="0.53600000000000003"/>
    <n v="1"/>
    <x v="0"/>
    <n v="7"/>
    <n v="0.60344827586206895"/>
    <n v="140"/>
    <n v="0.43103448275862072"/>
    <n v="5"/>
    <n v="12"/>
    <n v="0"/>
    <n v="0"/>
    <n v="1"/>
    <n v="0"/>
    <n v="232"/>
    <n v="1"/>
    <n v="1"/>
    <n v="1"/>
    <n v="232"/>
    <n v="1"/>
    <n v="1"/>
    <n v="1"/>
    <n v="195"/>
    <n v="195"/>
    <n v="195"/>
    <n v="39"/>
    <s v="Yes"/>
    <s v="KBC"/>
    <x v="0"/>
    <s v="Camp"/>
    <x v="0"/>
    <x v="0"/>
    <n v="24.24766"/>
    <n v="97.236919999999998"/>
    <s v="MMR001CMP052"/>
    <x v="0"/>
    <m/>
  </r>
  <r>
    <x v="0"/>
    <x v="6"/>
    <x v="0"/>
    <x v="10"/>
    <x v="40"/>
    <n v="198"/>
    <n v="1114"/>
    <m/>
    <s v="Plan/GFFO,ADRA/CANADA  "/>
    <d v="2019-03-31T00:00:00"/>
    <n v="0"/>
    <s v="Yes"/>
    <n v="0.6"/>
    <n v="0.5"/>
    <n v="1"/>
    <n v="4"/>
    <n v="3000"/>
    <n v="0"/>
    <n v="0"/>
    <n v="0"/>
    <n v="0"/>
    <n v="0"/>
    <n v="0"/>
    <n v="0"/>
    <m/>
    <n v="43"/>
    <n v="0"/>
    <n v="0"/>
    <n v="0"/>
    <x v="0"/>
    <x v="0"/>
    <m/>
    <m/>
    <m/>
    <n v="0.6"/>
    <s v="Communal"/>
    <n v="0"/>
    <n v="3"/>
    <n v="4"/>
    <n v="0"/>
    <n v="0"/>
    <m/>
    <m/>
    <s v="no test"/>
    <s v="no test"/>
    <n v="1"/>
    <n v="1"/>
    <n v="1"/>
    <n v="1114"/>
    <n v="0"/>
    <n v="0"/>
    <n v="1"/>
    <n v="1114"/>
    <n v="2.2280000000000002"/>
    <n v="0"/>
    <n v="0"/>
    <n v="0"/>
    <n v="2"/>
    <x v="0"/>
    <n v="43"/>
    <n v="0.7719928186714542"/>
    <n v="860"/>
    <n v="0.23339317773788149"/>
    <n v="13"/>
    <n v="56"/>
    <n v="0"/>
    <n v="0"/>
    <n v="0"/>
    <n v="1"/>
    <n v="1114"/>
    <n v="0"/>
    <n v="1"/>
    <n v="0"/>
    <n v="0"/>
    <n v="1"/>
    <n v="0"/>
    <n v="0"/>
    <n v="0"/>
    <n v="0"/>
    <n v="0"/>
    <n v="118.8"/>
    <s v="Yes"/>
    <s v="KBC"/>
    <x v="0"/>
    <s v="Camp"/>
    <x v="0"/>
    <x v="0"/>
    <n v="25.403476999999999"/>
    <n v="97.373361000000003"/>
    <s v="MMR001CMP018"/>
    <x v="0"/>
    <m/>
  </r>
  <r>
    <x v="0"/>
    <x v="0"/>
    <x v="0"/>
    <x v="10"/>
    <x v="41"/>
    <n v="88"/>
    <n v="430"/>
    <m/>
    <s v="DFID/UNICEF"/>
    <d v="2018-12-31T00:00:00"/>
    <n v="0"/>
    <s v="Yes"/>
    <n v="0.5"/>
    <n v="0.5"/>
    <n v="1"/>
    <n v="3"/>
    <n v="5000"/>
    <n v="0"/>
    <n v="4"/>
    <n v="3"/>
    <n v="1"/>
    <n v="12"/>
    <n v="0"/>
    <n v="0"/>
    <m/>
    <n v="22"/>
    <n v="0"/>
    <n v="0"/>
    <n v="10"/>
    <x v="0"/>
    <x v="0"/>
    <n v="0"/>
    <n v="0"/>
    <m/>
    <n v="0"/>
    <s v="Communal"/>
    <n v="0"/>
    <n v="3"/>
    <n v="2"/>
    <n v="0"/>
    <n v="0"/>
    <s v="No"/>
    <m/>
    <n v="0.33333333333333331"/>
    <n v="0"/>
    <n v="1"/>
    <n v="1"/>
    <n v="1"/>
    <n v="430"/>
    <n v="0"/>
    <n v="0"/>
    <n v="1"/>
    <n v="430"/>
    <n v="0.86"/>
    <n v="0"/>
    <n v="0"/>
    <n v="0.14000000000000001"/>
    <n v="1"/>
    <x v="1"/>
    <n v="22"/>
    <n v="1"/>
    <n v="430"/>
    <n v="0"/>
    <n v="0"/>
    <n v="22"/>
    <n v="0"/>
    <n v="0"/>
    <n v="0"/>
    <n v="1"/>
    <n v="430"/>
    <n v="0"/>
    <n v="1"/>
    <n v="0"/>
    <n v="0"/>
    <n v="1"/>
    <n v="0"/>
    <n v="0"/>
    <n v="0"/>
    <n v="0"/>
    <n v="0"/>
    <n v="0"/>
    <s v="Yes"/>
    <s v="KMSS-MYT"/>
    <x v="0"/>
    <s v="Camp"/>
    <x v="0"/>
    <x v="0"/>
    <n v="25.401061110000001"/>
    <n v="97.379594999999995"/>
    <s v="MMR001CMP019"/>
    <x v="0"/>
    <m/>
  </r>
  <r>
    <x v="0"/>
    <x v="7"/>
    <x v="0"/>
    <x v="1"/>
    <x v="42"/>
    <n v="1557"/>
    <n v="8554"/>
    <m/>
    <s v="OFDA"/>
    <d v="2018-04-30T00:00:00"/>
    <n v="0"/>
    <s v="Yes"/>
    <n v="0.52"/>
    <n v="0"/>
    <n v="0"/>
    <n v="3"/>
    <n v="9331200"/>
    <n v="0"/>
    <n v="0"/>
    <m/>
    <m/>
    <n v="42"/>
    <n v="38"/>
    <m/>
    <m/>
    <n v="503"/>
    <n v="26"/>
    <n v="118"/>
    <n v="0"/>
    <x v="0"/>
    <x v="0"/>
    <n v="0"/>
    <n v="0"/>
    <m/>
    <n v="1"/>
    <s v="Both"/>
    <n v="0"/>
    <n v="49"/>
    <n v="1167"/>
    <n v="0"/>
    <m/>
    <m/>
    <m/>
    <s v="no test"/>
    <n v="0.90476190476190477"/>
    <n v="1"/>
    <n v="1"/>
    <n v="1"/>
    <n v="8554"/>
    <n v="0"/>
    <n v="0"/>
    <n v="1"/>
    <n v="8554"/>
    <n v="17.108000000000001"/>
    <n v="0"/>
    <n v="0"/>
    <n v="0"/>
    <n v="17"/>
    <x v="1"/>
    <n v="529"/>
    <n v="1"/>
    <n v="8554"/>
    <n v="0"/>
    <n v="0"/>
    <n v="428"/>
    <n v="4.9149338374291113E-2"/>
    <n v="2360"/>
    <n v="0"/>
    <n v="1"/>
    <n v="8554"/>
    <n v="0"/>
    <n v="1"/>
    <n v="0"/>
    <n v="0"/>
    <n v="1"/>
    <n v="0"/>
    <n v="0"/>
    <n v="0"/>
    <n v="0"/>
    <n v="0"/>
    <n v="1557"/>
    <s v="Yes"/>
    <s v="KMSS-MYT"/>
    <x v="0"/>
    <s v="Camp"/>
    <x v="0"/>
    <x v="1"/>
    <n v="24.688338999999999"/>
    <n v="97.568331999999998"/>
    <s v="MMR001CMP121"/>
    <x v="0"/>
    <m/>
  </r>
  <r>
    <x v="0"/>
    <x v="6"/>
    <x v="0"/>
    <x v="10"/>
    <x v="43"/>
    <n v="44"/>
    <n v="195"/>
    <m/>
    <s v="Plan/GFFO,ADRA/CANADA  "/>
    <d v="2019-03-31T00:00:00"/>
    <n v="0"/>
    <s v="Yes"/>
    <n v="0.6"/>
    <n v="0.5"/>
    <n v="1"/>
    <n v="1"/>
    <n v="3000"/>
    <n v="0"/>
    <n v="0"/>
    <n v="0"/>
    <n v="0"/>
    <n v="0"/>
    <n v="0"/>
    <n v="0"/>
    <m/>
    <n v="8"/>
    <n v="0"/>
    <n v="0"/>
    <n v="0"/>
    <x v="0"/>
    <x v="0"/>
    <m/>
    <m/>
    <m/>
    <n v="0.6"/>
    <s v="Communal"/>
    <n v="0"/>
    <n v="1"/>
    <n v="1"/>
    <n v="0"/>
    <n v="0"/>
    <m/>
    <m/>
    <s v="no test"/>
    <s v="no test"/>
    <n v="1"/>
    <n v="1"/>
    <n v="1"/>
    <n v="195"/>
    <n v="0"/>
    <n v="0"/>
    <n v="1"/>
    <n v="195"/>
    <n v="0.39"/>
    <n v="0"/>
    <n v="0"/>
    <n v="0.61"/>
    <n v="1"/>
    <x v="0"/>
    <n v="8"/>
    <n v="0.82051282051282048"/>
    <n v="160"/>
    <n v="0.20512820512820512"/>
    <n v="2"/>
    <n v="10"/>
    <n v="0"/>
    <n v="0"/>
    <n v="0"/>
    <n v="1"/>
    <n v="195"/>
    <n v="0"/>
    <n v="1"/>
    <n v="0"/>
    <n v="0"/>
    <n v="1"/>
    <n v="0"/>
    <n v="0"/>
    <n v="0"/>
    <n v="0"/>
    <n v="0"/>
    <n v="26.4"/>
    <s v="Yes"/>
    <s v="KBC"/>
    <x v="0"/>
    <s v="Camp"/>
    <x v="0"/>
    <x v="0"/>
    <n v="25.3660036111111"/>
    <n v="97.405202777777802"/>
    <s v="MMR001CMP013"/>
    <x v="0"/>
    <m/>
  </r>
  <r>
    <x v="0"/>
    <x v="6"/>
    <x v="0"/>
    <x v="11"/>
    <x v="44"/>
    <n v="13"/>
    <n v="66"/>
    <m/>
    <s v="ADRA/CANADA"/>
    <d v="2018-01-31T00:00:00"/>
    <n v="0"/>
    <s v="Yes"/>
    <n v="0.8"/>
    <n v="0.8"/>
    <n v="0"/>
    <n v="2"/>
    <n v="2000"/>
    <n v="0"/>
    <n v="0"/>
    <n v="0"/>
    <n v="0"/>
    <n v="0"/>
    <n v="0"/>
    <n v="0"/>
    <m/>
    <n v="6"/>
    <n v="0"/>
    <n v="4"/>
    <n v="0"/>
    <x v="0"/>
    <x v="2"/>
    <m/>
    <m/>
    <m/>
    <n v="0.6"/>
    <s v="Communal"/>
    <n v="0"/>
    <n v="2"/>
    <n v="1"/>
    <n v="0"/>
    <n v="0"/>
    <m/>
    <m/>
    <s v="no test"/>
    <s v="no test"/>
    <n v="1"/>
    <n v="1"/>
    <n v="1"/>
    <n v="66"/>
    <n v="0"/>
    <n v="0"/>
    <n v="1"/>
    <n v="66"/>
    <n v="0.13200000000000001"/>
    <n v="0"/>
    <n v="0"/>
    <n v="0.86799999999999999"/>
    <n v="1"/>
    <x v="0"/>
    <n v="6"/>
    <n v="1"/>
    <n v="66"/>
    <n v="0"/>
    <n v="0"/>
    <n v="3"/>
    <n v="0"/>
    <n v="66"/>
    <n v="0"/>
    <n v="1"/>
    <n v="66"/>
    <n v="0"/>
    <n v="1"/>
    <n v="0"/>
    <n v="0"/>
    <n v="1"/>
    <n v="0"/>
    <n v="0"/>
    <n v="0"/>
    <n v="0"/>
    <n v="0"/>
    <n v="7.8"/>
    <s v="Yes"/>
    <s v="KBC"/>
    <x v="0"/>
    <s v="Camp"/>
    <x v="0"/>
    <x v="0"/>
    <n v="25.305669999999999"/>
    <n v="96.922619999999995"/>
    <s v="MMR001CMP078"/>
    <x v="0"/>
    <m/>
  </r>
  <r>
    <x v="0"/>
    <x v="5"/>
    <x v="0"/>
    <x v="0"/>
    <x v="45"/>
    <n v="567"/>
    <n v="2478"/>
    <m/>
    <s v="ECHO"/>
    <d v="2017-12-31T00:00:00"/>
    <n v="0"/>
    <s v="NA"/>
    <n v="0"/>
    <n v="0"/>
    <n v="2"/>
    <n v="0"/>
    <n v="0"/>
    <n v="0"/>
    <n v="0"/>
    <n v="0"/>
    <n v="0"/>
    <n v="0"/>
    <n v="0"/>
    <n v="0"/>
    <m/>
    <n v="131"/>
    <n v="15"/>
    <n v="0"/>
    <n v="0"/>
    <x v="2"/>
    <x v="0"/>
    <n v="0"/>
    <n v="0"/>
    <m/>
    <n v="0"/>
    <s v="Both"/>
    <n v="0"/>
    <n v="3"/>
    <m/>
    <n v="510"/>
    <n v="0"/>
    <s v="No"/>
    <m/>
    <s v="no test"/>
    <s v="no test"/>
    <n v="1"/>
    <n v="0.20177562550443906"/>
    <n v="1"/>
    <n v="2478"/>
    <n v="0"/>
    <n v="0"/>
    <n v="1"/>
    <n v="2478"/>
    <n v="4.9560000000000004"/>
    <n v="0"/>
    <n v="0"/>
    <n v="4.3999999999999595E-2"/>
    <n v="5"/>
    <x v="0"/>
    <n v="146"/>
    <n v="1"/>
    <n v="2478"/>
    <n v="0"/>
    <n v="0"/>
    <n v="124"/>
    <n v="0.10273972602739725"/>
    <n v="0"/>
    <n v="0"/>
    <n v="1"/>
    <n v="0"/>
    <n v="0"/>
    <n v="0"/>
    <n v="0"/>
    <n v="0"/>
    <n v="0"/>
    <n v="0.89947089947089942"/>
    <n v="0"/>
    <n v="2550"/>
    <n v="0"/>
    <n v="2550"/>
    <n v="0"/>
    <s v="Yes"/>
    <s v="KMSS-BMO"/>
    <x v="0"/>
    <s v="Camp"/>
    <x v="0"/>
    <x v="1"/>
    <n v="24.056132999999999"/>
    <n v="97.625617000000005"/>
    <s v="MMR001CMP128"/>
    <x v="0"/>
    <m/>
  </r>
  <r>
    <x v="0"/>
    <x v="4"/>
    <x v="0"/>
    <x v="8"/>
    <x v="46"/>
    <n v="123"/>
    <n v="656"/>
    <m/>
    <s v="OFDA"/>
    <d v="2017-07-31T00:00:00"/>
    <n v="0"/>
    <s v="Yes"/>
    <n v="0.4"/>
    <n v="0"/>
    <n v="1"/>
    <n v="1"/>
    <n v="1500"/>
    <m/>
    <n v="2"/>
    <n v="0"/>
    <n v="0"/>
    <n v="0"/>
    <n v="0"/>
    <n v="0"/>
    <m/>
    <n v="28"/>
    <n v="10"/>
    <n v="10"/>
    <n v="28"/>
    <x v="0"/>
    <x v="0"/>
    <n v="0"/>
    <n v="0"/>
    <m/>
    <n v="0.4"/>
    <s v="Communal"/>
    <n v="0"/>
    <n v="4"/>
    <n v="0"/>
    <n v="0"/>
    <n v="0"/>
    <m/>
    <m/>
    <s v="no test"/>
    <s v="no test"/>
    <n v="1"/>
    <n v="0.91463414634146345"/>
    <n v="1"/>
    <n v="656"/>
    <n v="0"/>
    <n v="0"/>
    <n v="1"/>
    <n v="656"/>
    <n v="1.3120000000000001"/>
    <n v="0"/>
    <n v="0"/>
    <n v="0"/>
    <n v="1"/>
    <x v="0"/>
    <n v="38"/>
    <n v="0.85365853658536583"/>
    <n v="560"/>
    <n v="0"/>
    <n v="0"/>
    <n v="33"/>
    <n v="0.26315789473684209"/>
    <n v="200"/>
    <n v="0"/>
    <n v="1"/>
    <n v="0"/>
    <n v="0"/>
    <n v="0"/>
    <n v="0"/>
    <n v="0"/>
    <n v="0"/>
    <n v="0"/>
    <n v="0"/>
    <n v="0"/>
    <n v="0"/>
    <n v="0"/>
    <n v="49.2"/>
    <s v="Yes"/>
    <s v="KBC"/>
    <x v="0"/>
    <s v="Camp"/>
    <x v="0"/>
    <x v="0"/>
    <n v="0"/>
    <n v="0"/>
    <s v="MMR001CMP250"/>
    <x v="0"/>
    <m/>
  </r>
  <r>
    <x v="0"/>
    <x v="6"/>
    <x v="0"/>
    <x v="10"/>
    <x v="47"/>
    <n v="105"/>
    <n v="578"/>
    <m/>
    <s v="Plan/GFFO,ADRA/CANADA  "/>
    <d v="2019-03-31T00:00:00"/>
    <n v="0"/>
    <s v="Yes"/>
    <n v="0.6"/>
    <n v="0.5"/>
    <n v="1"/>
    <n v="1"/>
    <n v="4000"/>
    <n v="0"/>
    <n v="0"/>
    <n v="0"/>
    <n v="0"/>
    <n v="0"/>
    <n v="0"/>
    <n v="0"/>
    <m/>
    <n v="8"/>
    <n v="0"/>
    <n v="0"/>
    <n v="0"/>
    <x v="0"/>
    <x v="0"/>
    <m/>
    <m/>
    <m/>
    <n v="0.6"/>
    <s v="Communal"/>
    <n v="0"/>
    <n v="2"/>
    <n v="1"/>
    <n v="0"/>
    <n v="0"/>
    <m/>
    <m/>
    <s v="no test"/>
    <s v="no test"/>
    <n v="1"/>
    <n v="1"/>
    <n v="1"/>
    <n v="578"/>
    <n v="0"/>
    <n v="0"/>
    <n v="1"/>
    <n v="578"/>
    <n v="1.1559999999999999"/>
    <n v="0"/>
    <n v="0"/>
    <n v="0"/>
    <n v="1"/>
    <x v="0"/>
    <n v="8"/>
    <n v="0.27681660899653981"/>
    <n v="160"/>
    <n v="0.72664359861591699"/>
    <n v="21"/>
    <n v="29"/>
    <n v="0"/>
    <n v="0"/>
    <n v="0"/>
    <n v="1"/>
    <n v="500"/>
    <n v="0"/>
    <n v="1"/>
    <n v="0"/>
    <n v="0"/>
    <n v="0.86505190311418689"/>
    <n v="0"/>
    <n v="0"/>
    <n v="0"/>
    <n v="0"/>
    <n v="0"/>
    <n v="63"/>
    <s v="Yes"/>
    <s v="KBC"/>
    <x v="0"/>
    <s v="Camp"/>
    <x v="0"/>
    <x v="0"/>
    <n v="25.362420757575801"/>
    <n v="97.409035000000003"/>
    <s v="MMR001CMP015"/>
    <x v="0"/>
    <m/>
  </r>
  <r>
    <x v="0"/>
    <x v="6"/>
    <x v="0"/>
    <x v="10"/>
    <x v="48"/>
    <n v="138"/>
    <n v="697"/>
    <m/>
    <s v="Plan/GFFO,ADRA/CANADA  "/>
    <d v="2019-03-31T00:00:00"/>
    <n v="0"/>
    <s v="Yes"/>
    <n v="0.6"/>
    <n v="0.5"/>
    <n v="0"/>
    <n v="2"/>
    <n v="2000"/>
    <n v="0"/>
    <n v="0"/>
    <n v="0"/>
    <n v="0"/>
    <n v="0"/>
    <n v="0"/>
    <n v="0"/>
    <m/>
    <n v="32"/>
    <n v="0"/>
    <n v="0"/>
    <n v="0"/>
    <x v="0"/>
    <x v="0"/>
    <m/>
    <m/>
    <m/>
    <n v="0.6"/>
    <s v="Communal"/>
    <n v="0"/>
    <n v="2"/>
    <n v="1"/>
    <n v="0"/>
    <n v="0"/>
    <m/>
    <m/>
    <s v="no test"/>
    <s v="no test"/>
    <n v="1"/>
    <n v="0.90865614538498329"/>
    <n v="1"/>
    <n v="697"/>
    <n v="0"/>
    <n v="0"/>
    <n v="1"/>
    <n v="697"/>
    <n v="1.3939999999999999"/>
    <n v="0"/>
    <n v="0"/>
    <n v="0"/>
    <n v="1"/>
    <x v="0"/>
    <n v="32"/>
    <n v="0.9182209469153515"/>
    <n v="640"/>
    <n v="8.6083213773314196E-2"/>
    <n v="3"/>
    <n v="35"/>
    <n v="0"/>
    <n v="0"/>
    <n v="0"/>
    <n v="1"/>
    <n v="500"/>
    <n v="0"/>
    <n v="0"/>
    <n v="0"/>
    <n v="0"/>
    <n v="0.71736011477761841"/>
    <n v="0"/>
    <n v="0"/>
    <n v="0"/>
    <n v="0"/>
    <n v="0"/>
    <n v="82.8"/>
    <s v="Yes"/>
    <s v="KBC"/>
    <x v="0"/>
    <s v="Camp"/>
    <x v="0"/>
    <x v="0"/>
    <n v="25.3510167948718"/>
    <n v="97.403402307692303"/>
    <s v="MMR001CMP014"/>
    <x v="0"/>
    <m/>
  </r>
  <r>
    <x v="0"/>
    <x v="4"/>
    <x v="0"/>
    <x v="9"/>
    <x v="49"/>
    <n v="143"/>
    <n v="640"/>
    <m/>
    <s v="OFDA"/>
    <d v="2017-07-31T00:00:00"/>
    <n v="0"/>
    <s v="Yes"/>
    <n v="0.43"/>
    <n v="0"/>
    <n v="0"/>
    <n v="0"/>
    <n v="0"/>
    <n v="0"/>
    <n v="2"/>
    <n v="0"/>
    <n v="0"/>
    <n v="0"/>
    <n v="0"/>
    <n v="0"/>
    <m/>
    <n v="39"/>
    <n v="2"/>
    <n v="0"/>
    <n v="39"/>
    <x v="3"/>
    <x v="2"/>
    <n v="0"/>
    <n v="0"/>
    <m/>
    <n v="0.3"/>
    <s v="Communal"/>
    <n v="0"/>
    <n v="9"/>
    <n v="0"/>
    <n v="0"/>
    <n v="0"/>
    <m/>
    <m/>
    <s v="no test"/>
    <s v="no test"/>
    <n v="0"/>
    <n v="0"/>
    <n v="0"/>
    <n v="0"/>
    <n v="0"/>
    <n v="0"/>
    <n v="0"/>
    <n v="0"/>
    <n v="0"/>
    <n v="1"/>
    <n v="640"/>
    <n v="1"/>
    <n v="1"/>
    <x v="0"/>
    <n v="41"/>
    <n v="1"/>
    <n v="640"/>
    <n v="0"/>
    <n v="0"/>
    <n v="32"/>
    <n v="4.878048780487805E-2"/>
    <n v="0"/>
    <n v="0"/>
    <n v="1"/>
    <n v="0"/>
    <n v="0"/>
    <n v="0"/>
    <n v="0"/>
    <n v="0"/>
    <n v="0"/>
    <n v="0"/>
    <n v="0"/>
    <n v="0"/>
    <n v="0"/>
    <n v="0"/>
    <n v="42.9"/>
    <s v="Yes"/>
    <s v="Shalom"/>
    <x v="0"/>
    <s v="Camp"/>
    <x v="0"/>
    <x v="0"/>
    <n v="25.887339999999998"/>
    <n v="98.129990000000006"/>
    <s v="MMR001CMP195"/>
    <x v="0"/>
    <m/>
  </r>
  <r>
    <x v="0"/>
    <x v="4"/>
    <x v="0"/>
    <x v="8"/>
    <x v="50"/>
    <n v="19"/>
    <n v="102"/>
    <m/>
    <s v="OFDA"/>
    <d v="2017-07-31T00:00:00"/>
    <n v="0"/>
    <s v="Yes"/>
    <n v="0.67"/>
    <n v="0"/>
    <n v="1"/>
    <n v="0"/>
    <n v="0"/>
    <n v="0"/>
    <n v="1"/>
    <n v="0"/>
    <n v="0"/>
    <n v="0"/>
    <n v="0"/>
    <n v="0"/>
    <m/>
    <n v="8"/>
    <n v="0"/>
    <n v="0"/>
    <n v="8"/>
    <x v="0"/>
    <x v="0"/>
    <n v="0"/>
    <n v="0"/>
    <m/>
    <n v="0.5"/>
    <s v="Communal"/>
    <n v="0"/>
    <n v="4"/>
    <n v="0"/>
    <n v="0"/>
    <n v="0"/>
    <m/>
    <m/>
    <s v="no test"/>
    <s v="no test"/>
    <n v="1"/>
    <n v="1"/>
    <n v="1"/>
    <n v="102"/>
    <n v="0"/>
    <n v="0"/>
    <n v="1"/>
    <n v="102"/>
    <n v="0.20399999999999999"/>
    <n v="0"/>
    <n v="0"/>
    <n v="0.79600000000000004"/>
    <n v="1"/>
    <x v="0"/>
    <n v="8"/>
    <n v="1"/>
    <n v="102"/>
    <n v="0"/>
    <n v="0"/>
    <n v="5"/>
    <n v="0"/>
    <n v="0"/>
    <n v="0"/>
    <n v="1"/>
    <n v="0"/>
    <n v="0"/>
    <n v="0"/>
    <n v="0"/>
    <n v="0"/>
    <n v="0"/>
    <n v="0"/>
    <n v="0"/>
    <n v="0"/>
    <n v="0"/>
    <n v="0"/>
    <n v="9.5"/>
    <s v="Yes"/>
    <s v="Shalom"/>
    <x v="0"/>
    <s v="Camp"/>
    <x v="0"/>
    <x v="0"/>
    <n v="25.566510000000001"/>
    <n v="96.269199999999998"/>
    <s v="MMR001CMP181"/>
    <x v="0"/>
    <m/>
  </r>
  <r>
    <x v="0"/>
    <x v="4"/>
    <x v="0"/>
    <x v="8"/>
    <x v="51"/>
    <n v="12"/>
    <n v="62"/>
    <m/>
    <s v="OFDA"/>
    <d v="2017-07-31T00:00:00"/>
    <n v="0"/>
    <s v="Yes"/>
    <n v="0.56999999999999995"/>
    <n v="1"/>
    <n v="1"/>
    <n v="0"/>
    <n v="0"/>
    <n v="0"/>
    <n v="1"/>
    <n v="0"/>
    <n v="0"/>
    <n v="0"/>
    <n v="0"/>
    <n v="0"/>
    <m/>
    <n v="4"/>
    <n v="0"/>
    <n v="0"/>
    <n v="4"/>
    <x v="0"/>
    <x v="2"/>
    <n v="0"/>
    <n v="0"/>
    <m/>
    <n v="0.6"/>
    <s v="Communal"/>
    <n v="0"/>
    <n v="2"/>
    <n v="0"/>
    <n v="0"/>
    <n v="0"/>
    <m/>
    <m/>
    <s v="no test"/>
    <s v="no test"/>
    <n v="1"/>
    <n v="1"/>
    <n v="1"/>
    <n v="62"/>
    <n v="0"/>
    <n v="0"/>
    <n v="1"/>
    <n v="62"/>
    <n v="0.124"/>
    <n v="0"/>
    <n v="0"/>
    <n v="0.876"/>
    <n v="1"/>
    <x v="0"/>
    <n v="4"/>
    <n v="1"/>
    <n v="62"/>
    <n v="0"/>
    <n v="0"/>
    <n v="3"/>
    <n v="0"/>
    <n v="0"/>
    <n v="0"/>
    <n v="1"/>
    <n v="0"/>
    <n v="0"/>
    <n v="0"/>
    <n v="0"/>
    <n v="0"/>
    <n v="0"/>
    <n v="0"/>
    <n v="0"/>
    <n v="0"/>
    <n v="0"/>
    <n v="0"/>
    <n v="7.1999999999999993"/>
    <s v="Yes"/>
    <s v="Shalom"/>
    <x v="0"/>
    <s v="Camp"/>
    <x v="0"/>
    <x v="0"/>
    <n v="25.61842"/>
    <n v="96.316400000000002"/>
    <s v="MMR001CMP167"/>
    <x v="0"/>
    <m/>
  </r>
  <r>
    <x v="0"/>
    <x v="1"/>
    <x v="0"/>
    <x v="3"/>
    <x v="52"/>
    <n v="131"/>
    <n v="757"/>
    <m/>
    <s v="USAID, Christian AID, HIDA"/>
    <s v="9/1/2018,1-dec-2018"/>
    <n v="0"/>
    <s v="Yes"/>
    <n v="0.9"/>
    <n v="0.9"/>
    <n v="3"/>
    <n v="1"/>
    <n v="0"/>
    <n v="0"/>
    <n v="0"/>
    <m/>
    <m/>
    <m/>
    <m/>
    <m/>
    <m/>
    <n v="23"/>
    <n v="0"/>
    <n v="4"/>
    <n v="0"/>
    <x v="0"/>
    <x v="2"/>
    <m/>
    <m/>
    <m/>
    <n v="1"/>
    <s v="Both"/>
    <n v="0"/>
    <n v="5"/>
    <n v="2"/>
    <n v="131"/>
    <n v="131"/>
    <m/>
    <m/>
    <s v="no test"/>
    <s v="no test"/>
    <n v="1"/>
    <n v="1"/>
    <n v="1"/>
    <n v="757"/>
    <n v="0"/>
    <n v="0"/>
    <n v="1"/>
    <n v="757"/>
    <n v="1.514"/>
    <n v="0"/>
    <n v="0"/>
    <n v="0.48599999999999999"/>
    <n v="2"/>
    <x v="0"/>
    <n v="23"/>
    <n v="0.607661822985469"/>
    <n v="460.00000000000006"/>
    <n v="0.39630118890356669"/>
    <n v="15"/>
    <n v="38"/>
    <n v="0"/>
    <n v="80"/>
    <n v="1"/>
    <n v="0"/>
    <n v="757"/>
    <n v="1"/>
    <n v="1"/>
    <n v="1"/>
    <n v="757"/>
    <n v="1"/>
    <n v="1"/>
    <n v="1"/>
    <n v="655"/>
    <n v="655"/>
    <n v="655"/>
    <n v="131"/>
    <s v="Yes"/>
    <s v="Shalom"/>
    <x v="0"/>
    <s v="Camp"/>
    <x v="0"/>
    <x v="0"/>
    <n v="24.2631743589744"/>
    <n v="97.240183461538507"/>
    <s v="MMR001CMP049"/>
    <x v="0"/>
    <m/>
  </r>
  <r>
    <x v="0"/>
    <x v="2"/>
    <x v="0"/>
    <x v="1"/>
    <x v="53"/>
    <n v="197"/>
    <n v="1092"/>
    <m/>
    <s v="OFDA"/>
    <d v="2018-04-30T00:00:00"/>
    <n v="0"/>
    <s v="Yes"/>
    <n v="1"/>
    <n v="0"/>
    <n v="2"/>
    <n v="3"/>
    <n v="604500"/>
    <n v="0"/>
    <n v="0"/>
    <m/>
    <n v="0"/>
    <n v="10"/>
    <n v="10"/>
    <n v="0"/>
    <m/>
    <n v="40"/>
    <n v="0"/>
    <n v="22"/>
    <n v="0"/>
    <x v="0"/>
    <x v="0"/>
    <n v="0"/>
    <n v="0"/>
    <m/>
    <n v="1"/>
    <s v="Both"/>
    <n v="0"/>
    <n v="5"/>
    <n v="4"/>
    <n v="148"/>
    <n v="0"/>
    <s v="No"/>
    <m/>
    <s v="no test"/>
    <n v="1"/>
    <n v="1"/>
    <n v="1"/>
    <n v="1"/>
    <n v="1092"/>
    <n v="0"/>
    <n v="0"/>
    <n v="1"/>
    <n v="1092"/>
    <n v="2.1840000000000002"/>
    <n v="0"/>
    <n v="0"/>
    <n v="0"/>
    <n v="2"/>
    <x v="1"/>
    <n v="40"/>
    <n v="0.73260073260073255"/>
    <n v="800"/>
    <n v="0.27472527472527469"/>
    <n v="15"/>
    <n v="55"/>
    <n v="0"/>
    <n v="440"/>
    <n v="0"/>
    <n v="1"/>
    <n v="1092"/>
    <n v="0"/>
    <n v="1"/>
    <n v="0"/>
    <n v="0"/>
    <n v="1"/>
    <n v="0.75126903553299496"/>
    <n v="0"/>
    <n v="740"/>
    <n v="0"/>
    <n v="740"/>
    <n v="197"/>
    <s v="Yes"/>
    <s v="KBC"/>
    <x v="0"/>
    <s v="Camp"/>
    <x v="0"/>
    <x v="0"/>
    <n v="24.200433"/>
    <n v="97.717133000000004"/>
    <s v="MMR001CMP070"/>
    <x v="0"/>
    <m/>
  </r>
  <r>
    <x v="0"/>
    <x v="6"/>
    <x v="0"/>
    <x v="5"/>
    <x v="54"/>
    <n v="61"/>
    <n v="281"/>
    <m/>
    <s v="ADRA/CANADA"/>
    <d v="2018-01-31T00:00:00"/>
    <n v="0"/>
    <s v="Yes"/>
    <n v="0.6"/>
    <n v="0.5"/>
    <n v="1"/>
    <n v="0"/>
    <n v="2000"/>
    <n v="1"/>
    <n v="0"/>
    <n v="0"/>
    <n v="0"/>
    <n v="0"/>
    <n v="0"/>
    <n v="0"/>
    <m/>
    <n v="8"/>
    <n v="0"/>
    <n v="0"/>
    <n v="0"/>
    <x v="0"/>
    <x v="0"/>
    <m/>
    <m/>
    <m/>
    <n v="0.6"/>
    <s v="Both"/>
    <n v="0"/>
    <n v="2"/>
    <n v="2"/>
    <n v="0"/>
    <n v="0"/>
    <m/>
    <m/>
    <s v="no test"/>
    <s v="no test"/>
    <n v="1"/>
    <n v="1"/>
    <n v="1"/>
    <n v="281"/>
    <n v="0.88967971530249113"/>
    <n v="250"/>
    <n v="1"/>
    <n v="281"/>
    <n v="0.56200000000000006"/>
    <n v="0"/>
    <n v="0"/>
    <n v="0.43799999999999994"/>
    <n v="1"/>
    <x v="0"/>
    <n v="8"/>
    <n v="0.56939501779359436"/>
    <n v="160.00000000000003"/>
    <n v="0.42704626334519569"/>
    <n v="6"/>
    <n v="14"/>
    <n v="0"/>
    <n v="0"/>
    <n v="0"/>
    <n v="1"/>
    <n v="281"/>
    <n v="0"/>
    <n v="1"/>
    <n v="0"/>
    <n v="0"/>
    <n v="1"/>
    <n v="0"/>
    <n v="0"/>
    <n v="0"/>
    <n v="0"/>
    <n v="0"/>
    <n v="36.6"/>
    <s v="Yes"/>
    <s v="KBC"/>
    <x v="0"/>
    <s v="Camp"/>
    <x v="0"/>
    <x v="0"/>
    <n v="27.337499999999999"/>
    <n v="97.416121000000004"/>
    <s v="MMR001CMP234"/>
    <x v="0"/>
    <m/>
  </r>
  <r>
    <x v="0"/>
    <x v="0"/>
    <x v="0"/>
    <x v="11"/>
    <x v="55"/>
    <n v="20"/>
    <n v="105"/>
    <m/>
    <s v="UNICEF"/>
    <d v="2018-12-31T00:00:00"/>
    <n v="0"/>
    <s v="Yes"/>
    <n v="0.4"/>
    <n v="0.1"/>
    <n v="3"/>
    <n v="0"/>
    <n v="6000"/>
    <n v="0"/>
    <n v="0"/>
    <n v="0"/>
    <n v="0"/>
    <n v="0"/>
    <n v="0"/>
    <n v="0"/>
    <m/>
    <n v="20"/>
    <n v="0"/>
    <n v="0"/>
    <n v="0"/>
    <x v="0"/>
    <x v="2"/>
    <n v="0"/>
    <n v="0"/>
    <m/>
    <n v="0"/>
    <s v="Communal"/>
    <n v="0"/>
    <n v="0"/>
    <n v="0"/>
    <n v="0"/>
    <n v="0"/>
    <s v="No"/>
    <m/>
    <s v="no test"/>
    <s v="no test"/>
    <n v="1"/>
    <n v="1"/>
    <n v="1"/>
    <n v="105"/>
    <n v="0"/>
    <n v="0"/>
    <n v="1"/>
    <n v="105"/>
    <n v="0.21"/>
    <n v="0"/>
    <n v="0"/>
    <n v="0.79"/>
    <n v="1"/>
    <x v="0"/>
    <n v="20"/>
    <n v="1"/>
    <n v="105"/>
    <n v="0"/>
    <n v="0"/>
    <n v="5"/>
    <n v="0"/>
    <n v="0"/>
    <n v="0"/>
    <n v="1"/>
    <n v="0"/>
    <n v="0"/>
    <n v="0"/>
    <n v="0"/>
    <n v="0"/>
    <n v="0"/>
    <n v="0"/>
    <n v="0"/>
    <n v="0"/>
    <n v="0"/>
    <n v="0"/>
    <n v="0"/>
    <n v="0"/>
    <n v="0"/>
    <x v="0"/>
    <s v="Camp"/>
    <x v="2"/>
    <x v="0"/>
    <n v="25.299679999999999"/>
    <n v="96.942279999999997"/>
    <s v="MMR001CMP237"/>
    <x v="0"/>
    <m/>
  </r>
  <r>
    <x v="0"/>
    <x v="6"/>
    <x v="0"/>
    <x v="2"/>
    <x v="56"/>
    <n v="31"/>
    <n v="178"/>
    <m/>
    <s v="Plan/GFFO,ADRA/CANADA  "/>
    <d v="2019-03-31T00:00:00"/>
    <n v="0"/>
    <s v="Yes"/>
    <n v="0.6"/>
    <n v="0.5"/>
    <n v="2"/>
    <n v="1"/>
    <n v="0"/>
    <n v="0"/>
    <n v="0"/>
    <n v="0"/>
    <n v="0"/>
    <n v="0"/>
    <n v="0"/>
    <n v="0"/>
    <m/>
    <n v="6"/>
    <n v="0"/>
    <n v="0"/>
    <n v="0"/>
    <x v="0"/>
    <x v="2"/>
    <m/>
    <m/>
    <m/>
    <n v="0.6"/>
    <s v="Both"/>
    <n v="0"/>
    <n v="3"/>
    <n v="1"/>
    <n v="0"/>
    <n v="0"/>
    <m/>
    <m/>
    <s v="no test"/>
    <s v="no test"/>
    <n v="1"/>
    <n v="1"/>
    <n v="1"/>
    <n v="178"/>
    <n v="0"/>
    <n v="0"/>
    <n v="1"/>
    <n v="178"/>
    <n v="0.35599999999999998"/>
    <n v="0"/>
    <n v="0"/>
    <n v="0.64400000000000002"/>
    <n v="1"/>
    <x v="0"/>
    <n v="6"/>
    <n v="0.6741573033707865"/>
    <n v="120"/>
    <n v="0.33707865168539325"/>
    <n v="3"/>
    <n v="9"/>
    <n v="0"/>
    <n v="0"/>
    <n v="0"/>
    <n v="1"/>
    <n v="178"/>
    <n v="0"/>
    <n v="1"/>
    <n v="0"/>
    <n v="0"/>
    <n v="1"/>
    <n v="0"/>
    <n v="0"/>
    <n v="0"/>
    <n v="0"/>
    <n v="0"/>
    <n v="18.599999999999998"/>
    <s v="Yes"/>
    <s v="KBC"/>
    <x v="0"/>
    <s v="Camp"/>
    <x v="0"/>
    <x v="0"/>
    <n v="25.356632000000001"/>
    <n v="97.451965000000001"/>
    <s v="MMR001CMP027"/>
    <x v="0"/>
    <m/>
  </r>
  <r>
    <x v="0"/>
    <x v="6"/>
    <x v="0"/>
    <x v="2"/>
    <x v="57"/>
    <n v="440"/>
    <n v="1723"/>
    <m/>
    <s v="Plan/GFFO,ADRA/CANADA  "/>
    <d v="2019-03-31T00:00:00"/>
    <n v="0"/>
    <s v="Yes"/>
    <n v="0.6"/>
    <n v="0.5"/>
    <n v="0"/>
    <n v="0"/>
    <n v="349920"/>
    <n v="0"/>
    <n v="0"/>
    <n v="0"/>
    <n v="0"/>
    <n v="0"/>
    <n v="0"/>
    <n v="0"/>
    <m/>
    <n v="500"/>
    <n v="0"/>
    <n v="0"/>
    <n v="0"/>
    <x v="0"/>
    <x v="0"/>
    <m/>
    <m/>
    <m/>
    <n v="0.6"/>
    <s v="Household"/>
    <n v="0"/>
    <n v="12"/>
    <n v="6"/>
    <n v="0"/>
    <n v="0"/>
    <m/>
    <m/>
    <s v="no test"/>
    <s v="no test"/>
    <n v="1"/>
    <n v="1"/>
    <n v="1"/>
    <n v="1723"/>
    <n v="0"/>
    <n v="0"/>
    <n v="1"/>
    <n v="1723"/>
    <n v="3.4460000000000002"/>
    <n v="0"/>
    <n v="0"/>
    <n v="0"/>
    <n v="3"/>
    <x v="0"/>
    <n v="500"/>
    <n v="1"/>
    <n v="1723"/>
    <n v="0"/>
    <n v="0"/>
    <n v="287"/>
    <n v="0"/>
    <n v="0"/>
    <n v="0"/>
    <n v="1"/>
    <n v="1723"/>
    <n v="0"/>
    <n v="1"/>
    <n v="0"/>
    <n v="0"/>
    <n v="1"/>
    <n v="0"/>
    <n v="0"/>
    <n v="0"/>
    <n v="0"/>
    <n v="0"/>
    <n v="264"/>
    <s v="Yes"/>
    <s v="KMSS-MYT"/>
    <x v="0"/>
    <s v="Village Type Camp"/>
    <x v="0"/>
    <x v="1"/>
    <n v="24.980250000000002"/>
    <n v="97.715230000000005"/>
    <s v="MMR001CMP119"/>
    <x v="0"/>
    <m/>
  </r>
  <r>
    <x v="0"/>
    <x v="4"/>
    <x v="0"/>
    <x v="2"/>
    <x v="58"/>
    <n v="333"/>
    <n v="1801"/>
    <m/>
    <s v="OFDA"/>
    <d v="2017-07-31T00:00:00"/>
    <n v="0"/>
    <s v="Yes"/>
    <n v="0.69"/>
    <n v="1"/>
    <n v="4"/>
    <n v="3"/>
    <n v="4000"/>
    <n v="0"/>
    <n v="4"/>
    <n v="0"/>
    <n v="0"/>
    <n v="0"/>
    <n v="0"/>
    <n v="0"/>
    <m/>
    <n v="29"/>
    <n v="6"/>
    <n v="9"/>
    <n v="29"/>
    <x v="0"/>
    <x v="0"/>
    <n v="0"/>
    <n v="0"/>
    <m/>
    <n v="0.5"/>
    <s v="Communal"/>
    <n v="0"/>
    <n v="7"/>
    <n v="0"/>
    <n v="0"/>
    <n v="0"/>
    <m/>
    <m/>
    <s v="no test"/>
    <s v="no test"/>
    <n v="1"/>
    <n v="1"/>
    <n v="1"/>
    <n v="1801"/>
    <n v="0"/>
    <n v="0"/>
    <n v="1"/>
    <n v="1801"/>
    <n v="3.6019999999999999"/>
    <n v="0"/>
    <n v="0"/>
    <n v="0.39800000000000013"/>
    <n v="4"/>
    <x v="0"/>
    <n v="35"/>
    <n v="0.32204330927262631"/>
    <n v="580"/>
    <n v="0.61077179344808441"/>
    <n v="55"/>
    <n v="90"/>
    <n v="0.17142857142857143"/>
    <n v="180"/>
    <n v="0"/>
    <n v="1"/>
    <n v="0"/>
    <n v="0"/>
    <n v="0"/>
    <n v="0"/>
    <n v="0"/>
    <n v="0"/>
    <n v="0"/>
    <n v="0"/>
    <n v="0"/>
    <n v="0"/>
    <n v="0"/>
    <n v="166.5"/>
    <s v="Yes"/>
    <s v="Shalom"/>
    <x v="0"/>
    <s v="Camp"/>
    <x v="0"/>
    <x v="0"/>
    <n v="25.424529444444399"/>
    <n v="97.433419259259296"/>
    <s v="MMR001CMP031"/>
    <x v="0"/>
    <m/>
  </r>
  <r>
    <x v="0"/>
    <x v="0"/>
    <x v="0"/>
    <x v="2"/>
    <x v="59"/>
    <n v="284"/>
    <n v="1492"/>
    <m/>
    <s v="DFID/UNICEF"/>
    <d v="2018-12-31T00:00:00"/>
    <n v="0"/>
    <s v="Yes"/>
    <n v="0.6"/>
    <n v="0.2"/>
    <n v="10"/>
    <n v="5"/>
    <n v="12000"/>
    <n v="0"/>
    <n v="10"/>
    <n v="10"/>
    <n v="1"/>
    <n v="9"/>
    <n v="2"/>
    <n v="0"/>
    <s v="Need to renovation Tube well"/>
    <n v="87"/>
    <n v="0"/>
    <n v="0"/>
    <n v="40"/>
    <x v="0"/>
    <x v="0"/>
    <n v="0"/>
    <n v="0"/>
    <m/>
    <n v="0"/>
    <s v="Communal"/>
    <n v="0"/>
    <n v="6"/>
    <n v="4"/>
    <n v="0"/>
    <n v="0"/>
    <s v="No"/>
    <m/>
    <n v="0.1"/>
    <n v="0.22222222222222221"/>
    <n v="1"/>
    <n v="1"/>
    <n v="1"/>
    <n v="1492"/>
    <n v="0"/>
    <n v="0"/>
    <n v="1"/>
    <n v="1492"/>
    <n v="2.984"/>
    <n v="0"/>
    <n v="0"/>
    <n v="1.6000000000000014E-2"/>
    <n v="3"/>
    <x v="1"/>
    <n v="87"/>
    <n v="1"/>
    <n v="1492"/>
    <n v="0"/>
    <n v="0"/>
    <n v="75"/>
    <n v="0"/>
    <n v="0"/>
    <n v="0"/>
    <n v="1"/>
    <n v="1492"/>
    <n v="0"/>
    <n v="1"/>
    <n v="0"/>
    <n v="0"/>
    <n v="1"/>
    <n v="0"/>
    <n v="0"/>
    <n v="0"/>
    <n v="0"/>
    <n v="0"/>
    <n v="0"/>
    <s v="Yes"/>
    <s v="KMSS-MYT"/>
    <x v="0"/>
    <s v="Camp"/>
    <x v="0"/>
    <x v="0"/>
    <n v="25.415667500000001"/>
    <n v="97.437782499999997"/>
    <s v="MMR001CMP029"/>
    <x v="0"/>
    <m/>
  </r>
  <r>
    <x v="0"/>
    <x v="6"/>
    <x v="0"/>
    <x v="2"/>
    <x v="60"/>
    <n v="499"/>
    <n v="2551"/>
    <m/>
    <s v="Plan/GFFO,ADRA/CANADA  "/>
    <d v="2019-03-31T00:00:00"/>
    <n v="0"/>
    <s v="Yes"/>
    <n v="0.6"/>
    <n v="0.5"/>
    <n v="9"/>
    <n v="0"/>
    <n v="0"/>
    <n v="0"/>
    <n v="0"/>
    <n v="0"/>
    <n v="0"/>
    <n v="0"/>
    <n v="0"/>
    <n v="0"/>
    <m/>
    <n v="130"/>
    <n v="0"/>
    <n v="0"/>
    <n v="0"/>
    <x v="0"/>
    <x v="0"/>
    <m/>
    <m/>
    <m/>
    <n v="0.6"/>
    <s v="Both"/>
    <n v="0"/>
    <n v="6"/>
    <n v="6"/>
    <n v="0"/>
    <n v="0"/>
    <m/>
    <m/>
    <s v="no test"/>
    <s v="no test"/>
    <n v="1"/>
    <n v="0.88200705605644847"/>
    <n v="1"/>
    <n v="2551"/>
    <n v="0"/>
    <n v="0"/>
    <n v="1"/>
    <n v="2551"/>
    <n v="5.1020000000000003"/>
    <n v="0"/>
    <n v="0"/>
    <n v="0"/>
    <n v="5"/>
    <x v="0"/>
    <n v="130"/>
    <n v="1"/>
    <n v="2551"/>
    <n v="0"/>
    <n v="0"/>
    <n v="128"/>
    <n v="0"/>
    <n v="0"/>
    <n v="0"/>
    <n v="1"/>
    <n v="2551"/>
    <n v="0"/>
    <n v="1"/>
    <n v="0"/>
    <n v="0"/>
    <n v="1"/>
    <n v="0"/>
    <n v="0"/>
    <n v="0"/>
    <n v="0"/>
    <n v="0"/>
    <n v="299.39999999999998"/>
    <s v="Yes"/>
    <s v="KBC"/>
    <x v="0"/>
    <s v="Camp"/>
    <x v="0"/>
    <x v="0"/>
    <n v="25.4118005797101"/>
    <n v="97.434855869565197"/>
    <s v="MMR001CMP040"/>
    <x v="0"/>
    <m/>
  </r>
  <r>
    <x v="0"/>
    <x v="6"/>
    <x v="0"/>
    <x v="2"/>
    <x v="61"/>
    <n v="46"/>
    <n v="193"/>
    <m/>
    <s v="Plan/GFFO,ADRA/CANADA  "/>
    <d v="2019-03-31T00:00:00"/>
    <n v="0"/>
    <s v="Yes"/>
    <n v="0.6"/>
    <n v="0.5"/>
    <n v="2"/>
    <n v="0"/>
    <n v="2000"/>
    <n v="0"/>
    <n v="0"/>
    <n v="0"/>
    <n v="0"/>
    <n v="0"/>
    <n v="0"/>
    <n v="0"/>
    <m/>
    <n v="10"/>
    <n v="0"/>
    <n v="0"/>
    <n v="0"/>
    <x v="0"/>
    <x v="0"/>
    <m/>
    <m/>
    <m/>
    <n v="0.6"/>
    <s v="Communal"/>
    <n v="0"/>
    <n v="2"/>
    <n v="1"/>
    <n v="0"/>
    <n v="0"/>
    <m/>
    <m/>
    <s v="no test"/>
    <s v="no test"/>
    <n v="1"/>
    <n v="1"/>
    <n v="1"/>
    <n v="193"/>
    <n v="0"/>
    <n v="0"/>
    <n v="1"/>
    <n v="193"/>
    <n v="0.38600000000000001"/>
    <n v="0"/>
    <n v="0"/>
    <n v="0.61399999999999999"/>
    <n v="1"/>
    <x v="0"/>
    <n v="10"/>
    <n v="1"/>
    <n v="193"/>
    <n v="0"/>
    <n v="0"/>
    <n v="10"/>
    <n v="0"/>
    <n v="0"/>
    <n v="0"/>
    <n v="1"/>
    <n v="193"/>
    <n v="0"/>
    <n v="1"/>
    <n v="0"/>
    <n v="0"/>
    <n v="1"/>
    <n v="0"/>
    <n v="0"/>
    <n v="0"/>
    <n v="0"/>
    <n v="0"/>
    <n v="27.599999999999998"/>
    <s v="Yes"/>
    <s v="KBC"/>
    <x v="0"/>
    <s v="Camp"/>
    <x v="0"/>
    <x v="0"/>
    <n v="25.409612685185198"/>
    <n v="97.426536944444507"/>
    <s v="MMR001CMP039"/>
    <x v="0"/>
    <m/>
  </r>
  <r>
    <x v="0"/>
    <x v="6"/>
    <x v="0"/>
    <x v="0"/>
    <x v="62"/>
    <n v="432"/>
    <n v="1855"/>
    <m/>
    <s v="Plan/GFFO,ADRA/CANADA  "/>
    <d v="2019-03-31T00:00:00"/>
    <n v="0"/>
    <s v="Yes"/>
    <n v="0.8"/>
    <n v="0.5"/>
    <n v="0"/>
    <n v="4"/>
    <n v="0"/>
    <n v="0"/>
    <n v="0"/>
    <n v="0"/>
    <n v="0"/>
    <n v="0"/>
    <n v="0"/>
    <n v="0"/>
    <m/>
    <n v="110"/>
    <n v="40"/>
    <n v="0"/>
    <n v="0"/>
    <x v="0"/>
    <x v="2"/>
    <m/>
    <m/>
    <m/>
    <n v="0.6"/>
    <s v="Communal"/>
    <n v="0"/>
    <n v="10"/>
    <n v="3"/>
    <n v="0"/>
    <n v="0"/>
    <m/>
    <m/>
    <s v="no test"/>
    <s v="no test"/>
    <n v="1"/>
    <n v="0.53908355795148244"/>
    <n v="1"/>
    <n v="1855"/>
    <n v="0"/>
    <n v="0"/>
    <n v="1"/>
    <n v="1855"/>
    <n v="3.71"/>
    <n v="0"/>
    <n v="0"/>
    <n v="0.29000000000000004"/>
    <n v="4"/>
    <x v="0"/>
    <n v="150"/>
    <n v="1"/>
    <n v="1855"/>
    <n v="0"/>
    <n v="0"/>
    <n v="93"/>
    <n v="0.26666666666666666"/>
    <n v="0"/>
    <n v="0"/>
    <n v="1"/>
    <n v="1500"/>
    <n v="0"/>
    <n v="0"/>
    <n v="0"/>
    <n v="0"/>
    <n v="0.80862533692722371"/>
    <n v="0"/>
    <n v="0"/>
    <n v="0"/>
    <n v="0"/>
    <n v="0"/>
    <n v="259.2"/>
    <s v="Yes"/>
    <s v="KBC"/>
    <x v="0"/>
    <s v="Camp"/>
    <x v="0"/>
    <x v="0"/>
    <n v="23.972453000000002"/>
    <n v="97.225881000000001"/>
    <s v="MMR001CMP218"/>
    <x v="0"/>
    <m/>
  </r>
  <r>
    <x v="0"/>
    <x v="6"/>
    <x v="0"/>
    <x v="10"/>
    <x v="63"/>
    <n v="61"/>
    <n v="304"/>
    <m/>
    <s v="Plan/GFFO,ADRA/CANADA  "/>
    <d v="2019-03-31T00:00:00"/>
    <n v="0"/>
    <s v="Yes"/>
    <n v="0.6"/>
    <n v="0.5"/>
    <n v="1"/>
    <n v="1"/>
    <n v="2000"/>
    <n v="0"/>
    <n v="0"/>
    <n v="0"/>
    <n v="0"/>
    <n v="0"/>
    <n v="0"/>
    <n v="0"/>
    <m/>
    <n v="7"/>
    <n v="0"/>
    <n v="0"/>
    <n v="0"/>
    <x v="0"/>
    <x v="0"/>
    <m/>
    <m/>
    <m/>
    <n v="0.6"/>
    <s v="Communal"/>
    <n v="0"/>
    <n v="3"/>
    <n v="2"/>
    <n v="0"/>
    <n v="0"/>
    <m/>
    <m/>
    <s v="no test"/>
    <s v="no test"/>
    <n v="1"/>
    <n v="1"/>
    <n v="1"/>
    <n v="304"/>
    <n v="0"/>
    <n v="0"/>
    <n v="1"/>
    <n v="304"/>
    <n v="0.60799999999999998"/>
    <n v="0"/>
    <n v="0"/>
    <n v="0.39200000000000002"/>
    <n v="1"/>
    <x v="0"/>
    <n v="7"/>
    <n v="0.46052631578947367"/>
    <n v="140"/>
    <n v="0.52631578947368418"/>
    <n v="8"/>
    <n v="15"/>
    <n v="0"/>
    <n v="0"/>
    <n v="0"/>
    <n v="1"/>
    <n v="304"/>
    <n v="0"/>
    <n v="1"/>
    <n v="0"/>
    <n v="0"/>
    <n v="1"/>
    <n v="0"/>
    <n v="0"/>
    <n v="0"/>
    <n v="0"/>
    <n v="0"/>
    <n v="36.6"/>
    <s v="Yes"/>
    <s v="KBC"/>
    <x v="0"/>
    <s v="Camp"/>
    <x v="0"/>
    <x v="0"/>
    <n v="25.360463124999999"/>
    <n v="97.4113064583333"/>
    <s v="MMR001CMP016"/>
    <x v="0"/>
    <m/>
  </r>
  <r>
    <x v="0"/>
    <x v="1"/>
    <x v="0"/>
    <x v="1"/>
    <x v="64"/>
    <n v="217"/>
    <n v="1172"/>
    <m/>
    <s v="USAID, Christian AID, HIDA"/>
    <s v="9/1/2018,1-dec-2018"/>
    <n v="0"/>
    <s v="Yes"/>
    <n v="0.6"/>
    <n v="0"/>
    <n v="1"/>
    <n v="3"/>
    <n v="0"/>
    <n v="0"/>
    <n v="0"/>
    <m/>
    <m/>
    <m/>
    <m/>
    <m/>
    <m/>
    <n v="47"/>
    <n v="0"/>
    <n v="3"/>
    <n v="0"/>
    <x v="0"/>
    <x v="0"/>
    <m/>
    <m/>
    <m/>
    <n v="1"/>
    <s v="Both"/>
    <n v="0"/>
    <n v="7"/>
    <n v="2"/>
    <n v="217"/>
    <n v="217"/>
    <m/>
    <m/>
    <s v="no test"/>
    <s v="no test"/>
    <n v="1"/>
    <n v="0.85324232081911267"/>
    <n v="1"/>
    <n v="1172"/>
    <n v="0"/>
    <n v="0"/>
    <n v="1"/>
    <n v="1172"/>
    <n v="2.3439999999999999"/>
    <n v="0"/>
    <n v="0"/>
    <n v="0"/>
    <n v="2"/>
    <x v="0"/>
    <n v="47"/>
    <n v="0.80204778156996592"/>
    <n v="940.00000000000011"/>
    <n v="0.20477815699658702"/>
    <n v="12"/>
    <n v="59"/>
    <n v="0"/>
    <n v="60"/>
    <n v="1"/>
    <n v="0"/>
    <n v="1000"/>
    <n v="1"/>
    <n v="1"/>
    <n v="1"/>
    <n v="1172"/>
    <n v="0.85324232081911267"/>
    <n v="1"/>
    <n v="1"/>
    <n v="1085"/>
    <n v="1085"/>
    <n v="1085"/>
    <n v="217"/>
    <s v="Yes"/>
    <s v="KMSS-BMO"/>
    <x v="0"/>
    <s v="Camp"/>
    <x v="0"/>
    <x v="0"/>
    <n v="24.245100000000001"/>
    <n v="97.325019999999995"/>
    <s v="MMR001CMP062"/>
    <x v="0"/>
    <m/>
  </r>
  <r>
    <x v="0"/>
    <x v="6"/>
    <x v="0"/>
    <x v="10"/>
    <x v="65"/>
    <n v="103"/>
    <n v="581"/>
    <m/>
    <s v="Plan/GFFO,ADRA/CANADA  "/>
    <d v="2019-03-31T00:00:00"/>
    <n v="0"/>
    <s v="Yes"/>
    <n v="0.6"/>
    <n v="0.5"/>
    <n v="1"/>
    <n v="2"/>
    <n v="2000"/>
    <n v="0"/>
    <n v="0"/>
    <n v="0"/>
    <n v="0"/>
    <n v="0"/>
    <n v="0"/>
    <n v="0"/>
    <m/>
    <n v="30"/>
    <n v="0"/>
    <n v="0"/>
    <n v="0"/>
    <x v="0"/>
    <x v="0"/>
    <m/>
    <m/>
    <m/>
    <n v="0.6"/>
    <s v="Communal"/>
    <n v="0"/>
    <n v="2"/>
    <n v="2"/>
    <n v="0"/>
    <n v="0"/>
    <m/>
    <m/>
    <s v="no test"/>
    <s v="no test"/>
    <n v="1"/>
    <n v="1"/>
    <n v="1"/>
    <n v="581"/>
    <n v="0"/>
    <n v="0"/>
    <n v="1"/>
    <n v="581"/>
    <n v="1.1619999999999999"/>
    <n v="0"/>
    <n v="0"/>
    <n v="0"/>
    <n v="1"/>
    <x v="0"/>
    <n v="30"/>
    <n v="1"/>
    <n v="581"/>
    <n v="0"/>
    <n v="0"/>
    <n v="29"/>
    <n v="0"/>
    <n v="0"/>
    <n v="0"/>
    <n v="1"/>
    <n v="581"/>
    <n v="0"/>
    <n v="1"/>
    <n v="0"/>
    <n v="0"/>
    <n v="1"/>
    <n v="0"/>
    <n v="0"/>
    <n v="0"/>
    <n v="0"/>
    <n v="0"/>
    <n v="61.8"/>
    <s v="Yes"/>
    <s v="KBC"/>
    <x v="0"/>
    <s v="Camp"/>
    <x v="0"/>
    <x v="0"/>
    <n v="25.428910999999999"/>
    <n v="97.418694000000002"/>
    <s v="MMR001CMP008"/>
    <x v="0"/>
    <m/>
  </r>
  <r>
    <x v="0"/>
    <x v="8"/>
    <x v="0"/>
    <x v="0"/>
    <x v="66"/>
    <n v="107"/>
    <n v="529"/>
    <n v="221"/>
    <s v="MHF"/>
    <d v="2018-11-17T00:00:00"/>
    <m/>
    <s v="Yes"/>
    <n v="0.2"/>
    <n v="0.2"/>
    <n v="0"/>
    <n v="1"/>
    <n v="9000"/>
    <n v="0"/>
    <n v="2"/>
    <n v="0"/>
    <n v="0"/>
    <n v="0"/>
    <n v="0"/>
    <n v="0"/>
    <m/>
    <n v="16"/>
    <n v="16"/>
    <n v="0"/>
    <n v="16"/>
    <x v="3"/>
    <x v="2"/>
    <n v="0"/>
    <n v="0"/>
    <m/>
    <n v="0.67"/>
    <s v="Communal"/>
    <n v="0"/>
    <n v="2"/>
    <n v="1"/>
    <n v="107"/>
    <n v="0"/>
    <m/>
    <m/>
    <s v="no test"/>
    <s v="no test"/>
    <n v="1"/>
    <n v="1"/>
    <n v="1"/>
    <n v="529"/>
    <n v="0"/>
    <n v="0"/>
    <n v="1"/>
    <n v="529"/>
    <n v="1.0580000000000001"/>
    <n v="0"/>
    <n v="0"/>
    <n v="0"/>
    <n v="1"/>
    <x v="0"/>
    <n v="32"/>
    <n v="0.60491493383742911"/>
    <n v="320"/>
    <n v="0"/>
    <n v="0"/>
    <n v="26"/>
    <n v="0.5"/>
    <n v="0"/>
    <n v="1"/>
    <n v="0"/>
    <n v="500"/>
    <n v="0"/>
    <n v="1"/>
    <n v="1"/>
    <n v="529"/>
    <n v="0.94517958412098302"/>
    <n v="1"/>
    <n v="0"/>
    <n v="535"/>
    <n v="0"/>
    <n v="535"/>
    <n v="71.69"/>
    <s v="Yes"/>
    <s v="KBC"/>
    <x v="0"/>
    <s v="Camp"/>
    <x v="0"/>
    <x v="0"/>
    <n v="23.83013"/>
    <n v="97.589979999999997"/>
    <s v="MMR001CMP133"/>
    <x v="0"/>
    <m/>
  </r>
  <r>
    <x v="0"/>
    <x v="8"/>
    <x v="0"/>
    <x v="0"/>
    <x v="67"/>
    <n v="117"/>
    <n v="524"/>
    <n v="190"/>
    <s v="MHF"/>
    <d v="2018-11-17T00:00:00"/>
    <m/>
    <s v="Yes"/>
    <n v="0.56999999999999995"/>
    <n v="0.43"/>
    <n v="0"/>
    <n v="3"/>
    <n v="40000"/>
    <n v="0"/>
    <n v="16"/>
    <n v="0"/>
    <n v="0"/>
    <n v="0"/>
    <n v="0"/>
    <n v="0"/>
    <m/>
    <n v="29"/>
    <n v="8"/>
    <n v="0"/>
    <n v="29"/>
    <x v="3"/>
    <x v="2"/>
    <n v="0"/>
    <n v="0"/>
    <m/>
    <n v="0.92"/>
    <s v="Communal"/>
    <n v="0"/>
    <n v="4"/>
    <n v="1"/>
    <n v="117"/>
    <n v="0"/>
    <m/>
    <m/>
    <s v="no test"/>
    <s v="no test"/>
    <n v="1"/>
    <n v="1"/>
    <n v="1"/>
    <n v="524"/>
    <n v="0"/>
    <n v="0"/>
    <n v="1"/>
    <n v="524"/>
    <n v="1.048"/>
    <n v="0"/>
    <n v="0"/>
    <n v="0"/>
    <n v="1"/>
    <x v="0"/>
    <n v="37"/>
    <n v="1"/>
    <n v="524"/>
    <n v="0"/>
    <n v="0"/>
    <n v="26"/>
    <n v="0.21621621621621623"/>
    <n v="0"/>
    <n v="1"/>
    <n v="0"/>
    <n v="500"/>
    <n v="0"/>
    <n v="1"/>
    <n v="1"/>
    <n v="524"/>
    <n v="0.95419847328244278"/>
    <n v="1"/>
    <n v="0"/>
    <n v="585"/>
    <n v="0"/>
    <n v="585"/>
    <n v="107.64"/>
    <s v="Yes"/>
    <s v="KBC"/>
    <x v="0"/>
    <s v="Camp"/>
    <x v="0"/>
    <x v="0"/>
    <n v="23.829599000000002"/>
    <n v="97.590767"/>
    <s v="MMR001CMP230"/>
    <x v="0"/>
    <m/>
  </r>
  <r>
    <x v="0"/>
    <x v="8"/>
    <x v="0"/>
    <x v="0"/>
    <x v="68"/>
    <n v="443"/>
    <n v="2327"/>
    <m/>
    <s v="MHF"/>
    <d v="2018-11-17T00:00:00"/>
    <m/>
    <s v="Yes"/>
    <n v="0.14000000000000001"/>
    <n v="0.14000000000000001"/>
    <n v="1"/>
    <n v="2"/>
    <n v="63560"/>
    <n v="0"/>
    <n v="10"/>
    <n v="0"/>
    <n v="0"/>
    <n v="0"/>
    <n v="0"/>
    <n v="0"/>
    <m/>
    <n v="127"/>
    <n v="28"/>
    <n v="0"/>
    <n v="127"/>
    <x v="3"/>
    <x v="2"/>
    <n v="0"/>
    <n v="0"/>
    <m/>
    <n v="0.5"/>
    <s v="Communal"/>
    <n v="0"/>
    <n v="7"/>
    <n v="2"/>
    <n v="443"/>
    <n v="0"/>
    <m/>
    <m/>
    <s v="no test"/>
    <s v="no test"/>
    <n v="1"/>
    <n v="1"/>
    <n v="1"/>
    <n v="2327"/>
    <n v="0"/>
    <n v="0"/>
    <n v="1"/>
    <n v="2327"/>
    <n v="4.6539999999999999"/>
    <n v="0"/>
    <n v="0"/>
    <n v="0.34600000000000009"/>
    <n v="5"/>
    <x v="0"/>
    <n v="155"/>
    <n v="1"/>
    <n v="2327"/>
    <n v="0"/>
    <n v="0"/>
    <n v="116"/>
    <n v="0.18064516129032257"/>
    <n v="0"/>
    <n v="0"/>
    <n v="1"/>
    <n v="1000"/>
    <n v="0"/>
    <n v="0"/>
    <n v="1"/>
    <n v="0"/>
    <n v="0.42973785990545765"/>
    <n v="1"/>
    <n v="0"/>
    <n v="2215"/>
    <n v="0"/>
    <n v="2215"/>
    <n v="221.5"/>
    <s v="Yes"/>
    <s v="KMSS-BMO"/>
    <x v="0"/>
    <s v="Camp"/>
    <x v="0"/>
    <x v="0"/>
    <n v="23.835319999999999"/>
    <n v="97.578490000000002"/>
    <s v="MMR001CMP132"/>
    <x v="0"/>
    <m/>
  </r>
  <r>
    <x v="0"/>
    <x v="8"/>
    <x v="0"/>
    <x v="0"/>
    <x v="69"/>
    <n v="119"/>
    <n v="637"/>
    <m/>
    <s v="MHF"/>
    <d v="2018-11-17T00:00:00"/>
    <m/>
    <s v="Yes"/>
    <n v="0.28999999999999998"/>
    <n v="0.28999999999999998"/>
    <n v="1"/>
    <n v="2"/>
    <n v="36300"/>
    <n v="0"/>
    <n v="3"/>
    <n v="0"/>
    <n v="0"/>
    <n v="0"/>
    <n v="0"/>
    <n v="0"/>
    <m/>
    <n v="36"/>
    <n v="0"/>
    <n v="0"/>
    <n v="36"/>
    <x v="3"/>
    <x v="2"/>
    <n v="0"/>
    <n v="0"/>
    <m/>
    <n v="0"/>
    <m/>
    <n v="0"/>
    <n v="3"/>
    <n v="1"/>
    <n v="119"/>
    <n v="0"/>
    <m/>
    <m/>
    <s v="no test"/>
    <s v="no test"/>
    <n v="1"/>
    <n v="1"/>
    <n v="1"/>
    <n v="637"/>
    <n v="0"/>
    <n v="0"/>
    <n v="1"/>
    <n v="637"/>
    <n v="1.274"/>
    <n v="0"/>
    <n v="0"/>
    <n v="0"/>
    <n v="1"/>
    <x v="0"/>
    <n v="36"/>
    <n v="1"/>
    <n v="637"/>
    <n v="0"/>
    <n v="0"/>
    <n v="32"/>
    <n v="0"/>
    <n v="0"/>
    <n v="0"/>
    <n v="1"/>
    <n v="500"/>
    <n v="0"/>
    <n v="0"/>
    <n v="1"/>
    <n v="0"/>
    <n v="0.78492935635792782"/>
    <n v="1"/>
    <n v="0"/>
    <n v="595"/>
    <n v="0"/>
    <n v="595"/>
    <n v="0"/>
    <s v="Yes"/>
    <s v="KMSS-BMO"/>
    <x v="0"/>
    <s v="Camp"/>
    <x v="0"/>
    <x v="0"/>
    <n v="23.833477999999999"/>
    <n v="97.578367"/>
    <s v="MMR001CMP228"/>
    <x v="0"/>
    <m/>
  </r>
  <r>
    <x v="0"/>
    <x v="1"/>
    <x v="0"/>
    <x v="1"/>
    <x v="70"/>
    <n v="3"/>
    <n v="13"/>
    <m/>
    <s v="USAID"/>
    <d v="2018-09-01T00:00:00"/>
    <n v="0"/>
    <s v="No"/>
    <n v="0"/>
    <n v="0"/>
    <n v="2"/>
    <n v="0"/>
    <n v="0"/>
    <n v="0"/>
    <n v="0"/>
    <m/>
    <m/>
    <m/>
    <m/>
    <m/>
    <m/>
    <n v="2"/>
    <n v="0"/>
    <n v="0"/>
    <n v="0"/>
    <x v="0"/>
    <x v="0"/>
    <m/>
    <m/>
    <m/>
    <n v="1"/>
    <s v="Both"/>
    <n v="0"/>
    <n v="1"/>
    <n v="0"/>
    <n v="3"/>
    <n v="3"/>
    <m/>
    <m/>
    <s v="no test"/>
    <s v="no test"/>
    <n v="1"/>
    <n v="1"/>
    <n v="1"/>
    <n v="13"/>
    <n v="0"/>
    <n v="0"/>
    <n v="1"/>
    <n v="13"/>
    <n v="2.5999999999999999E-2"/>
    <n v="0"/>
    <n v="0"/>
    <n v="0.97399999999999998"/>
    <n v="1"/>
    <x v="0"/>
    <n v="2"/>
    <n v="1"/>
    <n v="13"/>
    <n v="0"/>
    <n v="0"/>
    <n v="1"/>
    <n v="0"/>
    <n v="0"/>
    <n v="1"/>
    <n v="0"/>
    <n v="0"/>
    <n v="1"/>
    <n v="0"/>
    <n v="1"/>
    <n v="13"/>
    <n v="0"/>
    <n v="1"/>
    <n v="1"/>
    <n v="15"/>
    <n v="15"/>
    <n v="15"/>
    <n v="3"/>
    <n v="0"/>
    <n v="0"/>
    <x v="0"/>
    <s v="Camp"/>
    <x v="4"/>
    <x v="0"/>
    <n v="24.251860000000001"/>
    <n v="97.346940000000004"/>
    <s v="MMR001CMP058"/>
    <x v="0"/>
    <m/>
  </r>
  <r>
    <x v="0"/>
    <x v="6"/>
    <x v="0"/>
    <x v="11"/>
    <x v="71"/>
    <n v="16"/>
    <n v="98"/>
    <m/>
    <s v="ADRA/CANADA"/>
    <d v="2018-01-31T00:00:00"/>
    <n v="0"/>
    <s v="Yes"/>
    <n v="0.8"/>
    <n v="0.8"/>
    <n v="0"/>
    <n v="2"/>
    <n v="2000"/>
    <n v="0"/>
    <n v="0"/>
    <n v="0"/>
    <n v="0"/>
    <n v="0"/>
    <n v="0"/>
    <n v="0"/>
    <m/>
    <n v="2"/>
    <n v="0"/>
    <n v="0"/>
    <n v="0"/>
    <x v="0"/>
    <x v="2"/>
    <m/>
    <m/>
    <m/>
    <n v="0.6"/>
    <s v="Communal"/>
    <n v="0"/>
    <n v="2"/>
    <n v="1"/>
    <n v="0"/>
    <n v="0"/>
    <m/>
    <m/>
    <s v="no test"/>
    <s v="no test"/>
    <n v="1"/>
    <n v="1"/>
    <n v="1"/>
    <n v="98"/>
    <n v="0"/>
    <n v="0"/>
    <n v="1"/>
    <n v="98"/>
    <n v="0.19600000000000001"/>
    <n v="0"/>
    <n v="0"/>
    <n v="0.80400000000000005"/>
    <n v="1"/>
    <x v="0"/>
    <n v="2"/>
    <n v="0.40816326530612246"/>
    <n v="40"/>
    <n v="0.61224489795918358"/>
    <n v="3"/>
    <n v="5"/>
    <n v="0"/>
    <n v="0"/>
    <n v="0"/>
    <n v="1"/>
    <n v="98"/>
    <n v="0"/>
    <n v="1"/>
    <n v="0"/>
    <n v="0"/>
    <n v="1"/>
    <n v="0"/>
    <n v="0"/>
    <n v="0"/>
    <n v="0"/>
    <n v="0"/>
    <n v="9.6"/>
    <s v="Yes"/>
    <s v="KBC"/>
    <x v="0"/>
    <s v="Camp"/>
    <x v="0"/>
    <x v="0"/>
    <n v="25.296579999999999"/>
    <n v="96.942279999999997"/>
    <s v="MMR001CMP077"/>
    <x v="0"/>
    <m/>
  </r>
  <r>
    <x v="0"/>
    <x v="1"/>
    <x v="0"/>
    <x v="0"/>
    <x v="72"/>
    <n v="185"/>
    <n v="823"/>
    <m/>
    <s v="USAID,Christian Aid, "/>
    <s v="9/1/2018,1-dec-2018"/>
    <n v="0"/>
    <s v="Yes"/>
    <n v="0.8"/>
    <n v="0.8"/>
    <n v="3"/>
    <n v="6"/>
    <n v="0"/>
    <n v="0"/>
    <n v="0"/>
    <m/>
    <m/>
    <m/>
    <m/>
    <m/>
    <m/>
    <n v="44"/>
    <n v="0"/>
    <n v="2"/>
    <n v="0"/>
    <x v="0"/>
    <x v="0"/>
    <m/>
    <m/>
    <m/>
    <n v="1"/>
    <s v="Both"/>
    <n v="0"/>
    <n v="7"/>
    <n v="3"/>
    <n v="185"/>
    <n v="185"/>
    <m/>
    <m/>
    <s v="no test"/>
    <s v="no test"/>
    <n v="1"/>
    <n v="1"/>
    <n v="1"/>
    <n v="823"/>
    <n v="0"/>
    <n v="0"/>
    <n v="1"/>
    <n v="823"/>
    <n v="1.6459999999999999"/>
    <n v="0"/>
    <n v="0"/>
    <n v="0.35400000000000009"/>
    <n v="2"/>
    <x v="0"/>
    <n v="44"/>
    <n v="1"/>
    <n v="823"/>
    <n v="0"/>
    <n v="0"/>
    <n v="41"/>
    <n v="0"/>
    <n v="40"/>
    <n v="1"/>
    <n v="0"/>
    <n v="823"/>
    <n v="1"/>
    <n v="1"/>
    <n v="1"/>
    <n v="823"/>
    <n v="1"/>
    <n v="1"/>
    <n v="1"/>
    <n v="925"/>
    <n v="925"/>
    <n v="925"/>
    <n v="185"/>
    <s v="Yes"/>
    <s v="KBC"/>
    <x v="0"/>
    <s v="Camp"/>
    <x v="0"/>
    <x v="0"/>
    <n v="24.129059999999999"/>
    <n v="97.291820000000001"/>
    <s v="MMR001CMP066"/>
    <x v="0"/>
    <m/>
  </r>
  <r>
    <x v="0"/>
    <x v="4"/>
    <x v="0"/>
    <x v="10"/>
    <x v="73"/>
    <n v="24"/>
    <n v="97"/>
    <m/>
    <s v="OFDA"/>
    <d v="2017-07-31T00:00:00"/>
    <n v="0"/>
    <s v="Yes"/>
    <n v="1"/>
    <n v="1"/>
    <n v="1"/>
    <n v="1"/>
    <n v="1000"/>
    <n v="0"/>
    <n v="1"/>
    <n v="0"/>
    <n v="0"/>
    <n v="0"/>
    <n v="0"/>
    <n v="0"/>
    <m/>
    <n v="3"/>
    <n v="0"/>
    <n v="2"/>
    <n v="3"/>
    <x v="0"/>
    <x v="2"/>
    <n v="0"/>
    <n v="0"/>
    <m/>
    <n v="0.6"/>
    <s v="Communal"/>
    <n v="0"/>
    <n v="2"/>
    <n v="0"/>
    <n v="0"/>
    <n v="0"/>
    <m/>
    <m/>
    <s v="no test"/>
    <s v="no test"/>
    <n v="1"/>
    <n v="1"/>
    <n v="1"/>
    <n v="97"/>
    <n v="0"/>
    <n v="0"/>
    <n v="1"/>
    <n v="97"/>
    <n v="0.19400000000000001"/>
    <n v="0"/>
    <n v="0"/>
    <n v="0.80600000000000005"/>
    <n v="1"/>
    <x v="0"/>
    <n v="3"/>
    <n v="0.61855670103092786"/>
    <n v="60"/>
    <n v="0.41237113402061859"/>
    <n v="2"/>
    <n v="5"/>
    <n v="0"/>
    <n v="40"/>
    <n v="0"/>
    <n v="1"/>
    <n v="0"/>
    <n v="0"/>
    <n v="0"/>
    <n v="0"/>
    <n v="0"/>
    <n v="0"/>
    <n v="0"/>
    <n v="0"/>
    <n v="0"/>
    <n v="0"/>
    <n v="0"/>
    <n v="14.399999999999999"/>
    <s v="Yes"/>
    <s v="Shalom"/>
    <x v="0"/>
    <s v="Camp"/>
    <x v="0"/>
    <x v="0"/>
    <n v="25.374343974359"/>
    <n v="97.2843958974359"/>
    <s v="MMR001CMP020"/>
    <x v="0"/>
    <m/>
  </r>
  <r>
    <x v="0"/>
    <x v="4"/>
    <x v="0"/>
    <x v="10"/>
    <x v="74"/>
    <n v="14"/>
    <n v="76"/>
    <m/>
    <s v="OFDA"/>
    <d v="2017-07-31T00:00:00"/>
    <n v="0"/>
    <s v="Yes"/>
    <n v="0.6"/>
    <n v="1"/>
    <n v="1"/>
    <n v="0"/>
    <n v="1000"/>
    <n v="0"/>
    <n v="1"/>
    <n v="0"/>
    <n v="0"/>
    <n v="0"/>
    <n v="0"/>
    <n v="0"/>
    <m/>
    <n v="3"/>
    <n v="0"/>
    <n v="3"/>
    <n v="3"/>
    <x v="0"/>
    <x v="2"/>
    <n v="0"/>
    <n v="0"/>
    <m/>
    <n v="0.6"/>
    <s v="Communal"/>
    <n v="0"/>
    <n v="1"/>
    <n v="0"/>
    <n v="0"/>
    <n v="0"/>
    <m/>
    <m/>
    <s v="no test"/>
    <s v="no test"/>
    <n v="1"/>
    <n v="1"/>
    <n v="1"/>
    <n v="76"/>
    <n v="0"/>
    <n v="0"/>
    <n v="1"/>
    <n v="76"/>
    <n v="0.152"/>
    <n v="0"/>
    <n v="0"/>
    <n v="0.84799999999999998"/>
    <n v="1"/>
    <x v="0"/>
    <n v="3"/>
    <n v="0.78947368421052633"/>
    <n v="60"/>
    <n v="0.26315789473684209"/>
    <n v="1"/>
    <n v="4"/>
    <n v="0"/>
    <n v="60"/>
    <n v="0"/>
    <n v="1"/>
    <n v="0"/>
    <n v="0"/>
    <n v="0"/>
    <n v="0"/>
    <n v="0"/>
    <n v="0"/>
    <n v="0"/>
    <n v="0"/>
    <n v="0"/>
    <n v="0"/>
    <n v="0"/>
    <n v="8.4"/>
    <s v="Yes"/>
    <s v="Shalom"/>
    <x v="0"/>
    <s v="Camp"/>
    <x v="0"/>
    <x v="0"/>
    <n v="25.371049444444399"/>
    <n v="97.290952037037002"/>
    <s v="MMR001CMP021"/>
    <x v="0"/>
    <m/>
  </r>
  <r>
    <x v="0"/>
    <x v="4"/>
    <x v="0"/>
    <x v="8"/>
    <x v="75"/>
    <n v="4"/>
    <n v="15"/>
    <m/>
    <s v="OFDA"/>
    <d v="2017-07-31T00:00:00"/>
    <n v="0"/>
    <s v="Yes"/>
    <n v="0.2"/>
    <n v="0"/>
    <n v="1"/>
    <n v="1"/>
    <n v="0"/>
    <n v="0"/>
    <n v="1"/>
    <n v="0"/>
    <n v="0"/>
    <n v="0"/>
    <n v="0"/>
    <n v="0"/>
    <m/>
    <n v="0"/>
    <n v="0"/>
    <n v="0"/>
    <n v="0"/>
    <x v="0"/>
    <x v="2"/>
    <n v="0"/>
    <n v="0"/>
    <m/>
    <n v="0.6"/>
    <s v="Communal"/>
    <n v="0"/>
    <n v="0"/>
    <n v="0"/>
    <n v="0"/>
    <n v="0"/>
    <m/>
    <m/>
    <s v="no test"/>
    <s v="no test"/>
    <n v="1"/>
    <n v="1"/>
    <n v="1"/>
    <n v="15"/>
    <n v="0"/>
    <n v="0"/>
    <n v="1"/>
    <n v="15"/>
    <n v="0.03"/>
    <n v="0"/>
    <n v="0"/>
    <n v="0.97"/>
    <n v="1"/>
    <x v="0"/>
    <n v="0"/>
    <n v="0"/>
    <n v="0"/>
    <n v="1.3333333333333333"/>
    <n v="1"/>
    <n v="1"/>
    <n v="0"/>
    <n v="0"/>
    <n v="0"/>
    <n v="1"/>
    <n v="0"/>
    <n v="0"/>
    <n v="0"/>
    <n v="0"/>
    <n v="0"/>
    <n v="0"/>
    <n v="0"/>
    <n v="0"/>
    <n v="0"/>
    <n v="0"/>
    <n v="0"/>
    <n v="2.4"/>
    <s v="Yes"/>
    <s v="Shalom"/>
    <x v="0"/>
    <s v="Camp"/>
    <x v="0"/>
    <x v="0"/>
    <n v="25.6145"/>
    <n v="96.319829999999996"/>
    <s v="MMR001CMP091"/>
    <x v="0"/>
    <m/>
  </r>
  <r>
    <x v="0"/>
    <x v="1"/>
    <x v="0"/>
    <x v="1"/>
    <x v="76"/>
    <n v="109"/>
    <n v="453"/>
    <m/>
    <s v="USAID, Christian AID, HIDA"/>
    <s v="9/1/2018,1-dec-2018"/>
    <n v="0"/>
    <s v="Yes"/>
    <n v="0.5"/>
    <n v="0.5"/>
    <n v="1"/>
    <n v="1"/>
    <n v="0"/>
    <n v="0"/>
    <n v="0"/>
    <m/>
    <m/>
    <m/>
    <m/>
    <m/>
    <m/>
    <n v="10"/>
    <n v="0"/>
    <m/>
    <n v="0"/>
    <x v="0"/>
    <x v="0"/>
    <m/>
    <m/>
    <m/>
    <n v="1"/>
    <s v="Both"/>
    <n v="0"/>
    <n v="4"/>
    <n v="2"/>
    <n v="109"/>
    <n v="109"/>
    <m/>
    <m/>
    <s v="no test"/>
    <s v="no test"/>
    <n v="1"/>
    <n v="1"/>
    <n v="1"/>
    <n v="453"/>
    <n v="0"/>
    <n v="0"/>
    <n v="1"/>
    <n v="453"/>
    <n v="0.90600000000000003"/>
    <n v="0"/>
    <n v="0"/>
    <n v="9.3999999999999972E-2"/>
    <n v="1"/>
    <x v="0"/>
    <n v="10"/>
    <n v="0.44150110375275936"/>
    <n v="200"/>
    <n v="0.57395143487858724"/>
    <n v="13"/>
    <n v="23"/>
    <n v="0"/>
    <n v="0"/>
    <n v="1"/>
    <n v="0"/>
    <n v="453"/>
    <n v="1"/>
    <n v="1"/>
    <n v="1"/>
    <n v="453"/>
    <n v="1"/>
    <n v="1"/>
    <n v="1"/>
    <n v="545"/>
    <n v="545"/>
    <n v="545"/>
    <n v="109"/>
    <s v="Yes"/>
    <s v="KBC"/>
    <x v="0"/>
    <s v="Camp"/>
    <x v="0"/>
    <x v="0"/>
    <n v="24.250689999999999"/>
    <n v="97.344359999999995"/>
    <s v="MMR001CMP056"/>
    <x v="0"/>
    <m/>
  </r>
  <r>
    <x v="0"/>
    <x v="1"/>
    <x v="0"/>
    <x v="3"/>
    <x v="77"/>
    <n v="11"/>
    <n v="51"/>
    <m/>
    <s v="USAID"/>
    <d v="2018-09-01T00:00:00"/>
    <n v="0"/>
    <s v="No"/>
    <n v="0"/>
    <n v="0"/>
    <n v="0"/>
    <n v="1"/>
    <n v="0"/>
    <n v="0"/>
    <n v="0"/>
    <m/>
    <m/>
    <m/>
    <m/>
    <m/>
    <m/>
    <n v="4"/>
    <n v="0"/>
    <m/>
    <n v="0"/>
    <x v="0"/>
    <x v="0"/>
    <m/>
    <m/>
    <m/>
    <n v="1"/>
    <s v="Both"/>
    <n v="0"/>
    <n v="2"/>
    <n v="1"/>
    <n v="11"/>
    <n v="11"/>
    <m/>
    <m/>
    <s v="no test"/>
    <s v="no test"/>
    <n v="1"/>
    <n v="1"/>
    <n v="1"/>
    <n v="51"/>
    <n v="0"/>
    <n v="0"/>
    <n v="1"/>
    <n v="51"/>
    <n v="0.10199999999999999"/>
    <n v="0"/>
    <n v="0"/>
    <n v="0.89800000000000002"/>
    <n v="1"/>
    <x v="0"/>
    <n v="4"/>
    <n v="1"/>
    <n v="51"/>
    <n v="0"/>
    <n v="0"/>
    <n v="3"/>
    <n v="0"/>
    <n v="0"/>
    <n v="1"/>
    <n v="0"/>
    <n v="51"/>
    <n v="1"/>
    <n v="1"/>
    <n v="1"/>
    <n v="51"/>
    <n v="1"/>
    <n v="1"/>
    <n v="1"/>
    <n v="55"/>
    <n v="55"/>
    <n v="55"/>
    <n v="11"/>
    <s v="Yes"/>
    <s v="Shalom"/>
    <x v="0"/>
    <s v="Camp"/>
    <x v="0"/>
    <x v="0"/>
    <n v="24.253067000000001"/>
    <n v="97.234200000000001"/>
    <s v="MMR001CMP051"/>
    <x v="0"/>
    <m/>
  </r>
  <r>
    <x v="0"/>
    <x v="6"/>
    <x v="0"/>
    <x v="8"/>
    <x v="78"/>
    <n v="10"/>
    <n v="18"/>
    <m/>
    <s v="ADRA/CANADA"/>
    <d v="2018-01-31T00:00:00"/>
    <n v="30"/>
    <s v="NA"/>
    <n v="0"/>
    <n v="0.5"/>
    <n v="0"/>
    <n v="0"/>
    <n v="0"/>
    <n v="0"/>
    <n v="0"/>
    <n v="0"/>
    <n v="0"/>
    <n v="0"/>
    <n v="0"/>
    <n v="0"/>
    <m/>
    <n v="0"/>
    <n v="0"/>
    <n v="0"/>
    <n v="0"/>
    <x v="2"/>
    <x v="2"/>
    <m/>
    <m/>
    <m/>
    <n v="0.2"/>
    <s v="Household"/>
    <n v="0"/>
    <n v="0"/>
    <n v="1"/>
    <n v="0"/>
    <n v="0"/>
    <m/>
    <m/>
    <s v="no test"/>
    <s v="no test"/>
    <n v="0"/>
    <n v="0"/>
    <n v="0"/>
    <n v="0"/>
    <n v="0"/>
    <n v="0"/>
    <n v="0"/>
    <n v="0"/>
    <n v="0"/>
    <n v="1"/>
    <n v="18"/>
    <n v="1"/>
    <n v="1"/>
    <x v="0"/>
    <n v="0"/>
    <n v="0"/>
    <n v="0"/>
    <n v="1.1111111111111112"/>
    <n v="1"/>
    <n v="1"/>
    <n v="0"/>
    <n v="0"/>
    <n v="0"/>
    <n v="1"/>
    <n v="18"/>
    <n v="0"/>
    <n v="1"/>
    <n v="0"/>
    <n v="0"/>
    <n v="1"/>
    <n v="0"/>
    <n v="0"/>
    <n v="0"/>
    <n v="0"/>
    <n v="0"/>
    <n v="2"/>
    <s v="Yes"/>
    <s v="KMSS-MYT"/>
    <x v="0"/>
    <s v="Camp"/>
    <x v="0"/>
    <x v="0"/>
    <n v="25.920006000000001"/>
    <n v="96.662092000000001"/>
    <s v="MMR001CMP247"/>
    <x v="0"/>
    <m/>
  </r>
  <r>
    <x v="0"/>
    <x v="4"/>
    <x v="0"/>
    <x v="8"/>
    <x v="79"/>
    <n v="11"/>
    <n v="45"/>
    <m/>
    <s v="OFDA"/>
    <d v="2017-07-31T00:00:00"/>
    <n v="0"/>
    <s v="Yes"/>
    <n v="0.6"/>
    <n v="0"/>
    <n v="0"/>
    <n v="1"/>
    <n v="1000"/>
    <n v="0"/>
    <n v="1"/>
    <n v="0"/>
    <n v="0"/>
    <n v="0"/>
    <n v="0"/>
    <n v="0"/>
    <m/>
    <n v="5"/>
    <n v="0"/>
    <n v="0"/>
    <n v="5"/>
    <x v="0"/>
    <x v="2"/>
    <n v="0"/>
    <n v="0"/>
    <m/>
    <n v="0.6"/>
    <s v="Communal"/>
    <n v="0"/>
    <n v="2"/>
    <n v="0"/>
    <n v="0"/>
    <n v="0"/>
    <m/>
    <m/>
    <s v="no test"/>
    <s v="no test"/>
    <n v="1"/>
    <n v="1"/>
    <n v="1"/>
    <n v="45"/>
    <n v="0"/>
    <n v="0"/>
    <n v="1"/>
    <n v="45"/>
    <n v="0.09"/>
    <n v="0"/>
    <n v="0"/>
    <n v="0.91"/>
    <n v="1"/>
    <x v="0"/>
    <n v="5"/>
    <n v="1"/>
    <n v="45"/>
    <n v="0"/>
    <n v="0"/>
    <n v="2"/>
    <n v="0"/>
    <n v="0"/>
    <n v="0"/>
    <n v="1"/>
    <n v="0"/>
    <n v="0"/>
    <n v="0"/>
    <n v="0"/>
    <n v="0"/>
    <n v="0"/>
    <n v="0"/>
    <n v="0"/>
    <n v="0"/>
    <n v="0"/>
    <n v="0"/>
    <n v="6.6"/>
    <s v="Yes"/>
    <s v="Shalom"/>
    <x v="0"/>
    <s v="Camp"/>
    <x v="0"/>
    <x v="0"/>
    <n v="25.617998"/>
    <n v="96.339590000000001"/>
    <s v="MMR001CMP192"/>
    <x v="0"/>
    <m/>
  </r>
  <r>
    <x v="0"/>
    <x v="0"/>
    <x v="0"/>
    <x v="10"/>
    <x v="80"/>
    <n v="63"/>
    <n v="311"/>
    <m/>
    <s v="DFID/UNICEF"/>
    <d v="2018-12-31T00:00:00"/>
    <n v="0"/>
    <s v="Yes"/>
    <n v="0.5"/>
    <n v="0.2"/>
    <n v="0"/>
    <n v="0"/>
    <n v="5000"/>
    <n v="0"/>
    <n v="4"/>
    <n v="4"/>
    <n v="2"/>
    <n v="11"/>
    <n v="1"/>
    <n v="0"/>
    <m/>
    <n v="20"/>
    <n v="0"/>
    <n v="0"/>
    <n v="13"/>
    <x v="0"/>
    <x v="0"/>
    <n v="0"/>
    <n v="0"/>
    <m/>
    <n v="0"/>
    <s v="Communal"/>
    <n v="0"/>
    <n v="3"/>
    <n v="2"/>
    <n v="0"/>
    <n v="0"/>
    <s v="No"/>
    <m/>
    <n v="0.5"/>
    <n v="9.0909090909090912E-2"/>
    <n v="1"/>
    <n v="1"/>
    <n v="1"/>
    <n v="311"/>
    <n v="0"/>
    <n v="0"/>
    <n v="1"/>
    <n v="311"/>
    <n v="0.622"/>
    <n v="0"/>
    <n v="0"/>
    <n v="0.378"/>
    <n v="1"/>
    <x v="1"/>
    <n v="20"/>
    <n v="1"/>
    <n v="311"/>
    <n v="0"/>
    <n v="0"/>
    <n v="16"/>
    <n v="0"/>
    <n v="0"/>
    <n v="0"/>
    <n v="1"/>
    <n v="311"/>
    <n v="0"/>
    <n v="1"/>
    <n v="0"/>
    <n v="0"/>
    <n v="1"/>
    <n v="0"/>
    <n v="0"/>
    <n v="0"/>
    <n v="0"/>
    <n v="0"/>
    <n v="0"/>
    <s v="Yes"/>
    <s v="KMSS-MYT"/>
    <x v="0"/>
    <s v="Camp"/>
    <x v="0"/>
    <x v="0"/>
    <n v="25.410569299999999"/>
    <n v="97.359320179999997"/>
    <s v="MMR001CMP024"/>
    <x v="0"/>
    <m/>
  </r>
  <r>
    <x v="0"/>
    <x v="1"/>
    <x v="0"/>
    <x v="3"/>
    <x v="81"/>
    <n v="21"/>
    <n v="111"/>
    <m/>
    <s v="USAID"/>
    <d v="2018-09-01T00:00:00"/>
    <n v="0"/>
    <s v="Yes"/>
    <n v="0.9"/>
    <n v="0.9"/>
    <n v="0"/>
    <n v="0"/>
    <n v="0"/>
    <n v="0"/>
    <n v="0"/>
    <m/>
    <m/>
    <m/>
    <m/>
    <m/>
    <m/>
    <n v="4"/>
    <n v="0"/>
    <n v="2"/>
    <n v="0"/>
    <x v="0"/>
    <x v="0"/>
    <m/>
    <m/>
    <m/>
    <n v="1"/>
    <s v="Both"/>
    <n v="0"/>
    <n v="2"/>
    <n v="2"/>
    <n v="21"/>
    <n v="21"/>
    <m/>
    <m/>
    <s v="no test"/>
    <s v="no test"/>
    <n v="0"/>
    <n v="0"/>
    <n v="0"/>
    <n v="0"/>
    <n v="0"/>
    <n v="0"/>
    <n v="0"/>
    <n v="0"/>
    <n v="0"/>
    <n v="1"/>
    <n v="111"/>
    <n v="1"/>
    <n v="1"/>
    <x v="0"/>
    <n v="4"/>
    <n v="0.72072072072072069"/>
    <n v="80"/>
    <n v="0.3603603603603604"/>
    <n v="2"/>
    <n v="6"/>
    <n v="0"/>
    <n v="40"/>
    <n v="1"/>
    <n v="0"/>
    <n v="111"/>
    <n v="1"/>
    <n v="1"/>
    <n v="1"/>
    <n v="111"/>
    <n v="1"/>
    <n v="1"/>
    <n v="1"/>
    <n v="105"/>
    <n v="105"/>
    <n v="105"/>
    <n v="21"/>
    <s v="Yes"/>
    <s v="KMSS-BMO"/>
    <x v="0"/>
    <s v="Camp"/>
    <x v="0"/>
    <x v="0"/>
    <n v="24.32638"/>
    <n v="97.315860000000001"/>
    <s v="MMR001CMP054"/>
    <x v="0"/>
    <m/>
  </r>
  <r>
    <x v="0"/>
    <x v="0"/>
    <x v="0"/>
    <x v="8"/>
    <x v="82"/>
    <n v="48"/>
    <n v="221"/>
    <m/>
    <s v="DFID/UNICEF"/>
    <d v="2018-12-31T00:00:00"/>
    <n v="0"/>
    <s v="Yes"/>
    <n v="0.6"/>
    <n v="0.1"/>
    <n v="1"/>
    <n v="1"/>
    <n v="4000"/>
    <n v="0"/>
    <n v="2"/>
    <n v="1"/>
    <n v="0"/>
    <n v="15"/>
    <n v="4"/>
    <n v="0"/>
    <m/>
    <n v="8"/>
    <n v="0"/>
    <n v="0"/>
    <n v="16"/>
    <x v="0"/>
    <x v="0"/>
    <n v="0"/>
    <n v="0"/>
    <m/>
    <n v="0"/>
    <s v="Communal"/>
    <n v="0"/>
    <n v="2"/>
    <n v="2"/>
    <n v="0"/>
    <n v="0"/>
    <s v="No"/>
    <m/>
    <n v="0"/>
    <n v="0.26666666666666666"/>
    <n v="1"/>
    <n v="1"/>
    <n v="1"/>
    <n v="221"/>
    <n v="0"/>
    <n v="0"/>
    <n v="1"/>
    <n v="221"/>
    <n v="0.442"/>
    <n v="0"/>
    <n v="0"/>
    <n v="0.55800000000000005"/>
    <n v="1"/>
    <x v="1"/>
    <n v="8"/>
    <n v="0.72398190045248867"/>
    <n v="160"/>
    <n v="0.27149321266968324"/>
    <n v="3"/>
    <n v="11"/>
    <n v="0"/>
    <n v="0"/>
    <n v="0"/>
    <n v="1"/>
    <n v="221"/>
    <n v="0"/>
    <n v="1"/>
    <n v="0"/>
    <n v="0"/>
    <n v="1"/>
    <n v="0"/>
    <n v="0"/>
    <n v="0"/>
    <n v="0"/>
    <n v="0"/>
    <n v="0"/>
    <s v="Yes"/>
    <s v="KMSS-MYT"/>
    <x v="0"/>
    <s v="Camp"/>
    <x v="0"/>
    <x v="0"/>
    <n v="25.613894999999999"/>
    <n v="96.341352999999998"/>
    <s v="MMR001CMP103"/>
    <x v="0"/>
    <m/>
  </r>
  <r>
    <x v="0"/>
    <x v="6"/>
    <x v="0"/>
    <x v="11"/>
    <x v="83"/>
    <n v="11"/>
    <n v="33"/>
    <m/>
    <s v="ADRA/CANADA"/>
    <d v="2018-01-31T00:00:00"/>
    <n v="0"/>
    <s v="Yes"/>
    <n v="0.8"/>
    <n v="0.8"/>
    <n v="1"/>
    <n v="2"/>
    <n v="2000"/>
    <n v="0"/>
    <n v="0"/>
    <n v="0"/>
    <n v="0"/>
    <n v="0"/>
    <n v="0"/>
    <n v="0"/>
    <m/>
    <n v="3"/>
    <n v="0"/>
    <n v="0"/>
    <n v="0"/>
    <x v="0"/>
    <x v="2"/>
    <m/>
    <m/>
    <m/>
    <n v="0.6"/>
    <s v="Communal"/>
    <n v="0"/>
    <n v="2"/>
    <n v="1"/>
    <n v="0"/>
    <n v="0"/>
    <m/>
    <m/>
    <s v="no test"/>
    <s v="no test"/>
    <n v="1"/>
    <n v="1"/>
    <n v="1"/>
    <n v="33"/>
    <n v="0"/>
    <n v="0"/>
    <n v="1"/>
    <n v="33"/>
    <n v="6.6000000000000003E-2"/>
    <n v="0"/>
    <n v="0"/>
    <n v="0.93399999999999994"/>
    <n v="1"/>
    <x v="0"/>
    <n v="3"/>
    <n v="1"/>
    <n v="33"/>
    <n v="0"/>
    <n v="0"/>
    <n v="2"/>
    <n v="0"/>
    <n v="0"/>
    <n v="0"/>
    <n v="1"/>
    <n v="33"/>
    <n v="0"/>
    <n v="1"/>
    <n v="0"/>
    <n v="0"/>
    <n v="1"/>
    <n v="0"/>
    <n v="0"/>
    <n v="0"/>
    <n v="0"/>
    <n v="0"/>
    <n v="6.6"/>
    <s v="Yes"/>
    <s v="KBC"/>
    <x v="0"/>
    <s v="Camp"/>
    <x v="0"/>
    <x v="0"/>
    <n v="25.30442"/>
    <n v="96.948740000000001"/>
    <s v="MMR001CMP079"/>
    <x v="0"/>
    <m/>
  </r>
  <r>
    <x v="0"/>
    <x v="4"/>
    <x v="0"/>
    <x v="2"/>
    <x v="84"/>
    <n v="20"/>
    <n v="86"/>
    <m/>
    <s v="OFDA"/>
    <d v="2017-07-31T00:00:00"/>
    <n v="0"/>
    <s v="Yes"/>
    <n v="0.8"/>
    <n v="1"/>
    <n v="1"/>
    <n v="1"/>
    <n v="0"/>
    <n v="0"/>
    <n v="1"/>
    <n v="0"/>
    <n v="0"/>
    <n v="0"/>
    <n v="0"/>
    <n v="0"/>
    <m/>
    <n v="4"/>
    <n v="2"/>
    <n v="3"/>
    <n v="4"/>
    <x v="0"/>
    <x v="2"/>
    <n v="0"/>
    <n v="0"/>
    <m/>
    <n v="0.5"/>
    <s v="Communal"/>
    <n v="0"/>
    <n v="2"/>
    <n v="0"/>
    <n v="0"/>
    <n v="0"/>
    <m/>
    <m/>
    <s v="no test"/>
    <s v="no test"/>
    <n v="1"/>
    <n v="1"/>
    <n v="1"/>
    <n v="86"/>
    <n v="0"/>
    <n v="0"/>
    <n v="1"/>
    <n v="86"/>
    <n v="0.17199999999999999"/>
    <n v="0"/>
    <n v="0"/>
    <n v="0.82800000000000007"/>
    <n v="1"/>
    <x v="0"/>
    <n v="6"/>
    <n v="0.93023255813953487"/>
    <n v="80"/>
    <n v="0"/>
    <n v="0"/>
    <n v="4"/>
    <n v="0.33333333333333331"/>
    <n v="60"/>
    <n v="0"/>
    <n v="1"/>
    <n v="0"/>
    <n v="0"/>
    <n v="0"/>
    <n v="0"/>
    <n v="0"/>
    <n v="0"/>
    <n v="0"/>
    <n v="0"/>
    <n v="0"/>
    <n v="0"/>
    <n v="0"/>
    <n v="10"/>
    <s v="Yes"/>
    <s v="Shalom"/>
    <x v="0"/>
    <s v="Camp"/>
    <x v="0"/>
    <x v="0"/>
    <n v="25.351965"/>
    <n v="97.345039"/>
    <s v="MMR001CMP033"/>
    <x v="0"/>
    <m/>
  </r>
  <r>
    <x v="0"/>
    <x v="6"/>
    <x v="0"/>
    <x v="4"/>
    <x v="85"/>
    <n v="19"/>
    <n v="115"/>
    <m/>
    <s v="ADRA/CANADA"/>
    <d v="2018-01-31T00:00:00"/>
    <n v="0"/>
    <s v="Yes"/>
    <n v="0.6"/>
    <n v="0.5"/>
    <n v="0"/>
    <n v="2"/>
    <n v="0"/>
    <n v="0"/>
    <n v="0"/>
    <n v="0"/>
    <n v="0"/>
    <n v="0"/>
    <n v="0"/>
    <n v="0"/>
    <m/>
    <n v="5"/>
    <n v="0"/>
    <n v="0"/>
    <n v="0"/>
    <x v="0"/>
    <x v="2"/>
    <m/>
    <m/>
    <m/>
    <n v="0.6"/>
    <s v="Communal"/>
    <n v="0"/>
    <n v="2"/>
    <n v="1"/>
    <n v="0"/>
    <n v="0"/>
    <m/>
    <m/>
    <s v="no test"/>
    <s v="no test"/>
    <n v="1"/>
    <n v="1"/>
    <n v="1"/>
    <n v="115"/>
    <n v="0"/>
    <n v="0"/>
    <n v="1"/>
    <n v="115"/>
    <n v="0.23"/>
    <n v="0"/>
    <n v="0"/>
    <n v="0.77"/>
    <n v="1"/>
    <x v="0"/>
    <n v="5"/>
    <n v="0.86956521739130432"/>
    <n v="100"/>
    <n v="0.17391304347826086"/>
    <n v="1"/>
    <n v="6"/>
    <n v="0"/>
    <n v="0"/>
    <n v="0"/>
    <n v="1"/>
    <n v="115"/>
    <n v="0"/>
    <n v="1"/>
    <n v="0"/>
    <n v="0"/>
    <n v="1"/>
    <n v="0"/>
    <n v="0"/>
    <n v="0"/>
    <n v="0"/>
    <n v="0"/>
    <n v="11.4"/>
    <s v="Yes"/>
    <s v="KBC"/>
    <x v="0"/>
    <s v="Camp"/>
    <x v="0"/>
    <x v="0"/>
    <n v="24.998349999999999"/>
    <n v="96.364949999999993"/>
    <s v="MMR001CMP152"/>
    <x v="0"/>
    <m/>
  </r>
  <r>
    <x v="0"/>
    <x v="6"/>
    <x v="0"/>
    <x v="7"/>
    <x v="86"/>
    <n v="127"/>
    <n v="547"/>
    <m/>
    <s v="ADRA/CANADA"/>
    <d v="2018-01-31T00:00:00"/>
    <n v="0"/>
    <s v="Yes"/>
    <n v="0.5"/>
    <n v="0.5"/>
    <n v="0"/>
    <n v="0"/>
    <n v="0"/>
    <n v="0"/>
    <n v="0"/>
    <n v="0"/>
    <n v="0"/>
    <n v="0"/>
    <n v="0"/>
    <n v="0"/>
    <m/>
    <n v="74"/>
    <n v="0"/>
    <n v="0"/>
    <n v="0"/>
    <x v="2"/>
    <x v="0"/>
    <m/>
    <m/>
    <m/>
    <n v="0.2"/>
    <s v="Household"/>
    <n v="0"/>
    <n v="0"/>
    <n v="2"/>
    <n v="0"/>
    <n v="0"/>
    <m/>
    <m/>
    <s v="no test"/>
    <s v="no test"/>
    <n v="0"/>
    <n v="0"/>
    <n v="0"/>
    <n v="0"/>
    <n v="0"/>
    <n v="0"/>
    <n v="0"/>
    <n v="0"/>
    <n v="0"/>
    <n v="1"/>
    <n v="547"/>
    <n v="1"/>
    <n v="1"/>
    <x v="0"/>
    <n v="74"/>
    <n v="1"/>
    <n v="547"/>
    <n v="0"/>
    <n v="0"/>
    <n v="27"/>
    <n v="0"/>
    <n v="0"/>
    <n v="0"/>
    <n v="1"/>
    <n v="547"/>
    <n v="0"/>
    <n v="1"/>
    <n v="0"/>
    <n v="0"/>
    <n v="1"/>
    <n v="0"/>
    <n v="0"/>
    <n v="0"/>
    <n v="0"/>
    <n v="0"/>
    <n v="25.400000000000002"/>
    <s v="Yes"/>
    <s v="KBC"/>
    <x v="0"/>
    <s v="Camp"/>
    <x v="0"/>
    <x v="1"/>
    <n v="26.569633"/>
    <n v="97.745480999999998"/>
    <s v="MMR001CMP238"/>
    <x v="0"/>
    <m/>
  </r>
  <r>
    <x v="0"/>
    <x v="5"/>
    <x v="0"/>
    <x v="1"/>
    <x v="87"/>
    <n v="353"/>
    <n v="1663"/>
    <m/>
    <s v="ECHO"/>
    <d v="2017-12-31T00:00:00"/>
    <n v="0"/>
    <s v="NA"/>
    <n v="0"/>
    <n v="0"/>
    <n v="0"/>
    <n v="0"/>
    <n v="0"/>
    <n v="0"/>
    <n v="0"/>
    <n v="0"/>
    <n v="0"/>
    <n v="0"/>
    <n v="0"/>
    <n v="0"/>
    <m/>
    <n v="100"/>
    <n v="10"/>
    <n v="0"/>
    <n v="0"/>
    <x v="2"/>
    <x v="3"/>
    <n v="0"/>
    <n v="0"/>
    <m/>
    <n v="0.24"/>
    <s v="Both"/>
    <n v="0"/>
    <n v="16"/>
    <m/>
    <n v="318"/>
    <n v="0"/>
    <s v="No"/>
    <m/>
    <s v="no test"/>
    <s v="no test"/>
    <n v="0"/>
    <n v="0"/>
    <n v="0"/>
    <n v="0"/>
    <n v="0"/>
    <n v="0"/>
    <n v="0"/>
    <n v="0"/>
    <n v="0"/>
    <n v="1"/>
    <n v="1663"/>
    <n v="3"/>
    <n v="3"/>
    <x v="0"/>
    <n v="110"/>
    <n v="1"/>
    <n v="1663"/>
    <n v="0"/>
    <n v="0"/>
    <n v="83"/>
    <n v="9.0909090909090912E-2"/>
    <n v="0"/>
    <n v="0"/>
    <n v="1"/>
    <n v="0"/>
    <n v="0"/>
    <n v="0"/>
    <n v="0"/>
    <n v="0"/>
    <n v="0"/>
    <n v="0.90084985835694054"/>
    <n v="0"/>
    <n v="1590"/>
    <n v="0"/>
    <n v="1590"/>
    <n v="84.72"/>
    <s v="Yes"/>
    <s v="KMSS-BMO"/>
    <x v="0"/>
    <s v="Camp"/>
    <x v="0"/>
    <x v="1"/>
    <n v="24.378167000000001"/>
    <n v="97.669366999999994"/>
    <s v="MMR001CMP131"/>
    <x v="0"/>
    <m/>
  </r>
  <r>
    <x v="0"/>
    <x v="6"/>
    <x v="0"/>
    <x v="10"/>
    <x v="88"/>
    <n v="67"/>
    <n v="295"/>
    <m/>
    <s v="Plan/GFFO,ADRA/CANADA  "/>
    <d v="2019-03-31T00:00:00"/>
    <n v="0"/>
    <s v="Yes"/>
    <n v="0.6"/>
    <n v="0.5"/>
    <n v="1"/>
    <n v="2"/>
    <n v="1500"/>
    <n v="0"/>
    <n v="0"/>
    <n v="0"/>
    <n v="0"/>
    <n v="0"/>
    <n v="0"/>
    <n v="0"/>
    <m/>
    <n v="10"/>
    <n v="0"/>
    <n v="8"/>
    <n v="0"/>
    <x v="0"/>
    <x v="0"/>
    <m/>
    <m/>
    <m/>
    <n v="0.6"/>
    <s v="Communal"/>
    <n v="0"/>
    <n v="2"/>
    <n v="1"/>
    <n v="0"/>
    <n v="0"/>
    <m/>
    <m/>
    <s v="no test"/>
    <s v="no test"/>
    <n v="1"/>
    <n v="1"/>
    <n v="1"/>
    <n v="295"/>
    <n v="0"/>
    <n v="0"/>
    <n v="1"/>
    <n v="295"/>
    <n v="0.59"/>
    <n v="0"/>
    <n v="0"/>
    <n v="0.41000000000000003"/>
    <n v="1"/>
    <x v="0"/>
    <n v="10"/>
    <n v="0.67796610169491522"/>
    <n v="200"/>
    <n v="0.33898305084745761"/>
    <n v="5"/>
    <n v="15"/>
    <n v="0"/>
    <n v="160"/>
    <n v="0"/>
    <n v="1"/>
    <n v="295"/>
    <n v="0"/>
    <n v="1"/>
    <n v="0"/>
    <n v="0"/>
    <n v="1"/>
    <n v="0"/>
    <n v="0"/>
    <n v="0"/>
    <n v="0"/>
    <n v="0"/>
    <n v="40.199999999999996"/>
    <s v="Yes"/>
    <s v="KBC"/>
    <x v="0"/>
    <s v="Camp"/>
    <x v="0"/>
    <x v="0"/>
    <n v="25.422194000000001"/>
    <n v="97.394547000000003"/>
    <s v="MMR001CMP002"/>
    <x v="0"/>
    <m/>
  </r>
  <r>
    <x v="0"/>
    <x v="2"/>
    <x v="0"/>
    <x v="1"/>
    <x v="89"/>
    <n v="49"/>
    <n v="300"/>
    <m/>
    <s v="OFDA"/>
    <d v="2018-04-30T00:00:00"/>
    <n v="0"/>
    <s v="Yes"/>
    <n v="0.5"/>
    <n v="0"/>
    <n v="2"/>
    <n v="0"/>
    <n v="12000"/>
    <n v="0"/>
    <n v="0"/>
    <m/>
    <n v="0"/>
    <n v="3"/>
    <n v="3"/>
    <n v="0"/>
    <m/>
    <n v="22"/>
    <n v="0"/>
    <n v="16"/>
    <n v="0"/>
    <x v="0"/>
    <x v="0"/>
    <n v="0"/>
    <n v="0"/>
    <m/>
    <n v="1"/>
    <s v="Both"/>
    <n v="0"/>
    <n v="3"/>
    <n v="1"/>
    <n v="36"/>
    <n v="0"/>
    <s v="No"/>
    <m/>
    <s v="no test"/>
    <n v="1"/>
    <n v="1"/>
    <n v="1"/>
    <n v="1"/>
    <n v="300"/>
    <n v="0"/>
    <n v="0"/>
    <n v="1"/>
    <n v="300"/>
    <n v="0.6"/>
    <n v="0"/>
    <n v="0"/>
    <n v="0.4"/>
    <n v="1"/>
    <x v="1"/>
    <n v="22"/>
    <n v="1"/>
    <n v="300"/>
    <n v="0"/>
    <n v="0"/>
    <n v="15"/>
    <n v="0"/>
    <n v="300"/>
    <n v="0"/>
    <n v="1"/>
    <n v="300"/>
    <n v="0"/>
    <n v="1"/>
    <n v="0"/>
    <n v="0"/>
    <n v="1"/>
    <n v="0.73469387755102045"/>
    <n v="0"/>
    <n v="180"/>
    <n v="0"/>
    <n v="180"/>
    <n v="49"/>
    <s v="Yes"/>
    <s v="KBC"/>
    <x v="0"/>
    <s v="Camp"/>
    <x v="0"/>
    <x v="0"/>
    <n v="24.205417000000001"/>
    <n v="97.724483000000006"/>
    <s v="MMR001CMP072"/>
    <x v="0"/>
    <m/>
  </r>
  <r>
    <x v="0"/>
    <x v="0"/>
    <x v="0"/>
    <x v="10"/>
    <x v="90"/>
    <n v="49"/>
    <n v="289"/>
    <m/>
    <s v="DFID/UNICEF"/>
    <d v="2018-12-31T00:00:00"/>
    <n v="0"/>
    <s v="Yes"/>
    <n v="0.6"/>
    <n v="0.5"/>
    <n v="2"/>
    <n v="0"/>
    <n v="6000"/>
    <n v="0"/>
    <n v="0"/>
    <n v="2"/>
    <n v="2"/>
    <n v="14"/>
    <n v="1"/>
    <n v="0"/>
    <m/>
    <n v="12"/>
    <n v="0"/>
    <n v="0"/>
    <n v="12"/>
    <x v="0"/>
    <x v="0"/>
    <n v="0"/>
    <n v="0"/>
    <m/>
    <n v="0"/>
    <s v="Communal"/>
    <n v="0"/>
    <n v="3"/>
    <n v="2"/>
    <n v="0"/>
    <n v="0"/>
    <s v="No"/>
    <m/>
    <n v="1"/>
    <n v="7.1428571428571425E-2"/>
    <n v="1"/>
    <n v="1"/>
    <n v="1"/>
    <n v="289"/>
    <n v="0"/>
    <n v="0"/>
    <n v="1"/>
    <n v="289"/>
    <n v="0.57799999999999996"/>
    <n v="0"/>
    <n v="0"/>
    <n v="0.42200000000000004"/>
    <n v="1"/>
    <x v="1"/>
    <n v="12"/>
    <n v="0.83044982698961933"/>
    <n v="240"/>
    <n v="0.13840830449826991"/>
    <n v="2"/>
    <n v="14"/>
    <n v="0"/>
    <n v="0"/>
    <n v="0"/>
    <n v="1"/>
    <n v="289"/>
    <n v="0"/>
    <n v="1"/>
    <n v="0"/>
    <n v="0"/>
    <n v="1"/>
    <n v="0"/>
    <n v="0"/>
    <n v="0"/>
    <n v="0"/>
    <n v="0"/>
    <n v="0"/>
    <s v="Yes"/>
    <s v="KMSS-MYT"/>
    <x v="0"/>
    <s v="Camp"/>
    <x v="0"/>
    <x v="0"/>
    <n v="25.493819999999999"/>
    <n v="97.4345"/>
    <s v="MMR001CMP162"/>
    <x v="0"/>
    <m/>
  </r>
  <r>
    <x v="0"/>
    <x v="5"/>
    <x v="0"/>
    <x v="1"/>
    <x v="91"/>
    <n v="663"/>
    <n v="3411"/>
    <m/>
    <s v="ECHO"/>
    <d v="2017-12-31T00:00:00"/>
    <n v="0"/>
    <s v="NA"/>
    <n v="0"/>
    <n v="0"/>
    <n v="0"/>
    <n v="0"/>
    <n v="0"/>
    <n v="0"/>
    <n v="0"/>
    <n v="0"/>
    <n v="0"/>
    <n v="0"/>
    <n v="0"/>
    <n v="0"/>
    <m/>
    <n v="228"/>
    <n v="10"/>
    <n v="0"/>
    <n v="0"/>
    <x v="2"/>
    <x v="3"/>
    <n v="0"/>
    <n v="0"/>
    <m/>
    <n v="0.53"/>
    <s v="Both"/>
    <n v="0"/>
    <n v="13"/>
    <m/>
    <n v="597"/>
    <n v="0"/>
    <s v="No"/>
    <m/>
    <s v="no test"/>
    <s v="no test"/>
    <n v="0"/>
    <n v="0"/>
    <n v="0"/>
    <n v="0"/>
    <n v="0"/>
    <n v="0"/>
    <n v="0"/>
    <n v="0"/>
    <n v="0"/>
    <n v="1"/>
    <n v="3411"/>
    <n v="7"/>
    <n v="7"/>
    <x v="0"/>
    <n v="238"/>
    <n v="1"/>
    <n v="3411"/>
    <n v="0"/>
    <n v="0"/>
    <n v="171"/>
    <n v="4.2016806722689079E-2"/>
    <n v="0"/>
    <n v="0"/>
    <n v="1"/>
    <n v="0"/>
    <n v="0"/>
    <n v="0"/>
    <n v="0"/>
    <n v="0"/>
    <n v="0"/>
    <n v="0.90045248868778283"/>
    <n v="0"/>
    <n v="2985"/>
    <n v="0"/>
    <n v="2985"/>
    <n v="351.39000000000004"/>
    <s v="Yes"/>
    <s v="KMSS-BMO"/>
    <x v="0"/>
    <s v="Camp"/>
    <x v="0"/>
    <x v="1"/>
    <n v="24.2744"/>
    <n v="97.752667000000002"/>
    <s v="MMR001CMP126"/>
    <x v="0"/>
    <m/>
  </r>
  <r>
    <x v="0"/>
    <x v="6"/>
    <x v="0"/>
    <x v="2"/>
    <x v="92"/>
    <n v="183"/>
    <n v="895"/>
    <m/>
    <s v="ADRA/CANADA"/>
    <s v="31-01-2018"/>
    <n v="0"/>
    <s v="Yes"/>
    <n v="0.6"/>
    <n v="0.5"/>
    <n v="0"/>
    <n v="0"/>
    <n v="194400"/>
    <n v="0"/>
    <n v="0"/>
    <n v="0"/>
    <n v="0"/>
    <n v="0"/>
    <n v="0"/>
    <n v="0"/>
    <m/>
    <n v="150"/>
    <n v="0"/>
    <n v="0"/>
    <n v="0"/>
    <x v="0"/>
    <x v="0"/>
    <m/>
    <m/>
    <m/>
    <n v="0.6"/>
    <s v="Household"/>
    <n v="150"/>
    <n v="4"/>
    <n v="3"/>
    <n v="0"/>
    <n v="0"/>
    <m/>
    <m/>
    <s v="no test"/>
    <s v="no test"/>
    <n v="1"/>
    <n v="1"/>
    <n v="1"/>
    <n v="895"/>
    <n v="0"/>
    <n v="0"/>
    <n v="1"/>
    <n v="895"/>
    <n v="1.79"/>
    <n v="0"/>
    <n v="0"/>
    <n v="0.20999999999999996"/>
    <n v="2"/>
    <x v="0"/>
    <n v="150"/>
    <n v="1"/>
    <n v="895"/>
    <n v="0"/>
    <n v="0"/>
    <n v="149"/>
    <n v="0"/>
    <n v="0"/>
    <n v="0"/>
    <n v="1"/>
    <n v="895"/>
    <n v="0"/>
    <n v="1"/>
    <n v="0"/>
    <n v="0"/>
    <n v="1"/>
    <n v="0"/>
    <n v="0"/>
    <n v="0"/>
    <n v="0"/>
    <n v="0"/>
    <n v="109.8"/>
    <s v="Yes"/>
    <s v="KBC"/>
    <x v="0"/>
    <s v="Village Type Camp"/>
    <x v="0"/>
    <x v="1"/>
    <n v="24.831944"/>
    <n v="97.751389000000003"/>
    <s v="MMR001CMP120"/>
    <x v="0"/>
    <m/>
  </r>
  <r>
    <x v="0"/>
    <x v="0"/>
    <x v="0"/>
    <x v="9"/>
    <x v="93"/>
    <n v="57"/>
    <n v="267"/>
    <m/>
    <s v="DFID/UNICEF"/>
    <d v="2018-12-31T00:00:00"/>
    <n v="0"/>
    <s v="Yes"/>
    <n v="0.6"/>
    <n v="0.3"/>
    <n v="0"/>
    <n v="0"/>
    <n v="4000"/>
    <n v="0"/>
    <n v="4"/>
    <n v="0"/>
    <n v="0"/>
    <n v="0"/>
    <n v="0"/>
    <n v="0"/>
    <s v="Need to be renovation of GFS"/>
    <n v="12"/>
    <n v="0"/>
    <n v="0"/>
    <n v="8"/>
    <x v="0"/>
    <x v="2"/>
    <n v="0"/>
    <n v="0"/>
    <m/>
    <n v="0"/>
    <s v="Communal"/>
    <n v="0"/>
    <n v="3"/>
    <n v="1"/>
    <n v="0"/>
    <n v="0"/>
    <s v="No"/>
    <m/>
    <s v="no test"/>
    <s v="no test"/>
    <n v="0.99875156054931347"/>
    <n v="0.99875156054931347"/>
    <n v="0.99875156054931347"/>
    <n v="266.66666666666669"/>
    <n v="0"/>
    <n v="0"/>
    <n v="0.99875156054931347"/>
    <n v="266.66666666666669"/>
    <n v="0.53333333333333333"/>
    <n v="1.2484394506865337E-3"/>
    <n v="0.3333333333333045"/>
    <n v="0.46666666666666667"/>
    <n v="1"/>
    <x v="0"/>
    <n v="12"/>
    <n v="0.898876404494382"/>
    <n v="240"/>
    <n v="7.4906367041198504E-2"/>
    <n v="1"/>
    <n v="13"/>
    <n v="0"/>
    <n v="0"/>
    <n v="0"/>
    <n v="1"/>
    <n v="267"/>
    <n v="0"/>
    <n v="1"/>
    <n v="0"/>
    <n v="0"/>
    <n v="1"/>
    <n v="0"/>
    <n v="0"/>
    <n v="0"/>
    <n v="0"/>
    <n v="0"/>
    <n v="0"/>
    <s v="Yes"/>
    <s v="KMSS-MYT"/>
    <x v="0"/>
    <s v="Camp"/>
    <x v="0"/>
    <x v="0"/>
    <n v="25.60867"/>
    <n v="98.377780000000001"/>
    <s v="MMR001CMP210"/>
    <x v="0"/>
    <m/>
  </r>
  <r>
    <x v="0"/>
    <x v="2"/>
    <x v="0"/>
    <x v="3"/>
    <x v="94"/>
    <n v="147"/>
    <n v="777"/>
    <m/>
    <s v="OFDA"/>
    <d v="2018-04-30T00:00:00"/>
    <n v="0"/>
    <s v="Yes"/>
    <n v="0.6"/>
    <n v="0"/>
    <n v="0"/>
    <n v="4"/>
    <n v="1890000"/>
    <n v="0"/>
    <n v="0"/>
    <m/>
    <m/>
    <n v="9"/>
    <n v="9"/>
    <m/>
    <m/>
    <n v="45"/>
    <n v="0"/>
    <n v="26"/>
    <n v="0"/>
    <x v="0"/>
    <x v="0"/>
    <n v="0"/>
    <n v="0"/>
    <m/>
    <n v="1"/>
    <s v="Both"/>
    <n v="0"/>
    <n v="8"/>
    <n v="110"/>
    <n v="0"/>
    <m/>
    <m/>
    <m/>
    <s v="no test"/>
    <n v="1"/>
    <n v="1"/>
    <n v="1"/>
    <n v="1"/>
    <n v="777"/>
    <n v="0"/>
    <n v="0"/>
    <n v="1"/>
    <n v="777"/>
    <n v="1.554"/>
    <n v="0"/>
    <n v="0"/>
    <n v="0.44599999999999995"/>
    <n v="2"/>
    <x v="1"/>
    <n v="45"/>
    <n v="1"/>
    <n v="777"/>
    <n v="0"/>
    <n v="0"/>
    <n v="39"/>
    <n v="0"/>
    <n v="520"/>
    <n v="0"/>
    <n v="1"/>
    <n v="777"/>
    <n v="0"/>
    <n v="1"/>
    <n v="0"/>
    <n v="0"/>
    <n v="1"/>
    <n v="0"/>
    <n v="0"/>
    <n v="0"/>
    <n v="0"/>
    <n v="0"/>
    <n v="147"/>
    <s v="Yes"/>
    <s v="KBC"/>
    <x v="0"/>
    <s v="Camp"/>
    <x v="0"/>
    <x v="0"/>
    <n v="24.222349999999999"/>
    <n v="97.252650000000003"/>
    <s v="MMR001CMP193"/>
    <x v="0"/>
    <m/>
  </r>
  <r>
    <x v="0"/>
    <x v="0"/>
    <x v="0"/>
    <x v="2"/>
    <x v="95"/>
    <n v="89"/>
    <n v="550"/>
    <m/>
    <s v="DFID/UNICEF"/>
    <d v="2018-12-31T00:00:00"/>
    <n v="0"/>
    <s v="Yes"/>
    <n v="0.5"/>
    <n v="0.1"/>
    <n v="0"/>
    <n v="0"/>
    <n v="10000"/>
    <n v="0"/>
    <n v="10"/>
    <n v="0"/>
    <n v="0"/>
    <n v="0"/>
    <n v="0"/>
    <n v="0"/>
    <m/>
    <n v="98"/>
    <n v="0"/>
    <n v="0"/>
    <n v="27"/>
    <x v="0"/>
    <x v="2"/>
    <n v="0"/>
    <n v="0"/>
    <m/>
    <n v="0"/>
    <s v="Communal"/>
    <n v="0"/>
    <n v="2"/>
    <n v="2"/>
    <n v="0"/>
    <n v="0"/>
    <s v="No"/>
    <m/>
    <s v="no test"/>
    <s v="no test"/>
    <n v="1"/>
    <n v="1"/>
    <n v="1"/>
    <n v="550"/>
    <n v="0"/>
    <n v="0"/>
    <n v="1"/>
    <n v="550"/>
    <n v="1.1000000000000001"/>
    <n v="0"/>
    <n v="0"/>
    <n v="0"/>
    <n v="1"/>
    <x v="0"/>
    <n v="98"/>
    <n v="1"/>
    <n v="550"/>
    <n v="0"/>
    <n v="0"/>
    <n v="28"/>
    <n v="0"/>
    <n v="0"/>
    <n v="0"/>
    <n v="1"/>
    <n v="550"/>
    <n v="0"/>
    <n v="1"/>
    <n v="0"/>
    <n v="0"/>
    <n v="1"/>
    <n v="0"/>
    <n v="0"/>
    <n v="0"/>
    <n v="0"/>
    <n v="0"/>
    <n v="0"/>
    <s v="Yes"/>
    <s v="KMSS-MYT"/>
    <x v="0"/>
    <s v="Camp"/>
    <x v="0"/>
    <x v="1"/>
    <n v="25.265277999999999"/>
    <n v="97.990555999999998"/>
    <s v="MMR001CMP160"/>
    <x v="0"/>
    <m/>
  </r>
  <r>
    <x v="0"/>
    <x v="4"/>
    <x v="0"/>
    <x v="2"/>
    <x v="96"/>
    <n v="115"/>
    <n v="460"/>
    <m/>
    <s v="OFDA"/>
    <d v="2017-07-31T00:00:00"/>
    <n v="0"/>
    <s v="Yes"/>
    <n v="0.6"/>
    <n v="1"/>
    <n v="5"/>
    <n v="0"/>
    <n v="1000"/>
    <n v="0"/>
    <n v="3"/>
    <n v="0"/>
    <n v="0"/>
    <n v="0"/>
    <n v="0"/>
    <n v="0"/>
    <m/>
    <n v="4"/>
    <n v="0"/>
    <n v="6"/>
    <n v="4"/>
    <x v="0"/>
    <x v="0"/>
    <n v="0"/>
    <n v="0"/>
    <m/>
    <n v="0.5"/>
    <s v="Communal"/>
    <n v="0"/>
    <n v="2"/>
    <n v="0"/>
    <n v="0"/>
    <n v="0"/>
    <m/>
    <m/>
    <s v="no test"/>
    <s v="no test"/>
    <n v="1"/>
    <n v="1"/>
    <n v="1"/>
    <n v="460"/>
    <n v="0"/>
    <n v="0"/>
    <n v="1"/>
    <n v="460"/>
    <n v="0.92"/>
    <n v="0"/>
    <n v="0"/>
    <n v="7.999999999999996E-2"/>
    <n v="1"/>
    <x v="0"/>
    <n v="4"/>
    <n v="0.17391304347826086"/>
    <n v="80"/>
    <n v="0.82608695652173914"/>
    <n v="19"/>
    <n v="23"/>
    <n v="0"/>
    <n v="120"/>
    <n v="0"/>
    <n v="1"/>
    <n v="0"/>
    <n v="0"/>
    <n v="0"/>
    <n v="0"/>
    <n v="0"/>
    <n v="0"/>
    <n v="0"/>
    <n v="0"/>
    <n v="0"/>
    <n v="0"/>
    <n v="0"/>
    <n v="57.5"/>
    <s v="Yes"/>
    <s v="Shalom"/>
    <x v="0"/>
    <s v="Camp"/>
    <x v="0"/>
    <x v="0"/>
    <n v="25.3540362037037"/>
    <n v="97.441166388888902"/>
    <s v="MMR001CMP032"/>
    <x v="0"/>
    <m/>
  </r>
  <r>
    <x v="0"/>
    <x v="6"/>
    <x v="0"/>
    <x v="2"/>
    <x v="97"/>
    <n v="64"/>
    <n v="322"/>
    <m/>
    <s v="Plan/GFFO,ADRA/CANADA  "/>
    <d v="2019-03-31T00:00:00"/>
    <n v="0"/>
    <s v="Yes"/>
    <n v="0.6"/>
    <n v="0.5"/>
    <n v="1"/>
    <n v="0"/>
    <n v="0"/>
    <n v="0"/>
    <n v="0"/>
    <n v="0"/>
    <n v="0"/>
    <n v="0"/>
    <n v="0"/>
    <n v="0"/>
    <m/>
    <n v="10"/>
    <n v="0"/>
    <n v="0"/>
    <n v="0"/>
    <x v="0"/>
    <x v="0"/>
    <m/>
    <m/>
    <m/>
    <n v="0.6"/>
    <s v="Communal"/>
    <n v="0"/>
    <n v="2"/>
    <n v="1"/>
    <n v="0"/>
    <n v="0"/>
    <m/>
    <m/>
    <s v="no test"/>
    <s v="no test"/>
    <n v="1"/>
    <n v="0.77639751552795033"/>
    <n v="1"/>
    <n v="322"/>
    <n v="0"/>
    <n v="0"/>
    <n v="1"/>
    <n v="322"/>
    <n v="0.64400000000000002"/>
    <n v="0"/>
    <n v="0"/>
    <n v="0.35599999999999998"/>
    <n v="1"/>
    <x v="0"/>
    <n v="10"/>
    <n v="0.6211180124223602"/>
    <n v="199.99999999999997"/>
    <n v="0.37267080745341613"/>
    <n v="6"/>
    <n v="16"/>
    <n v="0"/>
    <n v="0"/>
    <n v="0"/>
    <n v="1"/>
    <n v="322"/>
    <n v="0"/>
    <n v="1"/>
    <n v="0"/>
    <n v="0"/>
    <n v="1"/>
    <n v="0"/>
    <n v="0"/>
    <n v="0"/>
    <n v="0"/>
    <n v="0"/>
    <n v="38.4"/>
    <s v="Yes"/>
    <s v="KBC"/>
    <x v="0"/>
    <s v="Camp"/>
    <x v="0"/>
    <x v="0"/>
    <n v="25.351724999999998"/>
    <n v="97.438432380952406"/>
    <s v="MMR001CMP025"/>
    <x v="0"/>
    <m/>
  </r>
  <r>
    <x v="0"/>
    <x v="4"/>
    <x v="0"/>
    <x v="2"/>
    <x v="98"/>
    <n v="29"/>
    <n v="159"/>
    <m/>
    <s v="OFDA"/>
    <d v="2017-07-31T00:00:00"/>
    <n v="0"/>
    <s v="Yes"/>
    <n v="0.8"/>
    <n v="1"/>
    <n v="2"/>
    <n v="0"/>
    <n v="2000"/>
    <n v="0"/>
    <n v="2"/>
    <n v="0"/>
    <n v="0"/>
    <n v="0"/>
    <n v="0"/>
    <n v="0"/>
    <m/>
    <n v="3"/>
    <n v="1"/>
    <n v="9"/>
    <n v="3"/>
    <x v="0"/>
    <x v="2"/>
    <n v="0"/>
    <n v="0"/>
    <m/>
    <n v="0.5"/>
    <s v="Communal"/>
    <n v="0"/>
    <n v="5"/>
    <n v="0"/>
    <n v="0"/>
    <n v="0"/>
    <m/>
    <m/>
    <s v="no test"/>
    <s v="no test"/>
    <n v="1"/>
    <n v="1"/>
    <n v="1"/>
    <n v="159"/>
    <n v="0"/>
    <n v="0"/>
    <n v="1"/>
    <n v="159"/>
    <n v="0.318"/>
    <n v="0"/>
    <n v="0"/>
    <n v="0.68199999999999994"/>
    <n v="1"/>
    <x v="0"/>
    <n v="4"/>
    <n v="0.37735849056603776"/>
    <n v="60.000000000000007"/>
    <n v="0.50314465408805031"/>
    <n v="4"/>
    <n v="8"/>
    <n v="0.25"/>
    <n v="159"/>
    <n v="0"/>
    <n v="1"/>
    <n v="0"/>
    <n v="0"/>
    <n v="0"/>
    <n v="0"/>
    <n v="0"/>
    <n v="0"/>
    <n v="0"/>
    <n v="0"/>
    <n v="0"/>
    <n v="0"/>
    <n v="0"/>
    <n v="14.5"/>
    <s v="Yes"/>
    <s v="Shalom"/>
    <x v="0"/>
    <s v="Camp"/>
    <x v="0"/>
    <x v="0"/>
    <n v="25.345918166666699"/>
    <n v="97.437472666666693"/>
    <s v="MMR001CMP030"/>
    <x v="0"/>
    <m/>
  </r>
  <r>
    <x v="0"/>
    <x v="4"/>
    <x v="0"/>
    <x v="2"/>
    <x v="99"/>
    <n v="90"/>
    <n v="492"/>
    <m/>
    <s v="OFDA"/>
    <d v="2017-07-31T00:00:00"/>
    <n v="0"/>
    <s v="Yes"/>
    <n v="0.75"/>
    <n v="1"/>
    <n v="1"/>
    <n v="0"/>
    <n v="2000"/>
    <n v="0"/>
    <n v="3"/>
    <n v="0"/>
    <n v="0"/>
    <n v="0"/>
    <n v="0"/>
    <n v="0"/>
    <m/>
    <n v="16"/>
    <n v="3"/>
    <n v="6"/>
    <n v="16"/>
    <x v="0"/>
    <x v="0"/>
    <n v="0"/>
    <n v="0"/>
    <m/>
    <n v="0.5"/>
    <s v="Communal"/>
    <n v="0"/>
    <n v="4"/>
    <n v="0"/>
    <n v="0"/>
    <n v="0"/>
    <m/>
    <m/>
    <s v="no test"/>
    <s v="no test"/>
    <n v="1"/>
    <n v="0.77913279132791335"/>
    <n v="1"/>
    <n v="492"/>
    <n v="0"/>
    <n v="0"/>
    <n v="1"/>
    <n v="492"/>
    <n v="0.98399999999999999"/>
    <n v="0"/>
    <n v="0"/>
    <n v="1.6000000000000014E-2"/>
    <n v="1"/>
    <x v="0"/>
    <n v="19"/>
    <n v="0.65040650406504064"/>
    <n v="320"/>
    <n v="0.24390243902439024"/>
    <n v="6"/>
    <n v="25"/>
    <n v="0.15789473684210525"/>
    <n v="120"/>
    <n v="0"/>
    <n v="1"/>
    <n v="0"/>
    <n v="0"/>
    <n v="0"/>
    <n v="0"/>
    <n v="0"/>
    <n v="0"/>
    <n v="0"/>
    <n v="0"/>
    <n v="0"/>
    <n v="0"/>
    <n v="0"/>
    <n v="45"/>
    <s v="Yes"/>
    <s v="Shalom"/>
    <x v="0"/>
    <s v="Camp"/>
    <x v="0"/>
    <x v="0"/>
    <n v="25.350809000000002"/>
    <n v="97.432495000000003"/>
    <s v="MMR001CMP026"/>
    <x v="0"/>
    <m/>
  </r>
  <r>
    <x v="0"/>
    <x v="4"/>
    <x v="0"/>
    <x v="8"/>
    <x v="100"/>
    <n v="10"/>
    <n v="37"/>
    <m/>
    <s v="OFDA"/>
    <d v="2017-07-31T00:00:00"/>
    <n v="0"/>
    <s v="Yes"/>
    <n v="0.5"/>
    <n v="0"/>
    <n v="1"/>
    <n v="1"/>
    <n v="0"/>
    <n v="0"/>
    <n v="2"/>
    <n v="0"/>
    <n v="0"/>
    <n v="0"/>
    <n v="0"/>
    <n v="0"/>
    <m/>
    <n v="2"/>
    <n v="2"/>
    <n v="0"/>
    <n v="2"/>
    <x v="0"/>
    <x v="0"/>
    <n v="0"/>
    <n v="0"/>
    <m/>
    <n v="0.5"/>
    <s v="Communal"/>
    <n v="0"/>
    <n v="2"/>
    <n v="0"/>
    <n v="0"/>
    <n v="0"/>
    <m/>
    <m/>
    <s v="no test"/>
    <s v="no test"/>
    <n v="1"/>
    <n v="1"/>
    <n v="1"/>
    <n v="37"/>
    <n v="0"/>
    <n v="0"/>
    <n v="1"/>
    <n v="37"/>
    <n v="7.3999999999999996E-2"/>
    <n v="0"/>
    <n v="0"/>
    <n v="0.92600000000000005"/>
    <n v="1"/>
    <x v="0"/>
    <n v="4"/>
    <n v="1"/>
    <n v="37"/>
    <n v="0"/>
    <n v="0"/>
    <n v="2"/>
    <n v="0.5"/>
    <n v="0"/>
    <n v="0"/>
    <n v="1"/>
    <n v="0"/>
    <n v="0"/>
    <n v="0"/>
    <n v="0"/>
    <n v="0"/>
    <n v="0"/>
    <n v="0"/>
    <n v="0"/>
    <n v="0"/>
    <n v="0"/>
    <n v="0"/>
    <n v="5"/>
    <s v="Yes"/>
    <s v="Shalom"/>
    <x v="0"/>
    <s v="Camp"/>
    <x v="0"/>
    <x v="0"/>
    <n v="25.56551"/>
    <n v="96.279200000000003"/>
    <s v="MMR001CMP182"/>
    <x v="0"/>
    <m/>
  </r>
  <r>
    <x v="0"/>
    <x v="2"/>
    <x v="0"/>
    <x v="3"/>
    <x v="101"/>
    <n v="637"/>
    <n v="3974"/>
    <m/>
    <s v="OFDA"/>
    <d v="2018-04-30T00:00:00"/>
    <n v="0"/>
    <s v="Yes"/>
    <n v="0.63"/>
    <n v="0"/>
    <n v="0"/>
    <n v="22"/>
    <n v="1452600"/>
    <n v="0"/>
    <n v="0"/>
    <m/>
    <m/>
    <n v="9"/>
    <n v="5"/>
    <m/>
    <m/>
    <n v="160"/>
    <n v="0"/>
    <n v="75"/>
    <n v="0"/>
    <x v="0"/>
    <x v="0"/>
    <n v="0"/>
    <n v="0"/>
    <m/>
    <n v="1"/>
    <s v="Both"/>
    <n v="0"/>
    <n v="12"/>
    <n v="477"/>
    <n v="0"/>
    <m/>
    <m/>
    <m/>
    <s v="no test"/>
    <n v="0.55555555555555558"/>
    <n v="1"/>
    <n v="1"/>
    <n v="1"/>
    <n v="3974"/>
    <n v="0"/>
    <n v="0"/>
    <n v="1"/>
    <n v="3974"/>
    <n v="7.9480000000000004"/>
    <n v="0"/>
    <n v="0"/>
    <n v="5.1999999999999602E-2"/>
    <n v="8"/>
    <x v="1"/>
    <n v="160"/>
    <n v="0.80523402113739306"/>
    <n v="3200"/>
    <n v="0.19627579265223957"/>
    <n v="39"/>
    <n v="199"/>
    <n v="0"/>
    <n v="1500"/>
    <n v="0"/>
    <n v="1"/>
    <n v="3974"/>
    <n v="0"/>
    <n v="1"/>
    <n v="0"/>
    <n v="0"/>
    <n v="1"/>
    <n v="0"/>
    <n v="0"/>
    <n v="0"/>
    <n v="0"/>
    <n v="0"/>
    <n v="637"/>
    <s v="Yes"/>
    <s v="KBC"/>
    <x v="0"/>
    <s v="Camp"/>
    <x v="0"/>
    <x v="0"/>
    <n v="24.268292826086999"/>
    <n v="97.229116811594196"/>
    <s v="MMR001CMP047"/>
    <x v="0"/>
    <m/>
  </r>
  <r>
    <x v="0"/>
    <x v="4"/>
    <x v="0"/>
    <x v="8"/>
    <x v="102"/>
    <n v="8"/>
    <n v="25"/>
    <m/>
    <s v="OFDA"/>
    <d v="2017-07-31T00:00:00"/>
    <n v="0"/>
    <s v="Yes"/>
    <n v="0"/>
    <n v="0"/>
    <n v="1"/>
    <n v="0"/>
    <n v="1000"/>
    <n v="0"/>
    <n v="1"/>
    <n v="0"/>
    <n v="0"/>
    <n v="0"/>
    <n v="0"/>
    <n v="0"/>
    <m/>
    <n v="0"/>
    <n v="0"/>
    <n v="0"/>
    <n v="0"/>
    <x v="0"/>
    <x v="2"/>
    <n v="0"/>
    <n v="0"/>
    <m/>
    <n v="0.6"/>
    <s v="Communal"/>
    <n v="0"/>
    <n v="0"/>
    <n v="0"/>
    <n v="0"/>
    <n v="0"/>
    <m/>
    <m/>
    <s v="no test"/>
    <s v="no test"/>
    <n v="1"/>
    <n v="1"/>
    <n v="1"/>
    <n v="25"/>
    <n v="0"/>
    <n v="0"/>
    <n v="1"/>
    <n v="25"/>
    <n v="0.05"/>
    <n v="0"/>
    <n v="0"/>
    <n v="0.95"/>
    <n v="1"/>
    <x v="0"/>
    <n v="0"/>
    <n v="0"/>
    <n v="0"/>
    <n v="0.8"/>
    <n v="1"/>
    <n v="1"/>
    <n v="0"/>
    <n v="0"/>
    <n v="0"/>
    <n v="1"/>
    <n v="0"/>
    <n v="0"/>
    <n v="0"/>
    <n v="0"/>
    <n v="0"/>
    <n v="0"/>
    <n v="0"/>
    <n v="0"/>
    <n v="0"/>
    <n v="0"/>
    <n v="0"/>
    <n v="4.8"/>
    <s v="Yes"/>
    <s v="KBC"/>
    <x v="0"/>
    <s v="Camp"/>
    <x v="4"/>
    <x v="0"/>
    <n v="25.668399999999998"/>
    <n v="96.353030000000004"/>
    <s v="MMR001CMP183"/>
    <x v="0"/>
    <m/>
  </r>
  <r>
    <x v="0"/>
    <x v="6"/>
    <x v="0"/>
    <x v="7"/>
    <x v="103"/>
    <n v="68"/>
    <n v="268"/>
    <m/>
    <s v="ADRA/CANADA"/>
    <d v="2018-01-31T00:00:00"/>
    <n v="0"/>
    <s v="Yes"/>
    <n v="0.4"/>
    <n v="0.5"/>
    <n v="0"/>
    <n v="0"/>
    <n v="0"/>
    <n v="0"/>
    <n v="0"/>
    <n v="0"/>
    <n v="0"/>
    <n v="0"/>
    <n v="0"/>
    <n v="0"/>
    <m/>
    <n v="65"/>
    <n v="0"/>
    <n v="0"/>
    <n v="0"/>
    <x v="2"/>
    <x v="0"/>
    <m/>
    <m/>
    <m/>
    <n v="0.2"/>
    <s v="Household"/>
    <n v="0"/>
    <n v="0"/>
    <n v="1"/>
    <n v="0"/>
    <n v="0"/>
    <m/>
    <m/>
    <s v="no test"/>
    <s v="no test"/>
    <n v="0"/>
    <n v="0"/>
    <n v="0"/>
    <n v="0"/>
    <n v="0"/>
    <n v="0"/>
    <n v="0"/>
    <n v="0"/>
    <n v="0"/>
    <n v="1"/>
    <n v="268"/>
    <n v="1"/>
    <n v="1"/>
    <x v="0"/>
    <n v="65"/>
    <n v="1"/>
    <n v="268"/>
    <n v="0"/>
    <n v="0"/>
    <n v="13"/>
    <n v="0"/>
    <n v="0"/>
    <n v="0"/>
    <n v="1"/>
    <n v="268"/>
    <n v="0"/>
    <n v="1"/>
    <n v="0"/>
    <n v="0"/>
    <n v="1"/>
    <n v="0"/>
    <n v="0"/>
    <n v="0"/>
    <n v="0"/>
    <n v="0"/>
    <n v="13.600000000000001"/>
    <s v="Yes"/>
    <s v="KBC"/>
    <x v="0"/>
    <s v="Camp"/>
    <x v="0"/>
    <x v="1"/>
    <n v="26.548506"/>
    <n v="97.75609"/>
    <s v="MMR001CMP239"/>
    <x v="0"/>
    <m/>
  </r>
  <r>
    <x v="0"/>
    <x v="6"/>
    <x v="0"/>
    <x v="11"/>
    <x v="104"/>
    <n v="28"/>
    <n v="129"/>
    <m/>
    <s v="ADRA/CANADA"/>
    <d v="2018-01-31T00:00:00"/>
    <n v="0"/>
    <s v="Yes"/>
    <n v="0.8"/>
    <n v="0.8"/>
    <n v="1"/>
    <n v="2"/>
    <n v="3000"/>
    <n v="0"/>
    <n v="0"/>
    <n v="0"/>
    <n v="0"/>
    <n v="0"/>
    <n v="0"/>
    <n v="0"/>
    <m/>
    <n v="8"/>
    <n v="0"/>
    <n v="0"/>
    <n v="0"/>
    <x v="0"/>
    <x v="2"/>
    <m/>
    <m/>
    <m/>
    <n v="0.6"/>
    <s v="Communal"/>
    <n v="0"/>
    <n v="2"/>
    <n v="1"/>
    <n v="0"/>
    <n v="0"/>
    <m/>
    <m/>
    <s v="no test"/>
    <s v="no test"/>
    <n v="1"/>
    <n v="1"/>
    <n v="1"/>
    <n v="129"/>
    <n v="0"/>
    <n v="0"/>
    <n v="1"/>
    <n v="129"/>
    <n v="0.25800000000000001"/>
    <n v="0"/>
    <n v="0"/>
    <n v="0.74199999999999999"/>
    <n v="1"/>
    <x v="0"/>
    <n v="8"/>
    <n v="1"/>
    <n v="129"/>
    <n v="0"/>
    <n v="0"/>
    <n v="6"/>
    <n v="0"/>
    <n v="0"/>
    <n v="0"/>
    <n v="1"/>
    <n v="129"/>
    <n v="0"/>
    <n v="1"/>
    <n v="0"/>
    <n v="0"/>
    <n v="1"/>
    <n v="0"/>
    <n v="0"/>
    <n v="0"/>
    <n v="0"/>
    <n v="0"/>
    <n v="16.8"/>
    <s v="Yes"/>
    <s v="KBC"/>
    <x v="0"/>
    <s v="Camp"/>
    <x v="0"/>
    <x v="0"/>
    <n v="25.225000000000001"/>
    <n v="96.793999999999997"/>
    <s v="MMR001CMP236"/>
    <x v="0"/>
    <m/>
  </r>
  <r>
    <x v="0"/>
    <x v="0"/>
    <x v="0"/>
    <x v="9"/>
    <x v="105"/>
    <n v="30"/>
    <n v="173"/>
    <m/>
    <s v="DFID / UNICEF "/>
    <d v="2018-12-31T00:00:00"/>
    <n v="0"/>
    <s v="Yes"/>
    <n v="0.4"/>
    <n v="0.3"/>
    <n v="0"/>
    <n v="0"/>
    <n v="2000"/>
    <n v="0"/>
    <n v="2"/>
    <n v="0"/>
    <n v="0"/>
    <n v="0"/>
    <n v="0"/>
    <n v="0"/>
    <m/>
    <n v="10"/>
    <n v="0"/>
    <n v="0"/>
    <n v="0"/>
    <x v="0"/>
    <x v="2"/>
    <n v="0"/>
    <n v="0"/>
    <m/>
    <n v="0"/>
    <s v="Communal"/>
    <n v="0"/>
    <n v="0"/>
    <n v="1"/>
    <n v="0"/>
    <n v="0"/>
    <s v="No"/>
    <m/>
    <s v="no test"/>
    <s v="no test"/>
    <n v="0.77071290944123316"/>
    <n v="0.77071290944123316"/>
    <n v="0.77071290944123316"/>
    <n v="133.33333333333334"/>
    <n v="0"/>
    <n v="0"/>
    <n v="0.77071290944123316"/>
    <n v="133.33333333333334"/>
    <n v="0.26666666666666666"/>
    <n v="0.22928709055876684"/>
    <n v="39.666666666666664"/>
    <n v="0.73333333333333339"/>
    <n v="1"/>
    <x v="0"/>
    <n v="10"/>
    <n v="1"/>
    <n v="173"/>
    <n v="0"/>
    <n v="0"/>
    <n v="9"/>
    <n v="0"/>
    <n v="0"/>
    <n v="0"/>
    <n v="1"/>
    <n v="173"/>
    <n v="0"/>
    <n v="1"/>
    <n v="0"/>
    <n v="0"/>
    <n v="1"/>
    <n v="0"/>
    <n v="0"/>
    <n v="0"/>
    <n v="0"/>
    <n v="0"/>
    <n v="0"/>
    <s v="Yes"/>
    <s v="KMSS-MYT"/>
    <x v="0"/>
    <s v="Camp"/>
    <x v="0"/>
    <x v="0"/>
    <n v="25.645959999999999"/>
    <n v="98.356260000000006"/>
    <s v="MMR001CMP225"/>
    <x v="0"/>
    <m/>
  </r>
  <r>
    <x v="0"/>
    <x v="2"/>
    <x v="0"/>
    <x v="1"/>
    <x v="106"/>
    <n v="77"/>
    <n v="485"/>
    <m/>
    <s v="OFDA"/>
    <d v="2018-04-30T00:00:00"/>
    <n v="0"/>
    <s v="Yes"/>
    <n v="1"/>
    <n v="0"/>
    <n v="1"/>
    <n v="1"/>
    <n v="73500"/>
    <n v="0"/>
    <n v="0"/>
    <m/>
    <n v="0"/>
    <n v="6"/>
    <n v="6"/>
    <n v="0"/>
    <m/>
    <n v="27"/>
    <n v="0"/>
    <n v="21"/>
    <n v="0"/>
    <x v="0"/>
    <x v="0"/>
    <n v="0"/>
    <n v="0"/>
    <m/>
    <n v="1"/>
    <s v="Both"/>
    <n v="0"/>
    <n v="2"/>
    <n v="2"/>
    <n v="57"/>
    <n v="0"/>
    <s v="No"/>
    <m/>
    <s v="no test"/>
    <n v="1"/>
    <n v="1"/>
    <n v="1"/>
    <n v="1"/>
    <n v="485"/>
    <n v="0"/>
    <n v="0"/>
    <n v="1"/>
    <n v="485"/>
    <n v="0.97"/>
    <n v="0"/>
    <n v="0"/>
    <n v="3.0000000000000027E-2"/>
    <n v="1"/>
    <x v="1"/>
    <n v="27"/>
    <n v="1"/>
    <n v="485"/>
    <n v="0"/>
    <n v="0"/>
    <n v="24"/>
    <n v="0"/>
    <n v="420"/>
    <n v="0"/>
    <n v="1"/>
    <n v="485"/>
    <n v="0"/>
    <n v="1"/>
    <n v="0"/>
    <n v="0"/>
    <n v="1"/>
    <n v="0.74025974025974028"/>
    <n v="0"/>
    <n v="285"/>
    <n v="0"/>
    <n v="285"/>
    <n v="77"/>
    <s v="Yes"/>
    <s v="KBC"/>
    <x v="0"/>
    <s v="Camp"/>
    <x v="0"/>
    <x v="0"/>
    <n v="24.207332999999998"/>
    <n v="97.710864000000001"/>
    <s v="MMR001CMP073"/>
    <x v="0"/>
    <m/>
  </r>
  <r>
    <x v="0"/>
    <x v="6"/>
    <x v="0"/>
    <x v="2"/>
    <x v="107"/>
    <n v="413"/>
    <n v="1893"/>
    <m/>
    <s v="Plan/GFFO,ADRA/CANADA  "/>
    <d v="2019-03-31T00:00:00"/>
    <n v="0"/>
    <s v="Yes"/>
    <n v="0.8"/>
    <n v="0.5"/>
    <n v="0"/>
    <n v="0"/>
    <n v="38880"/>
    <n v="0"/>
    <n v="0"/>
    <n v="0"/>
    <n v="0"/>
    <n v="0"/>
    <n v="0"/>
    <n v="0"/>
    <m/>
    <n v="413"/>
    <n v="0"/>
    <n v="0"/>
    <n v="0"/>
    <x v="0"/>
    <x v="0"/>
    <m/>
    <n v="30"/>
    <m/>
    <n v="1"/>
    <s v="Household"/>
    <n v="400"/>
    <n v="9"/>
    <n v="6"/>
    <n v="0"/>
    <n v="0"/>
    <m/>
    <m/>
    <s v="no test"/>
    <s v="no test"/>
    <n v="1"/>
    <n v="1"/>
    <n v="1"/>
    <n v="1893"/>
    <n v="0"/>
    <n v="0"/>
    <n v="1"/>
    <n v="1893"/>
    <n v="3.786"/>
    <n v="0"/>
    <n v="0"/>
    <n v="0.21399999999999997"/>
    <n v="4"/>
    <x v="0"/>
    <n v="413"/>
    <n v="1"/>
    <n v="1893"/>
    <n v="0"/>
    <n v="0"/>
    <n v="95"/>
    <n v="0"/>
    <n v="0"/>
    <n v="0"/>
    <n v="1"/>
    <n v="1893"/>
    <n v="0"/>
    <n v="1"/>
    <n v="0"/>
    <n v="0"/>
    <n v="1"/>
    <n v="0"/>
    <n v="0"/>
    <n v="0"/>
    <n v="0"/>
    <n v="0"/>
    <n v="413"/>
    <s v="Yes"/>
    <s v="KBC"/>
    <x v="0"/>
    <s v="Camp"/>
    <x v="0"/>
    <x v="1"/>
    <n v="0"/>
    <n v="0"/>
    <s v="MMR001CMP249"/>
    <x v="0"/>
    <m/>
  </r>
  <r>
    <x v="0"/>
    <x v="6"/>
    <x v="0"/>
    <x v="8"/>
    <x v="108"/>
    <n v="30"/>
    <n v="120"/>
    <m/>
    <s v="ADRA/CANADA"/>
    <d v="2018-01-31T00:00:00"/>
    <n v="0"/>
    <s v="Yes"/>
    <n v="0.4"/>
    <n v="0.5"/>
    <n v="1"/>
    <n v="1"/>
    <n v="0"/>
    <n v="0"/>
    <n v="0"/>
    <n v="0"/>
    <n v="0"/>
    <n v="0"/>
    <n v="0"/>
    <n v="0"/>
    <m/>
    <n v="8"/>
    <n v="0"/>
    <n v="0"/>
    <n v="0"/>
    <x v="2"/>
    <x v="2"/>
    <m/>
    <m/>
    <m/>
    <n v="0.2"/>
    <s v="Communal"/>
    <n v="0"/>
    <n v="2"/>
    <n v="1"/>
    <n v="0"/>
    <n v="0"/>
    <m/>
    <m/>
    <s v="no test"/>
    <s v="no test"/>
    <n v="1"/>
    <n v="1"/>
    <n v="1"/>
    <n v="120"/>
    <n v="0"/>
    <n v="0"/>
    <n v="1"/>
    <n v="120"/>
    <n v="0.24"/>
    <n v="0"/>
    <n v="0"/>
    <n v="0.76"/>
    <n v="1"/>
    <x v="0"/>
    <n v="8"/>
    <n v="1"/>
    <n v="120"/>
    <n v="0"/>
    <n v="0"/>
    <n v="6"/>
    <n v="0"/>
    <n v="0"/>
    <n v="0"/>
    <n v="1"/>
    <n v="120"/>
    <n v="0"/>
    <n v="1"/>
    <n v="0"/>
    <n v="0"/>
    <n v="1"/>
    <n v="0"/>
    <n v="0"/>
    <n v="0"/>
    <n v="0"/>
    <n v="0"/>
    <n v="6"/>
    <s v="Yes"/>
    <s v="KBC"/>
    <x v="0"/>
    <s v="Camp"/>
    <x v="0"/>
    <x v="0"/>
    <n v="25.920006000000001"/>
    <n v="96.662092000000001"/>
    <s v="MMR001CMP244"/>
    <x v="0"/>
    <m/>
  </r>
  <r>
    <x v="0"/>
    <x v="6"/>
    <x v="0"/>
    <x v="8"/>
    <x v="109"/>
    <n v="6"/>
    <n v="15"/>
    <m/>
    <s v="ADRA/CANADA"/>
    <d v="2018-01-31T00:00:00"/>
    <n v="0"/>
    <s v="Yes"/>
    <n v="0.4"/>
    <n v="0.5"/>
    <n v="0"/>
    <n v="1"/>
    <n v="0"/>
    <n v="0"/>
    <n v="0"/>
    <n v="0"/>
    <n v="0"/>
    <n v="0"/>
    <n v="0"/>
    <n v="0"/>
    <m/>
    <n v="2"/>
    <n v="0"/>
    <n v="0"/>
    <n v="0"/>
    <x v="2"/>
    <x v="0"/>
    <m/>
    <m/>
    <m/>
    <n v="0.2"/>
    <s v="Communal"/>
    <n v="0"/>
    <n v="1"/>
    <n v="1"/>
    <n v="0"/>
    <n v="0"/>
    <m/>
    <m/>
    <s v="no test"/>
    <s v="no test"/>
    <n v="1"/>
    <n v="1"/>
    <n v="1"/>
    <n v="15"/>
    <n v="0"/>
    <n v="0"/>
    <n v="1"/>
    <n v="15"/>
    <n v="0.03"/>
    <n v="0"/>
    <n v="0"/>
    <n v="0.97"/>
    <n v="1"/>
    <x v="0"/>
    <n v="2"/>
    <n v="1"/>
    <n v="15"/>
    <n v="0"/>
    <n v="0"/>
    <n v="1"/>
    <n v="0"/>
    <n v="0"/>
    <n v="0"/>
    <n v="1"/>
    <n v="15"/>
    <n v="0"/>
    <n v="1"/>
    <n v="0"/>
    <n v="0"/>
    <n v="1"/>
    <n v="0"/>
    <n v="0"/>
    <n v="0"/>
    <n v="0"/>
    <n v="0"/>
    <n v="1.2000000000000002"/>
    <s v="Yes"/>
    <s v="KMSS-MYT"/>
    <x v="0"/>
    <s v="Camp"/>
    <x v="0"/>
    <x v="0"/>
    <n v="25.920006000000001"/>
    <n v="96.662092000000001"/>
    <s v="MMR001CMP246"/>
    <x v="0"/>
    <m/>
  </r>
  <r>
    <x v="0"/>
    <x v="6"/>
    <x v="0"/>
    <x v="10"/>
    <x v="110"/>
    <n v="119"/>
    <n v="569"/>
    <m/>
    <s v="Plan/GFFO,ADRA/CANADA  "/>
    <d v="2019-03-31T00:00:00"/>
    <n v="0"/>
    <s v="Yes"/>
    <n v="0.6"/>
    <n v="0.5"/>
    <n v="1"/>
    <n v="1"/>
    <n v="3000"/>
    <n v="0"/>
    <n v="0"/>
    <n v="0"/>
    <n v="0"/>
    <n v="0"/>
    <n v="0"/>
    <n v="0"/>
    <m/>
    <n v="13"/>
    <n v="0"/>
    <n v="0"/>
    <n v="0"/>
    <x v="0"/>
    <x v="0"/>
    <m/>
    <m/>
    <m/>
    <n v="0.6"/>
    <s v="Both"/>
    <n v="0"/>
    <n v="2"/>
    <n v="2"/>
    <n v="0"/>
    <n v="0"/>
    <m/>
    <m/>
    <s v="no test"/>
    <s v="no test"/>
    <n v="1"/>
    <n v="1"/>
    <n v="1"/>
    <n v="569"/>
    <n v="0"/>
    <n v="0"/>
    <n v="1"/>
    <n v="569"/>
    <n v="1.1379999999999999"/>
    <n v="0"/>
    <n v="0"/>
    <n v="0"/>
    <n v="1"/>
    <x v="0"/>
    <n v="13"/>
    <n v="0.45694200351493847"/>
    <n v="260"/>
    <n v="0.52724077328646746"/>
    <n v="15"/>
    <n v="28"/>
    <n v="0"/>
    <n v="0"/>
    <n v="0"/>
    <n v="1"/>
    <n v="569"/>
    <n v="0"/>
    <n v="1"/>
    <n v="0"/>
    <n v="0"/>
    <n v="1"/>
    <n v="0"/>
    <n v="0"/>
    <n v="0"/>
    <n v="0"/>
    <n v="0"/>
    <n v="71.399999999999991"/>
    <s v="Yes"/>
    <s v="KBC"/>
    <x v="0"/>
    <s v="Camp"/>
    <x v="0"/>
    <x v="0"/>
    <n v="25.412313000000001"/>
    <n v="97.399628000000007"/>
    <s v="MMR001CMP006"/>
    <x v="0"/>
    <m/>
  </r>
  <r>
    <x v="0"/>
    <x v="4"/>
    <x v="0"/>
    <x v="10"/>
    <x v="111"/>
    <n v="23"/>
    <n v="114"/>
    <m/>
    <s v="OFDA"/>
    <d v="2017-07-31T00:00:00"/>
    <n v="0"/>
    <s v="Yes"/>
    <n v="0.71"/>
    <n v="1"/>
    <n v="1"/>
    <n v="0"/>
    <n v="0"/>
    <n v="0"/>
    <n v="2"/>
    <n v="0"/>
    <n v="0"/>
    <n v="0"/>
    <n v="0"/>
    <n v="0"/>
    <m/>
    <n v="7"/>
    <n v="0"/>
    <n v="0"/>
    <n v="7"/>
    <x v="0"/>
    <x v="2"/>
    <n v="0"/>
    <n v="0"/>
    <m/>
    <n v="0.6"/>
    <s v="Communal"/>
    <n v="0"/>
    <n v="2"/>
    <n v="0"/>
    <n v="0"/>
    <n v="0"/>
    <m/>
    <m/>
    <s v="no test"/>
    <s v="no test"/>
    <n v="1"/>
    <n v="1"/>
    <n v="1"/>
    <n v="114"/>
    <n v="0"/>
    <n v="0"/>
    <n v="1"/>
    <n v="114"/>
    <n v="0.22800000000000001"/>
    <n v="0"/>
    <n v="0"/>
    <n v="0.77200000000000002"/>
    <n v="1"/>
    <x v="0"/>
    <n v="7"/>
    <n v="1"/>
    <n v="114"/>
    <n v="0"/>
    <n v="0"/>
    <n v="6"/>
    <n v="0"/>
    <n v="0"/>
    <n v="0"/>
    <n v="1"/>
    <n v="0"/>
    <n v="0"/>
    <n v="0"/>
    <n v="0"/>
    <n v="0"/>
    <n v="0"/>
    <n v="0"/>
    <n v="0"/>
    <n v="0"/>
    <n v="0"/>
    <n v="0"/>
    <n v="13.799999999999999"/>
    <s v="Yes"/>
    <s v="Shalom"/>
    <x v="0"/>
    <s v="Camp"/>
    <x v="0"/>
    <x v="0"/>
    <n v="25.423817"/>
    <n v="97.418004999999994"/>
    <s v="MMR001CMP007"/>
    <x v="0"/>
    <m/>
  </r>
  <r>
    <x v="0"/>
    <x v="6"/>
    <x v="0"/>
    <x v="2"/>
    <x v="112"/>
    <n v="179"/>
    <n v="962"/>
    <m/>
    <s v="ADRA/CANADA"/>
    <s v="31-01-2018"/>
    <n v="0"/>
    <s v="Yes"/>
    <n v="0.6"/>
    <n v="0.5"/>
    <n v="0"/>
    <n v="0"/>
    <n v="272160"/>
    <n v="0"/>
    <n v="0"/>
    <n v="0"/>
    <n v="0"/>
    <n v="0"/>
    <n v="0"/>
    <n v="0"/>
    <m/>
    <n v="150"/>
    <n v="0"/>
    <n v="0"/>
    <n v="0"/>
    <x v="0"/>
    <x v="0"/>
    <m/>
    <m/>
    <m/>
    <n v="1"/>
    <s v="Both"/>
    <n v="0"/>
    <n v="4"/>
    <n v="3"/>
    <n v="0"/>
    <n v="0"/>
    <m/>
    <m/>
    <s v="no test"/>
    <s v="no test"/>
    <n v="1"/>
    <n v="1"/>
    <n v="1"/>
    <n v="962"/>
    <n v="0"/>
    <n v="0"/>
    <n v="1"/>
    <n v="962"/>
    <n v="1.9239999999999999"/>
    <n v="0"/>
    <n v="0"/>
    <n v="7.6000000000000068E-2"/>
    <n v="2"/>
    <x v="0"/>
    <n v="150"/>
    <n v="1"/>
    <n v="962"/>
    <n v="0"/>
    <n v="0"/>
    <n v="48"/>
    <n v="0"/>
    <n v="0"/>
    <n v="0"/>
    <n v="1"/>
    <n v="962"/>
    <n v="0"/>
    <n v="1"/>
    <n v="0"/>
    <n v="0"/>
    <n v="1"/>
    <n v="0"/>
    <n v="0"/>
    <n v="0"/>
    <n v="0"/>
    <n v="0"/>
    <n v="179"/>
    <s v="Yes"/>
    <s v="KBC"/>
    <x v="0"/>
    <s v="Camp"/>
    <x v="0"/>
    <x v="0"/>
    <n v="25.418084"/>
    <n v="98.025662999999994"/>
    <s v="MMR001CMP041"/>
    <x v="0"/>
    <m/>
  </r>
  <r>
    <x v="0"/>
    <x v="1"/>
    <x v="0"/>
    <x v="6"/>
    <x v="113"/>
    <n v="45"/>
    <n v="259"/>
    <m/>
    <s v="USAID, Christian AID, HIDA"/>
    <s v="9/1/2018,1-dec-2018"/>
    <n v="0"/>
    <s v="Yes"/>
    <n v="0.8"/>
    <n v="0.6"/>
    <n v="0"/>
    <n v="1"/>
    <n v="0"/>
    <n v="0"/>
    <n v="0"/>
    <m/>
    <m/>
    <m/>
    <m/>
    <m/>
    <m/>
    <n v="13"/>
    <n v="0"/>
    <m/>
    <n v="0"/>
    <x v="0"/>
    <x v="0"/>
    <m/>
    <m/>
    <m/>
    <n v="1"/>
    <s v="Both"/>
    <n v="0"/>
    <n v="5"/>
    <n v="1"/>
    <n v="45"/>
    <n v="45"/>
    <m/>
    <m/>
    <s v="no test"/>
    <s v="no test"/>
    <n v="1"/>
    <n v="0.96525096525096521"/>
    <n v="1"/>
    <n v="259"/>
    <n v="0"/>
    <n v="0"/>
    <n v="1"/>
    <n v="259"/>
    <n v="0.51800000000000002"/>
    <n v="0"/>
    <n v="0"/>
    <n v="0.48199999999999998"/>
    <n v="1"/>
    <x v="0"/>
    <n v="13"/>
    <n v="1"/>
    <n v="259"/>
    <n v="0"/>
    <n v="0"/>
    <n v="13"/>
    <n v="0"/>
    <n v="0"/>
    <n v="1"/>
    <n v="0"/>
    <n v="259"/>
    <n v="1"/>
    <n v="1"/>
    <n v="1"/>
    <n v="259"/>
    <n v="1"/>
    <n v="1"/>
    <n v="1"/>
    <n v="225"/>
    <n v="225"/>
    <n v="225"/>
    <n v="45"/>
    <s v="Yes"/>
    <s v="KBC"/>
    <x v="0"/>
    <s v="Camp"/>
    <x v="0"/>
    <x v="0"/>
    <n v="24.200361000000001"/>
    <n v="96.807353000000006"/>
    <s v="MMR001CMP067"/>
    <x v="0"/>
    <m/>
  </r>
  <r>
    <x v="0"/>
    <x v="1"/>
    <x v="0"/>
    <x v="6"/>
    <x v="114"/>
    <n v="33"/>
    <n v="169"/>
    <m/>
    <s v="USAID, Christian AID, HIDA"/>
    <s v="9/1/2018,1-dec-2018"/>
    <n v="0"/>
    <s v="Yes"/>
    <n v="0.8"/>
    <n v="0.6"/>
    <n v="0"/>
    <n v="1"/>
    <n v="0"/>
    <n v="0"/>
    <n v="0"/>
    <m/>
    <m/>
    <m/>
    <m/>
    <m/>
    <m/>
    <n v="14"/>
    <n v="0"/>
    <n v="0"/>
    <n v="0"/>
    <x v="0"/>
    <x v="0"/>
    <m/>
    <m/>
    <m/>
    <n v="1"/>
    <s v="Both"/>
    <n v="0"/>
    <n v="3"/>
    <n v="1"/>
    <n v="33"/>
    <n v="33"/>
    <m/>
    <m/>
    <s v="no test"/>
    <s v="no test"/>
    <n v="1"/>
    <n v="1"/>
    <n v="1"/>
    <n v="169"/>
    <n v="0"/>
    <n v="0"/>
    <n v="1"/>
    <n v="169"/>
    <n v="0.33800000000000002"/>
    <n v="0"/>
    <n v="0"/>
    <n v="0.66199999999999992"/>
    <n v="1"/>
    <x v="0"/>
    <n v="14"/>
    <n v="1"/>
    <n v="169"/>
    <n v="0"/>
    <n v="0"/>
    <n v="8"/>
    <n v="0"/>
    <n v="0"/>
    <n v="1"/>
    <n v="0"/>
    <n v="169"/>
    <n v="1"/>
    <n v="1"/>
    <n v="1"/>
    <n v="169"/>
    <n v="1"/>
    <n v="1"/>
    <n v="1"/>
    <n v="165"/>
    <n v="165"/>
    <n v="165"/>
    <n v="33"/>
    <s v="Yes"/>
    <s v="KMSS-BMO"/>
    <x v="0"/>
    <s v="Camp"/>
    <x v="0"/>
    <x v="0"/>
    <n v="24.200367"/>
    <n v="96.807353000000006"/>
    <s v="MMR001CMP068"/>
    <x v="0"/>
    <m/>
  </r>
  <r>
    <x v="0"/>
    <x v="6"/>
    <x v="0"/>
    <x v="10"/>
    <x v="115"/>
    <n v="91"/>
    <n v="501"/>
    <m/>
    <s v="Plan/GFFO,ADRA/CANADA  "/>
    <d v="2019-03-31T00:00:00"/>
    <n v="0"/>
    <s v="Yes"/>
    <n v="0.6"/>
    <n v="0.5"/>
    <n v="1"/>
    <n v="1"/>
    <n v="0"/>
    <n v="0"/>
    <n v="0"/>
    <n v="0"/>
    <n v="0"/>
    <n v="0"/>
    <n v="0"/>
    <n v="0"/>
    <m/>
    <n v="17"/>
    <n v="0"/>
    <n v="0"/>
    <n v="0"/>
    <x v="0"/>
    <x v="0"/>
    <m/>
    <m/>
    <m/>
    <n v="0.6"/>
    <s v="Both"/>
    <n v="0"/>
    <n v="2"/>
    <n v="2"/>
    <n v="0"/>
    <n v="0"/>
    <m/>
    <m/>
    <s v="no test"/>
    <s v="no test"/>
    <n v="1"/>
    <n v="0.99800399201596801"/>
    <n v="1"/>
    <n v="501"/>
    <n v="0"/>
    <n v="0"/>
    <n v="1"/>
    <n v="501"/>
    <n v="1.002"/>
    <n v="0"/>
    <n v="0"/>
    <n v="0"/>
    <n v="1"/>
    <x v="0"/>
    <n v="17"/>
    <n v="0.67864271457085823"/>
    <n v="340"/>
    <n v="0.31936127744510978"/>
    <n v="8"/>
    <n v="25"/>
    <n v="0"/>
    <n v="0"/>
    <n v="0"/>
    <n v="1"/>
    <n v="501"/>
    <n v="0"/>
    <n v="1"/>
    <n v="0"/>
    <n v="0"/>
    <n v="1"/>
    <n v="0"/>
    <n v="0"/>
    <n v="0"/>
    <n v="0"/>
    <n v="0"/>
    <n v="54.6"/>
    <s v="Yes"/>
    <s v="KBC"/>
    <x v="0"/>
    <s v="Camp"/>
    <x v="0"/>
    <x v="0"/>
    <n v="25.440928"/>
    <n v="97.419403000000003"/>
    <s v="MMR001CMP009"/>
    <x v="0"/>
    <m/>
  </r>
  <r>
    <x v="0"/>
    <x v="0"/>
    <x v="0"/>
    <x v="4"/>
    <x v="116"/>
    <n v="11"/>
    <n v="50"/>
    <m/>
    <s v="DFID/UNICEF"/>
    <d v="2018-12-31T00:00:00"/>
    <n v="0"/>
    <s v="Yes"/>
    <n v="0.3"/>
    <n v="0.6"/>
    <n v="1"/>
    <n v="1"/>
    <n v="4000"/>
    <n v="0"/>
    <n v="0"/>
    <n v="0"/>
    <n v="0"/>
    <n v="0"/>
    <n v="0"/>
    <n v="0"/>
    <s v="Need to renovation Tube well"/>
    <n v="2"/>
    <n v="0"/>
    <n v="0"/>
    <n v="4"/>
    <x v="0"/>
    <x v="2"/>
    <n v="0"/>
    <n v="0"/>
    <m/>
    <n v="0"/>
    <s v="Communal"/>
    <n v="0"/>
    <n v="1"/>
    <n v="1"/>
    <n v="0"/>
    <n v="0"/>
    <s v="No"/>
    <m/>
    <s v="no test"/>
    <s v="no test"/>
    <n v="1"/>
    <n v="1"/>
    <n v="1"/>
    <n v="50"/>
    <n v="0"/>
    <n v="0"/>
    <n v="1"/>
    <n v="50"/>
    <n v="0.1"/>
    <n v="0"/>
    <n v="0"/>
    <n v="0.9"/>
    <n v="1"/>
    <x v="0"/>
    <n v="2"/>
    <n v="0.8"/>
    <n v="40"/>
    <n v="0.4"/>
    <n v="1"/>
    <n v="3"/>
    <n v="0"/>
    <n v="0"/>
    <n v="0"/>
    <n v="1"/>
    <n v="50"/>
    <n v="0"/>
    <n v="1"/>
    <n v="0"/>
    <n v="0"/>
    <n v="1"/>
    <n v="0"/>
    <n v="0"/>
    <n v="0"/>
    <n v="0"/>
    <n v="0"/>
    <n v="0"/>
    <s v="Yes"/>
    <s v="KMSS-MYT"/>
    <x v="0"/>
    <s v="Camp"/>
    <x v="0"/>
    <x v="0"/>
    <n v="24.764800000000001"/>
    <n v="96.367059999999995"/>
    <s v="MMR001CMP080"/>
    <x v="0"/>
    <m/>
  </r>
  <r>
    <x v="0"/>
    <x v="0"/>
    <x v="0"/>
    <x v="12"/>
    <x v="117"/>
    <n v="42"/>
    <n v="205"/>
    <m/>
    <s v="UNICEF"/>
    <d v="2018-12-31T00:00:00"/>
    <n v="0"/>
    <s v="Yes"/>
    <n v="0.2"/>
    <n v="0.2"/>
    <n v="0"/>
    <n v="0"/>
    <n v="2000"/>
    <n v="0"/>
    <n v="0"/>
    <n v="0"/>
    <n v="0"/>
    <n v="0"/>
    <n v="0"/>
    <n v="0"/>
    <s v="Need to be construction Tube well"/>
    <n v="2"/>
    <n v="0"/>
    <n v="0"/>
    <n v="0"/>
    <x v="0"/>
    <x v="2"/>
    <n v="0"/>
    <n v="0"/>
    <m/>
    <n v="0"/>
    <s v="Communal"/>
    <n v="0"/>
    <n v="1"/>
    <n v="2"/>
    <n v="0"/>
    <n v="0"/>
    <s v="No"/>
    <m/>
    <s v="no test"/>
    <s v="no test"/>
    <n v="0.65040650406504075"/>
    <n v="0.65040650406504075"/>
    <n v="0.65040650406504075"/>
    <n v="133.33333333333334"/>
    <n v="0"/>
    <n v="0"/>
    <n v="0.65040650406504075"/>
    <n v="133.33333333333334"/>
    <n v="0.26666666666666666"/>
    <n v="0.34959349593495925"/>
    <n v="71.666666666666643"/>
    <n v="0.73333333333333339"/>
    <n v="1"/>
    <x v="0"/>
    <n v="2"/>
    <n v="0.1951219512195122"/>
    <n v="40"/>
    <n v="0.78048780487804881"/>
    <n v="8"/>
    <n v="10"/>
    <n v="0"/>
    <n v="0"/>
    <n v="0"/>
    <n v="1"/>
    <n v="205"/>
    <n v="0"/>
    <n v="1"/>
    <n v="0"/>
    <n v="0"/>
    <n v="1"/>
    <n v="0"/>
    <n v="0"/>
    <n v="0"/>
    <n v="0"/>
    <n v="0"/>
    <n v="0"/>
    <n v="0"/>
    <n v="0"/>
    <x v="0"/>
    <s v="Camp"/>
    <x v="2"/>
    <x v="0"/>
    <n v="0"/>
    <n v="0"/>
    <s v="MMR001CMP252"/>
    <x v="0"/>
    <m/>
  </r>
  <r>
    <x v="0"/>
    <x v="0"/>
    <x v="0"/>
    <x v="12"/>
    <x v="118"/>
    <n v="36"/>
    <n v="152"/>
    <m/>
    <s v="UNICEF"/>
    <d v="2018-12-31T00:00:00"/>
    <n v="0"/>
    <s v="Yes"/>
    <n v="0.2"/>
    <n v="0.2"/>
    <n v="0"/>
    <n v="0"/>
    <n v="0"/>
    <n v="0"/>
    <n v="0"/>
    <n v="0"/>
    <n v="0"/>
    <n v="0"/>
    <n v="0"/>
    <n v="0"/>
    <s v="Need to be construction Tube well"/>
    <n v="2"/>
    <n v="0"/>
    <n v="0"/>
    <n v="0"/>
    <x v="0"/>
    <x v="2"/>
    <n v="0"/>
    <n v="0"/>
    <m/>
    <n v="0"/>
    <s v="Communal"/>
    <n v="0"/>
    <n v="2"/>
    <n v="1"/>
    <n v="0"/>
    <n v="0"/>
    <s v="No"/>
    <m/>
    <s v="no test"/>
    <s v="no test"/>
    <n v="0"/>
    <n v="0"/>
    <n v="0"/>
    <n v="0"/>
    <n v="0"/>
    <n v="0"/>
    <n v="0"/>
    <n v="0"/>
    <n v="0"/>
    <n v="1"/>
    <n v="152"/>
    <n v="1"/>
    <n v="1"/>
    <x v="0"/>
    <n v="2"/>
    <n v="0.26315789473684209"/>
    <n v="40"/>
    <n v="0.78947368421052633"/>
    <n v="6"/>
    <n v="8"/>
    <n v="0"/>
    <n v="0"/>
    <n v="0"/>
    <n v="1"/>
    <n v="152"/>
    <n v="0"/>
    <n v="1"/>
    <n v="0"/>
    <n v="0"/>
    <n v="1"/>
    <n v="0"/>
    <n v="0"/>
    <n v="0"/>
    <n v="0"/>
    <n v="0"/>
    <n v="0"/>
    <n v="0"/>
    <n v="0"/>
    <x v="0"/>
    <s v="Camp"/>
    <x v="2"/>
    <x v="0"/>
    <n v="0"/>
    <n v="0"/>
    <s v="MMR001CMP254"/>
    <x v="0"/>
    <m/>
  </r>
  <r>
    <x v="0"/>
    <x v="0"/>
    <x v="0"/>
    <x v="12"/>
    <x v="119"/>
    <n v="127"/>
    <n v="450"/>
    <m/>
    <s v="UNICEF"/>
    <d v="2018-12-31T00:00:00"/>
    <n v="0"/>
    <s v="Yes"/>
    <n v="0.2"/>
    <n v="0.2"/>
    <n v="0"/>
    <n v="0"/>
    <n v="2000"/>
    <n v="0"/>
    <n v="0"/>
    <n v="0"/>
    <n v="0"/>
    <n v="0"/>
    <n v="0"/>
    <n v="0"/>
    <s v="Need to be construction Tube well"/>
    <n v="5"/>
    <n v="0"/>
    <n v="0"/>
    <n v="0"/>
    <x v="0"/>
    <x v="2"/>
    <n v="0"/>
    <n v="0"/>
    <m/>
    <n v="0"/>
    <s v="Communal"/>
    <n v="0"/>
    <n v="2"/>
    <n v="2"/>
    <n v="0"/>
    <n v="0"/>
    <s v="No"/>
    <m/>
    <s v="no test"/>
    <s v="no test"/>
    <n v="0.29629629629629634"/>
    <n v="0.29629629629629634"/>
    <n v="0.29629629629629634"/>
    <n v="133.33333333333334"/>
    <n v="0"/>
    <n v="0"/>
    <n v="0.29629629629629634"/>
    <n v="133.33333333333334"/>
    <n v="0.26666666666666666"/>
    <n v="0.70370370370370372"/>
    <n v="316.66666666666669"/>
    <n v="0.73333333333333339"/>
    <n v="1"/>
    <x v="0"/>
    <n v="5"/>
    <n v="0.22222222222222221"/>
    <n v="100"/>
    <n v="0.8"/>
    <n v="18"/>
    <n v="23"/>
    <n v="0"/>
    <n v="0"/>
    <n v="0"/>
    <n v="1"/>
    <n v="450"/>
    <n v="0"/>
    <n v="1"/>
    <n v="0"/>
    <n v="0"/>
    <n v="1"/>
    <n v="0"/>
    <n v="0"/>
    <n v="0"/>
    <n v="0"/>
    <n v="0"/>
    <n v="0"/>
    <n v="0"/>
    <n v="0"/>
    <x v="0"/>
    <s v="Camp"/>
    <x v="2"/>
    <x v="0"/>
    <n v="0"/>
    <n v="0"/>
    <s v="MMR001CMP253"/>
    <x v="0"/>
    <m/>
  </r>
  <r>
    <x v="0"/>
    <x v="0"/>
    <x v="0"/>
    <x v="12"/>
    <x v="120"/>
    <n v="31"/>
    <n v="129"/>
    <m/>
    <s v="UNICEF"/>
    <d v="2018-12-31T00:00:00"/>
    <n v="0"/>
    <s v="Yes"/>
    <n v="0.2"/>
    <n v="0.2"/>
    <n v="0"/>
    <n v="0"/>
    <n v="3000"/>
    <n v="0"/>
    <n v="0"/>
    <n v="0"/>
    <n v="0"/>
    <n v="0"/>
    <n v="0"/>
    <n v="0"/>
    <s v="Need to be construction Tube well"/>
    <n v="5"/>
    <n v="0"/>
    <n v="0"/>
    <n v="0"/>
    <x v="0"/>
    <x v="2"/>
    <n v="0"/>
    <n v="0"/>
    <m/>
    <n v="0"/>
    <s v="Communal"/>
    <n v="0"/>
    <n v="2"/>
    <n v="1"/>
    <n v="0"/>
    <n v="0"/>
    <s v="No"/>
    <m/>
    <s v="no test"/>
    <s v="no test"/>
    <n v="1"/>
    <n v="1"/>
    <n v="1"/>
    <n v="129"/>
    <n v="0"/>
    <n v="0"/>
    <n v="1"/>
    <n v="129"/>
    <n v="0.25800000000000001"/>
    <n v="0"/>
    <n v="0"/>
    <n v="0.74199999999999999"/>
    <n v="1"/>
    <x v="0"/>
    <n v="5"/>
    <n v="0.77519379844961245"/>
    <n v="100"/>
    <n v="0.15503875968992248"/>
    <n v="1"/>
    <n v="6"/>
    <n v="0"/>
    <n v="0"/>
    <n v="0"/>
    <n v="1"/>
    <n v="129"/>
    <n v="0"/>
    <n v="1"/>
    <n v="0"/>
    <n v="0"/>
    <n v="1"/>
    <n v="0"/>
    <n v="0"/>
    <n v="0"/>
    <n v="0"/>
    <n v="0"/>
    <n v="0"/>
    <n v="0"/>
    <n v="0"/>
    <x v="0"/>
    <s v="Camp"/>
    <x v="2"/>
    <x v="0"/>
    <n v="0"/>
    <n v="0"/>
    <s v="MMR001CMP251"/>
    <x v="0"/>
    <m/>
  </r>
  <r>
    <x v="0"/>
    <x v="6"/>
    <x v="0"/>
    <x v="10"/>
    <x v="121"/>
    <n v="69"/>
    <n v="369"/>
    <m/>
    <s v="Plan/GFFO,ADRA/CANADA  "/>
    <d v="2019-03-31T00:00:00"/>
    <n v="0"/>
    <s v="Yes"/>
    <n v="0.6"/>
    <n v="0.5"/>
    <n v="0"/>
    <n v="2"/>
    <n v="1500"/>
    <n v="0"/>
    <n v="0"/>
    <n v="0"/>
    <n v="0"/>
    <n v="0"/>
    <n v="0"/>
    <n v="0"/>
    <m/>
    <n v="11"/>
    <n v="8"/>
    <n v="0"/>
    <n v="0"/>
    <x v="0"/>
    <x v="0"/>
    <m/>
    <m/>
    <m/>
    <n v="0.6"/>
    <s v="Both"/>
    <n v="0"/>
    <n v="2"/>
    <n v="2"/>
    <n v="0"/>
    <n v="0"/>
    <m/>
    <m/>
    <s v="no test"/>
    <s v="no test"/>
    <n v="1"/>
    <n v="1"/>
    <n v="1"/>
    <n v="369"/>
    <n v="0"/>
    <n v="0"/>
    <n v="1"/>
    <n v="369"/>
    <n v="0.73799999999999999"/>
    <n v="0"/>
    <n v="0"/>
    <n v="0.26200000000000001"/>
    <n v="1"/>
    <x v="0"/>
    <n v="19"/>
    <n v="0.59620596205962062"/>
    <n v="220"/>
    <n v="0"/>
    <n v="0"/>
    <n v="18"/>
    <n v="0.42105263157894735"/>
    <n v="0"/>
    <n v="0"/>
    <n v="1"/>
    <n v="369"/>
    <n v="0"/>
    <n v="1"/>
    <n v="0"/>
    <n v="0"/>
    <n v="1"/>
    <n v="0"/>
    <n v="0"/>
    <n v="0"/>
    <n v="0"/>
    <n v="0"/>
    <n v="41.4"/>
    <s v="Yes"/>
    <s v="KBC"/>
    <x v="0"/>
    <s v="Camp"/>
    <x v="0"/>
    <x v="0"/>
    <n v="25.415482000000001"/>
    <n v="97.386718999999999"/>
    <s v="MMR001CMP001"/>
    <x v="0"/>
    <m/>
  </r>
  <r>
    <x v="0"/>
    <x v="4"/>
    <x v="0"/>
    <x v="10"/>
    <x v="122"/>
    <n v="54"/>
    <n v="266"/>
    <m/>
    <s v="OFDA"/>
    <d v="2017-07-31T00:00:00"/>
    <n v="0"/>
    <s v="Yes"/>
    <n v="0.71"/>
    <n v="1"/>
    <n v="1"/>
    <n v="4"/>
    <n v="2000"/>
    <n v="0"/>
    <n v="1"/>
    <n v="0"/>
    <n v="0"/>
    <n v="0"/>
    <n v="0"/>
    <n v="0"/>
    <m/>
    <n v="10"/>
    <n v="2"/>
    <n v="4"/>
    <n v="10"/>
    <x v="0"/>
    <x v="0"/>
    <n v="0"/>
    <n v="0"/>
    <m/>
    <n v="0.5"/>
    <s v="Communal"/>
    <n v="0"/>
    <n v="4"/>
    <n v="0"/>
    <n v="0"/>
    <n v="0"/>
    <m/>
    <m/>
    <s v="no test"/>
    <s v="no test"/>
    <n v="1"/>
    <n v="1"/>
    <n v="1"/>
    <n v="266"/>
    <n v="0"/>
    <n v="0"/>
    <n v="1"/>
    <n v="266"/>
    <n v="0.53200000000000003"/>
    <n v="0"/>
    <n v="0"/>
    <n v="0.46799999999999997"/>
    <n v="1"/>
    <x v="0"/>
    <n v="12"/>
    <n v="0.75187969924812026"/>
    <n v="200"/>
    <n v="7.5187969924812026E-2"/>
    <n v="1"/>
    <n v="13"/>
    <n v="0.16666666666666666"/>
    <n v="80"/>
    <n v="0"/>
    <n v="1"/>
    <n v="0"/>
    <n v="0"/>
    <n v="0"/>
    <n v="0"/>
    <n v="0"/>
    <n v="0"/>
    <n v="0"/>
    <n v="0"/>
    <n v="0"/>
    <n v="0"/>
    <n v="0"/>
    <n v="27"/>
    <s v="Yes"/>
    <s v="Shalom"/>
    <x v="0"/>
    <s v="Camp"/>
    <x v="0"/>
    <x v="0"/>
    <n v="25.423209"/>
    <n v="97.379987"/>
    <s v="MMR001CMP023"/>
    <x v="0"/>
    <m/>
  </r>
  <r>
    <x v="0"/>
    <x v="4"/>
    <x v="0"/>
    <x v="10"/>
    <x v="123"/>
    <n v="7"/>
    <n v="31"/>
    <m/>
    <s v="OFDA"/>
    <d v="2017-07-31T00:00:00"/>
    <n v="0"/>
    <s v="Yes"/>
    <n v="0.5"/>
    <n v="1"/>
    <n v="0"/>
    <n v="1"/>
    <n v="400"/>
    <n v="0"/>
    <n v="0"/>
    <n v="0"/>
    <n v="0"/>
    <n v="0"/>
    <n v="0"/>
    <n v="0"/>
    <m/>
    <n v="2"/>
    <n v="0"/>
    <n v="0"/>
    <n v="2"/>
    <x v="0"/>
    <x v="2"/>
    <n v="0"/>
    <n v="0"/>
    <m/>
    <n v="0.5"/>
    <s v="Communal"/>
    <n v="0"/>
    <n v="2"/>
    <n v="0"/>
    <n v="0"/>
    <n v="0"/>
    <m/>
    <m/>
    <s v="no test"/>
    <s v="no test"/>
    <n v="1"/>
    <n v="1"/>
    <n v="1"/>
    <n v="31"/>
    <n v="0"/>
    <n v="0"/>
    <n v="1"/>
    <n v="31"/>
    <n v="6.2E-2"/>
    <n v="0"/>
    <n v="0"/>
    <n v="0.93799999999999994"/>
    <n v="1"/>
    <x v="0"/>
    <n v="2"/>
    <n v="1"/>
    <n v="31"/>
    <n v="0"/>
    <n v="0"/>
    <n v="2"/>
    <n v="0"/>
    <n v="0"/>
    <n v="0"/>
    <n v="1"/>
    <n v="0"/>
    <n v="0"/>
    <n v="0"/>
    <n v="0"/>
    <n v="0"/>
    <n v="0"/>
    <n v="0"/>
    <n v="0"/>
    <n v="0"/>
    <n v="0"/>
    <n v="0"/>
    <n v="3.5"/>
    <s v="Yes"/>
    <s v="Shalom"/>
    <x v="0"/>
    <s v="Camp"/>
    <x v="0"/>
    <x v="0"/>
    <n v="25.417733999999999"/>
    <n v="97.389778000000007"/>
    <s v="MMR001CMP004"/>
    <x v="0"/>
    <m/>
  </r>
  <r>
    <x v="0"/>
    <x v="6"/>
    <x v="0"/>
    <x v="10"/>
    <x v="124"/>
    <n v="30"/>
    <n v="171"/>
    <m/>
    <s v="Plan/GFFO,ADRA/CANADA  "/>
    <d v="2019-03-31T00:00:00"/>
    <n v="0"/>
    <s v="Yes"/>
    <n v="0.6"/>
    <n v="0.5"/>
    <n v="0"/>
    <n v="3"/>
    <n v="0"/>
    <n v="0"/>
    <n v="0"/>
    <n v="0"/>
    <n v="0"/>
    <n v="0"/>
    <n v="0"/>
    <n v="0"/>
    <m/>
    <n v="5"/>
    <n v="0"/>
    <n v="0"/>
    <n v="0"/>
    <x v="0"/>
    <x v="2"/>
    <m/>
    <m/>
    <m/>
    <n v="0.6"/>
    <s v="Both"/>
    <n v="0"/>
    <n v="2"/>
    <n v="1"/>
    <n v="0"/>
    <n v="0"/>
    <m/>
    <m/>
    <s v="no test"/>
    <s v="no test"/>
    <n v="1"/>
    <n v="1"/>
    <n v="1"/>
    <n v="171"/>
    <n v="0"/>
    <n v="0"/>
    <n v="1"/>
    <n v="171"/>
    <n v="0.34200000000000003"/>
    <n v="0"/>
    <n v="0"/>
    <n v="0.65799999999999992"/>
    <n v="1"/>
    <x v="0"/>
    <n v="5"/>
    <n v="0.58479532163742687"/>
    <n v="100"/>
    <n v="0.46783625730994149"/>
    <n v="4"/>
    <n v="9"/>
    <n v="0"/>
    <n v="0"/>
    <n v="0"/>
    <n v="1"/>
    <n v="171"/>
    <n v="0"/>
    <n v="1"/>
    <n v="0"/>
    <n v="0"/>
    <n v="1"/>
    <n v="0"/>
    <n v="0"/>
    <n v="0"/>
    <n v="0"/>
    <n v="0"/>
    <n v="18"/>
    <s v="Yes"/>
    <s v="KBC"/>
    <x v="0"/>
    <s v="Camp"/>
    <x v="0"/>
    <x v="0"/>
    <n v="25.404752999999999"/>
    <n v="97.377662999999998"/>
    <s v="MMR001CMP003"/>
    <x v="0"/>
    <m/>
  </r>
  <r>
    <x v="0"/>
    <x v="6"/>
    <x v="0"/>
    <x v="10"/>
    <x v="125"/>
    <n v="46"/>
    <n v="239"/>
    <m/>
    <s v="Plan/GFFO,ADRA/CANADA  "/>
    <d v="2019-03-31T00:00:00"/>
    <n v="0"/>
    <s v="Yes"/>
    <n v="0.6"/>
    <n v="0.5"/>
    <n v="0"/>
    <n v="3"/>
    <n v="2000"/>
    <n v="0"/>
    <n v="0"/>
    <n v="0"/>
    <n v="0"/>
    <n v="0"/>
    <n v="0"/>
    <n v="0"/>
    <m/>
    <n v="13"/>
    <n v="0"/>
    <n v="0"/>
    <n v="0"/>
    <x v="0"/>
    <x v="0"/>
    <m/>
    <m/>
    <m/>
    <n v="0.6"/>
    <s v="Both"/>
    <n v="0"/>
    <n v="3"/>
    <n v="1"/>
    <n v="0"/>
    <n v="0"/>
    <m/>
    <m/>
    <s v="no test"/>
    <s v="no test"/>
    <n v="1"/>
    <n v="1"/>
    <n v="1"/>
    <n v="239"/>
    <n v="0"/>
    <n v="0"/>
    <n v="1"/>
    <n v="239"/>
    <n v="0.47799999999999998"/>
    <n v="0"/>
    <n v="0"/>
    <n v="0.52200000000000002"/>
    <n v="1"/>
    <x v="0"/>
    <n v="13"/>
    <n v="1"/>
    <n v="239"/>
    <n v="0"/>
    <n v="0"/>
    <n v="12"/>
    <n v="0"/>
    <n v="0"/>
    <n v="0"/>
    <n v="1"/>
    <n v="239"/>
    <n v="0"/>
    <n v="1"/>
    <n v="0"/>
    <n v="0"/>
    <n v="1"/>
    <n v="0"/>
    <n v="0"/>
    <n v="0"/>
    <n v="0"/>
    <n v="0"/>
    <n v="27.599999999999998"/>
    <s v="Yes"/>
    <s v="KBC"/>
    <x v="0"/>
    <s v="Camp"/>
    <x v="0"/>
    <x v="0"/>
    <n v="25.404015000000001"/>
    <n v="97.382192000000003"/>
    <s v="MMR001CMP005"/>
    <x v="0"/>
    <m/>
  </r>
  <r>
    <x v="0"/>
    <x v="4"/>
    <x v="0"/>
    <x v="2"/>
    <x v="126"/>
    <n v="46"/>
    <n v="190"/>
    <m/>
    <s v="OFDA"/>
    <d v="2017-07-31T00:00:00"/>
    <n v="0"/>
    <s v="Yes"/>
    <n v="1"/>
    <n v="1"/>
    <n v="1"/>
    <n v="0"/>
    <n v="1000"/>
    <n v="0"/>
    <n v="2"/>
    <n v="0"/>
    <n v="0"/>
    <n v="0"/>
    <n v="0"/>
    <n v="0"/>
    <m/>
    <n v="4"/>
    <n v="2"/>
    <n v="2"/>
    <n v="4"/>
    <x v="0"/>
    <x v="0"/>
    <n v="0"/>
    <n v="0"/>
    <m/>
    <n v="0.5"/>
    <s v="Communal"/>
    <n v="0"/>
    <n v="2"/>
    <n v="0"/>
    <n v="0"/>
    <n v="0"/>
    <m/>
    <m/>
    <s v="no test"/>
    <s v="no test"/>
    <n v="1"/>
    <n v="1"/>
    <n v="1"/>
    <n v="190"/>
    <n v="0"/>
    <n v="0"/>
    <n v="1"/>
    <n v="190"/>
    <n v="0.38"/>
    <n v="0"/>
    <n v="0"/>
    <n v="0.62"/>
    <n v="1"/>
    <x v="0"/>
    <n v="6"/>
    <n v="0.42105263157894735"/>
    <n v="80"/>
    <n v="0.42105263157894735"/>
    <n v="4"/>
    <n v="10"/>
    <n v="0.33333333333333331"/>
    <n v="40"/>
    <n v="0"/>
    <n v="1"/>
    <n v="0"/>
    <n v="0"/>
    <n v="0"/>
    <n v="0"/>
    <n v="0"/>
    <n v="0"/>
    <n v="0"/>
    <n v="0"/>
    <n v="0"/>
    <n v="0"/>
    <n v="0"/>
    <n v="23"/>
    <s v="Yes"/>
    <s v="Shalom"/>
    <x v="0"/>
    <s v="Camp"/>
    <x v="0"/>
    <x v="0"/>
    <n v="25.333683333333301"/>
    <n v="97.428251153846105"/>
    <s v="MMR001CMP037"/>
    <x v="0"/>
    <m/>
  </r>
  <r>
    <x v="0"/>
    <x v="4"/>
    <x v="0"/>
    <x v="2"/>
    <x v="127"/>
    <n v="69"/>
    <n v="291"/>
    <m/>
    <s v="OFDA"/>
    <d v="2017-07-31T00:00:00"/>
    <n v="0"/>
    <s v="Yes"/>
    <n v="0.43"/>
    <n v="0"/>
    <n v="2"/>
    <n v="0"/>
    <n v="3000"/>
    <n v="0"/>
    <n v="4"/>
    <n v="0"/>
    <n v="0"/>
    <n v="0"/>
    <n v="0"/>
    <n v="0"/>
    <m/>
    <n v="8"/>
    <n v="1"/>
    <n v="0"/>
    <n v="8"/>
    <x v="0"/>
    <x v="2"/>
    <n v="0"/>
    <n v="0"/>
    <m/>
    <n v="0.5"/>
    <s v="Communal"/>
    <n v="0"/>
    <n v="4"/>
    <n v="0"/>
    <n v="0"/>
    <n v="0"/>
    <m/>
    <m/>
    <s v="no test"/>
    <s v="no test"/>
    <n v="1"/>
    <n v="1"/>
    <n v="1"/>
    <n v="291"/>
    <n v="0"/>
    <n v="0"/>
    <n v="1"/>
    <n v="291"/>
    <n v="0.58199999999999996"/>
    <n v="0"/>
    <n v="0"/>
    <n v="0.41800000000000004"/>
    <n v="1"/>
    <x v="0"/>
    <n v="9"/>
    <n v="0.54982817869415812"/>
    <n v="160"/>
    <n v="0.41237113402061853"/>
    <n v="6"/>
    <n v="15"/>
    <n v="0.1111111111111111"/>
    <n v="0"/>
    <n v="0"/>
    <n v="1"/>
    <n v="0"/>
    <n v="0"/>
    <n v="0"/>
    <n v="0"/>
    <n v="0"/>
    <n v="0"/>
    <n v="0"/>
    <n v="0"/>
    <n v="0"/>
    <n v="0"/>
    <n v="0"/>
    <n v="34.5"/>
    <s v="Yes"/>
    <s v="Shalom"/>
    <x v="0"/>
    <s v="Camp"/>
    <x v="0"/>
    <x v="0"/>
    <n v="25.351250396825399"/>
    <n v="97.444283730158702"/>
    <s v="MMR001CMP038"/>
    <x v="0"/>
    <m/>
  </r>
  <r>
    <x v="0"/>
    <x v="4"/>
    <x v="0"/>
    <x v="8"/>
    <x v="128"/>
    <n v="32"/>
    <n v="173"/>
    <m/>
    <s v="OFDA"/>
    <d v="2017-07-31T00:00:00"/>
    <n v="0"/>
    <s v="Yes"/>
    <n v="0.25"/>
    <n v="0"/>
    <n v="0"/>
    <n v="0"/>
    <n v="500"/>
    <n v="0"/>
    <n v="1"/>
    <n v="0"/>
    <n v="0"/>
    <n v="0"/>
    <n v="0"/>
    <n v="0"/>
    <m/>
    <n v="10"/>
    <n v="4"/>
    <n v="0"/>
    <n v="10"/>
    <x v="0"/>
    <x v="0"/>
    <n v="0"/>
    <n v="0"/>
    <m/>
    <n v="0.4"/>
    <s v="Communal"/>
    <n v="0"/>
    <n v="3"/>
    <n v="0"/>
    <n v="0"/>
    <n v="0"/>
    <m/>
    <m/>
    <s v="no test"/>
    <s v="no test"/>
    <n v="0.19267822736030829"/>
    <n v="0.19267822736030829"/>
    <n v="0.19267822736030829"/>
    <n v="33.333333333333336"/>
    <n v="0"/>
    <n v="0"/>
    <n v="0.19267822736030829"/>
    <n v="33.333333333333336"/>
    <n v="6.6666666666666666E-2"/>
    <n v="0.80732177263969174"/>
    <n v="139.66666666666666"/>
    <n v="0.93333333333333335"/>
    <n v="1"/>
    <x v="0"/>
    <n v="14"/>
    <n v="1"/>
    <n v="173"/>
    <n v="0"/>
    <n v="0"/>
    <n v="9"/>
    <n v="0.2857142857142857"/>
    <n v="0"/>
    <n v="0"/>
    <n v="1"/>
    <n v="0"/>
    <n v="0"/>
    <n v="0"/>
    <n v="0"/>
    <n v="0"/>
    <n v="0"/>
    <n v="0"/>
    <n v="0"/>
    <n v="0"/>
    <n v="0"/>
    <n v="0"/>
    <n v="12.8"/>
    <s v="Yes"/>
    <s v="KBC"/>
    <x v="0"/>
    <s v="Camp"/>
    <x v="0"/>
    <x v="0"/>
    <n v="25.577559999999998"/>
    <n v="96.286680000000004"/>
    <s v="MMR001CMP184"/>
    <x v="0"/>
    <m/>
  </r>
  <r>
    <x v="0"/>
    <x v="1"/>
    <x v="0"/>
    <x v="3"/>
    <x v="129"/>
    <n v="13"/>
    <n v="75"/>
    <m/>
    <s v="USAID"/>
    <d v="2018-09-01T00:00:00"/>
    <n v="0"/>
    <s v="No"/>
    <n v="0"/>
    <n v="0"/>
    <n v="0"/>
    <n v="1"/>
    <n v="0"/>
    <n v="0"/>
    <n v="0"/>
    <m/>
    <m/>
    <m/>
    <m/>
    <m/>
    <m/>
    <n v="10"/>
    <n v="0"/>
    <m/>
    <n v="0"/>
    <x v="0"/>
    <x v="0"/>
    <m/>
    <m/>
    <m/>
    <n v="1"/>
    <s v="Both"/>
    <n v="0"/>
    <n v="2"/>
    <n v="1"/>
    <n v="13"/>
    <n v="13"/>
    <m/>
    <m/>
    <s v="no test"/>
    <s v="no test"/>
    <n v="1"/>
    <n v="1"/>
    <n v="1"/>
    <n v="75"/>
    <n v="0"/>
    <n v="0"/>
    <n v="1"/>
    <n v="75"/>
    <n v="0.15"/>
    <n v="0"/>
    <n v="0"/>
    <n v="0.85"/>
    <n v="1"/>
    <x v="0"/>
    <n v="10"/>
    <n v="1"/>
    <n v="75"/>
    <n v="0"/>
    <n v="0"/>
    <n v="4"/>
    <n v="0"/>
    <n v="0"/>
    <n v="1"/>
    <n v="0"/>
    <n v="75"/>
    <n v="1"/>
    <n v="1"/>
    <n v="1"/>
    <n v="75"/>
    <n v="1"/>
    <n v="1"/>
    <n v="1"/>
    <n v="65"/>
    <n v="65"/>
    <n v="65"/>
    <n v="13"/>
    <s v="Yes"/>
    <s v="Shalom"/>
    <x v="0"/>
    <s v="Camp"/>
    <x v="0"/>
    <x v="0"/>
    <n v="24.24953"/>
    <n v="97.240639999999999"/>
    <s v="MMR001CMP053"/>
    <x v="0"/>
    <m/>
  </r>
  <r>
    <x v="0"/>
    <x v="4"/>
    <x v="0"/>
    <x v="8"/>
    <x v="130"/>
    <n v="16"/>
    <n v="67"/>
    <m/>
    <s v="OFDA"/>
    <d v="2017-07-31T00:00:00"/>
    <n v="0"/>
    <s v="Yes"/>
    <n v="0.5"/>
    <n v="1"/>
    <n v="1"/>
    <n v="0"/>
    <n v="0"/>
    <n v="0"/>
    <n v="1"/>
    <n v="0"/>
    <n v="0"/>
    <n v="0"/>
    <n v="0"/>
    <n v="0"/>
    <m/>
    <n v="2"/>
    <n v="0"/>
    <n v="2"/>
    <n v="2"/>
    <x v="0"/>
    <x v="2"/>
    <n v="0"/>
    <n v="0"/>
    <m/>
    <n v="0.6"/>
    <s v="Communal"/>
    <n v="0"/>
    <n v="2"/>
    <n v="0"/>
    <n v="0"/>
    <n v="0"/>
    <m/>
    <m/>
    <s v="no test"/>
    <s v="no test"/>
    <n v="1"/>
    <n v="1"/>
    <n v="1"/>
    <n v="67"/>
    <n v="0"/>
    <n v="0"/>
    <n v="1"/>
    <n v="67"/>
    <n v="0.13400000000000001"/>
    <n v="0"/>
    <n v="0"/>
    <n v="0.86599999999999999"/>
    <n v="1"/>
    <x v="0"/>
    <n v="2"/>
    <n v="0.59701492537313428"/>
    <n v="40"/>
    <n v="0.29850746268656714"/>
    <n v="1"/>
    <n v="3"/>
    <n v="0"/>
    <n v="40"/>
    <n v="0"/>
    <n v="1"/>
    <n v="0"/>
    <n v="0"/>
    <n v="0"/>
    <n v="0"/>
    <n v="0"/>
    <n v="0"/>
    <n v="0"/>
    <n v="0"/>
    <n v="0"/>
    <n v="0"/>
    <n v="0"/>
    <n v="9.6"/>
    <s v="Yes"/>
    <s v="KBC"/>
    <x v="0"/>
    <s v="Camp"/>
    <x v="0"/>
    <x v="0"/>
    <n v="25.599250000000001"/>
    <n v="96.306910999999999"/>
    <s v="MMR001CMP105"/>
    <x v="0"/>
    <m/>
  </r>
  <r>
    <x v="0"/>
    <x v="0"/>
    <x v="0"/>
    <x v="0"/>
    <x v="131"/>
    <n v="16"/>
    <n v="89"/>
    <m/>
    <s v="DFID/HARP"/>
    <d v="2017-09-30T00:00:00"/>
    <n v="0"/>
    <s v="No"/>
    <n v="0"/>
    <n v="0"/>
    <n v="1"/>
    <n v="0"/>
    <m/>
    <n v="0"/>
    <m/>
    <m/>
    <m/>
    <m/>
    <m/>
    <m/>
    <s v="Not safe"/>
    <n v="0"/>
    <n v="0"/>
    <m/>
    <n v="0"/>
    <x v="1"/>
    <x v="1"/>
    <m/>
    <m/>
    <m/>
    <n v="0"/>
    <m/>
    <n v="0"/>
    <n v="1"/>
    <n v="0"/>
    <m/>
    <m/>
    <m/>
    <m/>
    <s v="no test"/>
    <s v="no test"/>
    <n v="1"/>
    <n v="1"/>
    <n v="1"/>
    <n v="89"/>
    <n v="0"/>
    <n v="0"/>
    <n v="1"/>
    <n v="89"/>
    <n v="0.17799999999999999"/>
    <n v="0"/>
    <n v="0"/>
    <n v="0.82200000000000006"/>
    <n v="1"/>
    <x v="0"/>
    <n v="0"/>
    <n v="0"/>
    <n v="0"/>
    <n v="0.898876404494382"/>
    <n v="4"/>
    <n v="4"/>
    <n v="0"/>
    <n v="0"/>
    <n v="0"/>
    <n v="1"/>
    <n v="0"/>
    <n v="0"/>
    <n v="0"/>
    <n v="0"/>
    <n v="0"/>
    <n v="0"/>
    <n v="0"/>
    <n v="0"/>
    <n v="0"/>
    <n v="0"/>
    <n v="0"/>
    <n v="0"/>
    <n v="0"/>
    <n v="0"/>
    <x v="1"/>
    <s v="Camp"/>
    <x v="0"/>
    <x v="0"/>
    <n v="0"/>
    <n v="0"/>
    <n v="0"/>
    <x v="0"/>
    <s v="to confirm not found in Q1-2018"/>
  </r>
  <r>
    <x v="0"/>
    <x v="1"/>
    <x v="0"/>
    <x v="2"/>
    <x v="132"/>
    <n v="546"/>
    <n v="2550"/>
    <m/>
    <s v="WHH-BMZ,WHH-AA"/>
    <d v="2018-06-30T00:00:00"/>
    <n v="0"/>
    <s v="No"/>
    <n v="0"/>
    <n v="0"/>
    <n v="3"/>
    <n v="0"/>
    <n v="0"/>
    <n v="0"/>
    <n v="0"/>
    <m/>
    <m/>
    <m/>
    <m/>
    <m/>
    <n v="0"/>
    <n v="357"/>
    <n v="0"/>
    <m/>
    <n v="0"/>
    <x v="2"/>
    <x v="3"/>
    <m/>
    <m/>
    <n v="0"/>
    <n v="1"/>
    <m/>
    <n v="0"/>
    <n v="0"/>
    <n v="0"/>
    <m/>
    <m/>
    <m/>
    <n v="0"/>
    <s v="no test"/>
    <s v="no test"/>
    <n v="1"/>
    <n v="0.29411764705882354"/>
    <n v="1"/>
    <n v="2550"/>
    <n v="0"/>
    <n v="0"/>
    <n v="1"/>
    <n v="2550"/>
    <n v="5.0999999999999996"/>
    <n v="0"/>
    <n v="0"/>
    <n v="0"/>
    <n v="5"/>
    <x v="0"/>
    <n v="357"/>
    <n v="1"/>
    <n v="2550"/>
    <n v="0"/>
    <n v="0"/>
    <n v="128"/>
    <n v="0"/>
    <n v="0"/>
    <n v="0"/>
    <n v="1"/>
    <n v="0"/>
    <n v="0"/>
    <n v="0"/>
    <n v="0"/>
    <n v="0"/>
    <n v="0"/>
    <n v="0"/>
    <n v="0"/>
    <n v="0"/>
    <n v="0"/>
    <n v="0"/>
    <n v="546"/>
    <n v="0"/>
    <n v="0"/>
    <x v="1"/>
    <s v="Camp"/>
    <x v="3"/>
    <x v="1"/>
    <n v="0"/>
    <n v="0"/>
    <s v=""/>
    <x v="0"/>
    <m/>
  </r>
  <r>
    <x v="0"/>
    <x v="1"/>
    <x v="0"/>
    <x v="2"/>
    <x v="133"/>
    <n v="134"/>
    <n v="709"/>
    <m/>
    <s v="WHH-BMZ,WHH-AA"/>
    <d v="2018-06-30T00:00:00"/>
    <n v="0"/>
    <s v="Yes"/>
    <n v="0.3"/>
    <n v="0.3"/>
    <n v="0"/>
    <n v="0"/>
    <n v="14180"/>
    <n v="0"/>
    <n v="0"/>
    <m/>
    <m/>
    <m/>
    <m/>
    <m/>
    <n v="0"/>
    <n v="44"/>
    <n v="0"/>
    <m/>
    <n v="1"/>
    <x v="0"/>
    <x v="2"/>
    <m/>
    <m/>
    <n v="0"/>
    <n v="1"/>
    <s v="Communal"/>
    <n v="0"/>
    <n v="7"/>
    <n v="0"/>
    <m/>
    <m/>
    <m/>
    <n v="0"/>
    <s v="no test"/>
    <s v="no test"/>
    <n v="1"/>
    <n v="1"/>
    <n v="1"/>
    <n v="709"/>
    <n v="0"/>
    <n v="0"/>
    <n v="1"/>
    <n v="709"/>
    <n v="1.4179999999999999"/>
    <n v="0"/>
    <n v="0"/>
    <n v="0"/>
    <n v="1"/>
    <x v="0"/>
    <n v="44"/>
    <n v="1"/>
    <n v="709"/>
    <n v="0"/>
    <n v="0"/>
    <n v="35"/>
    <n v="0"/>
    <n v="0"/>
    <n v="0"/>
    <n v="1"/>
    <n v="0"/>
    <n v="0"/>
    <n v="0"/>
    <n v="0"/>
    <n v="0"/>
    <n v="0"/>
    <n v="0"/>
    <n v="0"/>
    <n v="0"/>
    <n v="0"/>
    <n v="0"/>
    <n v="134"/>
    <n v="0"/>
    <n v="0"/>
    <x v="1"/>
    <s v="Camp"/>
    <x v="0"/>
    <x v="1"/>
    <n v="0"/>
    <n v="0"/>
    <n v="0"/>
    <x v="0"/>
    <m/>
  </r>
  <r>
    <x v="0"/>
    <x v="2"/>
    <x v="0"/>
    <x v="3"/>
    <x v="134"/>
    <n v="80"/>
    <n v="383"/>
    <m/>
    <s v="OFDA"/>
    <d v="2018-04-30T00:00:00"/>
    <n v="0"/>
    <s v="Yes"/>
    <n v="0.6"/>
    <n v="0"/>
    <n v="0"/>
    <n v="10"/>
    <n v="493920"/>
    <n v="0"/>
    <n v="0"/>
    <m/>
    <m/>
    <n v="3"/>
    <n v="3"/>
    <m/>
    <m/>
    <n v="13"/>
    <n v="0"/>
    <n v="15"/>
    <n v="0"/>
    <x v="0"/>
    <x v="0"/>
    <n v="0"/>
    <n v="0"/>
    <m/>
    <n v="1"/>
    <s v="Both"/>
    <n v="0"/>
    <n v="2"/>
    <n v="60"/>
    <n v="0"/>
    <m/>
    <m/>
    <m/>
    <s v="no test"/>
    <n v="1"/>
    <n v="1"/>
    <n v="1"/>
    <n v="1"/>
    <n v="383"/>
    <n v="0"/>
    <n v="0"/>
    <n v="1"/>
    <n v="383"/>
    <n v="0.76600000000000001"/>
    <n v="0"/>
    <n v="0"/>
    <n v="0.23399999999999999"/>
    <n v="1"/>
    <x v="1"/>
    <n v="13"/>
    <n v="0.6788511749347258"/>
    <n v="260"/>
    <n v="0.3133159268929504"/>
    <n v="6"/>
    <n v="19"/>
    <n v="0"/>
    <n v="300"/>
    <n v="0"/>
    <n v="1"/>
    <n v="383"/>
    <n v="0"/>
    <n v="1"/>
    <n v="0"/>
    <n v="0"/>
    <n v="1"/>
    <n v="0"/>
    <n v="0"/>
    <n v="0"/>
    <n v="0"/>
    <n v="0"/>
    <n v="80"/>
    <n v="0"/>
    <n v="0"/>
    <x v="1"/>
    <s v="Camp"/>
    <x v="0"/>
    <x v="0"/>
    <n v="0"/>
    <n v="0"/>
    <s v=""/>
    <x v="0"/>
    <m/>
  </r>
  <r>
    <x v="0"/>
    <x v="1"/>
    <x v="0"/>
    <x v="1"/>
    <x v="135"/>
    <n v="141"/>
    <n v="665"/>
    <m/>
    <s v="USAID, Christian AID, HIDA"/>
    <s v="9/1/2018,1-dec-2018"/>
    <n v="0"/>
    <s v="Yes"/>
    <n v="0.5"/>
    <n v="0.5"/>
    <n v="3"/>
    <n v="2"/>
    <n v="0"/>
    <n v="0"/>
    <n v="0"/>
    <m/>
    <m/>
    <m/>
    <m/>
    <m/>
    <m/>
    <n v="24"/>
    <n v="0"/>
    <n v="4"/>
    <n v="0"/>
    <x v="0"/>
    <x v="0"/>
    <m/>
    <m/>
    <m/>
    <n v="1"/>
    <s v="Both"/>
    <n v="0"/>
    <n v="3"/>
    <n v="2"/>
    <n v="141"/>
    <n v="141"/>
    <m/>
    <m/>
    <s v="no test"/>
    <s v="no test"/>
    <n v="1"/>
    <n v="1"/>
    <n v="1"/>
    <n v="665"/>
    <n v="0"/>
    <n v="0"/>
    <n v="1"/>
    <n v="665"/>
    <n v="1.33"/>
    <n v="0"/>
    <n v="0"/>
    <n v="0"/>
    <n v="1"/>
    <x v="0"/>
    <n v="24"/>
    <n v="0.72180451127819545"/>
    <n v="480"/>
    <n v="0.27067669172932329"/>
    <n v="9"/>
    <n v="33"/>
    <n v="0"/>
    <n v="80"/>
    <n v="1"/>
    <n v="0"/>
    <n v="665"/>
    <n v="1"/>
    <n v="1"/>
    <n v="1"/>
    <n v="665"/>
    <n v="1"/>
    <n v="1"/>
    <n v="1"/>
    <n v="705"/>
    <n v="705"/>
    <n v="705"/>
    <n v="141"/>
    <n v="0"/>
    <n v="0"/>
    <x v="1"/>
    <s v="Camp"/>
    <x v="0"/>
    <x v="0"/>
    <n v="0"/>
    <n v="0"/>
    <s v=""/>
    <x v="0"/>
    <m/>
  </r>
  <r>
    <x v="0"/>
    <x v="1"/>
    <x v="0"/>
    <x v="1"/>
    <x v="136"/>
    <n v="17"/>
    <n v="106"/>
    <m/>
    <s v="USAID,Christian Aid, HIDA"/>
    <s v="9/1/2018,1-dec-2018"/>
    <n v="0"/>
    <s v="No"/>
    <n v="0"/>
    <n v="0"/>
    <n v="1"/>
    <n v="0"/>
    <n v="0"/>
    <n v="0"/>
    <n v="0"/>
    <m/>
    <m/>
    <m/>
    <m/>
    <m/>
    <m/>
    <n v="4"/>
    <n v="0"/>
    <n v="2"/>
    <n v="0"/>
    <x v="0"/>
    <x v="0"/>
    <m/>
    <m/>
    <m/>
    <n v="1"/>
    <s v="Both"/>
    <n v="0"/>
    <n v="2"/>
    <n v="1"/>
    <n v="17"/>
    <n v="17"/>
    <m/>
    <m/>
    <s v="no test"/>
    <s v="no test"/>
    <n v="1"/>
    <n v="1"/>
    <n v="1"/>
    <n v="106"/>
    <n v="0"/>
    <n v="0"/>
    <n v="1"/>
    <n v="106"/>
    <n v="0.21199999999999999"/>
    <n v="0"/>
    <n v="0"/>
    <n v="0.78800000000000003"/>
    <n v="1"/>
    <x v="0"/>
    <n v="4"/>
    <n v="0.75471698113207553"/>
    <n v="80"/>
    <n v="0.18867924528301888"/>
    <n v="1"/>
    <n v="5"/>
    <n v="0"/>
    <n v="40"/>
    <n v="1"/>
    <n v="0"/>
    <n v="106"/>
    <n v="1"/>
    <n v="1"/>
    <n v="1"/>
    <n v="106"/>
    <n v="1"/>
    <n v="1"/>
    <n v="1"/>
    <n v="85"/>
    <n v="85"/>
    <n v="85"/>
    <n v="17"/>
    <n v="0"/>
    <n v="0"/>
    <x v="1"/>
    <s v="Camp"/>
    <x v="0"/>
    <x v="0"/>
    <n v="0"/>
    <n v="0"/>
    <s v=""/>
    <x v="0"/>
    <m/>
  </r>
  <r>
    <x v="0"/>
    <x v="1"/>
    <x v="0"/>
    <x v="1"/>
    <x v="137"/>
    <n v="19"/>
    <n v="94"/>
    <m/>
    <s v="USAID,Christian Aid, HIDA"/>
    <s v="9/1/2018,1-dec-2018"/>
    <n v="0"/>
    <s v="No"/>
    <n v="0"/>
    <n v="0"/>
    <n v="5"/>
    <n v="0"/>
    <n v="1350"/>
    <n v="0"/>
    <n v="0"/>
    <m/>
    <m/>
    <m/>
    <m/>
    <m/>
    <m/>
    <n v="5"/>
    <n v="0"/>
    <m/>
    <n v="0"/>
    <x v="0"/>
    <x v="0"/>
    <m/>
    <m/>
    <m/>
    <n v="1"/>
    <s v="Both"/>
    <n v="0"/>
    <n v="1"/>
    <n v="1"/>
    <n v="19"/>
    <n v="19"/>
    <m/>
    <m/>
    <s v="no test"/>
    <s v="no test"/>
    <n v="1"/>
    <n v="1"/>
    <n v="1"/>
    <n v="94"/>
    <n v="0"/>
    <n v="0"/>
    <n v="1"/>
    <n v="94"/>
    <n v="0.188"/>
    <n v="0"/>
    <n v="0"/>
    <n v="0.81200000000000006"/>
    <n v="1"/>
    <x v="0"/>
    <n v="5"/>
    <n v="1"/>
    <n v="94"/>
    <n v="0"/>
    <n v="0"/>
    <n v="5"/>
    <n v="0"/>
    <n v="0"/>
    <n v="1"/>
    <n v="0"/>
    <n v="94"/>
    <n v="1"/>
    <n v="1"/>
    <n v="1"/>
    <n v="94"/>
    <n v="1"/>
    <n v="1"/>
    <n v="1"/>
    <n v="95"/>
    <n v="95"/>
    <n v="95"/>
    <n v="19"/>
    <n v="0"/>
    <n v="0"/>
    <x v="1"/>
    <s v="Camp"/>
    <x v="0"/>
    <x v="0"/>
    <n v="0"/>
    <n v="0"/>
    <s v=""/>
    <x v="0"/>
    <m/>
  </r>
  <r>
    <x v="0"/>
    <x v="7"/>
    <x v="0"/>
    <x v="1"/>
    <x v="138"/>
    <n v="440"/>
    <n v="2199"/>
    <m/>
    <s v="OFDA"/>
    <d v="2018-04-30T00:00:00"/>
    <n v="0"/>
    <s v="No"/>
    <n v="0"/>
    <n v="0"/>
    <n v="0"/>
    <n v="1"/>
    <n v="0"/>
    <n v="0"/>
    <n v="0"/>
    <m/>
    <n v="0"/>
    <m/>
    <m/>
    <n v="0"/>
    <m/>
    <n v="16"/>
    <n v="0"/>
    <n v="0"/>
    <n v="0"/>
    <x v="0"/>
    <x v="3"/>
    <n v="0"/>
    <n v="0"/>
    <m/>
    <n v="0"/>
    <s v="Both"/>
    <n v="0"/>
    <m/>
    <m/>
    <n v="0"/>
    <n v="0"/>
    <s v="No"/>
    <m/>
    <s v="no test"/>
    <s v="no test"/>
    <n v="1"/>
    <n v="0.11368804001819009"/>
    <n v="1"/>
    <n v="2199"/>
    <n v="0"/>
    <n v="0"/>
    <n v="1"/>
    <n v="2199"/>
    <n v="4.3979999999999997"/>
    <n v="0"/>
    <n v="0"/>
    <n v="0"/>
    <n v="4"/>
    <x v="0"/>
    <n v="16"/>
    <n v="0.14552069122328332"/>
    <n v="320"/>
    <n v="0.85493406093678947"/>
    <n v="94"/>
    <n v="110"/>
    <n v="0"/>
    <n v="0"/>
    <n v="0"/>
    <n v="1"/>
    <n v="0"/>
    <n v="0"/>
    <n v="0"/>
    <n v="0"/>
    <n v="0"/>
    <n v="0"/>
    <n v="0"/>
    <n v="0"/>
    <n v="0"/>
    <n v="0"/>
    <n v="0"/>
    <n v="0"/>
    <n v="0"/>
    <n v="0"/>
    <x v="1"/>
    <s v="Camp"/>
    <x v="5"/>
    <x v="1"/>
    <n v="0"/>
    <n v="0"/>
    <n v="0"/>
    <x v="0"/>
    <m/>
  </r>
  <r>
    <x v="0"/>
    <x v="2"/>
    <x v="0"/>
    <x v="1"/>
    <x v="139"/>
    <n v="470"/>
    <n v="2350"/>
    <m/>
    <s v="OFDA"/>
    <d v="2018-04-30T00:00:00"/>
    <n v="0"/>
    <s v="No"/>
    <n v="0"/>
    <n v="0"/>
    <n v="0"/>
    <n v="1"/>
    <n v="0"/>
    <n v="0"/>
    <n v="0"/>
    <m/>
    <n v="0"/>
    <m/>
    <m/>
    <n v="51"/>
    <m/>
    <n v="0"/>
    <n v="0"/>
    <n v="0"/>
    <n v="0"/>
    <x v="0"/>
    <x v="3"/>
    <n v="0"/>
    <n v="0"/>
    <m/>
    <n v="1"/>
    <s v="Both"/>
    <n v="0"/>
    <m/>
    <m/>
    <n v="0"/>
    <n v="0"/>
    <s v="No"/>
    <m/>
    <s v="no test"/>
    <s v="no test"/>
    <n v="1"/>
    <n v="0.10638297872340426"/>
    <n v="1"/>
    <n v="2350"/>
    <n v="0"/>
    <n v="0"/>
    <n v="1"/>
    <n v="2350"/>
    <n v="4.7"/>
    <n v="0"/>
    <n v="0"/>
    <n v="0.29999999999999982"/>
    <n v="5"/>
    <x v="0"/>
    <n v="0"/>
    <n v="0"/>
    <n v="0"/>
    <n v="1.0042553191489361"/>
    <n v="118"/>
    <n v="118"/>
    <n v="0"/>
    <n v="0"/>
    <n v="0"/>
    <n v="1"/>
    <n v="0"/>
    <n v="0"/>
    <n v="0"/>
    <n v="0"/>
    <n v="0"/>
    <n v="0"/>
    <n v="0"/>
    <n v="0"/>
    <n v="0"/>
    <n v="0"/>
    <n v="0"/>
    <n v="470"/>
    <n v="0"/>
    <n v="0"/>
    <x v="1"/>
    <s v="Camp"/>
    <x v="5"/>
    <x v="0"/>
    <n v="0"/>
    <n v="0"/>
    <n v="0"/>
    <x v="0"/>
    <m/>
  </r>
  <r>
    <x v="0"/>
    <x v="2"/>
    <x v="0"/>
    <x v="1"/>
    <x v="140"/>
    <n v="109"/>
    <n v="580"/>
    <m/>
    <s v="OFDA"/>
    <d v="2018-04-30T00:00:00"/>
    <n v="0"/>
    <s v="Yes"/>
    <n v="0.5"/>
    <n v="0"/>
    <n v="1"/>
    <n v="1"/>
    <n v="1260000"/>
    <n v="0"/>
    <n v="0"/>
    <m/>
    <m/>
    <n v="6"/>
    <n v="6"/>
    <m/>
    <m/>
    <n v="28"/>
    <n v="0"/>
    <n v="18"/>
    <n v="0"/>
    <x v="0"/>
    <x v="3"/>
    <n v="0"/>
    <n v="0"/>
    <m/>
    <n v="1"/>
    <s v="Both"/>
    <n v="0"/>
    <n v="3"/>
    <n v="81"/>
    <n v="0"/>
    <m/>
    <m/>
    <m/>
    <s v="no test"/>
    <n v="1"/>
    <n v="1"/>
    <n v="1"/>
    <n v="1"/>
    <n v="580"/>
    <n v="0"/>
    <n v="0"/>
    <n v="1"/>
    <n v="580"/>
    <n v="1.1599999999999999"/>
    <n v="0"/>
    <n v="0"/>
    <n v="0"/>
    <n v="1"/>
    <x v="1"/>
    <n v="28"/>
    <n v="0.96551724137931039"/>
    <n v="560"/>
    <n v="3.4482758620689655E-2"/>
    <n v="1"/>
    <n v="29"/>
    <n v="0"/>
    <n v="360"/>
    <n v="0"/>
    <n v="1"/>
    <n v="580"/>
    <n v="0"/>
    <n v="1"/>
    <n v="0"/>
    <n v="0"/>
    <n v="1"/>
    <n v="0"/>
    <n v="0"/>
    <n v="0"/>
    <n v="0"/>
    <n v="0"/>
    <n v="109"/>
    <n v="0"/>
    <n v="0"/>
    <x v="1"/>
    <s v="Camp"/>
    <x v="0"/>
    <x v="0"/>
    <n v="0"/>
    <n v="0"/>
    <s v=""/>
    <x v="0"/>
    <m/>
  </r>
  <r>
    <x v="0"/>
    <x v="2"/>
    <x v="0"/>
    <x v="3"/>
    <x v="141"/>
    <n v="281"/>
    <n v="1409"/>
    <m/>
    <s v="OFDA"/>
    <d v="2018-04-30T00:00:00"/>
    <n v="0"/>
    <s v="No"/>
    <n v="0"/>
    <n v="0"/>
    <n v="0"/>
    <n v="0"/>
    <n v="0"/>
    <n v="0"/>
    <n v="0"/>
    <n v="0"/>
    <n v="0"/>
    <n v="0"/>
    <n v="0"/>
    <n v="39"/>
    <m/>
    <n v="0"/>
    <n v="0"/>
    <n v="0"/>
    <n v="0"/>
    <x v="0"/>
    <x v="0"/>
    <n v="0"/>
    <n v="0"/>
    <m/>
    <n v="1"/>
    <s v="Both"/>
    <n v="0"/>
    <m/>
    <m/>
    <n v="0"/>
    <n v="0"/>
    <s v="No"/>
    <m/>
    <s v="no test"/>
    <s v="no test"/>
    <n v="0"/>
    <n v="0"/>
    <n v="0"/>
    <n v="0"/>
    <n v="0"/>
    <n v="0"/>
    <n v="0"/>
    <n v="0"/>
    <n v="0"/>
    <n v="1"/>
    <n v="1409"/>
    <n v="3"/>
    <n v="3"/>
    <x v="0"/>
    <n v="0"/>
    <n v="0"/>
    <n v="0"/>
    <n v="0.99361249112845984"/>
    <n v="70"/>
    <n v="70"/>
    <n v="0"/>
    <n v="0"/>
    <n v="0"/>
    <n v="1"/>
    <n v="0"/>
    <n v="0"/>
    <n v="0"/>
    <n v="0"/>
    <n v="0"/>
    <n v="0"/>
    <n v="0"/>
    <n v="0"/>
    <n v="0"/>
    <n v="0"/>
    <n v="0"/>
    <n v="281"/>
    <s v="No"/>
    <n v="0"/>
    <x v="1"/>
    <s v="Camp"/>
    <x v="0"/>
    <x v="0"/>
    <n v="0"/>
    <n v="0"/>
    <n v="0"/>
    <x v="0"/>
    <s v="to ask"/>
  </r>
  <r>
    <x v="0"/>
    <x v="9"/>
    <x v="0"/>
    <x v="8"/>
    <x v="142"/>
    <n v="20"/>
    <n v="84"/>
    <m/>
    <s v="UNICEF, ADRA/CANADA"/>
    <s v="12/31/2018,1/31/2018"/>
    <n v="0"/>
    <s v="Yes"/>
    <n v="0.5"/>
    <n v="0.5"/>
    <n v="0"/>
    <n v="1"/>
    <n v="2000"/>
    <n v="0"/>
    <n v="0"/>
    <n v="0"/>
    <n v="0"/>
    <n v="0"/>
    <n v="0"/>
    <n v="0"/>
    <m/>
    <n v="4"/>
    <n v="0"/>
    <n v="0"/>
    <n v="0"/>
    <x v="0"/>
    <x v="0"/>
    <m/>
    <m/>
    <m/>
    <n v="0.2"/>
    <s v="Communal"/>
    <n v="0"/>
    <n v="1"/>
    <n v="1"/>
    <n v="0"/>
    <n v="0"/>
    <m/>
    <m/>
    <s v="no test"/>
    <s v="no test"/>
    <n v="1"/>
    <n v="1"/>
    <n v="1"/>
    <n v="84"/>
    <n v="0"/>
    <n v="0"/>
    <n v="1"/>
    <n v="84"/>
    <n v="0.16800000000000001"/>
    <n v="0"/>
    <n v="0"/>
    <n v="0.83199999999999996"/>
    <n v="1"/>
    <x v="0"/>
    <n v="4"/>
    <n v="0.95238095238095233"/>
    <n v="80"/>
    <n v="0"/>
    <n v="0"/>
    <n v="4"/>
    <n v="0"/>
    <n v="0"/>
    <n v="0"/>
    <n v="1"/>
    <n v="84"/>
    <n v="0"/>
    <n v="1"/>
    <n v="0"/>
    <n v="0"/>
    <n v="1"/>
    <n v="0"/>
    <n v="0"/>
    <n v="0"/>
    <n v="0"/>
    <n v="0"/>
    <n v="4"/>
    <n v="0"/>
    <n v="0"/>
    <x v="1"/>
    <s v="Camp"/>
    <x v="0"/>
    <x v="0"/>
    <n v="0"/>
    <n v="0"/>
    <n v="0"/>
    <x v="0"/>
    <m/>
  </r>
  <r>
    <x v="0"/>
    <x v="10"/>
    <x v="1"/>
    <x v="13"/>
    <x v="143"/>
    <n v="194"/>
    <n v="972"/>
    <m/>
    <s v="BMZ"/>
    <d v="2019-05-01T00:00:00"/>
    <m/>
    <s v="Yes"/>
    <n v="0"/>
    <n v="0"/>
    <n v="0"/>
    <n v="0"/>
    <m/>
    <m/>
    <n v="0"/>
    <m/>
    <m/>
    <m/>
    <m/>
    <m/>
    <m/>
    <n v="0"/>
    <m/>
    <m/>
    <n v="0"/>
    <x v="1"/>
    <x v="1"/>
    <m/>
    <m/>
    <m/>
    <n v="0"/>
    <m/>
    <n v="0"/>
    <m/>
    <n v="0"/>
    <m/>
    <m/>
    <m/>
    <m/>
    <s v="no test"/>
    <s v="no test"/>
    <n v="0"/>
    <n v="0"/>
    <n v="0"/>
    <n v="0"/>
    <n v="0"/>
    <n v="0"/>
    <n v="0"/>
    <n v="0"/>
    <n v="0"/>
    <n v="1"/>
    <n v="972"/>
    <n v="2"/>
    <n v="2"/>
    <x v="0"/>
    <n v="0"/>
    <n v="0"/>
    <n v="0"/>
    <n v="1"/>
    <n v="162"/>
    <n v="162"/>
    <n v="0"/>
    <s v="N/A"/>
    <n v="0"/>
    <n v="1"/>
    <n v="0"/>
    <n v="0"/>
    <n v="0"/>
    <n v="0"/>
    <n v="0"/>
    <n v="0"/>
    <n v="0"/>
    <n v="0"/>
    <n v="0"/>
    <n v="0"/>
    <n v="0"/>
    <n v="0"/>
    <n v="0"/>
    <n v="0"/>
    <x v="2"/>
    <s v="Village"/>
    <x v="6"/>
    <x v="2"/>
    <n v="0"/>
    <n v="0"/>
    <s v=""/>
    <x v="0"/>
    <m/>
  </r>
  <r>
    <x v="0"/>
    <x v="10"/>
    <x v="1"/>
    <x v="13"/>
    <x v="144"/>
    <n v="58"/>
    <n v="290"/>
    <m/>
    <s v="BMZ"/>
    <d v="2019-05-01T00:00:00"/>
    <m/>
    <s v="Yes"/>
    <n v="0"/>
    <n v="0"/>
    <n v="0"/>
    <n v="0"/>
    <m/>
    <m/>
    <n v="0"/>
    <m/>
    <m/>
    <m/>
    <m/>
    <m/>
    <m/>
    <n v="0"/>
    <m/>
    <m/>
    <n v="0"/>
    <x v="1"/>
    <x v="1"/>
    <m/>
    <m/>
    <m/>
    <n v="0"/>
    <m/>
    <n v="0"/>
    <m/>
    <n v="0"/>
    <m/>
    <m/>
    <m/>
    <m/>
    <s v="no test"/>
    <s v="no test"/>
    <n v="0"/>
    <n v="0"/>
    <n v="0"/>
    <n v="0"/>
    <n v="0"/>
    <n v="0"/>
    <n v="0"/>
    <n v="0"/>
    <n v="0"/>
    <n v="1"/>
    <n v="290"/>
    <n v="1"/>
    <n v="1"/>
    <x v="0"/>
    <n v="0"/>
    <n v="0"/>
    <n v="0"/>
    <n v="0.99310344827586206"/>
    <n v="48"/>
    <n v="48"/>
    <n v="0"/>
    <s v="N/A"/>
    <n v="0"/>
    <n v="1"/>
    <n v="0"/>
    <n v="0"/>
    <n v="0"/>
    <n v="0"/>
    <n v="0"/>
    <n v="0"/>
    <n v="0"/>
    <n v="0"/>
    <n v="0"/>
    <n v="0"/>
    <n v="0"/>
    <n v="0"/>
    <n v="0"/>
    <n v="0"/>
    <x v="2"/>
    <s v="Village"/>
    <x v="6"/>
    <x v="3"/>
    <n v="19.484790802001999"/>
    <n v="94.007926940917997"/>
    <s v="199191"/>
    <x v="0"/>
    <m/>
  </r>
  <r>
    <x v="0"/>
    <x v="10"/>
    <x v="1"/>
    <x v="13"/>
    <x v="145"/>
    <n v="47"/>
    <n v="237"/>
    <m/>
    <s v="BMZ"/>
    <d v="2019-05-01T00:00:00"/>
    <m/>
    <s v="Yes"/>
    <n v="0"/>
    <n v="0"/>
    <n v="0"/>
    <n v="0"/>
    <m/>
    <m/>
    <n v="0"/>
    <m/>
    <m/>
    <m/>
    <m/>
    <m/>
    <m/>
    <n v="0"/>
    <m/>
    <m/>
    <n v="0"/>
    <x v="1"/>
    <x v="1"/>
    <m/>
    <m/>
    <m/>
    <n v="0"/>
    <m/>
    <n v="0"/>
    <m/>
    <n v="0"/>
    <m/>
    <m/>
    <m/>
    <m/>
    <s v="no test"/>
    <s v="no test"/>
    <n v="0"/>
    <n v="0"/>
    <n v="0"/>
    <n v="0"/>
    <n v="0"/>
    <n v="0"/>
    <n v="0"/>
    <n v="0"/>
    <n v="0"/>
    <n v="1"/>
    <n v="237"/>
    <n v="1"/>
    <n v="1"/>
    <x v="0"/>
    <n v="0"/>
    <n v="0"/>
    <n v="0"/>
    <n v="1.0126582278481013"/>
    <n v="40"/>
    <n v="40"/>
    <n v="0"/>
    <s v="N/A"/>
    <n v="0"/>
    <n v="1"/>
    <n v="0"/>
    <n v="0"/>
    <n v="0"/>
    <n v="0"/>
    <n v="0"/>
    <n v="0"/>
    <n v="0"/>
    <n v="0"/>
    <n v="0"/>
    <n v="0"/>
    <n v="0"/>
    <n v="0"/>
    <n v="0"/>
    <n v="0"/>
    <x v="2"/>
    <s v="Village"/>
    <x v="6"/>
    <x v="3"/>
    <n v="19.591590881347699"/>
    <n v="93.808258056640597"/>
    <n v="199195"/>
    <x v="0"/>
    <m/>
  </r>
  <r>
    <x v="0"/>
    <x v="10"/>
    <x v="1"/>
    <x v="13"/>
    <x v="146"/>
    <n v="34"/>
    <n v="171"/>
    <m/>
    <s v="BMZ"/>
    <d v="2019-05-01T00:00:00"/>
    <m/>
    <s v="Yes"/>
    <n v="0"/>
    <n v="0"/>
    <n v="0"/>
    <n v="0"/>
    <m/>
    <m/>
    <n v="0"/>
    <m/>
    <m/>
    <m/>
    <m/>
    <m/>
    <m/>
    <n v="0"/>
    <m/>
    <m/>
    <n v="0"/>
    <x v="1"/>
    <x v="1"/>
    <m/>
    <m/>
    <m/>
    <n v="0"/>
    <m/>
    <n v="0"/>
    <m/>
    <n v="0"/>
    <m/>
    <m/>
    <m/>
    <m/>
    <s v="no test"/>
    <s v="no test"/>
    <n v="0"/>
    <n v="0"/>
    <n v="0"/>
    <n v="0"/>
    <n v="0"/>
    <n v="0"/>
    <n v="0"/>
    <n v="0"/>
    <n v="0"/>
    <n v="1"/>
    <n v="171"/>
    <n v="1"/>
    <n v="1"/>
    <x v="0"/>
    <n v="0"/>
    <n v="0"/>
    <n v="0"/>
    <n v="1.0175438596491229"/>
    <n v="29"/>
    <n v="29"/>
    <n v="0"/>
    <s v="N/A"/>
    <n v="0"/>
    <n v="1"/>
    <n v="0"/>
    <n v="0"/>
    <n v="0"/>
    <n v="0"/>
    <n v="0"/>
    <n v="0"/>
    <n v="0"/>
    <n v="0"/>
    <n v="0"/>
    <n v="0"/>
    <n v="0"/>
    <n v="0"/>
    <n v="0"/>
    <n v="0"/>
    <x v="2"/>
    <s v="Village"/>
    <x v="6"/>
    <x v="3"/>
    <n v="19.610979080200199"/>
    <n v="93.9847412109375"/>
    <s v="199264"/>
    <x v="0"/>
    <m/>
  </r>
  <r>
    <x v="0"/>
    <x v="10"/>
    <x v="1"/>
    <x v="13"/>
    <x v="147"/>
    <n v="144"/>
    <n v="719"/>
    <m/>
    <s v="BMZ"/>
    <d v="2019-05-01T00:00:00"/>
    <m/>
    <s v="Yes"/>
    <n v="0"/>
    <n v="0"/>
    <n v="0"/>
    <n v="0"/>
    <m/>
    <m/>
    <n v="0"/>
    <m/>
    <m/>
    <m/>
    <m/>
    <m/>
    <m/>
    <n v="0"/>
    <m/>
    <m/>
    <n v="0"/>
    <x v="1"/>
    <x v="1"/>
    <m/>
    <m/>
    <m/>
    <n v="0"/>
    <m/>
    <n v="0"/>
    <m/>
    <n v="0"/>
    <m/>
    <m/>
    <m/>
    <m/>
    <s v="no test"/>
    <s v="no test"/>
    <n v="0"/>
    <n v="0"/>
    <n v="0"/>
    <n v="0"/>
    <n v="0"/>
    <n v="0"/>
    <n v="0"/>
    <n v="0"/>
    <n v="0"/>
    <n v="1"/>
    <n v="719"/>
    <n v="1"/>
    <n v="1"/>
    <x v="0"/>
    <n v="0"/>
    <n v="0"/>
    <n v="0"/>
    <n v="1.0013908205841446"/>
    <n v="120"/>
    <n v="120"/>
    <n v="0"/>
    <s v="N/A"/>
    <n v="0"/>
    <n v="1"/>
    <n v="0"/>
    <n v="0"/>
    <n v="0"/>
    <n v="0"/>
    <n v="0"/>
    <n v="0"/>
    <n v="0"/>
    <n v="0"/>
    <n v="0"/>
    <n v="0"/>
    <n v="0"/>
    <n v="0"/>
    <n v="0"/>
    <n v="0"/>
    <x v="2"/>
    <s v="Village"/>
    <x v="6"/>
    <x v="3"/>
    <n v="19.611209869384801"/>
    <n v="93.995933532714801"/>
    <s v="199261"/>
    <x v="0"/>
    <m/>
  </r>
  <r>
    <x v="0"/>
    <x v="10"/>
    <x v="1"/>
    <x v="13"/>
    <x v="148"/>
    <n v="84"/>
    <n v="419"/>
    <m/>
    <s v="BMZ"/>
    <d v="2019-05-01T00:00:00"/>
    <m/>
    <s v="Yes"/>
    <n v="0"/>
    <n v="0"/>
    <n v="0"/>
    <n v="0"/>
    <m/>
    <m/>
    <n v="0"/>
    <m/>
    <m/>
    <m/>
    <m/>
    <m/>
    <m/>
    <n v="0"/>
    <m/>
    <m/>
    <n v="0"/>
    <x v="1"/>
    <x v="1"/>
    <m/>
    <m/>
    <m/>
    <n v="0"/>
    <m/>
    <n v="0"/>
    <m/>
    <n v="0"/>
    <m/>
    <m/>
    <m/>
    <m/>
    <s v="no test"/>
    <s v="no test"/>
    <n v="0"/>
    <n v="0"/>
    <n v="0"/>
    <n v="0"/>
    <n v="0"/>
    <n v="0"/>
    <n v="0"/>
    <n v="0"/>
    <n v="0"/>
    <n v="1"/>
    <n v="419"/>
    <n v="1"/>
    <n v="1"/>
    <x v="0"/>
    <n v="0"/>
    <n v="0"/>
    <n v="0"/>
    <n v="1.0023866348448689"/>
    <n v="70"/>
    <n v="70"/>
    <n v="0"/>
    <s v="N/A"/>
    <n v="0"/>
    <n v="1"/>
    <n v="0"/>
    <n v="0"/>
    <n v="0"/>
    <n v="0"/>
    <n v="0"/>
    <n v="0"/>
    <n v="0"/>
    <n v="0"/>
    <n v="0"/>
    <n v="0"/>
    <n v="0"/>
    <n v="0"/>
    <n v="0"/>
    <n v="0"/>
    <x v="2"/>
    <s v="Village"/>
    <x v="6"/>
    <x v="3"/>
    <n v="19.615800857543899"/>
    <n v="94.000473022460895"/>
    <s v="199262"/>
    <x v="0"/>
    <m/>
  </r>
  <r>
    <x v="0"/>
    <x v="10"/>
    <x v="1"/>
    <x v="13"/>
    <x v="149"/>
    <n v="27"/>
    <n v="136"/>
    <m/>
    <s v="BMZ"/>
    <d v="2019-05-01T00:00:00"/>
    <m/>
    <s v="Yes"/>
    <n v="0"/>
    <n v="0"/>
    <n v="0"/>
    <n v="0"/>
    <m/>
    <m/>
    <n v="0"/>
    <m/>
    <m/>
    <m/>
    <m/>
    <m/>
    <m/>
    <n v="0"/>
    <m/>
    <m/>
    <n v="0"/>
    <x v="1"/>
    <x v="1"/>
    <m/>
    <m/>
    <m/>
    <n v="0"/>
    <m/>
    <n v="0"/>
    <m/>
    <n v="0"/>
    <m/>
    <m/>
    <m/>
    <m/>
    <s v="no test"/>
    <s v="no test"/>
    <n v="0"/>
    <n v="0"/>
    <n v="0"/>
    <n v="0"/>
    <n v="0"/>
    <n v="0"/>
    <n v="0"/>
    <n v="0"/>
    <n v="0"/>
    <n v="1"/>
    <n v="136"/>
    <n v="1"/>
    <n v="1"/>
    <x v="0"/>
    <n v="0"/>
    <n v="0"/>
    <n v="0"/>
    <n v="1.0147058823529411"/>
    <n v="23"/>
    <n v="23"/>
    <n v="0"/>
    <s v="N/A"/>
    <n v="0"/>
    <n v="1"/>
    <n v="0"/>
    <n v="0"/>
    <n v="0"/>
    <n v="0"/>
    <n v="0"/>
    <n v="0"/>
    <n v="0"/>
    <n v="0"/>
    <n v="0"/>
    <n v="0"/>
    <n v="0"/>
    <n v="0"/>
    <n v="0"/>
    <n v="0"/>
    <x v="2"/>
    <s v="Village"/>
    <x v="6"/>
    <x v="4"/>
    <n v="19.619289398193398"/>
    <n v="93.959686279296903"/>
    <s v="199266"/>
    <x v="0"/>
    <m/>
  </r>
  <r>
    <x v="0"/>
    <x v="10"/>
    <x v="1"/>
    <x v="13"/>
    <x v="150"/>
    <n v="72"/>
    <n v="360"/>
    <m/>
    <s v="BMZ"/>
    <d v="2019-05-01T00:00:00"/>
    <m/>
    <s v="Yes"/>
    <n v="0"/>
    <n v="0"/>
    <n v="0"/>
    <n v="0"/>
    <m/>
    <m/>
    <n v="0"/>
    <m/>
    <m/>
    <m/>
    <m/>
    <m/>
    <m/>
    <n v="0"/>
    <m/>
    <m/>
    <n v="0"/>
    <x v="1"/>
    <x v="1"/>
    <m/>
    <m/>
    <m/>
    <n v="0"/>
    <m/>
    <n v="0"/>
    <m/>
    <n v="0"/>
    <m/>
    <m/>
    <m/>
    <m/>
    <s v="no test"/>
    <s v="no test"/>
    <n v="0"/>
    <n v="0"/>
    <n v="0"/>
    <n v="0"/>
    <n v="0"/>
    <n v="0"/>
    <n v="0"/>
    <n v="0"/>
    <n v="0"/>
    <n v="1"/>
    <n v="360"/>
    <n v="1"/>
    <n v="1"/>
    <x v="0"/>
    <n v="0"/>
    <n v="0"/>
    <n v="0"/>
    <n v="1"/>
    <n v="60"/>
    <n v="60"/>
    <n v="0"/>
    <s v="N/A"/>
    <n v="0"/>
    <n v="1"/>
    <n v="0"/>
    <n v="0"/>
    <n v="0"/>
    <n v="0"/>
    <n v="0"/>
    <n v="0"/>
    <n v="0"/>
    <n v="0"/>
    <n v="0"/>
    <n v="0"/>
    <n v="0"/>
    <n v="0"/>
    <n v="0"/>
    <n v="0"/>
    <x v="2"/>
    <s v="Village"/>
    <x v="6"/>
    <x v="3"/>
    <n v="19.627199172973601"/>
    <n v="93.962989807128906"/>
    <s v="199265"/>
    <x v="0"/>
    <m/>
  </r>
  <r>
    <x v="0"/>
    <x v="10"/>
    <x v="1"/>
    <x v="13"/>
    <x v="151"/>
    <n v="89"/>
    <n v="443"/>
    <m/>
    <s v="BMZ"/>
    <d v="2019-05-01T00:00:00"/>
    <m/>
    <s v="Yes"/>
    <n v="0"/>
    <n v="0"/>
    <n v="0"/>
    <n v="0"/>
    <m/>
    <m/>
    <n v="0"/>
    <m/>
    <m/>
    <m/>
    <m/>
    <m/>
    <m/>
    <n v="0"/>
    <m/>
    <m/>
    <n v="0"/>
    <x v="1"/>
    <x v="1"/>
    <m/>
    <m/>
    <m/>
    <n v="0"/>
    <m/>
    <n v="0"/>
    <m/>
    <n v="0"/>
    <m/>
    <m/>
    <m/>
    <m/>
    <s v="no test"/>
    <s v="no test"/>
    <n v="0"/>
    <n v="0"/>
    <n v="0"/>
    <n v="0"/>
    <n v="0"/>
    <n v="0"/>
    <n v="0"/>
    <n v="0"/>
    <n v="0"/>
    <n v="1"/>
    <n v="443"/>
    <n v="1"/>
    <n v="1"/>
    <x v="0"/>
    <n v="0"/>
    <n v="0"/>
    <n v="0"/>
    <n v="1.0022573363431151"/>
    <n v="74"/>
    <n v="74"/>
    <n v="0"/>
    <s v="N/A"/>
    <n v="0"/>
    <n v="1"/>
    <n v="0"/>
    <n v="0"/>
    <n v="0"/>
    <n v="0"/>
    <n v="0"/>
    <n v="0"/>
    <n v="0"/>
    <n v="0"/>
    <n v="0"/>
    <n v="0"/>
    <n v="0"/>
    <n v="0"/>
    <n v="0"/>
    <n v="0"/>
    <x v="2"/>
    <s v="Village"/>
    <x v="6"/>
    <x v="4"/>
    <n v="19.639009475708001"/>
    <n v="94.036079406738295"/>
    <s v="199223"/>
    <x v="0"/>
    <m/>
  </r>
  <r>
    <x v="0"/>
    <x v="10"/>
    <x v="1"/>
    <x v="13"/>
    <x v="152"/>
    <n v="248"/>
    <n v="1241"/>
    <m/>
    <s v="BMZ"/>
    <d v="2019-05-01T00:00:00"/>
    <m/>
    <s v="Yes"/>
    <n v="0"/>
    <n v="0"/>
    <n v="0"/>
    <n v="0"/>
    <m/>
    <m/>
    <n v="0"/>
    <m/>
    <m/>
    <m/>
    <m/>
    <m/>
    <m/>
    <n v="0"/>
    <m/>
    <m/>
    <n v="0"/>
    <x v="1"/>
    <x v="1"/>
    <m/>
    <m/>
    <m/>
    <n v="0"/>
    <m/>
    <n v="0"/>
    <m/>
    <n v="0"/>
    <m/>
    <m/>
    <m/>
    <m/>
    <s v="no test"/>
    <s v="no test"/>
    <n v="0"/>
    <n v="0"/>
    <n v="0"/>
    <n v="0"/>
    <n v="0"/>
    <n v="0"/>
    <n v="0"/>
    <n v="0"/>
    <n v="0"/>
    <n v="1"/>
    <n v="1241"/>
    <n v="2"/>
    <n v="2"/>
    <x v="0"/>
    <n v="0"/>
    <n v="0"/>
    <n v="0"/>
    <n v="1.0008058017727639"/>
    <n v="207"/>
    <n v="207"/>
    <n v="0"/>
    <s v="N/A"/>
    <n v="0"/>
    <n v="1"/>
    <n v="0"/>
    <n v="0"/>
    <n v="0"/>
    <n v="0"/>
    <n v="0"/>
    <n v="0"/>
    <n v="0"/>
    <n v="0"/>
    <n v="0"/>
    <n v="0"/>
    <n v="0"/>
    <n v="0"/>
    <n v="0"/>
    <n v="0"/>
    <x v="2"/>
    <s v="Village"/>
    <x v="6"/>
    <x v="3"/>
    <n v="19.646549224853501"/>
    <n v="94.004188537597699"/>
    <s v="199218"/>
    <x v="0"/>
    <m/>
  </r>
  <r>
    <x v="0"/>
    <x v="10"/>
    <x v="1"/>
    <x v="13"/>
    <x v="153"/>
    <n v="110"/>
    <n v="549"/>
    <m/>
    <s v="BMZ"/>
    <d v="2019-05-01T00:00:00"/>
    <m/>
    <s v="Yes"/>
    <n v="0"/>
    <n v="0"/>
    <n v="0"/>
    <n v="0"/>
    <m/>
    <m/>
    <n v="0"/>
    <m/>
    <m/>
    <m/>
    <m/>
    <m/>
    <m/>
    <n v="0"/>
    <m/>
    <m/>
    <n v="0"/>
    <x v="1"/>
    <x v="1"/>
    <m/>
    <m/>
    <m/>
    <n v="0"/>
    <m/>
    <n v="0"/>
    <m/>
    <n v="0"/>
    <m/>
    <m/>
    <m/>
    <m/>
    <s v="no test"/>
    <s v="no test"/>
    <n v="0"/>
    <n v="0"/>
    <n v="0"/>
    <n v="0"/>
    <n v="0"/>
    <n v="0"/>
    <n v="0"/>
    <n v="0"/>
    <n v="0"/>
    <n v="1"/>
    <n v="549"/>
    <n v="1"/>
    <n v="1"/>
    <x v="0"/>
    <n v="0"/>
    <n v="0"/>
    <n v="0"/>
    <n v="1.0054644808743169"/>
    <n v="92"/>
    <n v="92"/>
    <n v="0"/>
    <s v="N/A"/>
    <n v="0"/>
    <n v="1"/>
    <n v="0"/>
    <n v="0"/>
    <n v="0"/>
    <n v="0"/>
    <n v="0"/>
    <n v="0"/>
    <n v="0"/>
    <n v="0"/>
    <n v="0"/>
    <n v="0"/>
    <n v="0"/>
    <n v="0"/>
    <n v="0"/>
    <n v="0"/>
    <x v="2"/>
    <s v="Village"/>
    <x v="6"/>
    <x v="4"/>
    <n v="19.686580657958999"/>
    <n v="94.048843383789105"/>
    <s v="199156"/>
    <x v="0"/>
    <m/>
  </r>
  <r>
    <x v="0"/>
    <x v="10"/>
    <x v="1"/>
    <x v="13"/>
    <x v="154"/>
    <n v="75"/>
    <n v="373"/>
    <m/>
    <s v="BMZ"/>
    <d v="2019-05-01T00:00:00"/>
    <m/>
    <s v="Yes"/>
    <n v="0"/>
    <n v="0"/>
    <n v="0"/>
    <n v="0"/>
    <m/>
    <m/>
    <n v="0"/>
    <m/>
    <m/>
    <m/>
    <m/>
    <m/>
    <m/>
    <n v="0"/>
    <m/>
    <m/>
    <n v="0"/>
    <x v="1"/>
    <x v="1"/>
    <m/>
    <m/>
    <m/>
    <n v="0"/>
    <m/>
    <n v="0"/>
    <m/>
    <n v="0"/>
    <m/>
    <m/>
    <m/>
    <m/>
    <s v="no test"/>
    <s v="no test"/>
    <n v="0"/>
    <n v="0"/>
    <n v="0"/>
    <n v="0"/>
    <n v="0"/>
    <n v="0"/>
    <n v="0"/>
    <n v="0"/>
    <n v="0"/>
    <n v="1"/>
    <n v="373"/>
    <n v="1"/>
    <n v="1"/>
    <x v="0"/>
    <n v="0"/>
    <n v="0"/>
    <n v="0"/>
    <n v="0.99731903485254692"/>
    <n v="62"/>
    <n v="62"/>
    <n v="0"/>
    <s v="N/A"/>
    <n v="0"/>
    <n v="1"/>
    <n v="0"/>
    <n v="0"/>
    <n v="0"/>
    <n v="0"/>
    <n v="0"/>
    <n v="0"/>
    <n v="0"/>
    <n v="0"/>
    <n v="0"/>
    <n v="0"/>
    <n v="0"/>
    <n v="0"/>
    <n v="0"/>
    <n v="0"/>
    <x v="2"/>
    <s v="Village"/>
    <x v="6"/>
    <x v="4"/>
    <n v="19.7062797546387"/>
    <n v="94.016433715820298"/>
    <s v="199161"/>
    <x v="0"/>
    <m/>
  </r>
  <r>
    <x v="0"/>
    <x v="10"/>
    <x v="1"/>
    <x v="13"/>
    <x v="155"/>
    <n v="55"/>
    <n v="273"/>
    <m/>
    <s v="BMZ"/>
    <d v="2019-05-01T00:00:00"/>
    <m/>
    <s v="Yes"/>
    <n v="0"/>
    <n v="0"/>
    <n v="0"/>
    <n v="0"/>
    <m/>
    <m/>
    <n v="0"/>
    <m/>
    <m/>
    <m/>
    <m/>
    <m/>
    <m/>
    <n v="0"/>
    <m/>
    <m/>
    <n v="0"/>
    <x v="1"/>
    <x v="1"/>
    <m/>
    <m/>
    <m/>
    <n v="0"/>
    <m/>
    <n v="0"/>
    <m/>
    <n v="0"/>
    <m/>
    <m/>
    <m/>
    <m/>
    <s v="no test"/>
    <s v="no test"/>
    <n v="0"/>
    <n v="0"/>
    <n v="0"/>
    <n v="0"/>
    <n v="0"/>
    <n v="0"/>
    <n v="0"/>
    <n v="0"/>
    <n v="0"/>
    <n v="1"/>
    <n v="273"/>
    <n v="1"/>
    <n v="1"/>
    <x v="0"/>
    <n v="0"/>
    <n v="0"/>
    <n v="0"/>
    <n v="1.0109890109890109"/>
    <n v="46"/>
    <n v="46"/>
    <n v="0"/>
    <s v="N/A"/>
    <n v="0"/>
    <n v="1"/>
    <n v="0"/>
    <n v="0"/>
    <n v="0"/>
    <n v="0"/>
    <n v="0"/>
    <n v="0"/>
    <n v="0"/>
    <n v="0"/>
    <n v="0"/>
    <n v="0"/>
    <n v="0"/>
    <n v="0"/>
    <n v="0"/>
    <n v="0"/>
    <x v="2"/>
    <s v="Village"/>
    <x v="6"/>
    <x v="3"/>
    <n v="19.721389770507798"/>
    <n v="94.019851684570298"/>
    <s v="199159"/>
    <x v="0"/>
    <m/>
  </r>
  <r>
    <x v="0"/>
    <x v="10"/>
    <x v="1"/>
    <x v="13"/>
    <x v="156"/>
    <n v="44"/>
    <n v="221"/>
    <m/>
    <s v="BMZ"/>
    <d v="2019-05-01T00:00:00"/>
    <m/>
    <s v="Yes"/>
    <n v="0"/>
    <n v="0"/>
    <n v="0"/>
    <n v="0"/>
    <m/>
    <m/>
    <n v="0"/>
    <m/>
    <m/>
    <m/>
    <m/>
    <m/>
    <m/>
    <n v="0"/>
    <m/>
    <m/>
    <n v="0"/>
    <x v="1"/>
    <x v="1"/>
    <m/>
    <m/>
    <m/>
    <n v="0"/>
    <m/>
    <n v="0"/>
    <m/>
    <n v="0"/>
    <m/>
    <m/>
    <m/>
    <m/>
    <s v="no test"/>
    <s v="no test"/>
    <n v="0"/>
    <n v="0"/>
    <n v="0"/>
    <n v="0"/>
    <n v="0"/>
    <n v="0"/>
    <n v="0"/>
    <n v="0"/>
    <n v="0"/>
    <n v="1"/>
    <n v="221"/>
    <n v="1"/>
    <n v="1"/>
    <x v="0"/>
    <n v="0"/>
    <n v="0"/>
    <n v="0"/>
    <n v="1.004524886877828"/>
    <n v="37"/>
    <n v="37"/>
    <n v="0"/>
    <s v="N/A"/>
    <n v="0"/>
    <n v="1"/>
    <n v="0"/>
    <n v="0"/>
    <n v="0"/>
    <n v="0"/>
    <n v="0"/>
    <n v="0"/>
    <n v="0"/>
    <n v="0"/>
    <n v="0"/>
    <n v="0"/>
    <n v="0"/>
    <n v="0"/>
    <n v="0"/>
    <n v="0"/>
    <x v="2"/>
    <s v="Village"/>
    <x v="6"/>
    <x v="3"/>
    <n v="19.725629806518601"/>
    <n v="94.031059265136705"/>
    <s v="199158"/>
    <x v="0"/>
    <m/>
  </r>
  <r>
    <x v="0"/>
    <x v="10"/>
    <x v="1"/>
    <x v="13"/>
    <x v="157"/>
    <n v="68"/>
    <n v="342"/>
    <m/>
    <s v="BMZ"/>
    <d v="2019-05-01T00:00:00"/>
    <m/>
    <s v="Yes"/>
    <n v="0"/>
    <n v="0"/>
    <n v="0"/>
    <n v="0"/>
    <m/>
    <m/>
    <n v="0"/>
    <m/>
    <m/>
    <m/>
    <m/>
    <m/>
    <m/>
    <n v="0"/>
    <m/>
    <m/>
    <n v="0"/>
    <x v="1"/>
    <x v="1"/>
    <m/>
    <m/>
    <m/>
    <n v="0"/>
    <m/>
    <n v="0"/>
    <m/>
    <n v="0"/>
    <m/>
    <m/>
    <m/>
    <m/>
    <s v="no test"/>
    <s v="no test"/>
    <n v="0"/>
    <n v="0"/>
    <n v="0"/>
    <n v="0"/>
    <n v="0"/>
    <n v="0"/>
    <n v="0"/>
    <n v="0"/>
    <n v="0"/>
    <n v="1"/>
    <n v="342"/>
    <n v="1"/>
    <n v="1"/>
    <x v="0"/>
    <n v="0"/>
    <n v="0"/>
    <n v="0"/>
    <n v="1"/>
    <n v="57"/>
    <n v="57"/>
    <n v="0"/>
    <s v="N/A"/>
    <n v="0"/>
    <n v="1"/>
    <n v="0"/>
    <n v="0"/>
    <n v="0"/>
    <n v="0"/>
    <n v="0"/>
    <n v="0"/>
    <n v="0"/>
    <n v="0"/>
    <n v="0"/>
    <n v="0"/>
    <n v="0"/>
    <n v="0"/>
    <n v="0"/>
    <n v="0"/>
    <x v="2"/>
    <s v="Village"/>
    <x v="6"/>
    <x v="4"/>
    <n v="19.726810455322301"/>
    <n v="94.0286865234375"/>
    <s v="199157"/>
    <x v="0"/>
    <m/>
  </r>
  <r>
    <x v="0"/>
    <x v="10"/>
    <x v="1"/>
    <x v="13"/>
    <x v="158"/>
    <n v="75"/>
    <n v="375"/>
    <m/>
    <s v="BMZ"/>
    <d v="2019-05-01T00:00:00"/>
    <m/>
    <s v="Yes"/>
    <n v="0"/>
    <n v="0"/>
    <n v="0"/>
    <n v="0"/>
    <m/>
    <m/>
    <n v="0"/>
    <m/>
    <m/>
    <m/>
    <m/>
    <m/>
    <m/>
    <n v="0"/>
    <m/>
    <m/>
    <n v="0"/>
    <x v="1"/>
    <x v="1"/>
    <m/>
    <m/>
    <m/>
    <n v="0"/>
    <m/>
    <n v="0"/>
    <m/>
    <n v="0"/>
    <m/>
    <m/>
    <m/>
    <m/>
    <s v="no test"/>
    <s v="no test"/>
    <n v="0"/>
    <n v="0"/>
    <n v="0"/>
    <n v="0"/>
    <n v="0"/>
    <n v="0"/>
    <n v="0"/>
    <n v="0"/>
    <n v="0"/>
    <n v="1"/>
    <n v="375"/>
    <n v="1"/>
    <n v="1"/>
    <x v="0"/>
    <n v="0"/>
    <n v="0"/>
    <n v="0"/>
    <n v="1.008"/>
    <n v="63"/>
    <n v="63"/>
    <n v="0"/>
    <s v="N/A"/>
    <n v="0"/>
    <n v="1"/>
    <n v="0"/>
    <n v="0"/>
    <n v="0"/>
    <n v="0"/>
    <n v="0"/>
    <n v="0"/>
    <n v="0"/>
    <n v="0"/>
    <n v="0"/>
    <n v="0"/>
    <n v="0"/>
    <n v="0"/>
    <n v="0"/>
    <n v="0"/>
    <x v="2"/>
    <s v="Village"/>
    <x v="6"/>
    <x v="3"/>
    <n v="19.738719940185501"/>
    <n v="94.035491943359403"/>
    <s v="199160"/>
    <x v="0"/>
    <m/>
  </r>
  <r>
    <x v="0"/>
    <x v="10"/>
    <x v="1"/>
    <x v="13"/>
    <x v="159"/>
    <n v="123"/>
    <n v="615"/>
    <m/>
    <s v="BMZ"/>
    <d v="2019-05-01T00:00:00"/>
    <m/>
    <s v="Yes"/>
    <n v="0"/>
    <n v="0"/>
    <n v="0"/>
    <n v="0"/>
    <m/>
    <m/>
    <n v="0"/>
    <m/>
    <m/>
    <m/>
    <m/>
    <m/>
    <m/>
    <n v="0"/>
    <m/>
    <m/>
    <n v="0"/>
    <x v="1"/>
    <x v="1"/>
    <m/>
    <m/>
    <m/>
    <n v="0"/>
    <m/>
    <n v="0"/>
    <m/>
    <n v="0"/>
    <m/>
    <m/>
    <m/>
    <m/>
    <s v="no test"/>
    <s v="no test"/>
    <n v="0"/>
    <n v="0"/>
    <n v="0"/>
    <n v="0"/>
    <n v="0"/>
    <n v="0"/>
    <n v="0"/>
    <n v="0"/>
    <n v="0"/>
    <n v="1"/>
    <n v="615"/>
    <n v="1"/>
    <n v="1"/>
    <x v="0"/>
    <n v="0"/>
    <n v="0"/>
    <n v="0"/>
    <n v="1.0048780487804878"/>
    <n v="103"/>
    <n v="103"/>
    <n v="0"/>
    <s v="N/A"/>
    <n v="0"/>
    <n v="1"/>
    <n v="0"/>
    <n v="0"/>
    <n v="0"/>
    <n v="0"/>
    <n v="0"/>
    <n v="0"/>
    <n v="0"/>
    <n v="0"/>
    <n v="0"/>
    <n v="0"/>
    <n v="0"/>
    <n v="0"/>
    <n v="0"/>
    <n v="0"/>
    <x v="2"/>
    <s v="Village"/>
    <x v="6"/>
    <x v="3"/>
    <n v="19.9044303894043"/>
    <n v="93.792778015136705"/>
    <s v="199137"/>
    <x v="0"/>
    <m/>
  </r>
  <r>
    <x v="0"/>
    <x v="10"/>
    <x v="1"/>
    <x v="13"/>
    <x v="160"/>
    <n v="229"/>
    <n v="1147"/>
    <m/>
    <s v="BMZ"/>
    <d v="2019-05-01T00:00:00"/>
    <m/>
    <s v="Yes"/>
    <n v="0"/>
    <n v="0"/>
    <n v="0"/>
    <n v="0"/>
    <m/>
    <m/>
    <n v="0"/>
    <m/>
    <m/>
    <m/>
    <m/>
    <m/>
    <m/>
    <n v="0"/>
    <m/>
    <m/>
    <n v="0"/>
    <x v="1"/>
    <x v="1"/>
    <m/>
    <m/>
    <m/>
    <n v="0"/>
    <m/>
    <n v="0"/>
    <m/>
    <n v="0"/>
    <m/>
    <m/>
    <m/>
    <m/>
    <s v="no test"/>
    <s v="no test"/>
    <n v="0"/>
    <n v="0"/>
    <n v="0"/>
    <n v="0"/>
    <n v="0"/>
    <n v="0"/>
    <n v="0"/>
    <n v="0"/>
    <n v="0"/>
    <n v="1"/>
    <n v="1147"/>
    <n v="2"/>
    <n v="2"/>
    <x v="0"/>
    <n v="0"/>
    <n v="0"/>
    <n v="0"/>
    <n v="0.99912816041848307"/>
    <n v="191"/>
    <n v="191"/>
    <n v="0"/>
    <s v="N/A"/>
    <n v="0"/>
    <n v="1"/>
    <n v="0"/>
    <n v="0"/>
    <n v="0"/>
    <n v="0"/>
    <n v="0"/>
    <n v="0"/>
    <n v="0"/>
    <n v="0"/>
    <n v="0"/>
    <n v="0"/>
    <n v="0"/>
    <n v="0"/>
    <n v="0"/>
    <n v="0"/>
    <x v="2"/>
    <s v="Village"/>
    <x v="6"/>
    <x v="3"/>
    <n v="19.925739288330099"/>
    <n v="93.792991638183594"/>
    <s v="199133"/>
    <x v="0"/>
    <m/>
  </r>
  <r>
    <x v="0"/>
    <x v="10"/>
    <x v="1"/>
    <x v="13"/>
    <x v="161"/>
    <n v="115"/>
    <n v="575"/>
    <m/>
    <s v="BMZ"/>
    <d v="2019-05-01T00:00:00"/>
    <m/>
    <s v="Yes"/>
    <n v="0"/>
    <n v="0"/>
    <n v="0"/>
    <n v="0"/>
    <m/>
    <m/>
    <n v="0"/>
    <m/>
    <m/>
    <m/>
    <m/>
    <m/>
    <m/>
    <n v="0"/>
    <m/>
    <m/>
    <n v="0"/>
    <x v="1"/>
    <x v="1"/>
    <m/>
    <m/>
    <m/>
    <n v="0"/>
    <m/>
    <n v="0"/>
    <m/>
    <n v="0"/>
    <m/>
    <m/>
    <m/>
    <m/>
    <s v="no test"/>
    <s v="no test"/>
    <n v="0"/>
    <n v="0"/>
    <n v="0"/>
    <n v="0"/>
    <n v="0"/>
    <n v="0"/>
    <n v="0"/>
    <n v="0"/>
    <n v="0"/>
    <n v="1"/>
    <n v="575"/>
    <n v="1"/>
    <n v="1"/>
    <x v="0"/>
    <n v="0"/>
    <n v="0"/>
    <n v="0"/>
    <n v="1.0017391304347827"/>
    <n v="96"/>
    <n v="96"/>
    <n v="0"/>
    <s v="N/A"/>
    <n v="0"/>
    <n v="1"/>
    <n v="0"/>
    <n v="0"/>
    <n v="0"/>
    <n v="0"/>
    <n v="0"/>
    <n v="0"/>
    <n v="0"/>
    <n v="0"/>
    <n v="0"/>
    <n v="0"/>
    <n v="0"/>
    <n v="0"/>
    <n v="0"/>
    <n v="0"/>
    <x v="2"/>
    <s v="Village"/>
    <x v="6"/>
    <x v="4"/>
    <n v="19.930080413818398"/>
    <n v="93.787002563476605"/>
    <s v="199135"/>
    <x v="0"/>
    <m/>
  </r>
  <r>
    <x v="0"/>
    <x v="10"/>
    <x v="1"/>
    <x v="13"/>
    <x v="162"/>
    <n v="135"/>
    <n v="674"/>
    <m/>
    <s v="BMZ"/>
    <d v="2019-05-01T00:00:00"/>
    <m/>
    <s v="Yes"/>
    <n v="0"/>
    <n v="0"/>
    <n v="0"/>
    <n v="0"/>
    <m/>
    <m/>
    <n v="0"/>
    <m/>
    <m/>
    <m/>
    <m/>
    <m/>
    <m/>
    <n v="0"/>
    <m/>
    <m/>
    <n v="0"/>
    <x v="1"/>
    <x v="1"/>
    <m/>
    <m/>
    <m/>
    <n v="0"/>
    <m/>
    <n v="0"/>
    <m/>
    <n v="0"/>
    <m/>
    <m/>
    <m/>
    <m/>
    <s v="no test"/>
    <s v="no test"/>
    <n v="0"/>
    <n v="0"/>
    <n v="0"/>
    <n v="0"/>
    <n v="0"/>
    <n v="0"/>
    <n v="0"/>
    <n v="0"/>
    <n v="0"/>
    <n v="1"/>
    <n v="674"/>
    <n v="1"/>
    <n v="1"/>
    <x v="0"/>
    <n v="0"/>
    <n v="0"/>
    <n v="0"/>
    <n v="0.9970326409495549"/>
    <n v="112"/>
    <n v="112"/>
    <n v="0"/>
    <s v="N/A"/>
    <n v="0"/>
    <n v="1"/>
    <n v="0"/>
    <n v="0"/>
    <n v="0"/>
    <n v="0"/>
    <n v="0"/>
    <n v="0"/>
    <n v="0"/>
    <n v="0"/>
    <n v="0"/>
    <n v="0"/>
    <n v="0"/>
    <n v="0"/>
    <n v="0"/>
    <n v="0"/>
    <x v="2"/>
    <s v="Village"/>
    <x v="6"/>
    <x v="2"/>
    <n v="19.955690383911101"/>
    <n v="93.801551818847699"/>
    <s v="199134"/>
    <x v="0"/>
    <m/>
  </r>
  <r>
    <x v="0"/>
    <x v="10"/>
    <x v="1"/>
    <x v="13"/>
    <x v="163"/>
    <n v="82"/>
    <n v="412"/>
    <m/>
    <s v="BMZ"/>
    <d v="2019-05-01T00:00:00"/>
    <m/>
    <s v="Yes"/>
    <n v="0"/>
    <n v="0"/>
    <n v="0"/>
    <n v="0"/>
    <m/>
    <m/>
    <n v="0"/>
    <m/>
    <m/>
    <m/>
    <m/>
    <m/>
    <m/>
    <n v="0"/>
    <m/>
    <m/>
    <n v="0"/>
    <x v="1"/>
    <x v="1"/>
    <m/>
    <m/>
    <m/>
    <n v="0"/>
    <m/>
    <n v="0"/>
    <m/>
    <n v="0"/>
    <m/>
    <m/>
    <m/>
    <m/>
    <s v="no test"/>
    <s v="no test"/>
    <n v="0"/>
    <n v="0"/>
    <n v="0"/>
    <n v="0"/>
    <n v="0"/>
    <n v="0"/>
    <n v="0"/>
    <n v="0"/>
    <n v="0"/>
    <n v="1"/>
    <n v="412"/>
    <n v="1"/>
    <n v="1"/>
    <x v="0"/>
    <n v="0"/>
    <n v="0"/>
    <n v="0"/>
    <n v="1.0048543689320388"/>
    <n v="69"/>
    <n v="69"/>
    <n v="0"/>
    <s v="N/A"/>
    <n v="0"/>
    <n v="1"/>
    <n v="0"/>
    <n v="0"/>
    <n v="0"/>
    <n v="0"/>
    <n v="0"/>
    <n v="0"/>
    <n v="0"/>
    <n v="0"/>
    <n v="0"/>
    <n v="0"/>
    <n v="0"/>
    <n v="0"/>
    <n v="0"/>
    <n v="0"/>
    <x v="2"/>
    <s v="Village"/>
    <x v="6"/>
    <x v="4"/>
    <n v="19.962713241577099"/>
    <n v="93.885574340820298"/>
    <s v="220838"/>
    <x v="0"/>
    <m/>
  </r>
  <r>
    <x v="0"/>
    <x v="10"/>
    <x v="1"/>
    <x v="13"/>
    <x v="164"/>
    <n v="109"/>
    <n v="546"/>
    <m/>
    <s v="BMZ"/>
    <d v="2019-05-01T00:00:00"/>
    <m/>
    <s v="Yes"/>
    <n v="0"/>
    <n v="0"/>
    <n v="0"/>
    <n v="0"/>
    <m/>
    <m/>
    <n v="0"/>
    <m/>
    <m/>
    <m/>
    <m/>
    <m/>
    <m/>
    <n v="0"/>
    <m/>
    <m/>
    <n v="0"/>
    <x v="1"/>
    <x v="1"/>
    <m/>
    <m/>
    <m/>
    <n v="0"/>
    <m/>
    <n v="0"/>
    <m/>
    <n v="0"/>
    <m/>
    <m/>
    <m/>
    <m/>
    <s v="no test"/>
    <s v="no test"/>
    <n v="0"/>
    <n v="0"/>
    <n v="0"/>
    <n v="0"/>
    <n v="0"/>
    <n v="0"/>
    <n v="0"/>
    <n v="0"/>
    <n v="0"/>
    <n v="1"/>
    <n v="546"/>
    <n v="1"/>
    <n v="1"/>
    <x v="0"/>
    <n v="0"/>
    <n v="0"/>
    <n v="0"/>
    <n v="1"/>
    <n v="91"/>
    <n v="91"/>
    <n v="0"/>
    <s v="N/A"/>
    <n v="0"/>
    <n v="1"/>
    <n v="0"/>
    <n v="0"/>
    <n v="0"/>
    <n v="0"/>
    <n v="0"/>
    <n v="0"/>
    <n v="0"/>
    <n v="0"/>
    <n v="0"/>
    <n v="0"/>
    <n v="0"/>
    <n v="0"/>
    <n v="0"/>
    <n v="0"/>
    <x v="2"/>
    <s v="Village"/>
    <x v="6"/>
    <x v="3"/>
    <n v="19.985679626464801"/>
    <n v="93.843322753906307"/>
    <s v="199235"/>
    <x v="0"/>
    <m/>
  </r>
  <r>
    <x v="0"/>
    <x v="10"/>
    <x v="1"/>
    <x v="13"/>
    <x v="165"/>
    <n v="235"/>
    <n v="1176"/>
    <m/>
    <s v="BMZ"/>
    <d v="2019-05-01T00:00:00"/>
    <m/>
    <s v="Yes"/>
    <n v="0"/>
    <n v="0"/>
    <n v="0"/>
    <n v="0"/>
    <m/>
    <m/>
    <n v="0"/>
    <m/>
    <m/>
    <m/>
    <m/>
    <m/>
    <m/>
    <n v="0"/>
    <m/>
    <m/>
    <n v="0"/>
    <x v="1"/>
    <x v="1"/>
    <m/>
    <m/>
    <m/>
    <n v="0"/>
    <m/>
    <n v="0"/>
    <m/>
    <n v="0"/>
    <m/>
    <m/>
    <m/>
    <m/>
    <s v="no test"/>
    <s v="no test"/>
    <n v="0"/>
    <n v="0"/>
    <n v="0"/>
    <n v="0"/>
    <n v="0"/>
    <n v="0"/>
    <n v="0"/>
    <n v="0"/>
    <n v="0"/>
    <n v="1"/>
    <n v="1176"/>
    <n v="2"/>
    <n v="2"/>
    <x v="0"/>
    <n v="0"/>
    <n v="0"/>
    <n v="0"/>
    <n v="1"/>
    <n v="196"/>
    <n v="196"/>
    <n v="0"/>
    <s v="N/A"/>
    <n v="0"/>
    <n v="1"/>
    <n v="0"/>
    <n v="0"/>
    <n v="0"/>
    <n v="0"/>
    <n v="0"/>
    <n v="0"/>
    <n v="0"/>
    <n v="0"/>
    <n v="0"/>
    <n v="0"/>
    <n v="0"/>
    <n v="0"/>
    <n v="0"/>
    <n v="0"/>
    <x v="2"/>
    <s v="Village"/>
    <x v="6"/>
    <x v="4"/>
    <n v="19.988599777221701"/>
    <n v="93.803939819335895"/>
    <s v="199241"/>
    <x v="0"/>
    <m/>
  </r>
  <r>
    <x v="0"/>
    <x v="10"/>
    <x v="1"/>
    <x v="13"/>
    <x v="166"/>
    <n v="157"/>
    <n v="786"/>
    <m/>
    <s v="BMZ"/>
    <d v="2019-05-01T00:00:00"/>
    <m/>
    <s v="Yes"/>
    <n v="0"/>
    <n v="0"/>
    <n v="0"/>
    <n v="0"/>
    <m/>
    <m/>
    <n v="0"/>
    <m/>
    <m/>
    <m/>
    <m/>
    <m/>
    <m/>
    <n v="0"/>
    <m/>
    <m/>
    <n v="0"/>
    <x v="1"/>
    <x v="1"/>
    <m/>
    <m/>
    <m/>
    <n v="0"/>
    <m/>
    <n v="0"/>
    <m/>
    <n v="0"/>
    <m/>
    <m/>
    <m/>
    <m/>
    <s v="no test"/>
    <s v="no test"/>
    <n v="0"/>
    <n v="0"/>
    <n v="0"/>
    <n v="0"/>
    <n v="0"/>
    <n v="0"/>
    <n v="0"/>
    <n v="0"/>
    <n v="0"/>
    <n v="1"/>
    <n v="786"/>
    <n v="2"/>
    <n v="2"/>
    <x v="0"/>
    <n v="0"/>
    <n v="0"/>
    <n v="0"/>
    <n v="1"/>
    <n v="131"/>
    <n v="131"/>
    <n v="0"/>
    <s v="N/A"/>
    <n v="0"/>
    <n v="1"/>
    <n v="0"/>
    <n v="0"/>
    <n v="0"/>
    <n v="0"/>
    <n v="0"/>
    <n v="0"/>
    <n v="0"/>
    <n v="0"/>
    <n v="0"/>
    <n v="0"/>
    <n v="0"/>
    <n v="0"/>
    <n v="0"/>
    <n v="0"/>
    <x v="2"/>
    <s v="Village"/>
    <x v="6"/>
    <x v="3"/>
    <n v="19.988689422607401"/>
    <n v="93.842460632324205"/>
    <s v="199236"/>
    <x v="0"/>
    <m/>
  </r>
  <r>
    <x v="0"/>
    <x v="10"/>
    <x v="1"/>
    <x v="13"/>
    <x v="167"/>
    <n v="104"/>
    <n v="521"/>
    <m/>
    <s v="BMZ"/>
    <d v="2019-05-01T00:00:00"/>
    <m/>
    <s v="Yes"/>
    <n v="0"/>
    <n v="0"/>
    <n v="0"/>
    <n v="0"/>
    <m/>
    <m/>
    <n v="0"/>
    <m/>
    <m/>
    <m/>
    <m/>
    <m/>
    <m/>
    <n v="0"/>
    <m/>
    <m/>
    <n v="0"/>
    <x v="1"/>
    <x v="1"/>
    <m/>
    <m/>
    <m/>
    <n v="0"/>
    <m/>
    <n v="0"/>
    <m/>
    <n v="0"/>
    <m/>
    <m/>
    <m/>
    <m/>
    <s v="no test"/>
    <s v="no test"/>
    <n v="0"/>
    <n v="0"/>
    <n v="0"/>
    <n v="0"/>
    <n v="0"/>
    <n v="0"/>
    <n v="0"/>
    <n v="0"/>
    <n v="0"/>
    <n v="1"/>
    <n v="521"/>
    <n v="1"/>
    <n v="1"/>
    <x v="0"/>
    <n v="0"/>
    <n v="0"/>
    <n v="0"/>
    <n v="1.0019193857965452"/>
    <n v="87"/>
    <n v="87"/>
    <n v="0"/>
    <s v="N/A"/>
    <n v="0"/>
    <n v="1"/>
    <n v="0"/>
    <n v="0"/>
    <n v="0"/>
    <n v="0"/>
    <n v="0"/>
    <n v="0"/>
    <n v="0"/>
    <n v="0"/>
    <n v="0"/>
    <n v="0"/>
    <n v="0"/>
    <n v="0"/>
    <n v="0"/>
    <n v="0"/>
    <x v="2"/>
    <s v="Village"/>
    <x v="6"/>
    <x v="3"/>
    <n v="19.989589691162099"/>
    <n v="93.823867797851605"/>
    <s v="199250"/>
    <x v="0"/>
    <m/>
  </r>
  <r>
    <x v="0"/>
    <x v="10"/>
    <x v="1"/>
    <x v="13"/>
    <x v="168"/>
    <n v="107"/>
    <n v="534"/>
    <m/>
    <s v="BMZ"/>
    <d v="2019-05-01T00:00:00"/>
    <m/>
    <s v="Yes"/>
    <n v="0"/>
    <n v="0"/>
    <n v="0"/>
    <n v="0"/>
    <m/>
    <m/>
    <n v="0"/>
    <m/>
    <m/>
    <m/>
    <m/>
    <m/>
    <m/>
    <n v="0"/>
    <m/>
    <m/>
    <n v="0"/>
    <x v="1"/>
    <x v="1"/>
    <m/>
    <m/>
    <m/>
    <n v="0"/>
    <m/>
    <n v="0"/>
    <m/>
    <n v="0"/>
    <m/>
    <m/>
    <m/>
    <m/>
    <s v="no test"/>
    <s v="no test"/>
    <n v="0"/>
    <n v="0"/>
    <n v="0"/>
    <n v="0"/>
    <n v="0"/>
    <n v="0"/>
    <n v="0"/>
    <n v="0"/>
    <n v="0"/>
    <n v="1"/>
    <n v="534"/>
    <n v="1"/>
    <n v="1"/>
    <x v="0"/>
    <n v="0"/>
    <n v="0"/>
    <n v="0"/>
    <n v="1"/>
    <n v="89"/>
    <n v="89"/>
    <n v="0"/>
    <s v="N/A"/>
    <n v="0"/>
    <n v="1"/>
    <n v="0"/>
    <n v="0"/>
    <n v="0"/>
    <n v="0"/>
    <n v="0"/>
    <n v="0"/>
    <n v="0"/>
    <n v="0"/>
    <n v="0"/>
    <n v="0"/>
    <n v="0"/>
    <n v="0"/>
    <n v="0"/>
    <n v="0"/>
    <x v="2"/>
    <s v="Village"/>
    <x v="6"/>
    <x v="4"/>
    <n v="19.991359710693398"/>
    <n v="93.834663391113295"/>
    <s v="199248"/>
    <x v="0"/>
    <m/>
  </r>
  <r>
    <x v="0"/>
    <x v="10"/>
    <x v="1"/>
    <x v="13"/>
    <x v="169"/>
    <n v="80"/>
    <n v="398"/>
    <m/>
    <s v="BMZ"/>
    <d v="2019-05-01T00:00:00"/>
    <m/>
    <s v="Yes"/>
    <n v="0"/>
    <n v="0"/>
    <n v="0"/>
    <n v="0"/>
    <m/>
    <m/>
    <n v="0"/>
    <m/>
    <m/>
    <m/>
    <m/>
    <m/>
    <m/>
    <n v="0"/>
    <m/>
    <m/>
    <n v="0"/>
    <x v="1"/>
    <x v="1"/>
    <m/>
    <m/>
    <m/>
    <n v="0"/>
    <m/>
    <n v="0"/>
    <m/>
    <n v="0"/>
    <m/>
    <m/>
    <m/>
    <m/>
    <s v="no test"/>
    <s v="no test"/>
    <n v="0"/>
    <n v="0"/>
    <n v="0"/>
    <n v="0"/>
    <n v="0"/>
    <n v="0"/>
    <n v="0"/>
    <n v="0"/>
    <n v="0"/>
    <n v="1"/>
    <n v="398"/>
    <n v="1"/>
    <n v="1"/>
    <x v="0"/>
    <n v="0"/>
    <n v="0"/>
    <n v="0"/>
    <n v="0.99497487437185939"/>
    <n v="66"/>
    <n v="66"/>
    <n v="0"/>
    <s v="N/A"/>
    <n v="0"/>
    <n v="1"/>
    <n v="0"/>
    <n v="0"/>
    <n v="0"/>
    <n v="0"/>
    <n v="0"/>
    <n v="0"/>
    <n v="0"/>
    <n v="0"/>
    <n v="0"/>
    <n v="0"/>
    <n v="0"/>
    <n v="0"/>
    <n v="0"/>
    <n v="0"/>
    <x v="2"/>
    <s v="Village"/>
    <x v="6"/>
    <x v="3"/>
    <n v="19.9947109222412"/>
    <n v="93.836921691894503"/>
    <s v="199233"/>
    <x v="0"/>
    <m/>
  </r>
  <r>
    <x v="0"/>
    <x v="10"/>
    <x v="1"/>
    <x v="13"/>
    <x v="170"/>
    <n v="62"/>
    <n v="312"/>
    <m/>
    <s v="BMZ"/>
    <d v="2019-05-01T00:00:00"/>
    <m/>
    <s v="Yes"/>
    <n v="0"/>
    <n v="0"/>
    <n v="0"/>
    <n v="0"/>
    <m/>
    <m/>
    <n v="0"/>
    <m/>
    <m/>
    <m/>
    <m/>
    <m/>
    <m/>
    <n v="0"/>
    <m/>
    <m/>
    <n v="0"/>
    <x v="1"/>
    <x v="1"/>
    <m/>
    <m/>
    <m/>
    <n v="0"/>
    <m/>
    <n v="0"/>
    <m/>
    <n v="0"/>
    <m/>
    <m/>
    <m/>
    <m/>
    <s v="no test"/>
    <s v="no test"/>
    <n v="0"/>
    <n v="0"/>
    <n v="0"/>
    <n v="0"/>
    <n v="0"/>
    <n v="0"/>
    <n v="0"/>
    <n v="0"/>
    <n v="0"/>
    <n v="1"/>
    <n v="312"/>
    <n v="1"/>
    <n v="1"/>
    <x v="0"/>
    <n v="0"/>
    <n v="0"/>
    <n v="0"/>
    <n v="1"/>
    <n v="52"/>
    <n v="52"/>
    <n v="0"/>
    <s v="N/A"/>
    <n v="0"/>
    <n v="1"/>
    <n v="0"/>
    <n v="0"/>
    <n v="0"/>
    <n v="0"/>
    <n v="0"/>
    <n v="0"/>
    <n v="0"/>
    <n v="0"/>
    <n v="0"/>
    <n v="0"/>
    <n v="0"/>
    <n v="0"/>
    <n v="0"/>
    <n v="0"/>
    <x v="2"/>
    <s v="Village"/>
    <x v="6"/>
    <x v="3"/>
    <n v="20.0087699890137"/>
    <n v="93.816879272460895"/>
    <s v="199240"/>
    <x v="0"/>
    <m/>
  </r>
  <r>
    <x v="0"/>
    <x v="11"/>
    <x v="1"/>
    <x v="14"/>
    <x v="171"/>
    <n v="360"/>
    <n v="1759"/>
    <m/>
    <s v="UNICEF"/>
    <d v="2018-02-14T00:00:00"/>
    <n v="0"/>
    <s v="Yes"/>
    <n v="0"/>
    <n v="0"/>
    <n v="0"/>
    <n v="0"/>
    <n v="0"/>
    <n v="3"/>
    <n v="0"/>
    <m/>
    <m/>
    <m/>
    <m/>
    <m/>
    <m/>
    <n v="15"/>
    <n v="0"/>
    <m/>
    <n v="15"/>
    <x v="2"/>
    <x v="3"/>
    <m/>
    <m/>
    <s v="HH latrines in village"/>
    <n v="0"/>
    <s v="Household"/>
    <n v="0"/>
    <n v="0"/>
    <n v="7"/>
    <m/>
    <m/>
    <m/>
    <m/>
    <s v="no test"/>
    <s v="no test"/>
    <n v="0"/>
    <n v="0"/>
    <n v="0"/>
    <n v="0"/>
    <n v="0.42637862421830586"/>
    <n v="750"/>
    <n v="0.42637862421830586"/>
    <n v="750"/>
    <n v="2"/>
    <n v="0.57362137578169414"/>
    <n v="1009"/>
    <n v="2"/>
    <n v="4"/>
    <x v="0"/>
    <n v="15"/>
    <n v="5.1165434906196704E-2"/>
    <n v="90"/>
    <n v="0.94826606026151217"/>
    <n v="278"/>
    <n v="293"/>
    <n v="0"/>
    <s v="N/A"/>
    <n v="0"/>
    <n v="1"/>
    <n v="1759"/>
    <n v="0"/>
    <n v="1"/>
    <n v="0"/>
    <n v="0"/>
    <n v="1"/>
    <n v="0"/>
    <n v="0"/>
    <n v="0"/>
    <n v="0"/>
    <n v="0"/>
    <n v="0"/>
    <n v="0"/>
    <n v="0"/>
    <x v="3"/>
    <s v="Village"/>
    <x v="7"/>
    <x v="3"/>
    <n v="20.782770156860401"/>
    <n v="92.551826477050795"/>
    <n v="198388"/>
    <x v="0"/>
    <m/>
  </r>
  <r>
    <x v="0"/>
    <x v="11"/>
    <x v="1"/>
    <x v="14"/>
    <x v="172"/>
    <n v="27"/>
    <n v="127"/>
    <m/>
    <s v="UNICEF"/>
    <d v="2018-02-14T00:00:00"/>
    <n v="0"/>
    <s v="Yes"/>
    <n v="0"/>
    <n v="0"/>
    <n v="0"/>
    <n v="0"/>
    <n v="0"/>
    <n v="3"/>
    <n v="0"/>
    <m/>
    <m/>
    <m/>
    <m/>
    <m/>
    <m/>
    <n v="1"/>
    <n v="0"/>
    <m/>
    <n v="1"/>
    <x v="2"/>
    <x v="3"/>
    <m/>
    <m/>
    <s v="HH latrines in village"/>
    <n v="0"/>
    <s v="Household"/>
    <n v="0"/>
    <n v="0"/>
    <n v="7"/>
    <m/>
    <m/>
    <m/>
    <m/>
    <s v="no test"/>
    <s v="no test"/>
    <n v="0"/>
    <n v="0"/>
    <n v="0"/>
    <n v="0"/>
    <n v="1"/>
    <n v="127"/>
    <n v="1"/>
    <n v="127"/>
    <n v="0"/>
    <n v="0"/>
    <n v="0"/>
    <n v="1"/>
    <n v="1"/>
    <x v="0"/>
    <n v="1"/>
    <n v="4.7244094488188976E-2"/>
    <n v="6"/>
    <n v="0.94488188976377951"/>
    <n v="20"/>
    <n v="21"/>
    <n v="0"/>
    <s v="N/A"/>
    <n v="0"/>
    <n v="1"/>
    <n v="127"/>
    <n v="0"/>
    <n v="1"/>
    <n v="0"/>
    <n v="0"/>
    <n v="1"/>
    <n v="0"/>
    <n v="0"/>
    <n v="0"/>
    <n v="0"/>
    <n v="0"/>
    <n v="0"/>
    <n v="0"/>
    <n v="0"/>
    <x v="3"/>
    <s v="Village"/>
    <x v="7"/>
    <x v="3"/>
    <n v="20.805580139160199"/>
    <n v="92.549842834472699"/>
    <n v="198336"/>
    <x v="0"/>
    <m/>
  </r>
  <r>
    <x v="0"/>
    <x v="11"/>
    <x v="1"/>
    <x v="14"/>
    <x v="173"/>
    <n v="360"/>
    <n v="1544"/>
    <m/>
    <s v="UNICEF"/>
    <d v="2018-02-14T00:00:00"/>
    <n v="0"/>
    <s v="Yes"/>
    <n v="0"/>
    <n v="0"/>
    <n v="0"/>
    <n v="3"/>
    <n v="0"/>
    <n v="2"/>
    <n v="0"/>
    <m/>
    <m/>
    <m/>
    <m/>
    <m/>
    <m/>
    <n v="0"/>
    <n v="0"/>
    <m/>
    <n v="0"/>
    <x v="2"/>
    <x v="3"/>
    <m/>
    <m/>
    <s v="HH latrines in village"/>
    <n v="0"/>
    <s v="Household"/>
    <n v="0"/>
    <n v="0"/>
    <n v="7"/>
    <m/>
    <m/>
    <m/>
    <m/>
    <s v="no test"/>
    <s v="no test"/>
    <n v="1"/>
    <n v="0.48575129533678757"/>
    <n v="0.48575129533678757"/>
    <n v="750"/>
    <n v="0.32383419689119169"/>
    <n v="500"/>
    <n v="0.80958549222797926"/>
    <n v="1250"/>
    <n v="3"/>
    <n v="0.19041450777202074"/>
    <n v="294"/>
    <n v="0"/>
    <n v="3"/>
    <x v="0"/>
    <n v="0"/>
    <n v="0"/>
    <n v="0"/>
    <n v="0.99870466321243534"/>
    <n v="257"/>
    <n v="257"/>
    <n v="0"/>
    <s v="N/A"/>
    <n v="0"/>
    <n v="1"/>
    <n v="1544"/>
    <n v="0"/>
    <n v="1"/>
    <n v="0"/>
    <n v="0"/>
    <n v="1"/>
    <n v="0"/>
    <n v="0"/>
    <n v="0"/>
    <n v="0"/>
    <n v="0"/>
    <n v="0"/>
    <n v="0"/>
    <n v="0"/>
    <x v="3"/>
    <s v="Village"/>
    <x v="7"/>
    <x v="3"/>
    <n v="20.926780700683601"/>
    <n v="92.5399169921875"/>
    <n v="198234"/>
    <x v="0"/>
    <m/>
  </r>
  <r>
    <x v="0"/>
    <x v="11"/>
    <x v="1"/>
    <x v="14"/>
    <x v="174"/>
    <n v="22"/>
    <n v="88"/>
    <m/>
    <s v="UNICEF"/>
    <d v="2018-02-14T00:00:00"/>
    <n v="0"/>
    <s v="Yes"/>
    <n v="0"/>
    <n v="0"/>
    <n v="0"/>
    <n v="0"/>
    <n v="0"/>
    <n v="1"/>
    <n v="0"/>
    <m/>
    <m/>
    <m/>
    <m/>
    <m/>
    <m/>
    <n v="1"/>
    <n v="0"/>
    <m/>
    <n v="1"/>
    <x v="2"/>
    <x v="3"/>
    <m/>
    <m/>
    <s v="HH latrines in village"/>
    <n v="0"/>
    <s v="Household"/>
    <n v="0"/>
    <n v="0"/>
    <n v="7"/>
    <m/>
    <m/>
    <m/>
    <m/>
    <s v="no test"/>
    <s v="no test"/>
    <n v="0"/>
    <n v="0"/>
    <n v="0"/>
    <n v="0"/>
    <n v="1"/>
    <n v="88"/>
    <n v="1"/>
    <n v="88"/>
    <n v="0"/>
    <n v="0"/>
    <n v="0"/>
    <n v="1"/>
    <n v="1"/>
    <x v="0"/>
    <n v="1"/>
    <n v="6.8181818181818177E-2"/>
    <n v="6"/>
    <n v="0.95454545454545459"/>
    <n v="14"/>
    <n v="15"/>
    <n v="0"/>
    <s v="N/A"/>
    <n v="0"/>
    <n v="1"/>
    <n v="88"/>
    <n v="0"/>
    <n v="1"/>
    <n v="0"/>
    <n v="0"/>
    <n v="1"/>
    <n v="0"/>
    <n v="0"/>
    <n v="0"/>
    <n v="0"/>
    <n v="0"/>
    <n v="0"/>
    <n v="0"/>
    <n v="0"/>
    <x v="3"/>
    <s v="Village"/>
    <x v="7"/>
    <x v="3"/>
    <n v="21.025630950927699"/>
    <n v="92.524818420410199"/>
    <n v="198196"/>
    <x v="0"/>
    <m/>
  </r>
  <r>
    <x v="0"/>
    <x v="11"/>
    <x v="1"/>
    <x v="14"/>
    <x v="175"/>
    <n v="513"/>
    <n v="4073"/>
    <m/>
    <s v="UNICEF"/>
    <d v="2018-08-31T00:00:00"/>
    <n v="0"/>
    <s v="Yes"/>
    <m/>
    <m/>
    <n v="0"/>
    <n v="0"/>
    <n v="0"/>
    <n v="0"/>
    <n v="0"/>
    <m/>
    <m/>
    <m/>
    <m/>
    <m/>
    <m/>
    <n v="1"/>
    <n v="0"/>
    <m/>
    <n v="10"/>
    <x v="2"/>
    <x v="3"/>
    <m/>
    <m/>
    <m/>
    <n v="0"/>
    <s v="Household"/>
    <n v="0"/>
    <n v="0"/>
    <n v="7"/>
    <m/>
    <m/>
    <m/>
    <m/>
    <s v="no test"/>
    <s v="no test"/>
    <n v="0"/>
    <n v="0"/>
    <n v="0"/>
    <n v="0"/>
    <n v="0"/>
    <n v="0"/>
    <n v="0"/>
    <n v="0"/>
    <n v="0"/>
    <n v="1"/>
    <n v="4073"/>
    <n v="8"/>
    <n v="8"/>
    <x v="0"/>
    <n v="1"/>
    <n v="1.4731156395777069E-3"/>
    <n v="6"/>
    <n v="0.99877240363368514"/>
    <n v="678"/>
    <n v="679"/>
    <n v="0"/>
    <s v="N/A"/>
    <n v="0"/>
    <n v="1"/>
    <n v="3500"/>
    <n v="0"/>
    <n v="1"/>
    <n v="0"/>
    <n v="0"/>
    <n v="0.85931745642032897"/>
    <n v="0"/>
    <n v="0"/>
    <n v="0"/>
    <n v="0"/>
    <n v="0"/>
    <n v="0"/>
    <n v="0"/>
    <n v="0"/>
    <x v="3"/>
    <s v="Village"/>
    <x v="7"/>
    <x v="5"/>
    <n v="20.821479797363299"/>
    <n v="92.603950500488295"/>
    <s v="198356"/>
    <x v="0"/>
    <m/>
  </r>
  <r>
    <x v="0"/>
    <x v="11"/>
    <x v="1"/>
    <x v="14"/>
    <x v="176"/>
    <n v="20"/>
    <n v="60"/>
    <m/>
    <s v="UNICEF"/>
    <d v="2018-08-31T00:00:00"/>
    <n v="0"/>
    <s v="Yes"/>
    <m/>
    <m/>
    <m/>
    <m/>
    <m/>
    <m/>
    <m/>
    <m/>
    <m/>
    <m/>
    <m/>
    <m/>
    <m/>
    <m/>
    <m/>
    <m/>
    <n v="10"/>
    <x v="2"/>
    <x v="3"/>
    <m/>
    <m/>
    <m/>
    <n v="0"/>
    <s v="Household"/>
    <n v="0"/>
    <n v="0"/>
    <n v="7"/>
    <m/>
    <m/>
    <m/>
    <m/>
    <s v="no test"/>
    <s v="no test"/>
    <n v="0"/>
    <n v="0"/>
    <n v="0"/>
    <n v="0"/>
    <n v="0"/>
    <n v="0"/>
    <n v="0"/>
    <n v="0"/>
    <n v="0"/>
    <n v="1"/>
    <n v="60"/>
    <n v="1"/>
    <n v="1"/>
    <x v="0"/>
    <n v="0"/>
    <n v="0"/>
    <n v="0"/>
    <n v="1"/>
    <n v="10"/>
    <n v="10"/>
    <n v="0"/>
    <s v="N/A"/>
    <n v="0"/>
    <n v="1"/>
    <n v="60"/>
    <n v="0"/>
    <n v="1"/>
    <n v="0"/>
    <n v="0"/>
    <n v="1"/>
    <n v="0"/>
    <n v="0"/>
    <n v="0"/>
    <n v="0"/>
    <n v="0"/>
    <n v="0"/>
    <n v="0"/>
    <n v="0"/>
    <x v="2"/>
    <s v="Village"/>
    <x v="6"/>
    <x v="3"/>
    <n v="20.8490600585938"/>
    <n v="92.497413635253906"/>
    <n v="198313"/>
    <x v="0"/>
    <m/>
  </r>
  <r>
    <x v="0"/>
    <x v="11"/>
    <x v="1"/>
    <x v="14"/>
    <x v="177"/>
    <n v="60"/>
    <n v="318"/>
    <m/>
    <s v="UNICEF"/>
    <d v="2018-08-31T00:00:00"/>
    <n v="0"/>
    <s v="Yes"/>
    <m/>
    <m/>
    <m/>
    <m/>
    <m/>
    <m/>
    <m/>
    <m/>
    <m/>
    <m/>
    <m/>
    <m/>
    <m/>
    <m/>
    <m/>
    <m/>
    <n v="3"/>
    <x v="2"/>
    <x v="3"/>
    <m/>
    <m/>
    <m/>
    <n v="0"/>
    <s v="Household"/>
    <n v="0"/>
    <n v="0"/>
    <n v="7"/>
    <m/>
    <m/>
    <m/>
    <m/>
    <s v="no test"/>
    <s v="no test"/>
    <n v="0"/>
    <n v="0"/>
    <n v="0"/>
    <n v="0"/>
    <n v="0"/>
    <n v="0"/>
    <n v="0"/>
    <n v="0"/>
    <n v="0"/>
    <n v="1"/>
    <n v="318"/>
    <n v="1"/>
    <n v="1"/>
    <x v="0"/>
    <n v="0"/>
    <n v="0"/>
    <n v="0"/>
    <n v="1"/>
    <n v="53"/>
    <n v="53"/>
    <n v="0"/>
    <s v="N/A"/>
    <n v="0"/>
    <n v="1"/>
    <n v="318"/>
    <n v="0"/>
    <n v="1"/>
    <n v="0"/>
    <n v="0"/>
    <n v="1"/>
    <n v="0"/>
    <n v="0"/>
    <n v="0"/>
    <n v="0"/>
    <n v="0"/>
    <n v="0"/>
    <n v="0"/>
    <n v="0"/>
    <x v="3"/>
    <s v="Village"/>
    <x v="7"/>
    <x v="6"/>
    <n v="20.936040878295898"/>
    <n v="92.475830078125"/>
    <n v="198177"/>
    <x v="0"/>
    <m/>
  </r>
  <r>
    <x v="0"/>
    <x v="12"/>
    <x v="1"/>
    <x v="15"/>
    <x v="178"/>
    <n v="366"/>
    <n v="992"/>
    <s v="NA"/>
    <s v="UNICEF"/>
    <d v="2018-06-30T00:00:00"/>
    <m/>
    <s v="No"/>
    <m/>
    <m/>
    <n v="4"/>
    <n v="2"/>
    <n v="0"/>
    <n v="0"/>
    <m/>
    <m/>
    <n v="0"/>
    <n v="4"/>
    <n v="3"/>
    <n v="17"/>
    <n v="14"/>
    <n v="90"/>
    <n v="10"/>
    <m/>
    <m/>
    <x v="0"/>
    <x v="2"/>
    <m/>
    <m/>
    <m/>
    <n v="1"/>
    <s v="Communal"/>
    <n v="252"/>
    <n v="2"/>
    <n v="28"/>
    <n v="365"/>
    <n v="281"/>
    <m/>
    <m/>
    <s v="no test"/>
    <n v="0.75"/>
    <n v="1"/>
    <n v="1"/>
    <n v="1"/>
    <n v="992"/>
    <n v="0"/>
    <n v="0"/>
    <n v="1"/>
    <n v="992"/>
    <n v="1.984"/>
    <n v="0"/>
    <n v="0"/>
    <n v="1.6000000000000014E-2"/>
    <n v="2"/>
    <x v="1"/>
    <n v="100"/>
    <n v="1"/>
    <n v="992"/>
    <n v="0"/>
    <n v="0"/>
    <n v="50"/>
    <n v="0.1"/>
    <n v="0"/>
    <n v="0"/>
    <n v="1"/>
    <n v="992"/>
    <n v="0"/>
    <n v="1"/>
    <n v="0"/>
    <n v="0"/>
    <n v="1"/>
    <n v="0.99726775956284153"/>
    <n v="0.76775956284153002"/>
    <n v="1825"/>
    <n v="1405"/>
    <n v="1825"/>
    <n v="366"/>
    <s v="Yes"/>
    <s v="UNHCR"/>
    <x v="0"/>
    <s v="Camp"/>
    <x v="8"/>
    <x v="5"/>
    <n v="19.424576999999999"/>
    <n v="93.512326000000002"/>
    <s v="MMR012CMP035"/>
    <x v="0"/>
    <m/>
  </r>
  <r>
    <x v="0"/>
    <x v="3"/>
    <x v="1"/>
    <x v="15"/>
    <x v="179"/>
    <n v="65"/>
    <n v="211"/>
    <m/>
    <s v="UNICEF"/>
    <d v="2018-02-19T00:00:00"/>
    <n v="31"/>
    <s v="Yes"/>
    <n v="0.6"/>
    <n v="0"/>
    <n v="0"/>
    <n v="0"/>
    <n v="15066"/>
    <n v="0"/>
    <n v="0"/>
    <m/>
    <m/>
    <m/>
    <m/>
    <m/>
    <m/>
    <n v="65"/>
    <n v="65"/>
    <m/>
    <n v="65"/>
    <x v="3"/>
    <x v="0"/>
    <m/>
    <m/>
    <s v="still need to improve through hygiene awareness session"/>
    <n v="1"/>
    <s v="Household"/>
    <n v="0"/>
    <n v="0"/>
    <n v="1"/>
    <m/>
    <m/>
    <m/>
    <s v="not provided by Oxfam"/>
    <s v="no test"/>
    <s v="no test"/>
    <n v="1"/>
    <n v="1"/>
    <n v="1"/>
    <n v="211"/>
    <n v="0"/>
    <n v="0"/>
    <n v="1"/>
    <n v="211"/>
    <n v="0"/>
    <n v="0"/>
    <n v="0"/>
    <n v="1"/>
    <n v="1"/>
    <x v="0"/>
    <n v="130"/>
    <n v="1"/>
    <n v="211"/>
    <n v="0"/>
    <n v="0"/>
    <n v="35"/>
    <n v="0.5"/>
    <s v="N/A"/>
    <n v="0"/>
    <n v="1"/>
    <n v="211"/>
    <n v="0"/>
    <n v="1"/>
    <n v="0"/>
    <n v="0"/>
    <n v="1"/>
    <n v="0"/>
    <n v="0"/>
    <n v="0"/>
    <n v="0"/>
    <n v="0"/>
    <n v="65"/>
    <s v="Yes"/>
    <s v="UNHCR"/>
    <x v="3"/>
    <s v="Village"/>
    <x v="9"/>
    <x v="3"/>
    <n v="19.421102000000001"/>
    <n v="93.552452000000002"/>
    <s v="MMR012CMP036"/>
    <x v="1"/>
    <m/>
  </r>
  <r>
    <x v="0"/>
    <x v="13"/>
    <x v="1"/>
    <x v="16"/>
    <x v="180"/>
    <n v="137"/>
    <n v="479"/>
    <m/>
    <s v="GIZ"/>
    <d v="2019-05-30T00:00:00"/>
    <n v="0"/>
    <s v="No"/>
    <n v="0"/>
    <n v="0"/>
    <n v="0"/>
    <n v="0"/>
    <n v="0"/>
    <n v="0"/>
    <n v="0"/>
    <m/>
    <m/>
    <m/>
    <m/>
    <m/>
    <m/>
    <n v="0"/>
    <n v="0"/>
    <m/>
    <n v="0"/>
    <x v="3"/>
    <x v="2"/>
    <m/>
    <m/>
    <m/>
    <n v="0"/>
    <m/>
    <n v="0"/>
    <n v="0"/>
    <n v="0"/>
    <m/>
    <m/>
    <m/>
    <m/>
    <s v="no test"/>
    <s v="no test"/>
    <n v="0"/>
    <n v="0"/>
    <n v="0"/>
    <n v="0"/>
    <n v="0"/>
    <n v="0"/>
    <n v="0"/>
    <n v="0"/>
    <n v="0"/>
    <n v="1"/>
    <n v="479"/>
    <n v="1"/>
    <n v="1"/>
    <x v="0"/>
    <n v="0"/>
    <n v="0"/>
    <n v="0"/>
    <n v="1.0020876826722338"/>
    <n v="80"/>
    <n v="80"/>
    <n v="0"/>
    <s v="N/A"/>
    <n v="0"/>
    <n v="1"/>
    <n v="0"/>
    <n v="0"/>
    <n v="0"/>
    <n v="0"/>
    <n v="0"/>
    <n v="0"/>
    <n v="0"/>
    <n v="0"/>
    <n v="0"/>
    <n v="0"/>
    <n v="0"/>
    <n v="0"/>
    <n v="0"/>
    <n v="0"/>
    <x v="2"/>
    <s v="Village"/>
    <x v="7"/>
    <x v="7"/>
    <n v="0"/>
    <n v="0"/>
    <n v="0"/>
    <x v="0"/>
    <m/>
  </r>
  <r>
    <x v="0"/>
    <x v="13"/>
    <x v="1"/>
    <x v="16"/>
    <x v="181"/>
    <n v="130"/>
    <n v="621"/>
    <m/>
    <s v="GIZ"/>
    <d v="2019-05-30T00:00:00"/>
    <n v="0"/>
    <s v="No"/>
    <n v="0"/>
    <n v="0"/>
    <n v="0"/>
    <n v="0"/>
    <n v="0"/>
    <n v="0"/>
    <n v="0"/>
    <m/>
    <m/>
    <m/>
    <m/>
    <m/>
    <m/>
    <n v="0"/>
    <n v="0"/>
    <m/>
    <n v="0"/>
    <x v="3"/>
    <x v="2"/>
    <m/>
    <m/>
    <m/>
    <n v="0"/>
    <m/>
    <n v="0"/>
    <n v="0"/>
    <n v="0"/>
    <m/>
    <m/>
    <m/>
    <m/>
    <s v="no test"/>
    <s v="no test"/>
    <n v="0"/>
    <n v="0"/>
    <n v="0"/>
    <n v="0"/>
    <n v="0"/>
    <n v="0"/>
    <n v="0"/>
    <n v="0"/>
    <n v="0"/>
    <n v="1"/>
    <n v="621"/>
    <n v="1"/>
    <n v="1"/>
    <x v="0"/>
    <n v="0"/>
    <n v="0"/>
    <n v="0"/>
    <n v="1.0048309178743962"/>
    <n v="104"/>
    <n v="104"/>
    <n v="0"/>
    <s v="N/A"/>
    <n v="0"/>
    <n v="1"/>
    <n v="0"/>
    <n v="0"/>
    <n v="0"/>
    <n v="0"/>
    <n v="0"/>
    <n v="0"/>
    <n v="0"/>
    <n v="0"/>
    <n v="0"/>
    <n v="0"/>
    <n v="0"/>
    <n v="0"/>
    <n v="0"/>
    <n v="0"/>
    <x v="2"/>
    <s v="Village"/>
    <x v="7"/>
    <x v="7"/>
    <n v="0"/>
    <n v="0"/>
    <n v="196815"/>
    <x v="0"/>
    <m/>
  </r>
  <r>
    <x v="0"/>
    <x v="13"/>
    <x v="1"/>
    <x v="16"/>
    <x v="182"/>
    <n v="56"/>
    <n v="238"/>
    <m/>
    <s v="GIZ"/>
    <d v="2019-05-30T00:00:00"/>
    <n v="0"/>
    <s v="No"/>
    <n v="0"/>
    <n v="0"/>
    <n v="0"/>
    <n v="0"/>
    <n v="0"/>
    <n v="0"/>
    <n v="0"/>
    <m/>
    <m/>
    <m/>
    <m/>
    <m/>
    <m/>
    <n v="0"/>
    <n v="0"/>
    <m/>
    <n v="0"/>
    <x v="3"/>
    <x v="2"/>
    <m/>
    <m/>
    <m/>
    <n v="0"/>
    <m/>
    <n v="0"/>
    <n v="0"/>
    <n v="0"/>
    <m/>
    <m/>
    <m/>
    <m/>
    <s v="no test"/>
    <s v="no test"/>
    <n v="0"/>
    <n v="0"/>
    <n v="0"/>
    <n v="0"/>
    <n v="0"/>
    <n v="0"/>
    <n v="0"/>
    <n v="0"/>
    <n v="0"/>
    <n v="1"/>
    <n v="238"/>
    <n v="1"/>
    <n v="1"/>
    <x v="0"/>
    <n v="0"/>
    <n v="0"/>
    <n v="0"/>
    <n v="1.0084033613445378"/>
    <n v="40"/>
    <n v="40"/>
    <n v="0"/>
    <s v="N/A"/>
    <n v="0"/>
    <n v="1"/>
    <n v="0"/>
    <n v="0"/>
    <n v="0"/>
    <n v="0"/>
    <n v="0"/>
    <n v="0"/>
    <n v="0"/>
    <n v="0"/>
    <n v="0"/>
    <n v="0"/>
    <n v="0"/>
    <n v="0"/>
    <n v="0"/>
    <n v="0"/>
    <x v="2"/>
    <s v="Village"/>
    <x v="7"/>
    <x v="7"/>
    <n v="0"/>
    <n v="0"/>
    <n v="0"/>
    <x v="0"/>
    <m/>
  </r>
  <r>
    <x v="0"/>
    <x v="13"/>
    <x v="1"/>
    <x v="16"/>
    <x v="183"/>
    <n v="30"/>
    <n v="136"/>
    <m/>
    <s v="GIZ"/>
    <d v="2019-05-30T00:00:00"/>
    <n v="0"/>
    <s v="No"/>
    <n v="0"/>
    <n v="0"/>
    <n v="0"/>
    <n v="0"/>
    <n v="0"/>
    <n v="0"/>
    <n v="0"/>
    <m/>
    <m/>
    <m/>
    <m/>
    <m/>
    <m/>
    <n v="0"/>
    <n v="0"/>
    <m/>
    <n v="0"/>
    <x v="3"/>
    <x v="2"/>
    <m/>
    <m/>
    <m/>
    <n v="0"/>
    <m/>
    <n v="0"/>
    <n v="0"/>
    <n v="0"/>
    <m/>
    <m/>
    <m/>
    <m/>
    <s v="no test"/>
    <s v="no test"/>
    <n v="0"/>
    <n v="0"/>
    <n v="0"/>
    <n v="0"/>
    <n v="0"/>
    <n v="0"/>
    <n v="0"/>
    <n v="0"/>
    <n v="0"/>
    <n v="1"/>
    <n v="136"/>
    <n v="1"/>
    <n v="1"/>
    <x v="0"/>
    <n v="0"/>
    <n v="0"/>
    <n v="0"/>
    <n v="1.0147058823529411"/>
    <n v="23"/>
    <n v="23"/>
    <n v="0"/>
    <s v="N/A"/>
    <n v="0"/>
    <n v="1"/>
    <n v="0"/>
    <n v="0"/>
    <n v="0"/>
    <n v="0"/>
    <n v="0"/>
    <n v="0"/>
    <n v="0"/>
    <n v="0"/>
    <n v="0"/>
    <n v="0"/>
    <n v="0"/>
    <n v="0"/>
    <n v="0"/>
    <n v="0"/>
    <x v="2"/>
    <s v="Village"/>
    <x v="7"/>
    <x v="7"/>
    <n v="0"/>
    <n v="0"/>
    <n v="0"/>
    <x v="0"/>
    <m/>
  </r>
  <r>
    <x v="0"/>
    <x v="13"/>
    <x v="1"/>
    <x v="16"/>
    <x v="184"/>
    <n v="148"/>
    <n v="750"/>
    <m/>
    <s v="GIZ"/>
    <d v="2019-05-30T00:00:00"/>
    <n v="0"/>
    <s v="No"/>
    <n v="0"/>
    <n v="0"/>
    <n v="0"/>
    <n v="0"/>
    <n v="0"/>
    <n v="0"/>
    <n v="0"/>
    <m/>
    <m/>
    <m/>
    <m/>
    <m/>
    <m/>
    <n v="0"/>
    <n v="0"/>
    <m/>
    <n v="0"/>
    <x v="3"/>
    <x v="2"/>
    <m/>
    <m/>
    <m/>
    <n v="0"/>
    <m/>
    <n v="0"/>
    <n v="0"/>
    <n v="0"/>
    <m/>
    <m/>
    <m/>
    <m/>
    <s v="no test"/>
    <s v="no test"/>
    <n v="0"/>
    <n v="0"/>
    <n v="0"/>
    <n v="0"/>
    <n v="0"/>
    <n v="0"/>
    <n v="0"/>
    <n v="0"/>
    <n v="0"/>
    <n v="1"/>
    <n v="750"/>
    <n v="2"/>
    <n v="2"/>
    <x v="0"/>
    <n v="0"/>
    <n v="0"/>
    <n v="0"/>
    <n v="1"/>
    <n v="125"/>
    <n v="125"/>
    <n v="0"/>
    <s v="N/A"/>
    <n v="0"/>
    <n v="1"/>
    <n v="0"/>
    <n v="0"/>
    <n v="0"/>
    <n v="0"/>
    <n v="0"/>
    <n v="0"/>
    <n v="0"/>
    <n v="0"/>
    <n v="0"/>
    <n v="0"/>
    <n v="0"/>
    <n v="0"/>
    <n v="0"/>
    <n v="0"/>
    <x v="2"/>
    <s v="Village"/>
    <x v="7"/>
    <x v="7"/>
    <n v="0"/>
    <n v="0"/>
    <n v="0"/>
    <x v="0"/>
    <m/>
  </r>
  <r>
    <x v="0"/>
    <x v="13"/>
    <x v="1"/>
    <x v="16"/>
    <x v="185"/>
    <n v="163"/>
    <n v="888"/>
    <m/>
    <s v="GIZ"/>
    <d v="2019-05-30T00:00:00"/>
    <n v="20"/>
    <s v="No"/>
    <n v="0"/>
    <n v="0"/>
    <n v="0"/>
    <n v="0"/>
    <n v="0"/>
    <n v="0"/>
    <n v="0"/>
    <m/>
    <m/>
    <m/>
    <m/>
    <m/>
    <m/>
    <n v="0"/>
    <n v="0"/>
    <m/>
    <n v="0"/>
    <x v="3"/>
    <x v="2"/>
    <m/>
    <m/>
    <m/>
    <n v="0"/>
    <m/>
    <n v="0"/>
    <n v="0"/>
    <n v="0"/>
    <m/>
    <m/>
    <m/>
    <m/>
    <s v="no test"/>
    <s v="no test"/>
    <n v="0"/>
    <n v="0"/>
    <n v="0"/>
    <n v="0"/>
    <n v="0"/>
    <n v="0"/>
    <n v="0"/>
    <n v="0"/>
    <n v="0"/>
    <n v="1"/>
    <n v="888"/>
    <n v="2"/>
    <n v="2"/>
    <x v="0"/>
    <n v="0"/>
    <n v="0"/>
    <n v="0"/>
    <n v="1"/>
    <n v="148"/>
    <n v="148"/>
    <n v="0"/>
    <s v="N/A"/>
    <n v="0"/>
    <n v="1"/>
    <n v="0"/>
    <n v="0"/>
    <n v="0"/>
    <n v="0"/>
    <n v="0"/>
    <n v="0"/>
    <n v="0"/>
    <n v="0"/>
    <n v="0"/>
    <n v="0"/>
    <n v="0"/>
    <n v="0"/>
    <n v="0"/>
    <n v="0"/>
    <x v="3"/>
    <s v="Village"/>
    <x v="10"/>
    <x v="5"/>
    <n v="20.587142"/>
    <n v="93.258573999999996"/>
    <s v="MMR012CMP005"/>
    <x v="0"/>
    <m/>
  </r>
  <r>
    <x v="0"/>
    <x v="13"/>
    <x v="1"/>
    <x v="16"/>
    <x v="186"/>
    <n v="66"/>
    <n v="316"/>
    <m/>
    <s v="GIZ"/>
    <d v="2019-05-30T00:00:00"/>
    <n v="0"/>
    <s v="No"/>
    <n v="0"/>
    <n v="0"/>
    <n v="0"/>
    <n v="0"/>
    <n v="0"/>
    <n v="0"/>
    <n v="0"/>
    <m/>
    <m/>
    <m/>
    <m/>
    <m/>
    <m/>
    <n v="0"/>
    <n v="0"/>
    <m/>
    <n v="0"/>
    <x v="3"/>
    <x v="2"/>
    <m/>
    <m/>
    <m/>
    <n v="0"/>
    <m/>
    <n v="0"/>
    <n v="0"/>
    <n v="0"/>
    <m/>
    <m/>
    <m/>
    <m/>
    <s v="no test"/>
    <s v="no test"/>
    <n v="0"/>
    <n v="0"/>
    <n v="0"/>
    <n v="0"/>
    <n v="0"/>
    <n v="0"/>
    <n v="0"/>
    <n v="0"/>
    <n v="0"/>
    <n v="1"/>
    <n v="316"/>
    <n v="1"/>
    <n v="1"/>
    <x v="0"/>
    <n v="0"/>
    <n v="0"/>
    <n v="0"/>
    <n v="1.0063291139240507"/>
    <n v="53"/>
    <n v="53"/>
    <n v="0"/>
    <s v="N/A"/>
    <n v="0"/>
    <n v="1"/>
    <n v="0"/>
    <n v="0"/>
    <n v="0"/>
    <n v="0"/>
    <n v="0"/>
    <n v="0"/>
    <n v="0"/>
    <n v="0"/>
    <n v="0"/>
    <n v="0"/>
    <n v="0"/>
    <n v="0"/>
    <n v="0"/>
    <n v="0"/>
    <x v="2"/>
    <s v="Village"/>
    <x v="7"/>
    <x v="7"/>
    <n v="20.681715011596701"/>
    <n v="92.94140625"/>
    <n v="196930"/>
    <x v="0"/>
    <m/>
  </r>
  <r>
    <x v="0"/>
    <x v="13"/>
    <x v="1"/>
    <x v="16"/>
    <x v="187"/>
    <n v="142"/>
    <n v="1214"/>
    <m/>
    <s v="GIZ"/>
    <d v="2019-05-30T00:00:00"/>
    <n v="0"/>
    <s v="No"/>
    <n v="0"/>
    <n v="0"/>
    <n v="0"/>
    <n v="0"/>
    <n v="0"/>
    <n v="0"/>
    <n v="0"/>
    <m/>
    <m/>
    <m/>
    <m/>
    <m/>
    <m/>
    <n v="0"/>
    <n v="0"/>
    <m/>
    <n v="0"/>
    <x v="3"/>
    <x v="2"/>
    <m/>
    <m/>
    <m/>
    <n v="0"/>
    <m/>
    <n v="0"/>
    <n v="0"/>
    <n v="0"/>
    <m/>
    <m/>
    <m/>
    <m/>
    <s v="no test"/>
    <s v="no test"/>
    <n v="0"/>
    <n v="0"/>
    <n v="0"/>
    <n v="0"/>
    <n v="0"/>
    <n v="0"/>
    <n v="0"/>
    <n v="0"/>
    <n v="0"/>
    <n v="1"/>
    <n v="1214"/>
    <n v="2"/>
    <n v="2"/>
    <x v="0"/>
    <n v="0"/>
    <n v="0"/>
    <n v="0"/>
    <n v="0.9983525535420098"/>
    <n v="202"/>
    <n v="202"/>
    <n v="0"/>
    <s v="N/A"/>
    <n v="0"/>
    <n v="1"/>
    <n v="0"/>
    <n v="0"/>
    <n v="0"/>
    <n v="0"/>
    <n v="0"/>
    <n v="0"/>
    <n v="0"/>
    <n v="0"/>
    <n v="0"/>
    <n v="0"/>
    <n v="0"/>
    <n v="0"/>
    <n v="0"/>
    <n v="0"/>
    <x v="3"/>
    <s v="Village"/>
    <x v="10"/>
    <x v="5"/>
    <n v="20.696819999999999"/>
    <n v="93.009900000000002"/>
    <s v="MMR012CMP026"/>
    <x v="0"/>
    <m/>
  </r>
  <r>
    <x v="0"/>
    <x v="13"/>
    <x v="1"/>
    <x v="16"/>
    <x v="188"/>
    <n v="337"/>
    <n v="1571"/>
    <m/>
    <s v="GIZ"/>
    <d v="2019-05-30T00:00:00"/>
    <n v="0"/>
    <s v="No"/>
    <n v="0"/>
    <n v="0"/>
    <n v="0"/>
    <n v="0"/>
    <n v="0"/>
    <n v="0"/>
    <n v="0"/>
    <m/>
    <m/>
    <m/>
    <m/>
    <m/>
    <m/>
    <n v="0"/>
    <n v="0"/>
    <m/>
    <n v="0"/>
    <x v="3"/>
    <x v="2"/>
    <m/>
    <m/>
    <m/>
    <n v="0"/>
    <m/>
    <n v="0"/>
    <n v="0"/>
    <n v="0"/>
    <m/>
    <m/>
    <m/>
    <m/>
    <s v="no test"/>
    <s v="no test"/>
    <n v="0"/>
    <n v="0"/>
    <n v="0"/>
    <n v="0"/>
    <n v="0"/>
    <n v="0"/>
    <n v="0"/>
    <n v="0"/>
    <n v="0"/>
    <n v="1"/>
    <n v="1571"/>
    <n v="3"/>
    <n v="3"/>
    <x v="0"/>
    <n v="0"/>
    <n v="0"/>
    <n v="0"/>
    <n v="1.0006365372374284"/>
    <n v="262"/>
    <n v="262"/>
    <n v="0"/>
    <s v="N/A"/>
    <n v="0"/>
    <n v="1"/>
    <n v="0"/>
    <n v="0"/>
    <n v="0"/>
    <n v="0"/>
    <n v="0"/>
    <n v="0"/>
    <n v="0"/>
    <n v="0"/>
    <n v="0"/>
    <n v="0"/>
    <n v="0"/>
    <n v="0"/>
    <n v="0"/>
    <n v="0"/>
    <x v="2"/>
    <s v="Village"/>
    <x v="7"/>
    <x v="3"/>
    <n v="20.705930709838899"/>
    <n v="93.001953125"/>
    <s v="196943"/>
    <x v="0"/>
    <m/>
  </r>
  <r>
    <x v="0"/>
    <x v="13"/>
    <x v="1"/>
    <x v="16"/>
    <x v="189"/>
    <n v="311"/>
    <n v="1393"/>
    <m/>
    <s v="GIZ"/>
    <d v="2019-05-30T00:00:00"/>
    <n v="0"/>
    <s v="No"/>
    <n v="0"/>
    <n v="0"/>
    <n v="0"/>
    <n v="0"/>
    <n v="0"/>
    <n v="0"/>
    <n v="0"/>
    <m/>
    <m/>
    <m/>
    <m/>
    <m/>
    <m/>
    <n v="0"/>
    <n v="0"/>
    <m/>
    <n v="0"/>
    <x v="3"/>
    <x v="2"/>
    <m/>
    <m/>
    <m/>
    <n v="0"/>
    <m/>
    <n v="0"/>
    <n v="0"/>
    <n v="0"/>
    <m/>
    <m/>
    <m/>
    <m/>
    <s v="no test"/>
    <s v="no test"/>
    <n v="0"/>
    <n v="0"/>
    <n v="0"/>
    <n v="0"/>
    <n v="0"/>
    <n v="0"/>
    <n v="0"/>
    <n v="0"/>
    <n v="0"/>
    <n v="1"/>
    <n v="1393"/>
    <n v="3"/>
    <n v="3"/>
    <x v="0"/>
    <n v="0"/>
    <n v="0"/>
    <n v="0"/>
    <n v="0.99928212491026569"/>
    <n v="232"/>
    <n v="232"/>
    <n v="0"/>
    <s v="N/A"/>
    <n v="0"/>
    <n v="1"/>
    <n v="0"/>
    <n v="0"/>
    <n v="0"/>
    <n v="0"/>
    <n v="0"/>
    <n v="0"/>
    <n v="0"/>
    <n v="0"/>
    <n v="0"/>
    <n v="0"/>
    <n v="0"/>
    <n v="0"/>
    <n v="0"/>
    <n v="0"/>
    <x v="2"/>
    <s v="Village"/>
    <x v="7"/>
    <x v="7"/>
    <n v="20.711349487304702"/>
    <n v="92.980506896972699"/>
    <n v="196944"/>
    <x v="0"/>
    <m/>
  </r>
  <r>
    <x v="0"/>
    <x v="13"/>
    <x v="1"/>
    <x v="16"/>
    <x v="190"/>
    <n v="102"/>
    <n v="397"/>
    <m/>
    <s v="GIZ"/>
    <d v="2019-05-30T00:00:00"/>
    <n v="0"/>
    <s v="No"/>
    <n v="0"/>
    <n v="0"/>
    <n v="0"/>
    <n v="0"/>
    <n v="0"/>
    <n v="0"/>
    <n v="0"/>
    <m/>
    <m/>
    <m/>
    <m/>
    <m/>
    <m/>
    <n v="0"/>
    <n v="0"/>
    <m/>
    <n v="0"/>
    <x v="3"/>
    <x v="2"/>
    <m/>
    <m/>
    <m/>
    <n v="0"/>
    <m/>
    <n v="0"/>
    <n v="0"/>
    <n v="0"/>
    <m/>
    <m/>
    <m/>
    <m/>
    <s v="no test"/>
    <s v="no test"/>
    <n v="0"/>
    <n v="0"/>
    <n v="0"/>
    <n v="0"/>
    <n v="0"/>
    <n v="0"/>
    <n v="0"/>
    <n v="0"/>
    <n v="0"/>
    <n v="1"/>
    <n v="397"/>
    <n v="1"/>
    <n v="1"/>
    <x v="0"/>
    <n v="0"/>
    <n v="0"/>
    <n v="0"/>
    <n v="0.99748110831234249"/>
    <n v="66"/>
    <n v="66"/>
    <n v="0"/>
    <s v="N/A"/>
    <n v="0"/>
    <n v="1"/>
    <n v="0"/>
    <n v="0"/>
    <n v="0"/>
    <n v="0"/>
    <n v="0"/>
    <n v="0"/>
    <n v="0"/>
    <n v="0"/>
    <n v="0"/>
    <n v="0"/>
    <n v="0"/>
    <n v="0"/>
    <n v="0"/>
    <n v="0"/>
    <x v="2"/>
    <s v="Village"/>
    <x v="7"/>
    <x v="7"/>
    <n v="20.785770416259801"/>
    <n v="92.931427001953097"/>
    <n v="196887"/>
    <x v="0"/>
    <m/>
  </r>
  <r>
    <x v="0"/>
    <x v="13"/>
    <x v="1"/>
    <x v="16"/>
    <x v="191"/>
    <n v="75"/>
    <n v="379"/>
    <m/>
    <s v="GIZ"/>
    <d v="2019-05-30T00:00:00"/>
    <n v="0"/>
    <s v="No"/>
    <n v="0"/>
    <n v="0"/>
    <n v="0"/>
    <n v="0"/>
    <n v="0"/>
    <n v="0"/>
    <n v="0"/>
    <m/>
    <m/>
    <m/>
    <m/>
    <m/>
    <m/>
    <n v="0"/>
    <n v="0"/>
    <m/>
    <n v="0"/>
    <x v="3"/>
    <x v="2"/>
    <m/>
    <m/>
    <m/>
    <n v="0"/>
    <m/>
    <n v="0"/>
    <n v="0"/>
    <n v="0"/>
    <m/>
    <m/>
    <m/>
    <m/>
    <s v="no test"/>
    <s v="no test"/>
    <n v="0"/>
    <n v="0"/>
    <n v="0"/>
    <n v="0"/>
    <n v="0"/>
    <n v="0"/>
    <n v="0"/>
    <n v="0"/>
    <n v="0"/>
    <n v="1"/>
    <n v="379"/>
    <n v="1"/>
    <n v="1"/>
    <x v="0"/>
    <n v="0"/>
    <n v="0"/>
    <n v="0"/>
    <n v="0.99736147757255944"/>
    <n v="63"/>
    <n v="63"/>
    <n v="0"/>
    <s v="N/A"/>
    <n v="0"/>
    <n v="1"/>
    <n v="0"/>
    <n v="0"/>
    <n v="0"/>
    <n v="0"/>
    <n v="0"/>
    <n v="0"/>
    <n v="0"/>
    <n v="0"/>
    <n v="0"/>
    <n v="0"/>
    <n v="0"/>
    <n v="0"/>
    <n v="0"/>
    <n v="0"/>
    <x v="2"/>
    <s v="Village"/>
    <x v="7"/>
    <x v="8"/>
    <n v="20.803529739379901"/>
    <n v="92.929466247558594"/>
    <s v="196883"/>
    <x v="0"/>
    <m/>
  </r>
  <r>
    <x v="0"/>
    <x v="13"/>
    <x v="1"/>
    <x v="16"/>
    <x v="192"/>
    <n v="35"/>
    <n v="238"/>
    <m/>
    <s v="GIZ"/>
    <d v="2019-05-30T00:00:00"/>
    <n v="0"/>
    <s v="No"/>
    <n v="0"/>
    <n v="0"/>
    <n v="0"/>
    <n v="0"/>
    <n v="0"/>
    <n v="0"/>
    <n v="0"/>
    <m/>
    <m/>
    <m/>
    <m/>
    <m/>
    <m/>
    <n v="0"/>
    <n v="0"/>
    <m/>
    <n v="0"/>
    <x v="3"/>
    <x v="2"/>
    <m/>
    <m/>
    <m/>
    <n v="0"/>
    <m/>
    <n v="0"/>
    <n v="0"/>
    <n v="0"/>
    <m/>
    <m/>
    <m/>
    <m/>
    <s v="no test"/>
    <s v="no test"/>
    <n v="0"/>
    <n v="0"/>
    <n v="0"/>
    <n v="0"/>
    <n v="0"/>
    <n v="0"/>
    <n v="0"/>
    <n v="0"/>
    <n v="0"/>
    <n v="1"/>
    <n v="238"/>
    <n v="1"/>
    <n v="1"/>
    <x v="0"/>
    <n v="0"/>
    <n v="0"/>
    <n v="0"/>
    <n v="1.0084033613445378"/>
    <n v="40"/>
    <n v="40"/>
    <n v="0"/>
    <s v="N/A"/>
    <n v="0"/>
    <n v="1"/>
    <n v="0"/>
    <n v="0"/>
    <n v="0"/>
    <n v="0"/>
    <n v="0"/>
    <n v="0"/>
    <n v="0"/>
    <n v="0"/>
    <n v="0"/>
    <n v="0"/>
    <n v="0"/>
    <n v="0"/>
    <n v="0"/>
    <n v="0"/>
    <x v="2"/>
    <s v="Village"/>
    <x v="7"/>
    <x v="7"/>
    <n v="20.807970046997099"/>
    <n v="92.929046630859403"/>
    <n v="196882"/>
    <x v="0"/>
    <m/>
  </r>
  <r>
    <x v="0"/>
    <x v="13"/>
    <x v="1"/>
    <x v="16"/>
    <x v="193"/>
    <n v="130"/>
    <n v="509"/>
    <m/>
    <s v="GIZ"/>
    <d v="2019-05-30T00:00:00"/>
    <n v="0"/>
    <s v="No"/>
    <n v="0"/>
    <n v="0"/>
    <n v="0"/>
    <n v="0"/>
    <n v="0"/>
    <n v="0"/>
    <n v="0"/>
    <m/>
    <m/>
    <m/>
    <m/>
    <m/>
    <m/>
    <n v="0"/>
    <n v="0"/>
    <m/>
    <n v="0"/>
    <x v="3"/>
    <x v="2"/>
    <m/>
    <m/>
    <m/>
    <n v="0"/>
    <m/>
    <n v="0"/>
    <n v="0"/>
    <n v="0"/>
    <m/>
    <m/>
    <m/>
    <m/>
    <s v="no test"/>
    <s v="no test"/>
    <n v="0"/>
    <n v="0"/>
    <n v="0"/>
    <n v="0"/>
    <n v="0"/>
    <n v="0"/>
    <n v="0"/>
    <n v="0"/>
    <n v="0"/>
    <n v="1"/>
    <n v="509"/>
    <n v="1"/>
    <n v="1"/>
    <x v="0"/>
    <n v="0"/>
    <n v="0"/>
    <n v="0"/>
    <n v="1.0019646365422397"/>
    <n v="85"/>
    <n v="85"/>
    <n v="0"/>
    <s v="N/A"/>
    <n v="0"/>
    <n v="1"/>
    <n v="0"/>
    <n v="0"/>
    <n v="0"/>
    <n v="0"/>
    <n v="0"/>
    <n v="0"/>
    <n v="0"/>
    <n v="0"/>
    <n v="0"/>
    <n v="0"/>
    <n v="0"/>
    <n v="0"/>
    <n v="0"/>
    <n v="0"/>
    <x v="2"/>
    <s v="Village"/>
    <x v="7"/>
    <x v="7"/>
    <n v="20.809240341186499"/>
    <n v="92.923919677734403"/>
    <n v="196881"/>
    <x v="0"/>
    <m/>
  </r>
  <r>
    <x v="0"/>
    <x v="13"/>
    <x v="1"/>
    <x v="16"/>
    <x v="194"/>
    <n v="94"/>
    <n v="362"/>
    <m/>
    <s v="GIZ"/>
    <d v="2019-05-30T00:00:00"/>
    <n v="0"/>
    <s v="No"/>
    <n v="0"/>
    <n v="0"/>
    <n v="0"/>
    <n v="0"/>
    <n v="0"/>
    <n v="0"/>
    <n v="0"/>
    <m/>
    <m/>
    <m/>
    <m/>
    <m/>
    <m/>
    <n v="0"/>
    <n v="0"/>
    <m/>
    <n v="0"/>
    <x v="3"/>
    <x v="2"/>
    <m/>
    <m/>
    <m/>
    <n v="0"/>
    <m/>
    <n v="0"/>
    <n v="0"/>
    <n v="0"/>
    <m/>
    <m/>
    <m/>
    <m/>
    <s v="no test"/>
    <s v="no test"/>
    <n v="0"/>
    <n v="0"/>
    <n v="0"/>
    <n v="0"/>
    <n v="0"/>
    <n v="0"/>
    <n v="0"/>
    <n v="0"/>
    <n v="0"/>
    <n v="1"/>
    <n v="362"/>
    <n v="1"/>
    <n v="1"/>
    <x v="0"/>
    <n v="0"/>
    <n v="0"/>
    <n v="0"/>
    <n v="0.99447513812154698"/>
    <n v="60"/>
    <n v="60"/>
    <n v="0"/>
    <s v="N/A"/>
    <n v="0"/>
    <n v="1"/>
    <n v="0"/>
    <n v="0"/>
    <n v="0"/>
    <n v="0"/>
    <n v="0"/>
    <n v="0"/>
    <n v="0"/>
    <n v="0"/>
    <n v="0"/>
    <n v="0"/>
    <n v="0"/>
    <n v="0"/>
    <n v="0"/>
    <n v="0"/>
    <x v="2"/>
    <s v="Village"/>
    <x v="7"/>
    <x v="7"/>
    <n v="20.831729888916001"/>
    <n v="92.919639587402301"/>
    <n v="196880"/>
    <x v="0"/>
    <m/>
  </r>
  <r>
    <x v="0"/>
    <x v="13"/>
    <x v="1"/>
    <x v="16"/>
    <x v="195"/>
    <n v="76"/>
    <n v="363"/>
    <m/>
    <s v="GIZ"/>
    <d v="2019-05-30T00:00:00"/>
    <n v="0"/>
    <s v="No"/>
    <n v="0"/>
    <n v="0"/>
    <n v="0"/>
    <n v="0"/>
    <n v="0"/>
    <n v="0"/>
    <n v="0"/>
    <m/>
    <m/>
    <m/>
    <m/>
    <m/>
    <m/>
    <n v="0"/>
    <n v="0"/>
    <m/>
    <n v="0"/>
    <x v="3"/>
    <x v="2"/>
    <m/>
    <m/>
    <m/>
    <n v="0"/>
    <m/>
    <n v="0"/>
    <n v="0"/>
    <n v="0"/>
    <m/>
    <m/>
    <m/>
    <m/>
    <s v="no test"/>
    <s v="no test"/>
    <n v="0"/>
    <n v="0"/>
    <n v="0"/>
    <n v="0"/>
    <n v="0"/>
    <n v="0"/>
    <n v="0"/>
    <n v="0"/>
    <n v="0"/>
    <n v="1"/>
    <n v="363"/>
    <n v="1"/>
    <n v="1"/>
    <x v="0"/>
    <n v="0"/>
    <n v="0"/>
    <n v="0"/>
    <n v="1.0082644628099173"/>
    <n v="61"/>
    <n v="61"/>
    <n v="0"/>
    <s v="N/A"/>
    <n v="0"/>
    <n v="1"/>
    <n v="0"/>
    <n v="0"/>
    <n v="0"/>
    <n v="0"/>
    <n v="0"/>
    <n v="0"/>
    <n v="0"/>
    <n v="0"/>
    <n v="0"/>
    <n v="0"/>
    <n v="0"/>
    <n v="0"/>
    <n v="0"/>
    <n v="0"/>
    <x v="2"/>
    <s v="Village"/>
    <x v="7"/>
    <x v="7"/>
    <n v="20.851089477539102"/>
    <n v="92.916893005371094"/>
    <n v="196825"/>
    <x v="0"/>
    <m/>
  </r>
  <r>
    <x v="0"/>
    <x v="13"/>
    <x v="1"/>
    <x v="16"/>
    <x v="196"/>
    <n v="74"/>
    <n v="326"/>
    <m/>
    <s v="GIZ"/>
    <d v="2019-05-30T00:00:00"/>
    <n v="0"/>
    <s v="No"/>
    <n v="0"/>
    <n v="0"/>
    <n v="0"/>
    <n v="0"/>
    <n v="0"/>
    <n v="0"/>
    <n v="0"/>
    <m/>
    <m/>
    <m/>
    <m/>
    <m/>
    <m/>
    <n v="0"/>
    <n v="0"/>
    <m/>
    <n v="0"/>
    <x v="3"/>
    <x v="2"/>
    <m/>
    <m/>
    <m/>
    <n v="0"/>
    <m/>
    <n v="0"/>
    <n v="0"/>
    <n v="0"/>
    <m/>
    <m/>
    <m/>
    <m/>
    <s v="no test"/>
    <s v="no test"/>
    <n v="0"/>
    <n v="0"/>
    <n v="0"/>
    <n v="0"/>
    <n v="0"/>
    <n v="0"/>
    <n v="0"/>
    <n v="0"/>
    <n v="0"/>
    <n v="1"/>
    <n v="326"/>
    <n v="1"/>
    <n v="1"/>
    <x v="0"/>
    <n v="0"/>
    <n v="0"/>
    <n v="0"/>
    <n v="0.99386503067484655"/>
    <n v="54"/>
    <n v="54"/>
    <n v="0"/>
    <s v="N/A"/>
    <n v="0"/>
    <n v="1"/>
    <n v="0"/>
    <n v="0"/>
    <n v="0"/>
    <n v="0"/>
    <n v="0"/>
    <n v="0"/>
    <n v="0"/>
    <n v="0"/>
    <n v="0"/>
    <n v="0"/>
    <n v="0"/>
    <n v="0"/>
    <n v="0"/>
    <n v="0"/>
    <x v="2"/>
    <s v="Village"/>
    <x v="7"/>
    <x v="7"/>
    <n v="20.8550128936768"/>
    <n v="92.91"/>
    <n v="196824"/>
    <x v="0"/>
    <m/>
  </r>
  <r>
    <x v="0"/>
    <x v="13"/>
    <x v="1"/>
    <x v="16"/>
    <x v="197"/>
    <n v="478"/>
    <n v="2698"/>
    <m/>
    <s v="GIZ"/>
    <d v="2019-05-30T00:00:00"/>
    <n v="0"/>
    <s v="No"/>
    <n v="0"/>
    <n v="0"/>
    <n v="0"/>
    <n v="0"/>
    <n v="0"/>
    <n v="0"/>
    <n v="0"/>
    <m/>
    <m/>
    <m/>
    <m/>
    <m/>
    <m/>
    <n v="0"/>
    <n v="0"/>
    <m/>
    <n v="0"/>
    <x v="3"/>
    <x v="2"/>
    <m/>
    <m/>
    <m/>
    <n v="0"/>
    <m/>
    <n v="0"/>
    <n v="0"/>
    <n v="0"/>
    <m/>
    <m/>
    <m/>
    <m/>
    <s v="no test"/>
    <s v="no test"/>
    <n v="0"/>
    <n v="0"/>
    <n v="0"/>
    <n v="0"/>
    <n v="0"/>
    <n v="0"/>
    <n v="0"/>
    <n v="0"/>
    <n v="0"/>
    <n v="1"/>
    <n v="2698"/>
    <n v="5"/>
    <n v="5"/>
    <x v="0"/>
    <n v="0"/>
    <n v="0"/>
    <n v="0"/>
    <n v="1.0007412898443291"/>
    <n v="450"/>
    <n v="450"/>
    <n v="0"/>
    <s v="N/A"/>
    <n v="0"/>
    <n v="1"/>
    <n v="0"/>
    <n v="0"/>
    <n v="0"/>
    <n v="0"/>
    <n v="0"/>
    <n v="0"/>
    <n v="0"/>
    <n v="0"/>
    <n v="0"/>
    <n v="0"/>
    <n v="0"/>
    <n v="0"/>
    <n v="0"/>
    <n v="0"/>
    <x v="2"/>
    <s v="Village"/>
    <x v="7"/>
    <x v="7"/>
    <n v="20.864519119262699"/>
    <n v="92.940399169921903"/>
    <n v="196817"/>
    <x v="0"/>
    <m/>
  </r>
  <r>
    <x v="0"/>
    <x v="13"/>
    <x v="1"/>
    <x v="16"/>
    <x v="198"/>
    <n v="171"/>
    <n v="821"/>
    <m/>
    <s v="GIZ"/>
    <d v="2019-05-30T00:00:00"/>
    <n v="0"/>
    <s v="No"/>
    <n v="0"/>
    <n v="0"/>
    <n v="0"/>
    <n v="0"/>
    <n v="0"/>
    <n v="0"/>
    <n v="0"/>
    <m/>
    <m/>
    <m/>
    <m/>
    <m/>
    <m/>
    <n v="0"/>
    <n v="0"/>
    <m/>
    <n v="0"/>
    <x v="3"/>
    <x v="2"/>
    <m/>
    <m/>
    <m/>
    <n v="0"/>
    <m/>
    <n v="0"/>
    <n v="0"/>
    <n v="0"/>
    <m/>
    <m/>
    <m/>
    <m/>
    <s v="no test"/>
    <s v="no test"/>
    <n v="0"/>
    <n v="0"/>
    <n v="0"/>
    <n v="0"/>
    <n v="0"/>
    <n v="0"/>
    <n v="0"/>
    <n v="0"/>
    <n v="0"/>
    <n v="1"/>
    <n v="821"/>
    <n v="2"/>
    <n v="2"/>
    <x v="0"/>
    <n v="0"/>
    <n v="0"/>
    <n v="0"/>
    <n v="1.0012180267965896"/>
    <n v="137"/>
    <n v="137"/>
    <n v="0"/>
    <s v="N/A"/>
    <n v="0"/>
    <n v="1"/>
    <n v="0"/>
    <n v="0"/>
    <n v="0"/>
    <n v="0"/>
    <n v="0"/>
    <n v="0"/>
    <n v="0"/>
    <n v="0"/>
    <n v="0"/>
    <n v="0"/>
    <n v="0"/>
    <n v="0"/>
    <n v="0"/>
    <n v="0"/>
    <x v="2"/>
    <s v="Village"/>
    <x v="7"/>
    <x v="7"/>
    <n v="20.894269943237301"/>
    <n v="92.920730590820298"/>
    <n v="196814"/>
    <x v="0"/>
    <m/>
  </r>
  <r>
    <x v="0"/>
    <x v="13"/>
    <x v="1"/>
    <x v="16"/>
    <x v="199"/>
    <n v="52"/>
    <n v="295"/>
    <m/>
    <s v="GIZ"/>
    <d v="2019-05-30T00:00:00"/>
    <n v="0"/>
    <s v="No"/>
    <n v="0"/>
    <n v="0"/>
    <n v="0"/>
    <n v="0"/>
    <n v="0"/>
    <n v="0"/>
    <n v="0"/>
    <m/>
    <m/>
    <m/>
    <m/>
    <m/>
    <m/>
    <n v="0"/>
    <n v="0"/>
    <m/>
    <n v="0"/>
    <x v="2"/>
    <x v="3"/>
    <m/>
    <m/>
    <m/>
    <n v="0"/>
    <m/>
    <n v="0"/>
    <n v="0"/>
    <n v="0"/>
    <m/>
    <m/>
    <m/>
    <m/>
    <s v="no test"/>
    <s v="no test"/>
    <n v="0"/>
    <n v="0"/>
    <n v="0"/>
    <n v="0"/>
    <n v="0"/>
    <n v="0"/>
    <n v="0"/>
    <n v="0"/>
    <n v="0"/>
    <n v="1"/>
    <n v="295"/>
    <n v="1"/>
    <n v="1"/>
    <x v="0"/>
    <n v="0"/>
    <n v="0"/>
    <n v="0"/>
    <n v="0.99661016949152548"/>
    <n v="49"/>
    <n v="49"/>
    <n v="0"/>
    <s v="N/A"/>
    <n v="0"/>
    <n v="1"/>
    <n v="0"/>
    <n v="0"/>
    <n v="0"/>
    <n v="0"/>
    <n v="0"/>
    <n v="0"/>
    <n v="0"/>
    <n v="0"/>
    <n v="0"/>
    <n v="0"/>
    <n v="0"/>
    <n v="0"/>
    <n v="0"/>
    <n v="0"/>
    <x v="2"/>
    <s v="Village"/>
    <x v="7"/>
    <x v="7"/>
    <n v="20.8950595855713"/>
    <n v="92.907356262207003"/>
    <n v="196807"/>
    <x v="0"/>
    <m/>
  </r>
  <r>
    <x v="0"/>
    <x v="13"/>
    <x v="1"/>
    <x v="16"/>
    <x v="200"/>
    <n v="499"/>
    <n v="2554"/>
    <m/>
    <s v="GIZ"/>
    <d v="2019-05-30T00:00:00"/>
    <n v="0"/>
    <s v="No"/>
    <n v="0"/>
    <n v="0"/>
    <n v="0"/>
    <n v="0"/>
    <n v="0"/>
    <n v="0"/>
    <n v="2"/>
    <m/>
    <m/>
    <m/>
    <m/>
    <m/>
    <m/>
    <n v="0"/>
    <n v="0"/>
    <m/>
    <n v="0"/>
    <x v="2"/>
    <x v="3"/>
    <m/>
    <m/>
    <m/>
    <n v="0"/>
    <m/>
    <n v="0"/>
    <n v="0"/>
    <n v="0"/>
    <m/>
    <m/>
    <m/>
    <m/>
    <s v="no test"/>
    <s v="no test"/>
    <n v="0"/>
    <n v="0"/>
    <n v="0"/>
    <n v="0"/>
    <n v="0"/>
    <n v="0"/>
    <n v="0"/>
    <n v="0"/>
    <n v="0"/>
    <n v="1"/>
    <n v="2554"/>
    <n v="5"/>
    <n v="5"/>
    <x v="0"/>
    <n v="0"/>
    <n v="0"/>
    <n v="0"/>
    <n v="1.0007830853563038"/>
    <n v="426"/>
    <n v="426"/>
    <n v="0"/>
    <s v="N/A"/>
    <n v="0"/>
    <n v="1"/>
    <n v="0"/>
    <n v="0"/>
    <n v="0"/>
    <n v="0"/>
    <n v="0"/>
    <n v="0"/>
    <n v="0"/>
    <n v="0"/>
    <n v="0"/>
    <n v="0"/>
    <n v="0"/>
    <n v="0"/>
    <n v="0"/>
    <n v="0"/>
    <x v="2"/>
    <s v="Village"/>
    <x v="7"/>
    <x v="5"/>
    <n v="20.859569549560501"/>
    <n v="92.941146850585895"/>
    <s v="196823"/>
    <x v="0"/>
    <m/>
  </r>
  <r>
    <x v="0"/>
    <x v="13"/>
    <x v="1"/>
    <x v="16"/>
    <x v="201"/>
    <n v="156"/>
    <n v="932"/>
    <m/>
    <s v="GIZ"/>
    <d v="2019-05-30T00:00:00"/>
    <n v="0"/>
    <s v="No"/>
    <n v="0"/>
    <n v="0"/>
    <n v="0"/>
    <n v="0"/>
    <n v="0"/>
    <n v="0"/>
    <n v="0"/>
    <m/>
    <m/>
    <m/>
    <m/>
    <m/>
    <m/>
    <n v="0"/>
    <n v="0"/>
    <m/>
    <n v="0"/>
    <x v="2"/>
    <x v="3"/>
    <m/>
    <m/>
    <m/>
    <n v="0"/>
    <m/>
    <n v="0"/>
    <n v="0"/>
    <n v="0"/>
    <m/>
    <m/>
    <m/>
    <m/>
    <s v="no test"/>
    <s v="no test"/>
    <n v="0"/>
    <n v="0"/>
    <n v="0"/>
    <n v="0"/>
    <n v="0"/>
    <n v="0"/>
    <n v="0"/>
    <n v="0"/>
    <n v="0"/>
    <n v="1"/>
    <n v="932"/>
    <n v="2"/>
    <n v="2"/>
    <x v="0"/>
    <n v="0"/>
    <n v="0"/>
    <n v="0"/>
    <n v="0.99785407725321884"/>
    <n v="155"/>
    <n v="155"/>
    <n v="0"/>
    <s v="N/A"/>
    <n v="0"/>
    <n v="1"/>
    <n v="0"/>
    <n v="0"/>
    <n v="0"/>
    <n v="0"/>
    <n v="0"/>
    <n v="0"/>
    <n v="0"/>
    <n v="0"/>
    <n v="0"/>
    <n v="0"/>
    <n v="0"/>
    <n v="0"/>
    <n v="0"/>
    <n v="0"/>
    <x v="2"/>
    <s v="Village"/>
    <x v="7"/>
    <x v="3"/>
    <n v="20.786739349365199"/>
    <n v="92.944313049316406"/>
    <s v="196884"/>
    <x v="0"/>
    <m/>
  </r>
  <r>
    <x v="0"/>
    <x v="13"/>
    <x v="1"/>
    <x v="16"/>
    <x v="202"/>
    <n v="88"/>
    <n v="325"/>
    <m/>
    <s v="GIZ"/>
    <d v="2019-05-30T00:00:00"/>
    <n v="0"/>
    <s v="No"/>
    <n v="0"/>
    <n v="0"/>
    <m/>
    <m/>
    <m/>
    <m/>
    <m/>
    <m/>
    <m/>
    <m/>
    <m/>
    <m/>
    <m/>
    <m/>
    <m/>
    <m/>
    <m/>
    <x v="1"/>
    <x v="1"/>
    <m/>
    <m/>
    <m/>
    <m/>
    <m/>
    <m/>
    <m/>
    <m/>
    <m/>
    <m/>
    <m/>
    <m/>
    <s v="no test"/>
    <s v="no test"/>
    <n v="0"/>
    <n v="0"/>
    <n v="0"/>
    <n v="0"/>
    <n v="0"/>
    <n v="0"/>
    <n v="0"/>
    <n v="0"/>
    <n v="0"/>
    <n v="1"/>
    <n v="325"/>
    <n v="1"/>
    <n v="1"/>
    <x v="0"/>
    <n v="0"/>
    <n v="0"/>
    <n v="0"/>
    <n v="0.99692307692307691"/>
    <n v="54"/>
    <n v="54"/>
    <n v="0"/>
    <s v="N/A"/>
    <n v="0"/>
    <n v="1"/>
    <n v="0"/>
    <n v="0"/>
    <n v="0"/>
    <n v="0"/>
    <n v="0"/>
    <n v="0"/>
    <n v="0"/>
    <n v="0"/>
    <n v="0"/>
    <n v="0"/>
    <n v="0"/>
    <n v="0"/>
    <n v="0"/>
    <n v="0"/>
    <x v="2"/>
    <s v="Village"/>
    <x v="7"/>
    <x v="3"/>
    <n v="20.8037109375"/>
    <n v="92.946136474609403"/>
    <s v="196886"/>
    <x v="0"/>
    <m/>
  </r>
  <r>
    <x v="0"/>
    <x v="13"/>
    <x v="1"/>
    <x v="16"/>
    <x v="203"/>
    <n v="142"/>
    <n v="626"/>
    <m/>
    <s v="GIZ"/>
    <d v="2019-05-30T00:00:00"/>
    <n v="0"/>
    <s v="No"/>
    <n v="0"/>
    <n v="0"/>
    <n v="0"/>
    <n v="0"/>
    <n v="0"/>
    <n v="0"/>
    <n v="0"/>
    <m/>
    <m/>
    <m/>
    <m/>
    <m/>
    <m/>
    <n v="0"/>
    <n v="0"/>
    <m/>
    <n v="0"/>
    <x v="2"/>
    <x v="3"/>
    <m/>
    <m/>
    <m/>
    <n v="0"/>
    <m/>
    <n v="0"/>
    <n v="0"/>
    <n v="0"/>
    <m/>
    <m/>
    <m/>
    <m/>
    <s v="no test"/>
    <s v="no test"/>
    <n v="0"/>
    <n v="0"/>
    <n v="0"/>
    <n v="0"/>
    <n v="0"/>
    <n v="0"/>
    <n v="0"/>
    <n v="0"/>
    <n v="0"/>
    <n v="1"/>
    <n v="626"/>
    <n v="1"/>
    <n v="1"/>
    <x v="0"/>
    <n v="0"/>
    <n v="0"/>
    <n v="0"/>
    <n v="0.99680511182108633"/>
    <n v="104"/>
    <n v="104"/>
    <n v="0"/>
    <s v="N/A"/>
    <n v="0"/>
    <n v="1"/>
    <n v="0"/>
    <n v="0"/>
    <n v="0"/>
    <n v="0"/>
    <n v="0"/>
    <n v="0"/>
    <n v="0"/>
    <n v="0"/>
    <n v="0"/>
    <n v="0"/>
    <n v="0"/>
    <n v="0"/>
    <n v="0"/>
    <n v="0"/>
    <x v="2"/>
    <s v="Village"/>
    <x v="7"/>
    <x v="3"/>
    <n v="20.677059173583999"/>
    <n v="92.9532470703125"/>
    <s v="196929"/>
    <x v="0"/>
    <m/>
  </r>
  <r>
    <x v="0"/>
    <x v="14"/>
    <x v="1"/>
    <x v="16"/>
    <x v="204"/>
    <n v="91"/>
    <n v="581"/>
    <m/>
    <s v="SINTASIDIKAH"/>
    <s v="31/12/2018"/>
    <m/>
    <m/>
    <m/>
    <m/>
    <n v="0"/>
    <n v="0"/>
    <m/>
    <n v="3"/>
    <n v="0"/>
    <m/>
    <m/>
    <m/>
    <m/>
    <m/>
    <m/>
    <n v="13"/>
    <m/>
    <m/>
    <n v="0"/>
    <x v="1"/>
    <x v="1"/>
    <m/>
    <m/>
    <m/>
    <n v="0"/>
    <m/>
    <n v="0"/>
    <m/>
    <n v="0"/>
    <m/>
    <m/>
    <m/>
    <m/>
    <s v="no test"/>
    <s v="no test"/>
    <n v="0"/>
    <n v="0"/>
    <n v="0"/>
    <n v="0"/>
    <n v="1"/>
    <n v="581"/>
    <n v="1"/>
    <n v="581"/>
    <n v="1"/>
    <n v="0"/>
    <n v="0"/>
    <n v="0"/>
    <n v="1"/>
    <x v="0"/>
    <n v="13"/>
    <n v="0.44750430292598969"/>
    <n v="260"/>
    <n v="0.55077452667814109"/>
    <n v="16"/>
    <n v="29"/>
    <n v="0"/>
    <n v="0"/>
    <n v="0"/>
    <n v="1"/>
    <n v="0"/>
    <n v="0"/>
    <n v="0"/>
    <n v="0"/>
    <n v="0"/>
    <n v="0"/>
    <n v="0"/>
    <n v="0"/>
    <n v="0"/>
    <n v="0"/>
    <n v="0"/>
    <n v="0"/>
    <s v="Yes"/>
    <s v="UNHCR"/>
    <x v="0"/>
    <s v="Camp"/>
    <x v="11"/>
    <x v="5"/>
    <n v="20.865687000000001"/>
    <n v="92.965980999999999"/>
    <s v="MMR012CMP023"/>
    <x v="0"/>
    <m/>
  </r>
  <r>
    <x v="0"/>
    <x v="3"/>
    <x v="1"/>
    <x v="16"/>
    <x v="205"/>
    <n v="167"/>
    <n v="836"/>
    <m/>
    <m/>
    <m/>
    <m/>
    <s v="No"/>
    <n v="0"/>
    <n v="0"/>
    <n v="0"/>
    <n v="0"/>
    <m/>
    <m/>
    <n v="0"/>
    <m/>
    <m/>
    <m/>
    <m/>
    <m/>
    <m/>
    <n v="53"/>
    <m/>
    <m/>
    <n v="0"/>
    <x v="1"/>
    <x v="1"/>
    <m/>
    <m/>
    <m/>
    <n v="0"/>
    <m/>
    <n v="0"/>
    <m/>
    <n v="0"/>
    <m/>
    <m/>
    <m/>
    <m/>
    <s v="no test"/>
    <s v="no test"/>
    <n v="0"/>
    <n v="0"/>
    <n v="0"/>
    <n v="0"/>
    <n v="0"/>
    <n v="0"/>
    <n v="0"/>
    <n v="0"/>
    <n v="0"/>
    <n v="1"/>
    <n v="836"/>
    <n v="2"/>
    <n v="2"/>
    <x v="0"/>
    <n v="53"/>
    <n v="0.38038277511961721"/>
    <n v="318"/>
    <n v="0.61722488038277512"/>
    <n v="86"/>
    <n v="139"/>
    <n v="0"/>
    <s v="N/A"/>
    <n v="0"/>
    <n v="1"/>
    <n v="0"/>
    <n v="0"/>
    <n v="0"/>
    <n v="0"/>
    <n v="0"/>
    <n v="0"/>
    <n v="0"/>
    <n v="0"/>
    <n v="0"/>
    <n v="0"/>
    <n v="0"/>
    <n v="0"/>
    <n v="0"/>
    <n v="0"/>
    <x v="3"/>
    <s v="Village"/>
    <x v="7"/>
    <x v="3"/>
    <n v="0"/>
    <n v="0"/>
    <s v=""/>
    <x v="1"/>
    <m/>
  </r>
  <r>
    <x v="0"/>
    <x v="3"/>
    <x v="1"/>
    <x v="16"/>
    <x v="206"/>
    <n v="395"/>
    <n v="1687"/>
    <m/>
    <m/>
    <m/>
    <m/>
    <s v="No"/>
    <n v="0"/>
    <n v="0"/>
    <n v="0"/>
    <n v="0"/>
    <m/>
    <m/>
    <n v="2"/>
    <m/>
    <m/>
    <m/>
    <m/>
    <m/>
    <m/>
    <n v="0"/>
    <m/>
    <m/>
    <n v="0"/>
    <x v="1"/>
    <x v="1"/>
    <m/>
    <m/>
    <m/>
    <n v="0"/>
    <m/>
    <n v="0"/>
    <m/>
    <m/>
    <m/>
    <m/>
    <m/>
    <m/>
    <s v="no test"/>
    <s v="no test"/>
    <n v="0"/>
    <n v="0"/>
    <n v="0"/>
    <n v="0"/>
    <n v="0"/>
    <n v="0"/>
    <n v="0"/>
    <n v="0"/>
    <n v="0"/>
    <n v="1"/>
    <n v="1687"/>
    <n v="3"/>
    <n v="3"/>
    <x v="0"/>
    <n v="0"/>
    <n v="0"/>
    <n v="0"/>
    <n v="0.99940723177237689"/>
    <n v="281"/>
    <n v="281"/>
    <n v="0"/>
    <s v="N/A"/>
    <n v="0"/>
    <n v="1"/>
    <n v="0"/>
    <n v="0"/>
    <n v="0"/>
    <n v="0"/>
    <n v="0"/>
    <n v="0"/>
    <n v="0"/>
    <n v="0"/>
    <n v="0"/>
    <n v="0"/>
    <n v="0"/>
    <n v="0"/>
    <n v="0"/>
    <n v="0"/>
    <x v="3"/>
    <s v="Village"/>
    <x v="7"/>
    <x v="3"/>
    <n v="0"/>
    <n v="0"/>
    <s v=""/>
    <x v="1"/>
    <m/>
  </r>
  <r>
    <x v="0"/>
    <x v="3"/>
    <x v="1"/>
    <x v="16"/>
    <x v="207"/>
    <n v="165"/>
    <n v="786"/>
    <m/>
    <m/>
    <m/>
    <m/>
    <s v="No"/>
    <n v="0"/>
    <n v="0"/>
    <n v="0"/>
    <n v="0"/>
    <m/>
    <m/>
    <n v="1"/>
    <m/>
    <m/>
    <m/>
    <m/>
    <m/>
    <m/>
    <n v="0"/>
    <m/>
    <m/>
    <n v="0"/>
    <x v="1"/>
    <x v="1"/>
    <m/>
    <m/>
    <m/>
    <n v="0"/>
    <m/>
    <n v="0"/>
    <m/>
    <m/>
    <m/>
    <m/>
    <m/>
    <m/>
    <s v="no test"/>
    <s v="no test"/>
    <n v="0"/>
    <n v="0"/>
    <n v="0"/>
    <n v="0"/>
    <n v="0"/>
    <n v="0"/>
    <n v="0"/>
    <n v="0"/>
    <n v="0"/>
    <n v="1"/>
    <n v="786"/>
    <n v="2"/>
    <n v="2"/>
    <x v="0"/>
    <n v="0"/>
    <n v="0"/>
    <n v="0"/>
    <n v="1"/>
    <n v="131"/>
    <n v="131"/>
    <n v="0"/>
    <s v="N/A"/>
    <n v="0"/>
    <n v="1"/>
    <n v="0"/>
    <n v="0"/>
    <n v="0"/>
    <n v="0"/>
    <n v="0"/>
    <n v="0"/>
    <n v="0"/>
    <n v="0"/>
    <n v="0"/>
    <n v="0"/>
    <n v="0"/>
    <n v="0"/>
    <n v="0"/>
    <n v="0"/>
    <x v="3"/>
    <s v="Village"/>
    <x v="7"/>
    <x v="3"/>
    <n v="20.644098281860401"/>
    <n v="93.036460876464801"/>
    <s v="196983"/>
    <x v="1"/>
    <m/>
  </r>
  <r>
    <x v="0"/>
    <x v="3"/>
    <x v="1"/>
    <x v="16"/>
    <x v="208"/>
    <n v="314"/>
    <n v="1569"/>
    <m/>
    <m/>
    <m/>
    <m/>
    <s v="No"/>
    <n v="0"/>
    <n v="0"/>
    <n v="0"/>
    <n v="0"/>
    <m/>
    <m/>
    <n v="0"/>
    <m/>
    <m/>
    <m/>
    <m/>
    <m/>
    <m/>
    <n v="160"/>
    <m/>
    <m/>
    <n v="0"/>
    <x v="1"/>
    <x v="1"/>
    <m/>
    <m/>
    <m/>
    <n v="0"/>
    <m/>
    <n v="0"/>
    <m/>
    <n v="0"/>
    <m/>
    <m/>
    <m/>
    <m/>
    <s v="no test"/>
    <s v="no test"/>
    <n v="0"/>
    <n v="0"/>
    <n v="0"/>
    <n v="0"/>
    <n v="0"/>
    <n v="0"/>
    <n v="0"/>
    <n v="0"/>
    <n v="0"/>
    <n v="1"/>
    <n v="1569"/>
    <n v="3"/>
    <n v="3"/>
    <x v="0"/>
    <n v="160"/>
    <n v="0.6118546845124283"/>
    <n v="960"/>
    <n v="0.39005736137667302"/>
    <n v="102"/>
    <n v="262"/>
    <n v="0"/>
    <s v="N/A"/>
    <n v="0"/>
    <n v="1"/>
    <n v="0"/>
    <n v="0"/>
    <n v="0"/>
    <n v="0"/>
    <n v="0"/>
    <n v="0"/>
    <n v="0"/>
    <n v="0"/>
    <n v="0"/>
    <n v="0"/>
    <n v="0"/>
    <n v="0"/>
    <n v="0"/>
    <n v="0"/>
    <x v="3"/>
    <s v="Village"/>
    <x v="7"/>
    <x v="3"/>
    <n v="20.709970473999999"/>
    <n v="93.015357971"/>
    <s v="196973"/>
    <x v="1"/>
    <m/>
  </r>
  <r>
    <x v="0"/>
    <x v="3"/>
    <x v="1"/>
    <x v="16"/>
    <x v="209"/>
    <n v="116"/>
    <n v="802"/>
    <m/>
    <m/>
    <m/>
    <m/>
    <s v="No"/>
    <n v="0"/>
    <n v="0"/>
    <n v="0"/>
    <n v="0"/>
    <m/>
    <m/>
    <n v="0"/>
    <m/>
    <m/>
    <m/>
    <m/>
    <m/>
    <m/>
    <n v="40"/>
    <m/>
    <m/>
    <n v="0"/>
    <x v="1"/>
    <x v="1"/>
    <m/>
    <m/>
    <m/>
    <n v="0"/>
    <m/>
    <n v="0"/>
    <m/>
    <n v="0"/>
    <m/>
    <m/>
    <m/>
    <m/>
    <s v="no test"/>
    <s v="no test"/>
    <n v="0"/>
    <n v="0"/>
    <n v="0"/>
    <n v="0"/>
    <n v="0"/>
    <n v="0"/>
    <n v="0"/>
    <n v="0"/>
    <n v="0"/>
    <n v="1"/>
    <n v="802"/>
    <n v="2"/>
    <n v="2"/>
    <x v="0"/>
    <n v="40"/>
    <n v="0.29925187032418954"/>
    <n v="240"/>
    <n v="0.70324189526184544"/>
    <n v="94"/>
    <n v="134"/>
    <n v="0"/>
    <s v="N/A"/>
    <n v="0"/>
    <n v="1"/>
    <n v="0"/>
    <n v="0"/>
    <n v="0"/>
    <n v="0"/>
    <n v="0"/>
    <n v="0"/>
    <n v="0"/>
    <n v="0"/>
    <n v="0"/>
    <n v="0"/>
    <n v="0"/>
    <n v="0"/>
    <n v="0"/>
    <n v="0"/>
    <x v="3"/>
    <s v="Village"/>
    <x v="10"/>
    <x v="5"/>
    <n v="20.713259999999998"/>
    <n v="93.014089999999996"/>
    <s v="MMR012CMP027"/>
    <x v="1"/>
    <m/>
  </r>
  <r>
    <x v="0"/>
    <x v="3"/>
    <x v="1"/>
    <x v="16"/>
    <x v="210"/>
    <n v="92"/>
    <n v="559"/>
    <m/>
    <m/>
    <m/>
    <m/>
    <s v="No"/>
    <n v="0"/>
    <n v="0"/>
    <n v="0"/>
    <n v="0"/>
    <m/>
    <m/>
    <n v="0"/>
    <m/>
    <m/>
    <m/>
    <m/>
    <m/>
    <m/>
    <n v="194"/>
    <m/>
    <m/>
    <n v="0"/>
    <x v="1"/>
    <x v="1"/>
    <m/>
    <m/>
    <m/>
    <n v="0"/>
    <m/>
    <n v="0"/>
    <m/>
    <n v="0"/>
    <m/>
    <m/>
    <m/>
    <m/>
    <s v="no test"/>
    <s v="no test"/>
    <n v="0"/>
    <n v="0"/>
    <n v="0"/>
    <n v="0"/>
    <n v="0"/>
    <n v="0"/>
    <n v="0"/>
    <n v="0"/>
    <n v="0"/>
    <n v="1"/>
    <n v="559"/>
    <n v="1"/>
    <n v="1"/>
    <x v="0"/>
    <n v="194"/>
    <n v="1"/>
    <n v="559"/>
    <n v="0"/>
    <n v="0"/>
    <n v="93"/>
    <n v="0"/>
    <s v="N/A"/>
    <n v="0"/>
    <n v="1"/>
    <n v="0"/>
    <n v="0"/>
    <n v="0"/>
    <n v="0"/>
    <n v="0"/>
    <n v="0"/>
    <n v="0"/>
    <n v="0"/>
    <n v="0"/>
    <n v="0"/>
    <n v="0"/>
    <n v="0"/>
    <n v="0"/>
    <n v="0"/>
    <x v="3"/>
    <s v="Village"/>
    <x v="10"/>
    <x v="3"/>
    <n v="20.720213000000001"/>
    <n v="92.961841000000007"/>
    <s v="MMR012CMP024"/>
    <x v="1"/>
    <m/>
  </r>
  <r>
    <x v="0"/>
    <x v="3"/>
    <x v="1"/>
    <x v="16"/>
    <x v="211"/>
    <n v="139"/>
    <n v="695"/>
    <m/>
    <m/>
    <m/>
    <m/>
    <s v="No"/>
    <n v="0"/>
    <n v="0"/>
    <n v="0"/>
    <n v="0"/>
    <m/>
    <m/>
    <n v="0"/>
    <m/>
    <m/>
    <m/>
    <m/>
    <m/>
    <m/>
    <n v="73"/>
    <m/>
    <m/>
    <n v="0"/>
    <x v="1"/>
    <x v="1"/>
    <m/>
    <m/>
    <m/>
    <n v="0"/>
    <m/>
    <n v="0"/>
    <m/>
    <n v="0"/>
    <m/>
    <m/>
    <m/>
    <m/>
    <s v="no test"/>
    <s v="no test"/>
    <n v="0"/>
    <n v="0"/>
    <n v="0"/>
    <n v="0"/>
    <n v="0"/>
    <n v="0"/>
    <n v="0"/>
    <n v="0"/>
    <n v="0"/>
    <n v="1"/>
    <n v="695"/>
    <n v="1"/>
    <n v="1"/>
    <x v="0"/>
    <n v="73"/>
    <n v="0.63021582733812953"/>
    <n v="438"/>
    <n v="0.37122302158273385"/>
    <n v="43"/>
    <n v="116"/>
    <n v="0"/>
    <s v="N/A"/>
    <n v="0"/>
    <n v="1"/>
    <n v="0"/>
    <n v="0"/>
    <n v="0"/>
    <n v="0"/>
    <n v="0"/>
    <n v="0"/>
    <n v="0"/>
    <n v="0"/>
    <n v="0"/>
    <n v="0"/>
    <n v="0"/>
    <n v="0"/>
    <n v="0"/>
    <n v="0"/>
    <x v="3"/>
    <s v="Village"/>
    <x v="7"/>
    <x v="3"/>
    <n v="20.723630905151399"/>
    <n v="92.974327087402301"/>
    <s v="196951"/>
    <x v="1"/>
    <m/>
  </r>
  <r>
    <x v="0"/>
    <x v="3"/>
    <x v="1"/>
    <x v="16"/>
    <x v="212"/>
    <n v="112"/>
    <n v="738"/>
    <m/>
    <m/>
    <m/>
    <m/>
    <s v="No"/>
    <n v="0"/>
    <n v="0"/>
    <n v="0"/>
    <n v="0"/>
    <m/>
    <m/>
    <n v="0"/>
    <m/>
    <m/>
    <m/>
    <m/>
    <m/>
    <m/>
    <n v="73"/>
    <m/>
    <m/>
    <n v="0"/>
    <x v="1"/>
    <x v="1"/>
    <m/>
    <m/>
    <m/>
    <n v="0"/>
    <m/>
    <n v="0"/>
    <m/>
    <n v="0"/>
    <m/>
    <m/>
    <m/>
    <m/>
    <s v="no test"/>
    <s v="no test"/>
    <n v="0"/>
    <n v="0"/>
    <n v="0"/>
    <n v="0"/>
    <n v="0"/>
    <n v="0"/>
    <n v="0"/>
    <n v="0"/>
    <n v="0"/>
    <n v="1"/>
    <n v="738"/>
    <n v="1"/>
    <n v="1"/>
    <x v="0"/>
    <n v="73"/>
    <n v="0.5934959349593496"/>
    <n v="438"/>
    <n v="0.4065040650406504"/>
    <n v="50"/>
    <n v="123"/>
    <n v="0"/>
    <s v="N/A"/>
    <n v="0"/>
    <n v="1"/>
    <n v="0"/>
    <n v="0"/>
    <n v="0"/>
    <n v="0"/>
    <n v="0"/>
    <n v="0"/>
    <n v="0"/>
    <n v="0"/>
    <n v="0"/>
    <n v="0"/>
    <n v="0"/>
    <n v="0"/>
    <n v="0"/>
    <n v="0"/>
    <x v="3"/>
    <s v="Village"/>
    <x v="10"/>
    <x v="5"/>
    <n v="20.727589999999999"/>
    <n v="92.969350000000006"/>
    <s v="MMR012CMP028"/>
    <x v="1"/>
    <m/>
  </r>
  <r>
    <x v="0"/>
    <x v="3"/>
    <x v="1"/>
    <x v="16"/>
    <x v="213"/>
    <n v="144"/>
    <n v="1006"/>
    <m/>
    <m/>
    <m/>
    <m/>
    <s v="No"/>
    <n v="0"/>
    <n v="0"/>
    <n v="0"/>
    <n v="0"/>
    <m/>
    <m/>
    <n v="0"/>
    <m/>
    <m/>
    <m/>
    <m/>
    <m/>
    <m/>
    <n v="33"/>
    <m/>
    <m/>
    <n v="0"/>
    <x v="1"/>
    <x v="1"/>
    <m/>
    <m/>
    <m/>
    <n v="0"/>
    <m/>
    <n v="0"/>
    <m/>
    <n v="0"/>
    <m/>
    <m/>
    <m/>
    <m/>
    <s v="no test"/>
    <s v="no test"/>
    <n v="0"/>
    <n v="0"/>
    <n v="0"/>
    <n v="0"/>
    <n v="0"/>
    <n v="0"/>
    <n v="0"/>
    <n v="0"/>
    <n v="0"/>
    <n v="1"/>
    <n v="1006"/>
    <n v="2"/>
    <n v="2"/>
    <x v="0"/>
    <n v="33"/>
    <n v="0.19681908548707752"/>
    <n v="198"/>
    <n v="0.80516898608349907"/>
    <n v="135"/>
    <n v="168"/>
    <n v="0"/>
    <s v="N/A"/>
    <n v="0"/>
    <n v="1"/>
    <n v="0"/>
    <n v="0"/>
    <n v="0"/>
    <n v="0"/>
    <n v="0"/>
    <n v="0"/>
    <n v="0"/>
    <n v="0"/>
    <n v="0"/>
    <n v="0"/>
    <n v="0"/>
    <n v="0"/>
    <n v="0"/>
    <n v="0"/>
    <x v="3"/>
    <s v="Village"/>
    <x v="10"/>
    <x v="5"/>
    <n v="20.78332"/>
    <n v="92.987399999999994"/>
    <s v="MMR012CMP029"/>
    <x v="1"/>
    <m/>
  </r>
  <r>
    <x v="0"/>
    <x v="3"/>
    <x v="1"/>
    <x v="16"/>
    <x v="214"/>
    <n v="233"/>
    <n v="1163"/>
    <m/>
    <m/>
    <m/>
    <m/>
    <s v="No"/>
    <n v="0"/>
    <n v="0"/>
    <n v="0"/>
    <n v="0"/>
    <m/>
    <m/>
    <n v="0"/>
    <m/>
    <m/>
    <m/>
    <m/>
    <m/>
    <m/>
    <n v="39"/>
    <m/>
    <m/>
    <n v="0"/>
    <x v="1"/>
    <x v="1"/>
    <m/>
    <m/>
    <m/>
    <n v="0"/>
    <m/>
    <n v="0"/>
    <m/>
    <n v="0"/>
    <m/>
    <m/>
    <m/>
    <m/>
    <s v="no test"/>
    <s v="no test"/>
    <n v="0"/>
    <n v="0"/>
    <n v="0"/>
    <n v="0"/>
    <n v="0"/>
    <n v="0"/>
    <n v="0"/>
    <n v="0"/>
    <n v="0"/>
    <n v="1"/>
    <n v="1163"/>
    <n v="2"/>
    <n v="2"/>
    <x v="0"/>
    <n v="39"/>
    <n v="0.20120378331900257"/>
    <n v="234"/>
    <n v="0.79965606190885641"/>
    <n v="155"/>
    <n v="194"/>
    <n v="0"/>
    <s v="N/A"/>
    <n v="0"/>
    <n v="1"/>
    <n v="0"/>
    <n v="0"/>
    <n v="0"/>
    <n v="0"/>
    <n v="0"/>
    <n v="0"/>
    <n v="0"/>
    <n v="0"/>
    <n v="0"/>
    <n v="0"/>
    <n v="0"/>
    <n v="0"/>
    <n v="0"/>
    <n v="0"/>
    <x v="3"/>
    <s v="Village"/>
    <x v="7"/>
    <x v="3"/>
    <n v="20.785699844360401"/>
    <n v="92.986633300781307"/>
    <s v="196869"/>
    <x v="1"/>
    <m/>
  </r>
  <r>
    <x v="0"/>
    <x v="3"/>
    <x v="1"/>
    <x v="16"/>
    <x v="215"/>
    <n v="18"/>
    <n v="157"/>
    <m/>
    <m/>
    <m/>
    <m/>
    <s v="No"/>
    <n v="0"/>
    <n v="0"/>
    <n v="0"/>
    <n v="0"/>
    <m/>
    <m/>
    <n v="0"/>
    <m/>
    <m/>
    <m/>
    <m/>
    <m/>
    <m/>
    <n v="96"/>
    <m/>
    <m/>
    <n v="0"/>
    <x v="1"/>
    <x v="1"/>
    <m/>
    <m/>
    <m/>
    <n v="0"/>
    <m/>
    <n v="0"/>
    <m/>
    <n v="0"/>
    <m/>
    <m/>
    <m/>
    <m/>
    <s v="no test"/>
    <s v="no test"/>
    <n v="0"/>
    <n v="0"/>
    <n v="0"/>
    <n v="0"/>
    <n v="0"/>
    <n v="0"/>
    <n v="0"/>
    <n v="0"/>
    <n v="0"/>
    <n v="1"/>
    <n v="157"/>
    <n v="1"/>
    <n v="1"/>
    <x v="0"/>
    <n v="96"/>
    <n v="1"/>
    <n v="157"/>
    <n v="0"/>
    <n v="0"/>
    <n v="26"/>
    <n v="0"/>
    <s v="N/A"/>
    <n v="0"/>
    <n v="1"/>
    <n v="0"/>
    <n v="0"/>
    <n v="0"/>
    <n v="0"/>
    <n v="0"/>
    <n v="0"/>
    <n v="0"/>
    <n v="0"/>
    <n v="0"/>
    <n v="0"/>
    <n v="0"/>
    <n v="0"/>
    <n v="0"/>
    <n v="0"/>
    <x v="3"/>
    <s v="Village"/>
    <x v="10"/>
    <x v="5"/>
    <n v="20.805734000000001"/>
    <n v="92.982675999999998"/>
    <s v="MMR012CMP020"/>
    <x v="1"/>
    <m/>
  </r>
  <r>
    <x v="0"/>
    <x v="3"/>
    <x v="1"/>
    <x v="16"/>
    <x v="216"/>
    <n v="181"/>
    <n v="907"/>
    <m/>
    <m/>
    <m/>
    <m/>
    <s v="No"/>
    <n v="0"/>
    <n v="0"/>
    <n v="0"/>
    <n v="0"/>
    <m/>
    <m/>
    <n v="0"/>
    <m/>
    <m/>
    <m/>
    <m/>
    <m/>
    <m/>
    <n v="41"/>
    <m/>
    <m/>
    <n v="0"/>
    <x v="1"/>
    <x v="1"/>
    <m/>
    <m/>
    <m/>
    <n v="0"/>
    <m/>
    <n v="0"/>
    <m/>
    <n v="0"/>
    <m/>
    <m/>
    <m/>
    <m/>
    <s v="no test"/>
    <s v="no test"/>
    <n v="0"/>
    <n v="0"/>
    <n v="0"/>
    <n v="0"/>
    <n v="0"/>
    <n v="0"/>
    <n v="0"/>
    <n v="0"/>
    <n v="0"/>
    <n v="1"/>
    <n v="907"/>
    <n v="2"/>
    <n v="2"/>
    <x v="0"/>
    <n v="41"/>
    <n v="0.27122381477398017"/>
    <n v="246"/>
    <n v="0.72767364939360535"/>
    <n v="110"/>
    <n v="151"/>
    <n v="0"/>
    <s v="N/A"/>
    <n v="0"/>
    <n v="1"/>
    <n v="0"/>
    <n v="0"/>
    <n v="0"/>
    <n v="0"/>
    <n v="0"/>
    <n v="0"/>
    <n v="0"/>
    <n v="0"/>
    <n v="0"/>
    <n v="0"/>
    <n v="0"/>
    <n v="0"/>
    <n v="0"/>
    <n v="0"/>
    <x v="3"/>
    <s v="Village"/>
    <x v="7"/>
    <x v="3"/>
    <n v="20.806400299072301"/>
    <n v="92.982147216796903"/>
    <s v="196873"/>
    <x v="1"/>
    <m/>
  </r>
  <r>
    <x v="0"/>
    <x v="3"/>
    <x v="1"/>
    <x v="16"/>
    <x v="217"/>
    <n v="97"/>
    <n v="557"/>
    <m/>
    <m/>
    <m/>
    <m/>
    <s v="No"/>
    <n v="0"/>
    <n v="0"/>
    <n v="0"/>
    <n v="0"/>
    <m/>
    <m/>
    <n v="0"/>
    <m/>
    <m/>
    <m/>
    <m/>
    <m/>
    <m/>
    <n v="235"/>
    <m/>
    <m/>
    <n v="0"/>
    <x v="1"/>
    <x v="1"/>
    <m/>
    <m/>
    <m/>
    <n v="0"/>
    <m/>
    <n v="0"/>
    <m/>
    <n v="0"/>
    <m/>
    <m/>
    <m/>
    <m/>
    <s v="no test"/>
    <s v="no test"/>
    <n v="0"/>
    <n v="0"/>
    <n v="0"/>
    <n v="0"/>
    <n v="0"/>
    <n v="0"/>
    <n v="0"/>
    <n v="0"/>
    <n v="0"/>
    <n v="1"/>
    <n v="557"/>
    <n v="1"/>
    <n v="1"/>
    <x v="0"/>
    <n v="235"/>
    <n v="1"/>
    <n v="557"/>
    <n v="0"/>
    <n v="0"/>
    <n v="93"/>
    <n v="0"/>
    <s v="N/A"/>
    <n v="0"/>
    <n v="1"/>
    <n v="0"/>
    <n v="0"/>
    <n v="0"/>
    <n v="0"/>
    <n v="0"/>
    <n v="0"/>
    <n v="0"/>
    <n v="0"/>
    <n v="0"/>
    <n v="0"/>
    <n v="0"/>
    <n v="0"/>
    <n v="0"/>
    <n v="0"/>
    <x v="3"/>
    <s v="Village"/>
    <x v="9"/>
    <x v="5"/>
    <n v="20.886997999999998"/>
    <n v="93.006497999999993"/>
    <s v="MMR012CMP030"/>
    <x v="1"/>
    <m/>
  </r>
  <r>
    <x v="0"/>
    <x v="3"/>
    <x v="1"/>
    <x v="16"/>
    <x v="218"/>
    <n v="167"/>
    <n v="833"/>
    <m/>
    <m/>
    <m/>
    <m/>
    <s v="No"/>
    <n v="0"/>
    <n v="0"/>
    <n v="1"/>
    <m/>
    <m/>
    <m/>
    <n v="0"/>
    <m/>
    <m/>
    <m/>
    <m/>
    <m/>
    <m/>
    <n v="0"/>
    <m/>
    <m/>
    <n v="0"/>
    <x v="1"/>
    <x v="1"/>
    <m/>
    <m/>
    <m/>
    <n v="0"/>
    <m/>
    <n v="0"/>
    <m/>
    <n v="0"/>
    <m/>
    <m/>
    <m/>
    <m/>
    <s v="no test"/>
    <s v="no test"/>
    <n v="1"/>
    <n v="0.30012004801920766"/>
    <n v="0.30012004801920766"/>
    <n v="249.99999999999997"/>
    <n v="0"/>
    <n v="0"/>
    <n v="0.30012004801920766"/>
    <n v="249.99999999999997"/>
    <n v="1"/>
    <n v="0.69987995198079234"/>
    <n v="583"/>
    <n v="1"/>
    <n v="2"/>
    <x v="0"/>
    <n v="0"/>
    <n v="0"/>
    <n v="0"/>
    <n v="1.0012004801920769"/>
    <n v="139"/>
    <n v="139"/>
    <n v="0"/>
    <s v="N/A"/>
    <n v="0"/>
    <n v="1"/>
    <n v="0"/>
    <n v="0"/>
    <n v="0"/>
    <n v="0"/>
    <n v="0"/>
    <n v="0"/>
    <n v="0"/>
    <n v="0"/>
    <n v="0"/>
    <n v="0"/>
    <n v="0"/>
    <n v="0"/>
    <n v="0"/>
    <n v="0"/>
    <x v="3"/>
    <s v="Village"/>
    <x v="7"/>
    <x v="5"/>
    <n v="20.903770446777301"/>
    <n v="93.004432678222699"/>
    <s v="196787"/>
    <x v="1"/>
    <m/>
  </r>
  <r>
    <x v="0"/>
    <x v="3"/>
    <x v="1"/>
    <x v="16"/>
    <x v="219"/>
    <n v="118"/>
    <n v="665"/>
    <m/>
    <m/>
    <m/>
    <m/>
    <s v="No"/>
    <n v="0"/>
    <n v="0"/>
    <n v="0"/>
    <n v="0"/>
    <m/>
    <m/>
    <n v="1"/>
    <m/>
    <m/>
    <m/>
    <m/>
    <m/>
    <m/>
    <n v="0"/>
    <m/>
    <m/>
    <n v="0"/>
    <x v="1"/>
    <x v="1"/>
    <m/>
    <m/>
    <m/>
    <n v="0"/>
    <m/>
    <n v="0"/>
    <m/>
    <m/>
    <m/>
    <m/>
    <m/>
    <m/>
    <s v="no test"/>
    <s v="no test"/>
    <n v="0"/>
    <n v="0"/>
    <n v="0"/>
    <n v="0"/>
    <n v="0"/>
    <n v="0"/>
    <n v="0"/>
    <n v="0"/>
    <n v="0"/>
    <n v="1"/>
    <n v="665"/>
    <n v="1"/>
    <n v="1"/>
    <x v="0"/>
    <n v="0"/>
    <n v="0"/>
    <n v="0"/>
    <n v="1.0015037593984963"/>
    <n v="111"/>
    <n v="111"/>
    <n v="0"/>
    <s v="N/A"/>
    <n v="0"/>
    <n v="1"/>
    <n v="0"/>
    <n v="0"/>
    <n v="0"/>
    <n v="0"/>
    <n v="0"/>
    <n v="0"/>
    <n v="0"/>
    <n v="0"/>
    <n v="0"/>
    <n v="0"/>
    <n v="0"/>
    <n v="0"/>
    <n v="0"/>
    <n v="0"/>
    <x v="3"/>
    <s v="Village"/>
    <x v="7"/>
    <x v="3"/>
    <n v="20.697889328002901"/>
    <n v="92.951232910156307"/>
    <s v="196927"/>
    <x v="1"/>
    <m/>
  </r>
  <r>
    <x v="0"/>
    <x v="3"/>
    <x v="1"/>
    <x v="16"/>
    <x v="220"/>
    <n v="289"/>
    <n v="1419"/>
    <m/>
    <m/>
    <m/>
    <m/>
    <s v="No"/>
    <n v="0"/>
    <n v="0"/>
    <n v="0"/>
    <n v="0"/>
    <m/>
    <m/>
    <n v="2"/>
    <m/>
    <m/>
    <m/>
    <m/>
    <m/>
    <m/>
    <n v="0"/>
    <m/>
    <m/>
    <n v="0"/>
    <x v="1"/>
    <x v="1"/>
    <m/>
    <m/>
    <m/>
    <n v="0"/>
    <m/>
    <n v="0"/>
    <m/>
    <m/>
    <m/>
    <m/>
    <m/>
    <m/>
    <s v="no test"/>
    <s v="no test"/>
    <n v="0"/>
    <n v="0"/>
    <n v="0"/>
    <n v="0"/>
    <n v="0"/>
    <n v="0"/>
    <n v="0"/>
    <n v="0"/>
    <n v="0"/>
    <n v="1"/>
    <n v="1419"/>
    <n v="3"/>
    <n v="3"/>
    <x v="0"/>
    <n v="0"/>
    <n v="0"/>
    <n v="0"/>
    <n v="1.0021141649048626"/>
    <n v="237"/>
    <n v="237"/>
    <n v="0"/>
    <s v="N/A"/>
    <n v="0"/>
    <n v="1"/>
    <n v="0"/>
    <n v="0"/>
    <n v="0"/>
    <n v="0"/>
    <n v="0"/>
    <n v="0"/>
    <n v="0"/>
    <n v="0"/>
    <n v="0"/>
    <n v="0"/>
    <n v="0"/>
    <n v="0"/>
    <n v="0"/>
    <n v="0"/>
    <x v="3"/>
    <s v="Village"/>
    <x v="7"/>
    <x v="3"/>
    <n v="20.716699600219702"/>
    <n v="92.997863769531307"/>
    <s v="196971"/>
    <x v="1"/>
    <m/>
  </r>
  <r>
    <x v="0"/>
    <x v="3"/>
    <x v="1"/>
    <x v="16"/>
    <x v="221"/>
    <n v="175"/>
    <n v="855"/>
    <m/>
    <m/>
    <m/>
    <m/>
    <s v="No"/>
    <n v="0"/>
    <n v="0"/>
    <n v="0"/>
    <n v="0"/>
    <m/>
    <m/>
    <n v="1"/>
    <m/>
    <m/>
    <m/>
    <m/>
    <m/>
    <m/>
    <n v="0"/>
    <m/>
    <m/>
    <n v="0"/>
    <x v="1"/>
    <x v="1"/>
    <m/>
    <m/>
    <m/>
    <n v="0"/>
    <m/>
    <n v="0"/>
    <m/>
    <m/>
    <m/>
    <m/>
    <m/>
    <m/>
    <s v="no test"/>
    <s v="no test"/>
    <n v="0"/>
    <n v="0"/>
    <n v="0"/>
    <n v="0"/>
    <n v="0"/>
    <n v="0"/>
    <n v="0"/>
    <n v="0"/>
    <n v="0"/>
    <n v="1"/>
    <n v="855"/>
    <n v="2"/>
    <n v="2"/>
    <x v="0"/>
    <n v="0"/>
    <n v="0"/>
    <n v="0"/>
    <n v="1.0035087719298246"/>
    <n v="143"/>
    <n v="143"/>
    <n v="0"/>
    <s v="N/A"/>
    <n v="0"/>
    <n v="1"/>
    <n v="0"/>
    <n v="0"/>
    <n v="0"/>
    <n v="0"/>
    <n v="0"/>
    <n v="0"/>
    <n v="0"/>
    <n v="0"/>
    <n v="0"/>
    <n v="0"/>
    <n v="0"/>
    <n v="0"/>
    <n v="0"/>
    <n v="0"/>
    <x v="3"/>
    <s v="Village"/>
    <x v="7"/>
    <x v="3"/>
    <n v="20.627639770507798"/>
    <n v="93.022773742675795"/>
    <s v="196878"/>
    <x v="1"/>
    <m/>
  </r>
  <r>
    <x v="0"/>
    <x v="3"/>
    <x v="1"/>
    <x v="16"/>
    <x v="222"/>
    <n v="130"/>
    <n v="664"/>
    <m/>
    <m/>
    <m/>
    <m/>
    <s v="No"/>
    <n v="0"/>
    <n v="0"/>
    <n v="0"/>
    <n v="0"/>
    <m/>
    <m/>
    <n v="1"/>
    <m/>
    <m/>
    <m/>
    <m/>
    <m/>
    <m/>
    <n v="0"/>
    <m/>
    <m/>
    <n v="0"/>
    <x v="1"/>
    <x v="1"/>
    <m/>
    <m/>
    <m/>
    <n v="0"/>
    <m/>
    <n v="0"/>
    <m/>
    <m/>
    <m/>
    <m/>
    <m/>
    <m/>
    <s v="no test"/>
    <s v="no test"/>
    <n v="0"/>
    <n v="0"/>
    <n v="0"/>
    <n v="0"/>
    <n v="0"/>
    <n v="0"/>
    <n v="0"/>
    <n v="0"/>
    <n v="0"/>
    <n v="1"/>
    <n v="664"/>
    <n v="1"/>
    <n v="1"/>
    <x v="0"/>
    <n v="0"/>
    <n v="0"/>
    <n v="0"/>
    <n v="1.0030120481927711"/>
    <n v="111"/>
    <n v="111"/>
    <n v="0"/>
    <s v="N/A"/>
    <n v="0"/>
    <n v="1"/>
    <n v="0"/>
    <n v="0"/>
    <n v="0"/>
    <n v="0"/>
    <n v="0"/>
    <n v="0"/>
    <n v="0"/>
    <n v="0"/>
    <n v="0"/>
    <n v="0"/>
    <n v="0"/>
    <n v="0"/>
    <n v="0"/>
    <n v="0"/>
    <x v="3"/>
    <s v="Village"/>
    <x v="7"/>
    <x v="3"/>
    <n v="20.6080207824707"/>
    <n v="93.035400390625"/>
    <s v="196875"/>
    <x v="1"/>
    <m/>
  </r>
  <r>
    <x v="0"/>
    <x v="11"/>
    <x v="1"/>
    <x v="17"/>
    <x v="223"/>
    <n v="102"/>
    <n v="368"/>
    <m/>
    <s v="UNICEF"/>
    <d v="2018-02-14T00:00:00"/>
    <n v="0"/>
    <s v="Yes"/>
    <n v="0"/>
    <n v="0"/>
    <n v="3"/>
    <n v="0"/>
    <n v="0"/>
    <n v="2"/>
    <n v="0"/>
    <m/>
    <m/>
    <m/>
    <m/>
    <m/>
    <m/>
    <n v="0"/>
    <n v="0"/>
    <m/>
    <n v="0"/>
    <x v="2"/>
    <x v="3"/>
    <m/>
    <m/>
    <m/>
    <n v="0"/>
    <s v="Household"/>
    <n v="0"/>
    <n v="0"/>
    <n v="7"/>
    <m/>
    <m/>
    <m/>
    <m/>
    <s v="no test"/>
    <s v="no test"/>
    <n v="1"/>
    <n v="1"/>
    <n v="1"/>
    <n v="368"/>
    <n v="1"/>
    <n v="368"/>
    <n v="1"/>
    <n v="368"/>
    <n v="1"/>
    <n v="0"/>
    <n v="0"/>
    <n v="0"/>
    <n v="1"/>
    <x v="0"/>
    <n v="0"/>
    <n v="0"/>
    <n v="0"/>
    <n v="0.99456521739130432"/>
    <n v="61"/>
    <n v="61"/>
    <n v="0"/>
    <s v="N/A"/>
    <n v="0"/>
    <n v="1"/>
    <n v="368"/>
    <n v="0"/>
    <n v="1"/>
    <n v="0"/>
    <n v="0"/>
    <n v="1"/>
    <n v="0"/>
    <n v="0"/>
    <n v="0"/>
    <n v="0"/>
    <n v="0"/>
    <n v="0"/>
    <n v="0"/>
    <n v="0"/>
    <x v="3"/>
    <s v="Village"/>
    <x v="7"/>
    <x v="3"/>
    <n v="20.910375595092798"/>
    <n v="92.400138854980497"/>
    <n v="220734"/>
    <x v="0"/>
    <m/>
  </r>
  <r>
    <x v="0"/>
    <x v="11"/>
    <x v="1"/>
    <x v="17"/>
    <x v="224"/>
    <n v="104"/>
    <n v="521"/>
    <m/>
    <s v="UNICEF"/>
    <d v="2018-02-14T00:00:00"/>
    <n v="0"/>
    <s v="Yes"/>
    <n v="0"/>
    <n v="0"/>
    <n v="0"/>
    <n v="0"/>
    <n v="0"/>
    <n v="1"/>
    <n v="0"/>
    <m/>
    <m/>
    <m/>
    <m/>
    <m/>
    <m/>
    <n v="3"/>
    <n v="0"/>
    <m/>
    <n v="3"/>
    <x v="2"/>
    <x v="3"/>
    <m/>
    <m/>
    <m/>
    <n v="0"/>
    <s v="Household"/>
    <n v="0"/>
    <n v="0"/>
    <n v="7"/>
    <m/>
    <m/>
    <m/>
    <m/>
    <s v="no test"/>
    <s v="no test"/>
    <n v="0"/>
    <n v="0"/>
    <n v="0"/>
    <n v="0"/>
    <n v="0.47984644913627639"/>
    <n v="250"/>
    <n v="0.47984644913627639"/>
    <n v="250"/>
    <n v="1"/>
    <n v="0.52015355086372361"/>
    <n v="271"/>
    <n v="0"/>
    <n v="1"/>
    <x v="0"/>
    <n v="3"/>
    <n v="3.4548944337811902E-2"/>
    <n v="18"/>
    <n v="0.9673704414587333"/>
    <n v="84"/>
    <n v="87"/>
    <n v="0"/>
    <s v="N/A"/>
    <n v="0"/>
    <n v="1"/>
    <n v="521"/>
    <n v="0"/>
    <n v="1"/>
    <n v="0"/>
    <n v="0"/>
    <n v="1"/>
    <n v="0"/>
    <n v="0"/>
    <n v="0"/>
    <n v="0"/>
    <n v="0"/>
    <n v="0"/>
    <n v="0"/>
    <n v="0"/>
    <x v="3"/>
    <s v="Village"/>
    <x v="7"/>
    <x v="3"/>
    <n v="20.987419128418001"/>
    <n v="92.362136840820298"/>
    <n v="197913"/>
    <x v="0"/>
    <m/>
  </r>
  <r>
    <x v="0"/>
    <x v="11"/>
    <x v="1"/>
    <x v="17"/>
    <x v="225"/>
    <n v="173"/>
    <n v="1205"/>
    <m/>
    <s v="UNICEF"/>
    <d v="2018-02-14T00:00:00"/>
    <n v="0"/>
    <s v="Yes"/>
    <n v="0"/>
    <n v="0"/>
    <n v="1"/>
    <n v="10"/>
    <n v="0"/>
    <n v="5"/>
    <n v="0"/>
    <m/>
    <m/>
    <m/>
    <m/>
    <m/>
    <m/>
    <n v="0"/>
    <n v="0"/>
    <m/>
    <n v="0"/>
    <x v="2"/>
    <x v="3"/>
    <m/>
    <m/>
    <m/>
    <n v="0"/>
    <s v="Household"/>
    <n v="0"/>
    <n v="0"/>
    <n v="7"/>
    <m/>
    <m/>
    <m/>
    <m/>
    <s v="no test"/>
    <s v="no test"/>
    <n v="1"/>
    <n v="1"/>
    <n v="1"/>
    <n v="1205"/>
    <n v="1"/>
    <n v="1205"/>
    <n v="1"/>
    <n v="1205"/>
    <n v="2"/>
    <n v="0"/>
    <n v="0"/>
    <n v="0"/>
    <n v="2"/>
    <x v="0"/>
    <n v="0"/>
    <n v="0"/>
    <n v="0"/>
    <n v="1.0008298755186722"/>
    <n v="201"/>
    <n v="201"/>
    <n v="0"/>
    <s v="N/A"/>
    <n v="0"/>
    <n v="1"/>
    <n v="1205"/>
    <n v="0"/>
    <n v="1"/>
    <n v="0"/>
    <n v="0"/>
    <n v="1"/>
    <n v="0"/>
    <n v="0"/>
    <n v="0"/>
    <n v="0"/>
    <n v="0"/>
    <n v="0"/>
    <n v="0"/>
    <n v="0"/>
    <x v="3"/>
    <s v="Village"/>
    <x v="7"/>
    <x v="5"/>
    <n v="21.000970840454102"/>
    <n v="92.334213256835895"/>
    <n v="197903"/>
    <x v="0"/>
    <m/>
  </r>
  <r>
    <x v="0"/>
    <x v="11"/>
    <x v="1"/>
    <x v="17"/>
    <x v="226"/>
    <n v="240"/>
    <n v="1350"/>
    <m/>
    <s v="UNICEF"/>
    <d v="2018-02-14T00:00:00"/>
    <n v="0"/>
    <s v="Yes"/>
    <n v="0"/>
    <n v="0"/>
    <n v="1"/>
    <n v="25"/>
    <n v="0"/>
    <n v="5"/>
    <n v="0"/>
    <m/>
    <m/>
    <m/>
    <m/>
    <m/>
    <m/>
    <n v="5"/>
    <n v="0"/>
    <m/>
    <n v="5"/>
    <x v="2"/>
    <x v="3"/>
    <m/>
    <m/>
    <m/>
    <n v="0"/>
    <s v="Household"/>
    <n v="0"/>
    <n v="0"/>
    <n v="7"/>
    <m/>
    <m/>
    <m/>
    <m/>
    <s v="no test"/>
    <s v="no test"/>
    <n v="1"/>
    <n v="1"/>
    <n v="1"/>
    <n v="1350"/>
    <n v="0.92592592592592593"/>
    <n v="1250"/>
    <n v="1"/>
    <n v="1350"/>
    <n v="3"/>
    <n v="0"/>
    <n v="0"/>
    <n v="0"/>
    <n v="3"/>
    <x v="0"/>
    <n v="5"/>
    <n v="2.2222222222222223E-2"/>
    <n v="30"/>
    <n v="0.97777777777777775"/>
    <n v="220"/>
    <n v="225"/>
    <n v="0"/>
    <s v="N/A"/>
    <n v="0"/>
    <n v="1"/>
    <n v="1350"/>
    <n v="0"/>
    <n v="1"/>
    <n v="0"/>
    <n v="0"/>
    <n v="1"/>
    <n v="0"/>
    <n v="0"/>
    <n v="0"/>
    <n v="0"/>
    <n v="0"/>
    <n v="0"/>
    <n v="0"/>
    <n v="0"/>
    <x v="3"/>
    <s v="Village"/>
    <x v="7"/>
    <x v="3"/>
    <n v="21.007270812988299"/>
    <n v="92.3585205078125"/>
    <n v="197910"/>
    <x v="0"/>
    <m/>
  </r>
  <r>
    <x v="0"/>
    <x v="11"/>
    <x v="1"/>
    <x v="17"/>
    <x v="227"/>
    <n v="62"/>
    <n v="278"/>
    <m/>
    <s v="UNICEF"/>
    <d v="2018-02-14T00:00:00"/>
    <n v="0"/>
    <s v="Yes"/>
    <n v="0"/>
    <n v="0"/>
    <n v="1"/>
    <n v="2"/>
    <n v="0"/>
    <n v="3"/>
    <n v="0"/>
    <m/>
    <m/>
    <m/>
    <m/>
    <m/>
    <m/>
    <n v="8"/>
    <n v="0"/>
    <m/>
    <n v="8"/>
    <x v="2"/>
    <x v="3"/>
    <m/>
    <m/>
    <m/>
    <n v="0"/>
    <s v="Household"/>
    <n v="0"/>
    <n v="0"/>
    <n v="7"/>
    <m/>
    <m/>
    <m/>
    <m/>
    <s v="no test"/>
    <s v="no test"/>
    <n v="1"/>
    <n v="1"/>
    <n v="1"/>
    <n v="278"/>
    <n v="1"/>
    <n v="278"/>
    <n v="1"/>
    <n v="278"/>
    <n v="1"/>
    <n v="0"/>
    <n v="0"/>
    <n v="0"/>
    <n v="1"/>
    <x v="0"/>
    <n v="8"/>
    <n v="0.17266187050359713"/>
    <n v="48"/>
    <n v="0.82014388489208634"/>
    <n v="38"/>
    <n v="46"/>
    <n v="0"/>
    <s v="N/A"/>
    <n v="0"/>
    <n v="1"/>
    <n v="278"/>
    <n v="0"/>
    <n v="1"/>
    <n v="0"/>
    <n v="0"/>
    <n v="1"/>
    <n v="0"/>
    <n v="0"/>
    <n v="0"/>
    <n v="0"/>
    <n v="0"/>
    <n v="0"/>
    <n v="0"/>
    <n v="0"/>
    <x v="3"/>
    <s v="Village"/>
    <x v="7"/>
    <x v="3"/>
    <n v="21.0094203948975"/>
    <n v="92.318077087402301"/>
    <n v="197893"/>
    <x v="0"/>
    <m/>
  </r>
  <r>
    <x v="0"/>
    <x v="11"/>
    <x v="1"/>
    <x v="17"/>
    <x v="228"/>
    <n v="38"/>
    <n v="216"/>
    <m/>
    <s v="UNICEF"/>
    <d v="2018-08-31T00:00:00"/>
    <n v="0"/>
    <s v="Yes"/>
    <m/>
    <m/>
    <m/>
    <m/>
    <m/>
    <m/>
    <m/>
    <m/>
    <m/>
    <m/>
    <m/>
    <m/>
    <m/>
    <m/>
    <m/>
    <m/>
    <n v="4"/>
    <x v="2"/>
    <x v="3"/>
    <m/>
    <m/>
    <m/>
    <n v="0"/>
    <s v="Household"/>
    <n v="0"/>
    <n v="0"/>
    <n v="7"/>
    <m/>
    <m/>
    <m/>
    <m/>
    <s v="no test"/>
    <s v="no test"/>
    <n v="0"/>
    <n v="0"/>
    <n v="0"/>
    <n v="0"/>
    <n v="0"/>
    <n v="0"/>
    <n v="0"/>
    <n v="0"/>
    <n v="0"/>
    <n v="1"/>
    <n v="216"/>
    <n v="1"/>
    <n v="1"/>
    <x v="0"/>
    <n v="0"/>
    <n v="0"/>
    <n v="0"/>
    <n v="1"/>
    <n v="36"/>
    <n v="36"/>
    <n v="0"/>
    <s v="N/A"/>
    <n v="0"/>
    <n v="1"/>
    <n v="216"/>
    <n v="0"/>
    <n v="1"/>
    <n v="0"/>
    <n v="0"/>
    <n v="1"/>
    <n v="0"/>
    <n v="0"/>
    <n v="0"/>
    <n v="0"/>
    <n v="0"/>
    <n v="0"/>
    <n v="0"/>
    <n v="0"/>
    <x v="3"/>
    <s v="Village"/>
    <x v="7"/>
    <x v="3"/>
    <n v="20.473930358886701"/>
    <n v="92.668853759765597"/>
    <n v="197631"/>
    <x v="0"/>
    <m/>
  </r>
  <r>
    <x v="0"/>
    <x v="11"/>
    <x v="1"/>
    <x v="17"/>
    <x v="229"/>
    <n v="113"/>
    <n v="700"/>
    <m/>
    <s v="UNICEF"/>
    <d v="2018-08-31T00:00:00"/>
    <n v="0"/>
    <s v="Yes"/>
    <m/>
    <m/>
    <m/>
    <m/>
    <m/>
    <m/>
    <m/>
    <m/>
    <m/>
    <m/>
    <m/>
    <m/>
    <m/>
    <m/>
    <m/>
    <m/>
    <n v="3"/>
    <x v="2"/>
    <x v="3"/>
    <m/>
    <m/>
    <m/>
    <n v="0"/>
    <s v="Household"/>
    <n v="0"/>
    <n v="0"/>
    <n v="7"/>
    <m/>
    <m/>
    <m/>
    <m/>
    <s v="no test"/>
    <s v="no test"/>
    <n v="0"/>
    <n v="0"/>
    <n v="0"/>
    <n v="0"/>
    <n v="0"/>
    <n v="0"/>
    <n v="0"/>
    <n v="0"/>
    <n v="0"/>
    <n v="1"/>
    <n v="700"/>
    <n v="1"/>
    <n v="1"/>
    <x v="0"/>
    <n v="0"/>
    <n v="0"/>
    <n v="0"/>
    <n v="1.0028571428571429"/>
    <n v="117"/>
    <n v="117"/>
    <n v="0"/>
    <s v="N/A"/>
    <n v="0"/>
    <n v="1"/>
    <n v="700"/>
    <n v="0"/>
    <n v="1"/>
    <n v="0"/>
    <n v="0"/>
    <n v="1"/>
    <n v="0"/>
    <n v="0"/>
    <n v="0"/>
    <n v="0"/>
    <n v="0"/>
    <n v="0"/>
    <n v="0"/>
    <n v="0"/>
    <x v="3"/>
    <s v="Village"/>
    <x v="7"/>
    <x v="7"/>
    <n v="20.731571197509801"/>
    <n v="92.428176879882798"/>
    <n v="198016"/>
    <x v="0"/>
    <m/>
  </r>
  <r>
    <x v="0"/>
    <x v="11"/>
    <x v="1"/>
    <x v="17"/>
    <x v="230"/>
    <n v="190"/>
    <n v="1193"/>
    <m/>
    <s v="UNICEF"/>
    <d v="2018-08-31T00:00:00"/>
    <n v="0"/>
    <s v="Yes"/>
    <m/>
    <m/>
    <m/>
    <m/>
    <m/>
    <m/>
    <m/>
    <m/>
    <m/>
    <m/>
    <m/>
    <m/>
    <m/>
    <m/>
    <m/>
    <m/>
    <n v="2"/>
    <x v="2"/>
    <x v="3"/>
    <m/>
    <m/>
    <m/>
    <n v="0"/>
    <s v="Household"/>
    <n v="0"/>
    <n v="0"/>
    <n v="7"/>
    <m/>
    <m/>
    <m/>
    <m/>
    <s v="no test"/>
    <s v="no test"/>
    <n v="0"/>
    <n v="0"/>
    <n v="0"/>
    <n v="0"/>
    <n v="0"/>
    <n v="0"/>
    <n v="0"/>
    <n v="0"/>
    <n v="0"/>
    <n v="1"/>
    <n v="1193"/>
    <n v="2"/>
    <n v="2"/>
    <x v="0"/>
    <n v="0"/>
    <n v="0"/>
    <n v="0"/>
    <n v="1.0008382229673092"/>
    <n v="199"/>
    <n v="199"/>
    <n v="0"/>
    <s v="N/A"/>
    <n v="0"/>
    <n v="1"/>
    <n v="1193"/>
    <n v="0"/>
    <n v="1"/>
    <n v="0"/>
    <n v="0"/>
    <n v="1"/>
    <n v="0"/>
    <n v="0"/>
    <n v="0"/>
    <n v="0"/>
    <n v="0"/>
    <n v="0"/>
    <n v="0"/>
    <n v="0"/>
    <x v="3"/>
    <s v="Village"/>
    <x v="7"/>
    <x v="7"/>
    <n v="20.866529464721701"/>
    <n v="92.364883422851605"/>
    <n v="197969"/>
    <x v="0"/>
    <m/>
  </r>
  <r>
    <x v="0"/>
    <x v="11"/>
    <x v="1"/>
    <x v="17"/>
    <x v="231"/>
    <n v="270"/>
    <n v="1644"/>
    <m/>
    <s v="UNICEF"/>
    <d v="2018-08-31T00:00:00"/>
    <n v="0"/>
    <s v="Yes"/>
    <m/>
    <m/>
    <m/>
    <m/>
    <m/>
    <m/>
    <m/>
    <m/>
    <m/>
    <m/>
    <m/>
    <m/>
    <m/>
    <m/>
    <m/>
    <m/>
    <n v="12"/>
    <x v="2"/>
    <x v="3"/>
    <m/>
    <m/>
    <m/>
    <n v="0"/>
    <s v="Household"/>
    <n v="0"/>
    <n v="0"/>
    <n v="7"/>
    <m/>
    <m/>
    <m/>
    <m/>
    <s v="no test"/>
    <s v="no test"/>
    <n v="0"/>
    <n v="0"/>
    <n v="0"/>
    <n v="0"/>
    <n v="0"/>
    <n v="0"/>
    <n v="0"/>
    <n v="0"/>
    <n v="0"/>
    <n v="1"/>
    <n v="1644"/>
    <n v="3"/>
    <n v="3"/>
    <x v="0"/>
    <n v="0"/>
    <n v="0"/>
    <n v="0"/>
    <n v="1"/>
    <n v="274"/>
    <n v="274"/>
    <n v="0"/>
    <s v="N/A"/>
    <n v="0"/>
    <n v="1"/>
    <n v="1644"/>
    <n v="0"/>
    <n v="1"/>
    <n v="0"/>
    <n v="0"/>
    <n v="1"/>
    <n v="0"/>
    <n v="0"/>
    <n v="0"/>
    <n v="0"/>
    <n v="0"/>
    <n v="0"/>
    <n v="0"/>
    <n v="0"/>
    <x v="3"/>
    <s v="Village"/>
    <x v="7"/>
    <x v="7"/>
    <n v="20.903369903564499"/>
    <n v="92.332237243652301"/>
    <n v="197961"/>
    <x v="0"/>
    <m/>
  </r>
  <r>
    <x v="0"/>
    <x v="11"/>
    <x v="1"/>
    <x v="17"/>
    <x v="232"/>
    <n v="250"/>
    <n v="2289"/>
    <m/>
    <s v="UNICEF"/>
    <d v="2018-08-31T00:00:00"/>
    <n v="0"/>
    <s v="Yes"/>
    <m/>
    <m/>
    <m/>
    <m/>
    <m/>
    <m/>
    <m/>
    <m/>
    <m/>
    <m/>
    <m/>
    <m/>
    <m/>
    <m/>
    <m/>
    <m/>
    <n v="18"/>
    <x v="2"/>
    <x v="3"/>
    <m/>
    <m/>
    <m/>
    <n v="0"/>
    <s v="Household"/>
    <n v="0"/>
    <n v="0"/>
    <n v="7"/>
    <m/>
    <m/>
    <m/>
    <m/>
    <s v="no test"/>
    <s v="no test"/>
    <n v="0"/>
    <n v="0"/>
    <n v="0"/>
    <n v="0"/>
    <n v="0"/>
    <n v="0"/>
    <n v="0"/>
    <n v="0"/>
    <n v="0"/>
    <n v="1"/>
    <n v="2289"/>
    <n v="5"/>
    <n v="5"/>
    <x v="0"/>
    <n v="0"/>
    <n v="0"/>
    <n v="0"/>
    <n v="1.0013106159895151"/>
    <n v="382"/>
    <n v="382"/>
    <n v="0"/>
    <s v="N/A"/>
    <n v="0"/>
    <n v="1"/>
    <n v="2289"/>
    <n v="0"/>
    <n v="1"/>
    <n v="0"/>
    <n v="0"/>
    <n v="1"/>
    <n v="0"/>
    <n v="0"/>
    <n v="0"/>
    <n v="0"/>
    <n v="0"/>
    <n v="0"/>
    <n v="0"/>
    <n v="0"/>
    <x v="3"/>
    <s v="Village"/>
    <x v="7"/>
    <x v="7"/>
    <n v="20.872400283813501"/>
    <n v="92.337608337402301"/>
    <n v="197971"/>
    <x v="0"/>
    <m/>
  </r>
  <r>
    <x v="0"/>
    <x v="11"/>
    <x v="1"/>
    <x v="17"/>
    <x v="233"/>
    <n v="46"/>
    <n v="259"/>
    <m/>
    <s v="UNICEF"/>
    <d v="2018-08-31T00:00:00"/>
    <n v="0"/>
    <s v="Yes"/>
    <m/>
    <m/>
    <m/>
    <m/>
    <m/>
    <m/>
    <m/>
    <m/>
    <m/>
    <m/>
    <m/>
    <m/>
    <m/>
    <m/>
    <m/>
    <m/>
    <n v="2"/>
    <x v="2"/>
    <x v="3"/>
    <m/>
    <m/>
    <m/>
    <n v="0"/>
    <s v="Household"/>
    <n v="0"/>
    <n v="0"/>
    <n v="7"/>
    <m/>
    <m/>
    <m/>
    <m/>
    <s v="no test"/>
    <s v="no test"/>
    <n v="0"/>
    <n v="0"/>
    <n v="0"/>
    <n v="0"/>
    <n v="0"/>
    <n v="0"/>
    <n v="0"/>
    <n v="0"/>
    <n v="0"/>
    <n v="1"/>
    <n v="259"/>
    <n v="1"/>
    <n v="1"/>
    <x v="0"/>
    <n v="0"/>
    <n v="0"/>
    <n v="0"/>
    <n v="0.99613899613899615"/>
    <n v="43"/>
    <n v="43"/>
    <n v="0"/>
    <s v="N/A"/>
    <n v="0"/>
    <n v="1"/>
    <n v="259"/>
    <n v="0"/>
    <n v="1"/>
    <n v="0"/>
    <n v="0"/>
    <n v="1"/>
    <n v="0"/>
    <n v="0"/>
    <n v="0"/>
    <n v="0"/>
    <n v="0"/>
    <n v="0"/>
    <n v="0"/>
    <n v="0"/>
    <x v="3"/>
    <s v="Village"/>
    <x v="7"/>
    <x v="3"/>
    <n v="20.946010589599599"/>
    <n v="92.301872253417997"/>
    <n v="197899"/>
    <x v="0"/>
    <m/>
  </r>
  <r>
    <x v="0"/>
    <x v="3"/>
    <x v="1"/>
    <x v="18"/>
    <x v="234"/>
    <n v="178"/>
    <n v="763"/>
    <m/>
    <m/>
    <m/>
    <m/>
    <s v="No"/>
    <n v="0"/>
    <n v="0"/>
    <n v="0"/>
    <n v="0"/>
    <m/>
    <m/>
    <n v="0"/>
    <m/>
    <m/>
    <m/>
    <m/>
    <m/>
    <m/>
    <n v="5"/>
    <m/>
    <m/>
    <n v="5"/>
    <x v="1"/>
    <x v="1"/>
    <m/>
    <m/>
    <m/>
    <n v="0"/>
    <m/>
    <n v="0"/>
    <m/>
    <m/>
    <m/>
    <m/>
    <m/>
    <m/>
    <s v="no test"/>
    <s v="no test"/>
    <n v="0"/>
    <n v="0"/>
    <n v="0"/>
    <n v="0"/>
    <n v="0"/>
    <n v="0"/>
    <n v="0"/>
    <n v="0"/>
    <n v="0"/>
    <n v="1"/>
    <n v="763"/>
    <n v="2"/>
    <n v="2"/>
    <x v="0"/>
    <n v="5"/>
    <n v="3.9318479685452164E-2"/>
    <n v="30"/>
    <n v="0.95937090432503269"/>
    <n v="122"/>
    <n v="127"/>
    <n v="0"/>
    <s v="N/A"/>
    <n v="0"/>
    <n v="1"/>
    <n v="0"/>
    <n v="0"/>
    <n v="0"/>
    <n v="0"/>
    <n v="0"/>
    <n v="0"/>
    <n v="0"/>
    <n v="0"/>
    <n v="0"/>
    <n v="0"/>
    <n v="0"/>
    <n v="0"/>
    <n v="0"/>
    <n v="0"/>
    <x v="3"/>
    <s v="Village"/>
    <x v="7"/>
    <x v="3"/>
    <n v="0"/>
    <n v="0"/>
    <s v="197174"/>
    <x v="1"/>
    <m/>
  </r>
  <r>
    <x v="0"/>
    <x v="3"/>
    <x v="1"/>
    <x v="18"/>
    <x v="235"/>
    <n v="415"/>
    <n v="1628"/>
    <m/>
    <m/>
    <m/>
    <m/>
    <s v="No"/>
    <n v="0"/>
    <n v="0"/>
    <n v="0"/>
    <n v="0"/>
    <m/>
    <m/>
    <n v="0"/>
    <m/>
    <m/>
    <m/>
    <m/>
    <m/>
    <m/>
    <n v="45"/>
    <m/>
    <m/>
    <n v="45"/>
    <x v="1"/>
    <x v="1"/>
    <m/>
    <m/>
    <m/>
    <n v="0"/>
    <m/>
    <n v="0"/>
    <m/>
    <m/>
    <m/>
    <m/>
    <m/>
    <m/>
    <s v="no test"/>
    <s v="no test"/>
    <n v="0"/>
    <n v="0"/>
    <n v="0"/>
    <n v="0"/>
    <n v="0"/>
    <n v="0"/>
    <n v="0"/>
    <n v="0"/>
    <n v="0"/>
    <n v="1"/>
    <n v="1628"/>
    <n v="3"/>
    <n v="3"/>
    <x v="0"/>
    <n v="45"/>
    <n v="0.16584766584766586"/>
    <n v="270"/>
    <n v="0.83292383292383299"/>
    <n v="226"/>
    <n v="271"/>
    <n v="0"/>
    <s v="N/A"/>
    <n v="0"/>
    <n v="1"/>
    <n v="0"/>
    <n v="0"/>
    <n v="0"/>
    <n v="0"/>
    <n v="0"/>
    <n v="0"/>
    <n v="0"/>
    <n v="0"/>
    <n v="0"/>
    <n v="0"/>
    <n v="0"/>
    <n v="0"/>
    <n v="0"/>
    <n v="0"/>
    <x v="3"/>
    <s v="Village"/>
    <x v="7"/>
    <x v="3"/>
    <n v="20.218471527099599"/>
    <n v="93.424331665039105"/>
    <s v="220671"/>
    <x v="1"/>
    <m/>
  </r>
  <r>
    <x v="0"/>
    <x v="3"/>
    <x v="1"/>
    <x v="18"/>
    <x v="236"/>
    <n v="280"/>
    <n v="1423"/>
    <m/>
    <m/>
    <m/>
    <m/>
    <s v="No"/>
    <n v="0"/>
    <n v="0"/>
    <n v="2"/>
    <n v="0"/>
    <m/>
    <m/>
    <n v="3"/>
    <m/>
    <m/>
    <m/>
    <m/>
    <m/>
    <m/>
    <n v="60"/>
    <m/>
    <m/>
    <n v="60"/>
    <x v="1"/>
    <x v="1"/>
    <m/>
    <m/>
    <m/>
    <n v="1"/>
    <m/>
    <n v="0"/>
    <m/>
    <n v="6"/>
    <m/>
    <m/>
    <m/>
    <m/>
    <s v="no test"/>
    <s v="no test"/>
    <n v="1"/>
    <n v="0.35137034434293746"/>
    <n v="0.35137034434293746"/>
    <n v="500"/>
    <n v="0"/>
    <n v="0"/>
    <n v="0.35137034434293746"/>
    <n v="500"/>
    <n v="1"/>
    <n v="0.64862965565706254"/>
    <n v="923"/>
    <n v="2"/>
    <n v="3"/>
    <x v="0"/>
    <n v="60"/>
    <n v="0.25298664792691494"/>
    <n v="359.99999999999994"/>
    <n v="0.74631061138439914"/>
    <n v="177"/>
    <n v="237"/>
    <n v="0"/>
    <s v="N/A"/>
    <n v="0"/>
    <n v="1"/>
    <n v="1423"/>
    <n v="0"/>
    <n v="1"/>
    <n v="0"/>
    <n v="0"/>
    <n v="1"/>
    <n v="0"/>
    <n v="0"/>
    <n v="0"/>
    <n v="0"/>
    <n v="0"/>
    <n v="280"/>
    <n v="0"/>
    <n v="0"/>
    <x v="3"/>
    <s v="Village"/>
    <x v="10"/>
    <x v="5"/>
    <n v="20.392137999999999"/>
    <n v="93.257272"/>
    <s v="MMR012CMP002"/>
    <x v="1"/>
    <m/>
  </r>
  <r>
    <x v="0"/>
    <x v="3"/>
    <x v="1"/>
    <x v="18"/>
    <x v="237"/>
    <n v="124"/>
    <n v="479"/>
    <m/>
    <m/>
    <m/>
    <m/>
    <s v="No"/>
    <n v="0"/>
    <n v="0"/>
    <n v="0"/>
    <n v="0"/>
    <m/>
    <m/>
    <n v="0"/>
    <m/>
    <m/>
    <m/>
    <m/>
    <m/>
    <m/>
    <n v="8"/>
    <m/>
    <m/>
    <n v="8"/>
    <x v="1"/>
    <x v="1"/>
    <m/>
    <m/>
    <m/>
    <n v="0"/>
    <m/>
    <n v="0"/>
    <m/>
    <m/>
    <m/>
    <m/>
    <m/>
    <m/>
    <s v="no test"/>
    <s v="no test"/>
    <n v="0"/>
    <n v="0"/>
    <n v="0"/>
    <n v="0"/>
    <n v="0"/>
    <n v="0"/>
    <n v="0"/>
    <n v="0"/>
    <n v="0"/>
    <n v="1"/>
    <n v="479"/>
    <n v="1"/>
    <n v="1"/>
    <x v="0"/>
    <n v="8"/>
    <n v="0.10020876826722339"/>
    <n v="48"/>
    <n v="0.90187891440501045"/>
    <n v="72"/>
    <n v="80"/>
    <n v="0"/>
    <s v="N/A"/>
    <n v="0"/>
    <n v="1"/>
    <n v="0"/>
    <n v="0"/>
    <n v="0"/>
    <n v="0"/>
    <n v="0"/>
    <n v="0"/>
    <n v="0"/>
    <n v="0"/>
    <n v="0"/>
    <n v="0"/>
    <n v="0"/>
    <n v="0"/>
    <n v="0"/>
    <n v="0"/>
    <x v="3"/>
    <s v="Village"/>
    <x v="7"/>
    <x v="9"/>
    <n v="20.394809723000002"/>
    <n v="93.251609802000004"/>
    <s v="196994"/>
    <x v="1"/>
    <m/>
  </r>
  <r>
    <x v="0"/>
    <x v="3"/>
    <x v="1"/>
    <x v="18"/>
    <x v="238"/>
    <n v="41"/>
    <n v="146"/>
    <m/>
    <m/>
    <m/>
    <m/>
    <s v="No"/>
    <n v="0"/>
    <n v="0"/>
    <n v="2"/>
    <n v="0"/>
    <m/>
    <m/>
    <n v="2"/>
    <m/>
    <m/>
    <m/>
    <m/>
    <m/>
    <m/>
    <n v="2"/>
    <m/>
    <m/>
    <n v="2"/>
    <x v="1"/>
    <x v="1"/>
    <m/>
    <m/>
    <m/>
    <n v="0"/>
    <m/>
    <n v="0"/>
    <m/>
    <m/>
    <m/>
    <m/>
    <m/>
    <m/>
    <s v="no test"/>
    <s v="no test"/>
    <n v="1"/>
    <n v="1"/>
    <n v="1"/>
    <n v="146"/>
    <n v="0"/>
    <n v="0"/>
    <n v="1"/>
    <n v="146"/>
    <n v="0"/>
    <n v="0"/>
    <n v="0"/>
    <n v="1"/>
    <n v="1"/>
    <x v="0"/>
    <n v="2"/>
    <n v="8.2191780821917804E-2"/>
    <n v="12"/>
    <n v="0.90410958904109595"/>
    <n v="22"/>
    <n v="24"/>
    <n v="0"/>
    <s v="N/A"/>
    <n v="0"/>
    <n v="1"/>
    <n v="0"/>
    <n v="0"/>
    <n v="0"/>
    <n v="0"/>
    <n v="0"/>
    <n v="0"/>
    <n v="0"/>
    <n v="0"/>
    <n v="0"/>
    <n v="0"/>
    <n v="0"/>
    <n v="0"/>
    <n v="0"/>
    <n v="0"/>
    <x v="3"/>
    <s v="Village"/>
    <x v="7"/>
    <x v="3"/>
    <n v="20.396680832000001"/>
    <n v="93.252868652000004"/>
    <s v="196998"/>
    <x v="1"/>
    <m/>
  </r>
  <r>
    <x v="0"/>
    <x v="3"/>
    <x v="1"/>
    <x v="18"/>
    <x v="239"/>
    <n v="42"/>
    <n v="183"/>
    <m/>
    <m/>
    <m/>
    <m/>
    <s v="No"/>
    <n v="0"/>
    <n v="0"/>
    <n v="2"/>
    <n v="0"/>
    <m/>
    <m/>
    <n v="2"/>
    <m/>
    <m/>
    <m/>
    <m/>
    <m/>
    <m/>
    <n v="0"/>
    <m/>
    <m/>
    <n v="0"/>
    <x v="1"/>
    <x v="1"/>
    <m/>
    <m/>
    <m/>
    <n v="0"/>
    <m/>
    <n v="0"/>
    <m/>
    <m/>
    <m/>
    <m/>
    <m/>
    <m/>
    <s v="no test"/>
    <s v="no test"/>
    <n v="1"/>
    <n v="1"/>
    <n v="1"/>
    <n v="183"/>
    <n v="0"/>
    <n v="0"/>
    <n v="1"/>
    <n v="183"/>
    <n v="0"/>
    <n v="0"/>
    <n v="0"/>
    <n v="1"/>
    <n v="1"/>
    <x v="0"/>
    <n v="0"/>
    <n v="0"/>
    <n v="0"/>
    <n v="1.0163934426229508"/>
    <n v="31"/>
    <n v="31"/>
    <n v="0"/>
    <s v="N/A"/>
    <n v="0"/>
    <n v="1"/>
    <n v="0"/>
    <n v="0"/>
    <n v="0"/>
    <n v="0"/>
    <n v="0"/>
    <n v="0"/>
    <n v="0"/>
    <n v="0"/>
    <n v="0"/>
    <n v="0"/>
    <n v="0"/>
    <n v="0"/>
    <n v="0"/>
    <n v="0"/>
    <x v="3"/>
    <s v="Village"/>
    <x v="7"/>
    <x v="3"/>
    <n v="20.398889541999999"/>
    <n v="93.254051208000007"/>
    <s v="196996"/>
    <x v="1"/>
    <m/>
  </r>
  <r>
    <x v="0"/>
    <x v="3"/>
    <x v="1"/>
    <x v="18"/>
    <x v="240"/>
    <n v="150"/>
    <n v="730"/>
    <m/>
    <m/>
    <m/>
    <m/>
    <s v="No"/>
    <n v="0"/>
    <n v="0"/>
    <n v="2"/>
    <n v="0"/>
    <m/>
    <m/>
    <n v="3"/>
    <m/>
    <m/>
    <m/>
    <m/>
    <m/>
    <m/>
    <n v="55"/>
    <m/>
    <m/>
    <n v="55"/>
    <x v="1"/>
    <x v="1"/>
    <m/>
    <m/>
    <m/>
    <n v="1"/>
    <m/>
    <n v="15"/>
    <m/>
    <n v="4"/>
    <m/>
    <m/>
    <m/>
    <m/>
    <s v="no test"/>
    <s v="no test"/>
    <n v="1"/>
    <n v="0.68493150684931503"/>
    <n v="0.68493150684931503"/>
    <n v="500"/>
    <n v="0"/>
    <n v="0"/>
    <n v="0.68493150684931503"/>
    <n v="500"/>
    <n v="1"/>
    <n v="0.31506849315068497"/>
    <n v="230.00000000000003"/>
    <n v="0"/>
    <n v="1"/>
    <x v="0"/>
    <n v="55"/>
    <n v="0.45205479452054792"/>
    <n v="330"/>
    <n v="0.55068493150684927"/>
    <n v="67"/>
    <n v="122"/>
    <n v="0"/>
    <s v="N/A"/>
    <n v="0"/>
    <n v="1"/>
    <n v="730"/>
    <n v="0"/>
    <n v="1"/>
    <n v="0"/>
    <n v="0"/>
    <n v="1"/>
    <n v="0"/>
    <n v="0"/>
    <n v="0"/>
    <n v="0"/>
    <n v="0"/>
    <n v="150"/>
    <n v="0"/>
    <n v="0"/>
    <x v="3"/>
    <s v="Village"/>
    <x v="10"/>
    <x v="5"/>
    <n v="20.39902"/>
    <n v="93.249669999999995"/>
    <s v="MMR012CMP003"/>
    <x v="1"/>
    <m/>
  </r>
  <r>
    <x v="0"/>
    <x v="3"/>
    <x v="1"/>
    <x v="18"/>
    <x v="241"/>
    <n v="175"/>
    <n v="659"/>
    <m/>
    <m/>
    <m/>
    <m/>
    <s v="No"/>
    <n v="0"/>
    <n v="0"/>
    <n v="2"/>
    <n v="0"/>
    <m/>
    <m/>
    <n v="0"/>
    <m/>
    <m/>
    <m/>
    <m/>
    <m/>
    <m/>
    <n v="12"/>
    <m/>
    <m/>
    <n v="12"/>
    <x v="1"/>
    <x v="1"/>
    <m/>
    <m/>
    <m/>
    <n v="0"/>
    <m/>
    <n v="0"/>
    <m/>
    <m/>
    <m/>
    <m/>
    <m/>
    <m/>
    <s v="no test"/>
    <s v="no test"/>
    <n v="1"/>
    <n v="0.75872534142640369"/>
    <n v="0.75872534142640369"/>
    <n v="500.00000000000006"/>
    <n v="0"/>
    <n v="0"/>
    <n v="0.75872534142640369"/>
    <n v="500.00000000000006"/>
    <n v="1"/>
    <n v="0.24127465857359631"/>
    <n v="158.99999999999997"/>
    <n v="0"/>
    <n v="1"/>
    <x v="0"/>
    <n v="12"/>
    <n v="0.10925644916540213"/>
    <n v="72"/>
    <n v="0.89226100151745069"/>
    <n v="98"/>
    <n v="110"/>
    <n v="0"/>
    <s v="N/A"/>
    <n v="0"/>
    <n v="1"/>
    <n v="0"/>
    <n v="0"/>
    <n v="0"/>
    <n v="0"/>
    <n v="0"/>
    <n v="0"/>
    <n v="0"/>
    <n v="0"/>
    <n v="0"/>
    <n v="0"/>
    <n v="0"/>
    <n v="0"/>
    <n v="0"/>
    <n v="0"/>
    <x v="3"/>
    <s v="Village"/>
    <x v="7"/>
    <x v="3"/>
    <n v="20.5199794769287"/>
    <n v="93.277252197265597"/>
    <s v="197067"/>
    <x v="1"/>
    <m/>
  </r>
  <r>
    <x v="0"/>
    <x v="3"/>
    <x v="1"/>
    <x v="19"/>
    <x v="242"/>
    <n v="161"/>
    <n v="807"/>
    <m/>
    <m/>
    <m/>
    <m/>
    <s v="No"/>
    <n v="0"/>
    <n v="0"/>
    <n v="1"/>
    <m/>
    <m/>
    <m/>
    <n v="0"/>
    <m/>
    <m/>
    <m/>
    <m/>
    <m/>
    <m/>
    <n v="4"/>
    <m/>
    <m/>
    <n v="0"/>
    <x v="1"/>
    <x v="1"/>
    <m/>
    <m/>
    <m/>
    <n v="0"/>
    <m/>
    <n v="0"/>
    <m/>
    <n v="0"/>
    <m/>
    <m/>
    <m/>
    <m/>
    <s v="no test"/>
    <s v="no test"/>
    <n v="1"/>
    <n v="0.3097893432465923"/>
    <n v="0.3097893432465923"/>
    <n v="249.99999999999997"/>
    <n v="0"/>
    <n v="0"/>
    <n v="0.3097893432465923"/>
    <n v="249.99999999999997"/>
    <n v="1"/>
    <n v="0.69021065675340765"/>
    <n v="557"/>
    <n v="1"/>
    <n v="2"/>
    <x v="0"/>
    <n v="4"/>
    <n v="2.9739776951672861E-2"/>
    <n v="24"/>
    <n v="0.97397769516728627"/>
    <n v="131"/>
    <n v="135"/>
    <n v="0"/>
    <s v="N/A"/>
    <n v="0"/>
    <n v="1"/>
    <n v="0"/>
    <n v="0"/>
    <n v="0"/>
    <n v="0"/>
    <n v="0"/>
    <n v="0"/>
    <n v="0"/>
    <n v="0"/>
    <n v="0"/>
    <n v="0"/>
    <n v="0"/>
    <n v="0"/>
    <n v="0"/>
    <n v="0"/>
    <x v="3"/>
    <s v="Village"/>
    <x v="7"/>
    <x v="3"/>
    <n v="20.4625244140625"/>
    <n v="93.257278442382798"/>
    <s v="220626"/>
    <x v="1"/>
    <m/>
  </r>
  <r>
    <x v="0"/>
    <x v="3"/>
    <x v="1"/>
    <x v="19"/>
    <x v="243"/>
    <n v="44"/>
    <n v="221"/>
    <m/>
    <m/>
    <m/>
    <m/>
    <s v="No"/>
    <n v="0"/>
    <n v="0"/>
    <n v="2"/>
    <m/>
    <m/>
    <m/>
    <n v="0"/>
    <m/>
    <m/>
    <m/>
    <m/>
    <m/>
    <m/>
    <n v="3"/>
    <m/>
    <m/>
    <n v="0"/>
    <x v="1"/>
    <x v="1"/>
    <m/>
    <m/>
    <m/>
    <n v="0"/>
    <m/>
    <n v="0"/>
    <m/>
    <n v="0"/>
    <m/>
    <m/>
    <m/>
    <m/>
    <s v="no test"/>
    <s v="no test"/>
    <n v="1"/>
    <n v="1"/>
    <n v="1"/>
    <n v="221"/>
    <n v="0"/>
    <n v="0"/>
    <n v="1"/>
    <n v="221"/>
    <n v="0"/>
    <n v="0"/>
    <n v="0"/>
    <n v="1"/>
    <n v="1"/>
    <x v="0"/>
    <n v="3"/>
    <n v="8.1447963800904979E-2"/>
    <n v="18"/>
    <n v="0.92307692307692302"/>
    <n v="34"/>
    <n v="37"/>
    <n v="0"/>
    <s v="N/A"/>
    <n v="0"/>
    <n v="1"/>
    <n v="0"/>
    <n v="0"/>
    <n v="0"/>
    <n v="0"/>
    <n v="0"/>
    <n v="0"/>
    <n v="0"/>
    <n v="0"/>
    <n v="0"/>
    <n v="0"/>
    <n v="0"/>
    <n v="0"/>
    <n v="0"/>
    <n v="0"/>
    <x v="3"/>
    <s v="Village"/>
    <x v="7"/>
    <x v="3"/>
    <n v="20.464775085449201"/>
    <n v="93.269363403320298"/>
    <s v="196496"/>
    <x v="1"/>
    <m/>
  </r>
  <r>
    <x v="0"/>
    <x v="3"/>
    <x v="1"/>
    <x v="19"/>
    <x v="244"/>
    <n v="23"/>
    <n v="117"/>
    <m/>
    <m/>
    <m/>
    <m/>
    <s v="No"/>
    <n v="0"/>
    <n v="0"/>
    <n v="2"/>
    <m/>
    <m/>
    <m/>
    <n v="0"/>
    <m/>
    <m/>
    <m/>
    <m/>
    <m/>
    <m/>
    <n v="0"/>
    <m/>
    <m/>
    <n v="0"/>
    <x v="1"/>
    <x v="1"/>
    <m/>
    <m/>
    <m/>
    <n v="0"/>
    <m/>
    <n v="0"/>
    <m/>
    <n v="0"/>
    <m/>
    <m/>
    <m/>
    <m/>
    <s v="no test"/>
    <s v="no test"/>
    <n v="1"/>
    <n v="1"/>
    <n v="1"/>
    <n v="117"/>
    <n v="0"/>
    <n v="0"/>
    <n v="1"/>
    <n v="117"/>
    <n v="0"/>
    <n v="0"/>
    <n v="0"/>
    <n v="1"/>
    <n v="1"/>
    <x v="0"/>
    <n v="0"/>
    <n v="0"/>
    <n v="0"/>
    <n v="1.0256410256410255"/>
    <n v="20"/>
    <n v="20"/>
    <n v="0"/>
    <s v="N/A"/>
    <n v="0"/>
    <n v="1"/>
    <n v="0"/>
    <n v="0"/>
    <n v="0"/>
    <n v="0"/>
    <n v="0"/>
    <n v="0"/>
    <n v="0"/>
    <n v="0"/>
    <n v="0"/>
    <n v="0"/>
    <n v="0"/>
    <n v="0"/>
    <n v="0"/>
    <n v="0"/>
    <x v="3"/>
    <s v="Village"/>
    <x v="7"/>
    <x v="3"/>
    <n v="20.489089965820298"/>
    <n v="93.211738586425795"/>
    <s v="196508"/>
    <x v="1"/>
    <m/>
  </r>
  <r>
    <x v="0"/>
    <x v="3"/>
    <x v="1"/>
    <x v="19"/>
    <x v="245"/>
    <n v="146"/>
    <n v="731"/>
    <m/>
    <m/>
    <m/>
    <m/>
    <s v="No"/>
    <n v="0"/>
    <n v="0"/>
    <n v="1"/>
    <m/>
    <m/>
    <m/>
    <n v="0"/>
    <m/>
    <m/>
    <m/>
    <m/>
    <m/>
    <m/>
    <n v="5"/>
    <m/>
    <m/>
    <n v="0"/>
    <x v="1"/>
    <x v="1"/>
    <m/>
    <m/>
    <m/>
    <n v="0"/>
    <m/>
    <n v="0"/>
    <m/>
    <n v="0"/>
    <m/>
    <m/>
    <m/>
    <m/>
    <s v="no test"/>
    <s v="no test"/>
    <n v="1"/>
    <n v="0.34199726402188785"/>
    <n v="0.34199726402188785"/>
    <n v="250.00000000000003"/>
    <n v="0"/>
    <n v="0"/>
    <n v="0.34199726402188785"/>
    <n v="250.00000000000003"/>
    <n v="1"/>
    <n v="0.65800273597811221"/>
    <n v="481"/>
    <n v="0"/>
    <n v="1"/>
    <x v="0"/>
    <n v="5"/>
    <n v="4.1039671682626538E-2"/>
    <n v="30"/>
    <n v="0.96032831737346103"/>
    <n v="117"/>
    <n v="122"/>
    <n v="0"/>
    <s v="N/A"/>
    <n v="0"/>
    <n v="1"/>
    <n v="0"/>
    <n v="0"/>
    <n v="0"/>
    <n v="0"/>
    <n v="0"/>
    <n v="0"/>
    <n v="0"/>
    <n v="0"/>
    <n v="0"/>
    <n v="0"/>
    <n v="0"/>
    <n v="0"/>
    <n v="0"/>
    <n v="0"/>
    <x v="3"/>
    <s v="Village"/>
    <x v="7"/>
    <x v="5"/>
    <n v="20.697229385376001"/>
    <n v="93.044059753417997"/>
    <s v="196643"/>
    <x v="1"/>
    <m/>
  </r>
  <r>
    <x v="0"/>
    <x v="3"/>
    <x v="1"/>
    <x v="19"/>
    <x v="246"/>
    <n v="211"/>
    <n v="1055"/>
    <m/>
    <m/>
    <m/>
    <m/>
    <s v="No"/>
    <n v="0"/>
    <n v="0"/>
    <n v="1"/>
    <m/>
    <m/>
    <m/>
    <n v="0"/>
    <m/>
    <m/>
    <m/>
    <m/>
    <m/>
    <m/>
    <n v="5"/>
    <m/>
    <m/>
    <n v="0"/>
    <x v="1"/>
    <x v="1"/>
    <m/>
    <m/>
    <m/>
    <n v="0"/>
    <m/>
    <n v="0"/>
    <m/>
    <n v="0"/>
    <m/>
    <m/>
    <m/>
    <m/>
    <s v="no test"/>
    <s v="no test"/>
    <n v="1"/>
    <n v="0.23696682464454977"/>
    <n v="0.23696682464454977"/>
    <n v="250"/>
    <n v="0"/>
    <n v="0"/>
    <n v="0.23696682464454977"/>
    <n v="250"/>
    <n v="1"/>
    <n v="0.76303317535545023"/>
    <n v="805"/>
    <n v="1"/>
    <n v="2"/>
    <x v="0"/>
    <n v="5"/>
    <n v="2.843601895734597E-2"/>
    <n v="30"/>
    <n v="0.97251184834123217"/>
    <n v="171"/>
    <n v="176"/>
    <n v="0"/>
    <s v="N/A"/>
    <n v="0"/>
    <n v="1"/>
    <n v="0"/>
    <n v="0"/>
    <n v="0"/>
    <n v="0"/>
    <n v="0"/>
    <n v="0"/>
    <n v="0"/>
    <n v="0"/>
    <n v="0"/>
    <n v="0"/>
    <n v="0"/>
    <n v="0"/>
    <n v="0"/>
    <n v="0"/>
    <x v="3"/>
    <s v="Village"/>
    <x v="7"/>
    <x v="3"/>
    <n v="20.703550338745099"/>
    <n v="93.060462951660199"/>
    <s v="196642"/>
    <x v="1"/>
    <m/>
  </r>
  <r>
    <x v="0"/>
    <x v="15"/>
    <x v="1"/>
    <x v="20"/>
    <x v="247"/>
    <n v="713"/>
    <n v="2835"/>
    <m/>
    <s v="UNICEF"/>
    <d v="2018-06-30T00:00:00"/>
    <n v="0"/>
    <s v="Yes"/>
    <n v="0"/>
    <n v="0"/>
    <n v="0"/>
    <n v="0"/>
    <n v="0"/>
    <n v="5"/>
    <n v="0"/>
    <m/>
    <m/>
    <m/>
    <m/>
    <m/>
    <m/>
    <n v="150"/>
    <n v="197"/>
    <m/>
    <n v="0"/>
    <x v="0"/>
    <x v="0"/>
    <m/>
    <m/>
    <s v="Functional"/>
    <n v="1"/>
    <s v="Communal"/>
    <n v="0"/>
    <n v="1"/>
    <n v="8"/>
    <m/>
    <m/>
    <m/>
    <s v="8 Hygiene promoters, 8 latrine cleaner, 10 environmental workers and 2 water system operators"/>
    <s v="no test"/>
    <s v="no test"/>
    <n v="0"/>
    <n v="0"/>
    <n v="0"/>
    <n v="0"/>
    <n v="0.44091710758377423"/>
    <n v="1250"/>
    <n v="0.44091710758377423"/>
    <n v="1250"/>
    <n v="3"/>
    <n v="0.55908289241622577"/>
    <n v="1585"/>
    <n v="3"/>
    <n v="6"/>
    <x v="0"/>
    <n v="347"/>
    <n v="1"/>
    <n v="2835"/>
    <n v="0"/>
    <n v="0"/>
    <n v="142"/>
    <n v="0.56772334293948123"/>
    <n v="0"/>
    <n v="0"/>
    <n v="1"/>
    <n v="2835"/>
    <n v="0"/>
    <n v="1"/>
    <n v="0"/>
    <n v="0"/>
    <n v="1"/>
    <n v="0"/>
    <n v="0"/>
    <n v="0"/>
    <n v="0"/>
    <n v="0"/>
    <n v="713"/>
    <s v="Yes"/>
    <s v="RI"/>
    <x v="0"/>
    <s v="Camp"/>
    <x v="8"/>
    <x v="5"/>
    <n v="20.037655000000001"/>
    <n v="93.370037999999994"/>
    <s v="MMR012CMP014"/>
    <x v="0"/>
    <m/>
  </r>
  <r>
    <x v="0"/>
    <x v="15"/>
    <x v="1"/>
    <x v="20"/>
    <x v="248"/>
    <n v="40"/>
    <n v="217"/>
    <m/>
    <s v="UNICEF"/>
    <d v="2018-06-30T00:00:00"/>
    <n v="0"/>
    <s v="No"/>
    <n v="0"/>
    <n v="0"/>
    <n v="0"/>
    <n v="0"/>
    <n v="37500"/>
    <n v="0"/>
    <n v="0"/>
    <m/>
    <m/>
    <m/>
    <m/>
    <m/>
    <m/>
    <n v="40"/>
    <n v="0"/>
    <m/>
    <n v="40"/>
    <x v="2"/>
    <x v="0"/>
    <m/>
    <m/>
    <m/>
    <n v="0"/>
    <m/>
    <n v="0"/>
    <n v="0"/>
    <n v="2"/>
    <m/>
    <m/>
    <m/>
    <m/>
    <s v="no test"/>
    <s v="no test"/>
    <n v="1"/>
    <n v="1"/>
    <n v="1"/>
    <n v="217"/>
    <n v="0"/>
    <n v="0"/>
    <n v="1"/>
    <n v="217"/>
    <n v="0"/>
    <n v="0"/>
    <n v="0"/>
    <n v="1"/>
    <n v="1"/>
    <x v="0"/>
    <n v="40"/>
    <n v="1"/>
    <n v="217"/>
    <n v="0"/>
    <n v="0"/>
    <n v="36"/>
    <n v="0"/>
    <s v="N/A"/>
    <n v="0"/>
    <n v="1"/>
    <n v="217"/>
    <n v="0"/>
    <n v="1"/>
    <n v="0"/>
    <n v="0"/>
    <n v="1"/>
    <n v="0"/>
    <n v="0"/>
    <n v="0"/>
    <n v="0"/>
    <n v="0"/>
    <n v="0"/>
    <n v="0"/>
    <n v="0"/>
    <x v="3"/>
    <s v="Village"/>
    <x v="9"/>
    <x v="3"/>
    <n v="20.041981"/>
    <n v="93.373951000000005"/>
    <s v="MMR012CMP013"/>
    <x v="0"/>
    <m/>
  </r>
  <r>
    <x v="0"/>
    <x v="2"/>
    <x v="1"/>
    <x v="21"/>
    <x v="249"/>
    <n v="708"/>
    <n v="4380"/>
    <m/>
    <s v="ECHO/OFDA"/>
    <d v="2018-04-30T00:00:00"/>
    <m/>
    <s v="No"/>
    <n v="0"/>
    <n v="0"/>
    <n v="0"/>
    <n v="0"/>
    <n v="65000"/>
    <n v="0"/>
    <n v="0"/>
    <m/>
    <m/>
    <m/>
    <m/>
    <m/>
    <m/>
    <n v="147"/>
    <n v="12"/>
    <m/>
    <n v="0"/>
    <x v="3"/>
    <x v="2"/>
    <m/>
    <m/>
    <m/>
    <n v="0"/>
    <s v="Household"/>
    <n v="0"/>
    <n v="0"/>
    <n v="9"/>
    <m/>
    <m/>
    <m/>
    <s v="UNICEF distributed full HK"/>
    <s v="no test"/>
    <s v="no test"/>
    <n v="0.98934550989345504"/>
    <n v="0.98934550989345504"/>
    <n v="0.98934550989345504"/>
    <n v="4333.333333333333"/>
    <n v="0"/>
    <n v="0"/>
    <n v="0.98934550989345504"/>
    <n v="4333.333333333333"/>
    <n v="9"/>
    <n v="1.0654490106544956E-2"/>
    <n v="46.666666666666906"/>
    <n v="0"/>
    <n v="9"/>
    <x v="0"/>
    <n v="159"/>
    <n v="0.67123287671232879"/>
    <n v="2940"/>
    <n v="0.27397260273972601"/>
    <n v="60"/>
    <n v="219"/>
    <n v="7.5471698113207544E-2"/>
    <n v="0"/>
    <n v="0"/>
    <n v="1"/>
    <n v="4380"/>
    <n v="0"/>
    <n v="1"/>
    <n v="0"/>
    <n v="0"/>
    <n v="1"/>
    <n v="0"/>
    <n v="0"/>
    <n v="0"/>
    <n v="0"/>
    <n v="0"/>
    <n v="0"/>
    <n v="0"/>
    <n v="0"/>
    <x v="0"/>
    <s v="Camp"/>
    <x v="12"/>
    <x v="5"/>
    <n v="20.073437999999999"/>
    <n v="93.154551999999995"/>
    <s v="MMR012CMP017"/>
    <x v="0"/>
    <m/>
  </r>
  <r>
    <x v="0"/>
    <x v="2"/>
    <x v="1"/>
    <x v="21"/>
    <x v="250"/>
    <n v="544"/>
    <n v="3951"/>
    <m/>
    <s v="ECHO/OFDA"/>
    <d v="2018-04-30T00:00:00"/>
    <m/>
    <s v="No"/>
    <n v="0"/>
    <n v="0"/>
    <n v="0"/>
    <n v="0"/>
    <n v="60000"/>
    <n v="0"/>
    <n v="0"/>
    <m/>
    <m/>
    <m/>
    <m/>
    <m/>
    <m/>
    <n v="132"/>
    <n v="14"/>
    <m/>
    <n v="0"/>
    <x v="3"/>
    <x v="2"/>
    <m/>
    <m/>
    <m/>
    <n v="0"/>
    <s v="Household"/>
    <n v="0"/>
    <n v="0"/>
    <n v="8"/>
    <m/>
    <m/>
    <m/>
    <s v="UNICEF distributed full HK"/>
    <s v="no test"/>
    <s v="no test"/>
    <n v="1"/>
    <n v="1"/>
    <n v="1"/>
    <n v="3951"/>
    <n v="0"/>
    <n v="0"/>
    <n v="1"/>
    <n v="3951"/>
    <n v="8"/>
    <n v="0"/>
    <n v="0"/>
    <n v="0"/>
    <n v="8"/>
    <x v="0"/>
    <n v="146"/>
    <n v="0.66818526955201218"/>
    <n v="2640"/>
    <n v="0.26322450012655024"/>
    <n v="52"/>
    <n v="198"/>
    <n v="9.5890410958904104E-2"/>
    <n v="0"/>
    <n v="0"/>
    <n v="1"/>
    <n v="3951"/>
    <n v="0"/>
    <n v="1"/>
    <n v="0"/>
    <n v="0"/>
    <n v="1"/>
    <n v="0"/>
    <n v="0"/>
    <n v="0"/>
    <n v="0"/>
    <n v="0"/>
    <n v="0"/>
    <s v="Yes"/>
    <s v="LWF"/>
    <x v="0"/>
    <s v="Camp"/>
    <x v="8"/>
    <x v="5"/>
    <n v="20.073437999999999"/>
    <n v="93.154551999999995"/>
    <s v="MMR012CMP017"/>
    <x v="0"/>
    <m/>
  </r>
  <r>
    <x v="0"/>
    <x v="2"/>
    <x v="1"/>
    <x v="21"/>
    <x v="251"/>
    <n v="712"/>
    <n v="4302"/>
    <m/>
    <s v="ECHO/OFDA"/>
    <d v="2018-04-30T00:00:00"/>
    <m/>
    <s v="No"/>
    <n v="0"/>
    <n v="0"/>
    <n v="0"/>
    <n v="0"/>
    <n v="65000"/>
    <n v="2"/>
    <n v="0"/>
    <m/>
    <m/>
    <m/>
    <m/>
    <m/>
    <m/>
    <n v="130"/>
    <n v="2"/>
    <m/>
    <n v="0"/>
    <x v="3"/>
    <x v="0"/>
    <m/>
    <m/>
    <s v="There is solid waste management in ANY but no incinerator"/>
    <n v="0"/>
    <s v="Household"/>
    <n v="0"/>
    <n v="0"/>
    <n v="10"/>
    <m/>
    <m/>
    <m/>
    <s v="UNICEF distributed full HK"/>
    <s v="no test"/>
    <s v="no test"/>
    <n v="1"/>
    <n v="1"/>
    <n v="1"/>
    <n v="4302"/>
    <n v="0.11622501162250116"/>
    <n v="500"/>
    <n v="1"/>
    <n v="4302"/>
    <n v="9"/>
    <n v="0"/>
    <n v="0"/>
    <n v="0"/>
    <n v="9"/>
    <x v="0"/>
    <n v="132"/>
    <n v="0.60437006043700603"/>
    <n v="2600"/>
    <n v="0.38586703858670385"/>
    <n v="83"/>
    <n v="215"/>
    <n v="1.5151515151515152E-2"/>
    <n v="0"/>
    <n v="0"/>
    <n v="1"/>
    <n v="4302"/>
    <n v="0"/>
    <n v="1"/>
    <n v="0"/>
    <n v="0"/>
    <n v="1"/>
    <n v="0"/>
    <n v="0"/>
    <n v="0"/>
    <n v="0"/>
    <n v="0"/>
    <n v="0"/>
    <s v="Yes"/>
    <s v="LWF"/>
    <x v="0"/>
    <s v="Camp"/>
    <x v="8"/>
    <x v="5"/>
    <n v="20.108101999999999"/>
    <n v="92.985095000000001"/>
    <s v="MMR012CMP016"/>
    <x v="0"/>
    <m/>
  </r>
  <r>
    <x v="0"/>
    <x v="3"/>
    <x v="1"/>
    <x v="22"/>
    <x v="252"/>
    <n v="362"/>
    <n v="1811"/>
    <m/>
    <m/>
    <m/>
    <m/>
    <s v="No"/>
    <n v="0"/>
    <n v="0"/>
    <n v="0"/>
    <n v="4"/>
    <m/>
    <m/>
    <n v="0"/>
    <m/>
    <m/>
    <m/>
    <m/>
    <m/>
    <m/>
    <n v="141"/>
    <m/>
    <m/>
    <n v="141"/>
    <x v="1"/>
    <x v="1"/>
    <m/>
    <m/>
    <m/>
    <n v="0"/>
    <m/>
    <n v="0"/>
    <m/>
    <n v="0"/>
    <m/>
    <m/>
    <m/>
    <m/>
    <s v="no test"/>
    <s v="no test"/>
    <n v="1"/>
    <n v="0.55218111540585313"/>
    <n v="0.55218111540585313"/>
    <n v="1000"/>
    <n v="0"/>
    <n v="0"/>
    <n v="0.55218111540585313"/>
    <n v="1000"/>
    <n v="2"/>
    <n v="0.44781888459414687"/>
    <n v="811"/>
    <n v="2"/>
    <n v="4"/>
    <x v="0"/>
    <n v="141"/>
    <n v="0.46714522363335176"/>
    <n v="846"/>
    <n v="0.53340695748205413"/>
    <n v="161"/>
    <n v="302"/>
    <n v="0"/>
    <s v="N/A"/>
    <n v="0"/>
    <n v="1"/>
    <n v="0"/>
    <n v="0"/>
    <n v="0"/>
    <n v="0"/>
    <n v="0"/>
    <n v="0"/>
    <n v="0"/>
    <n v="0"/>
    <n v="0"/>
    <n v="0"/>
    <n v="0"/>
    <n v="0"/>
    <n v="0"/>
    <n v="0"/>
    <x v="3"/>
    <s v="Village"/>
    <x v="7"/>
    <x v="3"/>
    <n v="20.268000000000001"/>
    <n v="92.977999999999994"/>
    <s v="196408"/>
    <x v="1"/>
    <m/>
  </r>
  <r>
    <x v="0"/>
    <x v="3"/>
    <x v="1"/>
    <x v="22"/>
    <x v="253"/>
    <n v="139"/>
    <n v="695"/>
    <m/>
    <m/>
    <m/>
    <m/>
    <s v="No"/>
    <n v="0"/>
    <n v="0"/>
    <n v="0"/>
    <n v="0"/>
    <m/>
    <m/>
    <n v="0"/>
    <m/>
    <m/>
    <m/>
    <m/>
    <m/>
    <m/>
    <n v="44"/>
    <m/>
    <m/>
    <n v="44"/>
    <x v="1"/>
    <x v="1"/>
    <m/>
    <m/>
    <m/>
    <n v="0"/>
    <m/>
    <n v="0"/>
    <m/>
    <n v="0"/>
    <m/>
    <m/>
    <m/>
    <m/>
    <s v="no test"/>
    <s v="no test"/>
    <n v="0"/>
    <n v="0"/>
    <n v="0"/>
    <n v="0"/>
    <n v="0"/>
    <n v="0"/>
    <n v="0"/>
    <n v="0"/>
    <m/>
    <n v="1"/>
    <n v="695"/>
    <n v="1"/>
    <n v="1"/>
    <x v="0"/>
    <n v="44"/>
    <n v="0.37985611510791367"/>
    <n v="264"/>
    <n v="0.62158273381294971"/>
    <n v="72"/>
    <n v="116"/>
    <n v="0"/>
    <s v="N/A"/>
    <n v="0"/>
    <n v="1"/>
    <n v="0"/>
    <n v="0"/>
    <n v="0"/>
    <n v="0"/>
    <n v="0"/>
    <n v="0"/>
    <n v="0"/>
    <n v="0"/>
    <n v="0"/>
    <n v="0"/>
    <n v="0"/>
    <n v="0"/>
    <n v="0"/>
    <n v="0"/>
    <x v="3"/>
    <s v="Village"/>
    <x v="7"/>
    <x v="3"/>
    <n v="20.292100000000001"/>
    <n v="92.994100000000003"/>
    <s v="196377"/>
    <x v="1"/>
    <m/>
  </r>
  <r>
    <x v="0"/>
    <x v="3"/>
    <x v="1"/>
    <x v="22"/>
    <x v="254"/>
    <n v="97"/>
    <n v="487"/>
    <m/>
    <m/>
    <m/>
    <m/>
    <s v="No"/>
    <n v="0"/>
    <n v="0"/>
    <n v="0"/>
    <m/>
    <m/>
    <m/>
    <n v="0"/>
    <m/>
    <m/>
    <m/>
    <m/>
    <m/>
    <m/>
    <n v="5"/>
    <m/>
    <m/>
    <n v="0"/>
    <x v="1"/>
    <x v="1"/>
    <m/>
    <m/>
    <m/>
    <n v="0"/>
    <m/>
    <n v="0"/>
    <m/>
    <n v="0"/>
    <m/>
    <m/>
    <m/>
    <m/>
    <s v="no test"/>
    <s v="no test"/>
    <n v="0"/>
    <n v="0"/>
    <n v="0"/>
    <n v="0"/>
    <n v="0"/>
    <n v="0"/>
    <n v="0"/>
    <n v="0"/>
    <n v="0"/>
    <n v="1"/>
    <n v="487"/>
    <n v="1"/>
    <n v="1"/>
    <x v="0"/>
    <n v="5"/>
    <n v="6.1601642710472276E-2"/>
    <n v="30"/>
    <n v="0.93634496919917864"/>
    <n v="76"/>
    <n v="81"/>
    <n v="0"/>
    <s v="N/A"/>
    <n v="0"/>
    <n v="1"/>
    <n v="0"/>
    <n v="0"/>
    <n v="0"/>
    <n v="0"/>
    <n v="0"/>
    <n v="0"/>
    <n v="0"/>
    <n v="0"/>
    <n v="0"/>
    <n v="0"/>
    <n v="0"/>
    <n v="0"/>
    <n v="0"/>
    <n v="0"/>
    <x v="3"/>
    <s v="Village"/>
    <x v="7"/>
    <x v="3"/>
    <n v="20.361530303999999"/>
    <n v="92.992073059000006"/>
    <s v="196359"/>
    <x v="1"/>
    <m/>
  </r>
  <r>
    <x v="0"/>
    <x v="3"/>
    <x v="1"/>
    <x v="22"/>
    <x v="255"/>
    <n v="291"/>
    <n v="1455"/>
    <m/>
    <m/>
    <m/>
    <m/>
    <s v="No"/>
    <n v="0"/>
    <n v="0"/>
    <n v="0"/>
    <n v="0"/>
    <m/>
    <m/>
    <n v="0"/>
    <m/>
    <m/>
    <m/>
    <m/>
    <m/>
    <m/>
    <n v="44"/>
    <m/>
    <m/>
    <n v="44"/>
    <x v="1"/>
    <x v="1"/>
    <m/>
    <m/>
    <m/>
    <n v="0"/>
    <m/>
    <n v="0"/>
    <m/>
    <n v="0"/>
    <m/>
    <m/>
    <m/>
    <m/>
    <s v="no test"/>
    <s v="no test"/>
    <n v="0"/>
    <n v="0"/>
    <n v="0"/>
    <n v="0"/>
    <n v="0"/>
    <n v="0"/>
    <n v="0"/>
    <n v="0"/>
    <n v="0"/>
    <n v="1"/>
    <n v="1455"/>
    <n v="3"/>
    <n v="3"/>
    <x v="0"/>
    <n v="44"/>
    <n v="0.18144329896907216"/>
    <n v="264"/>
    <n v="0.8206185567010309"/>
    <n v="199"/>
    <n v="243"/>
    <n v="0"/>
    <s v="N/A"/>
    <n v="0"/>
    <n v="1"/>
    <n v="0"/>
    <n v="0"/>
    <n v="0"/>
    <n v="0"/>
    <n v="0"/>
    <n v="0"/>
    <n v="0"/>
    <n v="0"/>
    <n v="0"/>
    <n v="0"/>
    <n v="0"/>
    <n v="0"/>
    <n v="0"/>
    <n v="0"/>
    <x v="3"/>
    <s v="Village"/>
    <x v="7"/>
    <x v="3"/>
    <n v="20.424389999999999"/>
    <n v="93.012960000000007"/>
    <s v="196356"/>
    <x v="1"/>
    <m/>
  </r>
  <r>
    <x v="0"/>
    <x v="3"/>
    <x v="1"/>
    <x v="22"/>
    <x v="256"/>
    <n v="130"/>
    <n v="650"/>
    <m/>
    <m/>
    <m/>
    <m/>
    <s v="No"/>
    <n v="0"/>
    <n v="0"/>
    <n v="0"/>
    <m/>
    <m/>
    <m/>
    <n v="0"/>
    <m/>
    <m/>
    <m/>
    <m/>
    <m/>
    <m/>
    <n v="23"/>
    <m/>
    <m/>
    <n v="0"/>
    <x v="1"/>
    <x v="1"/>
    <m/>
    <m/>
    <m/>
    <n v="0"/>
    <m/>
    <n v="0"/>
    <m/>
    <n v="0"/>
    <m/>
    <m/>
    <m/>
    <m/>
    <s v="no test"/>
    <s v="no test"/>
    <n v="0"/>
    <n v="0"/>
    <n v="0"/>
    <n v="0"/>
    <n v="0"/>
    <n v="0"/>
    <n v="0"/>
    <n v="0"/>
    <n v="0"/>
    <n v="1"/>
    <n v="650"/>
    <n v="1"/>
    <n v="1"/>
    <x v="0"/>
    <n v="23"/>
    <n v="0.21230769230769231"/>
    <n v="138"/>
    <n v="0.7846153846153846"/>
    <n v="85"/>
    <n v="108"/>
    <n v="0"/>
    <s v="N/A"/>
    <n v="0"/>
    <n v="1"/>
    <n v="0"/>
    <n v="0"/>
    <n v="0"/>
    <n v="0"/>
    <n v="0"/>
    <n v="0"/>
    <n v="0"/>
    <n v="0"/>
    <n v="0"/>
    <n v="0"/>
    <n v="0"/>
    <n v="0"/>
    <n v="0"/>
    <n v="0"/>
    <x v="3"/>
    <s v="Village"/>
    <x v="7"/>
    <x v="3"/>
    <n v="20.482030868999999"/>
    <n v="93.045410156000003"/>
    <s v="196349"/>
    <x v="1"/>
    <m/>
  </r>
  <r>
    <x v="0"/>
    <x v="3"/>
    <x v="1"/>
    <x v="22"/>
    <x v="257"/>
    <n v="72"/>
    <n v="360"/>
    <m/>
    <m/>
    <m/>
    <m/>
    <s v="No"/>
    <n v="0"/>
    <n v="0"/>
    <n v="0"/>
    <m/>
    <m/>
    <m/>
    <n v="0"/>
    <m/>
    <m/>
    <m/>
    <m/>
    <m/>
    <m/>
    <n v="5"/>
    <m/>
    <m/>
    <n v="0"/>
    <x v="1"/>
    <x v="1"/>
    <m/>
    <m/>
    <m/>
    <n v="0"/>
    <m/>
    <n v="0"/>
    <m/>
    <n v="0"/>
    <m/>
    <m/>
    <m/>
    <m/>
    <s v="no test"/>
    <s v="no test"/>
    <n v="0"/>
    <n v="0"/>
    <n v="0"/>
    <n v="0"/>
    <n v="0"/>
    <n v="0"/>
    <n v="0"/>
    <n v="0"/>
    <n v="0"/>
    <n v="1"/>
    <n v="360"/>
    <n v="1"/>
    <n v="1"/>
    <x v="0"/>
    <n v="5"/>
    <n v="8.3333333333333329E-2"/>
    <n v="30"/>
    <n v="0.91666666666666663"/>
    <n v="55"/>
    <n v="60"/>
    <n v="0"/>
    <s v="N/A"/>
    <n v="0"/>
    <n v="1"/>
    <n v="0"/>
    <n v="0"/>
    <n v="0"/>
    <n v="0"/>
    <n v="0"/>
    <n v="0"/>
    <n v="0"/>
    <n v="0"/>
    <n v="0"/>
    <n v="0"/>
    <n v="0"/>
    <n v="0"/>
    <n v="0"/>
    <n v="0"/>
    <x v="3"/>
    <s v="Village"/>
    <x v="7"/>
    <x v="5"/>
    <n v="20.494340897000001"/>
    <n v="93.054298400999997"/>
    <s v="196350"/>
    <x v="1"/>
    <m/>
  </r>
  <r>
    <x v="0"/>
    <x v="3"/>
    <x v="1"/>
    <x v="22"/>
    <x v="258"/>
    <n v="26"/>
    <n v="130"/>
    <m/>
    <m/>
    <m/>
    <m/>
    <s v="No"/>
    <n v="0"/>
    <n v="0"/>
    <n v="0"/>
    <m/>
    <m/>
    <m/>
    <n v="0"/>
    <m/>
    <m/>
    <m/>
    <m/>
    <m/>
    <m/>
    <n v="5"/>
    <m/>
    <m/>
    <n v="0"/>
    <x v="1"/>
    <x v="1"/>
    <m/>
    <m/>
    <m/>
    <n v="0"/>
    <m/>
    <n v="0"/>
    <m/>
    <n v="0"/>
    <m/>
    <m/>
    <m/>
    <m/>
    <s v="no test"/>
    <s v="no test"/>
    <n v="0"/>
    <n v="0"/>
    <n v="0"/>
    <n v="0"/>
    <n v="0"/>
    <n v="0"/>
    <n v="0"/>
    <n v="0"/>
    <n v="0"/>
    <n v="1"/>
    <n v="130"/>
    <n v="1"/>
    <n v="1"/>
    <x v="0"/>
    <n v="5"/>
    <n v="0.23076923076923078"/>
    <n v="30"/>
    <n v="0.7846153846153846"/>
    <n v="17"/>
    <n v="22"/>
    <n v="0"/>
    <s v="N/A"/>
    <n v="0"/>
    <n v="1"/>
    <n v="0"/>
    <n v="0"/>
    <n v="0"/>
    <n v="0"/>
    <n v="0"/>
    <n v="0"/>
    <n v="0"/>
    <n v="0"/>
    <n v="0"/>
    <n v="0"/>
    <n v="0"/>
    <n v="0"/>
    <n v="0"/>
    <n v="0"/>
    <x v="3"/>
    <s v="Village"/>
    <x v="7"/>
    <x v="3"/>
    <n v="20.506580353"/>
    <n v="93.043449401999993"/>
    <s v="196351"/>
    <x v="1"/>
    <m/>
  </r>
  <r>
    <x v="0"/>
    <x v="3"/>
    <x v="1"/>
    <x v="22"/>
    <x v="259"/>
    <n v="91"/>
    <n v="456"/>
    <m/>
    <m/>
    <m/>
    <m/>
    <s v="No"/>
    <n v="0"/>
    <n v="0"/>
    <n v="0"/>
    <m/>
    <m/>
    <m/>
    <n v="0"/>
    <m/>
    <m/>
    <m/>
    <m/>
    <m/>
    <m/>
    <n v="6"/>
    <m/>
    <m/>
    <n v="0"/>
    <x v="1"/>
    <x v="1"/>
    <m/>
    <m/>
    <m/>
    <n v="0"/>
    <m/>
    <n v="0"/>
    <m/>
    <n v="0"/>
    <m/>
    <m/>
    <m/>
    <m/>
    <s v="no test"/>
    <s v="no test"/>
    <n v="0"/>
    <n v="0"/>
    <n v="0"/>
    <n v="0"/>
    <n v="0"/>
    <n v="0"/>
    <n v="0"/>
    <n v="0"/>
    <n v="0"/>
    <n v="1"/>
    <n v="456"/>
    <n v="1"/>
    <n v="1"/>
    <x v="0"/>
    <n v="6"/>
    <n v="7.8947368421052627E-2"/>
    <n v="36"/>
    <n v="0.92105263157894735"/>
    <n v="70"/>
    <n v="76"/>
    <n v="0"/>
    <s v="N/A"/>
    <n v="0"/>
    <n v="1"/>
    <n v="0"/>
    <n v="0"/>
    <n v="0"/>
    <n v="0"/>
    <n v="0"/>
    <n v="0"/>
    <n v="0"/>
    <n v="0"/>
    <n v="0"/>
    <n v="0"/>
    <n v="0"/>
    <n v="0"/>
    <n v="0"/>
    <n v="0"/>
    <x v="3"/>
    <s v="Village"/>
    <x v="7"/>
    <x v="3"/>
    <n v="20.509660720999999"/>
    <n v="92.997230529999996"/>
    <s v="196337"/>
    <x v="1"/>
    <m/>
  </r>
  <r>
    <x v="0"/>
    <x v="3"/>
    <x v="1"/>
    <x v="22"/>
    <x v="260"/>
    <n v="97"/>
    <n v="484"/>
    <m/>
    <m/>
    <m/>
    <m/>
    <s v="No"/>
    <n v="0"/>
    <n v="0"/>
    <n v="0"/>
    <m/>
    <m/>
    <m/>
    <n v="0"/>
    <m/>
    <m/>
    <m/>
    <m/>
    <m/>
    <m/>
    <n v="10"/>
    <m/>
    <m/>
    <n v="0"/>
    <x v="1"/>
    <x v="1"/>
    <m/>
    <m/>
    <m/>
    <n v="0"/>
    <m/>
    <n v="0"/>
    <m/>
    <n v="0"/>
    <m/>
    <m/>
    <m/>
    <m/>
    <s v="no test"/>
    <s v="no test"/>
    <n v="0"/>
    <n v="0"/>
    <n v="0"/>
    <n v="0"/>
    <n v="0"/>
    <n v="0"/>
    <n v="0"/>
    <n v="0"/>
    <n v="0"/>
    <n v="1"/>
    <n v="484"/>
    <n v="1"/>
    <n v="1"/>
    <x v="0"/>
    <n v="10"/>
    <n v="0.12396694214876033"/>
    <n v="60"/>
    <n v="0.8801652892561983"/>
    <n v="71"/>
    <n v="81"/>
    <n v="0"/>
    <s v="N/A"/>
    <n v="0"/>
    <n v="1"/>
    <n v="0"/>
    <n v="0"/>
    <n v="0"/>
    <n v="0"/>
    <n v="0"/>
    <n v="0"/>
    <n v="0"/>
    <n v="0"/>
    <n v="0"/>
    <n v="0"/>
    <n v="0"/>
    <n v="0"/>
    <n v="0"/>
    <n v="0"/>
    <x v="3"/>
    <s v="Village"/>
    <x v="7"/>
    <x v="3"/>
    <n v="20.564739227"/>
    <n v="93.064781189000001"/>
    <s v="196331"/>
    <x v="1"/>
    <m/>
  </r>
  <r>
    <x v="0"/>
    <x v="3"/>
    <x v="1"/>
    <x v="22"/>
    <x v="261"/>
    <n v="246"/>
    <n v="1232"/>
    <m/>
    <m/>
    <m/>
    <m/>
    <s v="No"/>
    <n v="0"/>
    <n v="0"/>
    <n v="0"/>
    <m/>
    <m/>
    <m/>
    <n v="0"/>
    <m/>
    <m/>
    <m/>
    <m/>
    <m/>
    <m/>
    <n v="42"/>
    <m/>
    <m/>
    <n v="0"/>
    <x v="1"/>
    <x v="1"/>
    <m/>
    <m/>
    <m/>
    <n v="0"/>
    <m/>
    <n v="0"/>
    <m/>
    <n v="0"/>
    <m/>
    <m/>
    <m/>
    <m/>
    <s v="no test"/>
    <s v="no test"/>
    <n v="0"/>
    <n v="0"/>
    <n v="0"/>
    <n v="0"/>
    <n v="0"/>
    <n v="0"/>
    <n v="0"/>
    <n v="0"/>
    <n v="0"/>
    <n v="1"/>
    <n v="1232"/>
    <n v="2"/>
    <n v="2"/>
    <x v="0"/>
    <n v="42"/>
    <n v="0.20454545454545456"/>
    <n v="252.00000000000003"/>
    <n v="0.79383116883116878"/>
    <n v="163"/>
    <n v="205"/>
    <n v="0"/>
    <s v="N/A"/>
    <n v="0"/>
    <n v="1"/>
    <n v="0"/>
    <n v="0"/>
    <n v="0"/>
    <n v="0"/>
    <n v="0"/>
    <n v="0"/>
    <n v="0"/>
    <n v="0"/>
    <n v="0"/>
    <n v="0"/>
    <n v="0"/>
    <n v="0"/>
    <n v="0"/>
    <n v="0"/>
    <x v="3"/>
    <s v="Village"/>
    <x v="7"/>
    <x v="3"/>
    <n v="20.596279144"/>
    <n v="92.987480164000004"/>
    <s v="196321"/>
    <x v="1"/>
    <m/>
  </r>
  <r>
    <x v="0"/>
    <x v="3"/>
    <x v="1"/>
    <x v="22"/>
    <x v="262"/>
    <n v="324"/>
    <n v="1618"/>
    <m/>
    <m/>
    <m/>
    <m/>
    <s v="No"/>
    <n v="0"/>
    <n v="0"/>
    <n v="0"/>
    <m/>
    <m/>
    <m/>
    <n v="0"/>
    <m/>
    <m/>
    <m/>
    <m/>
    <m/>
    <m/>
    <n v="45"/>
    <m/>
    <m/>
    <n v="0"/>
    <x v="1"/>
    <x v="1"/>
    <m/>
    <m/>
    <m/>
    <n v="0"/>
    <m/>
    <n v="0"/>
    <m/>
    <n v="0"/>
    <m/>
    <m/>
    <m/>
    <m/>
    <s v="no test"/>
    <s v="no test"/>
    <n v="0"/>
    <n v="0"/>
    <n v="0"/>
    <n v="0"/>
    <n v="0"/>
    <n v="0"/>
    <n v="0"/>
    <n v="0"/>
    <n v="0"/>
    <n v="1"/>
    <n v="1618"/>
    <n v="3"/>
    <n v="3"/>
    <x v="0"/>
    <n v="45"/>
    <n v="0.1668726823238566"/>
    <n v="270"/>
    <n v="0.83436341161928296"/>
    <n v="225"/>
    <n v="270"/>
    <n v="0"/>
    <s v="N/A"/>
    <n v="0"/>
    <n v="1"/>
    <n v="0"/>
    <n v="0"/>
    <n v="0"/>
    <n v="0"/>
    <n v="0"/>
    <n v="0"/>
    <n v="0"/>
    <n v="0"/>
    <n v="0"/>
    <n v="0"/>
    <n v="0"/>
    <n v="0"/>
    <n v="0"/>
    <n v="0"/>
    <x v="3"/>
    <s v="Village"/>
    <x v="7"/>
    <x v="5"/>
    <n v="20.608819961999998"/>
    <n v="93.022407532000003"/>
    <s v="196318"/>
    <x v="1"/>
    <m/>
  </r>
  <r>
    <x v="0"/>
    <x v="3"/>
    <x v="1"/>
    <x v="22"/>
    <x v="263"/>
    <n v="149"/>
    <n v="747"/>
    <m/>
    <m/>
    <m/>
    <m/>
    <s v="No"/>
    <n v="0"/>
    <n v="0"/>
    <n v="0"/>
    <m/>
    <m/>
    <m/>
    <n v="0"/>
    <m/>
    <m/>
    <m/>
    <m/>
    <m/>
    <m/>
    <n v="0"/>
    <m/>
    <m/>
    <n v="0"/>
    <x v="1"/>
    <x v="1"/>
    <m/>
    <m/>
    <m/>
    <n v="0"/>
    <m/>
    <n v="0"/>
    <m/>
    <n v="0"/>
    <m/>
    <m/>
    <m/>
    <m/>
    <s v="no test"/>
    <s v="no test"/>
    <n v="0"/>
    <n v="0"/>
    <n v="0"/>
    <n v="0"/>
    <n v="0"/>
    <n v="0"/>
    <n v="0"/>
    <n v="0"/>
    <n v="0"/>
    <n v="1"/>
    <n v="747"/>
    <n v="1"/>
    <n v="1"/>
    <x v="0"/>
    <n v="0"/>
    <n v="0"/>
    <n v="0"/>
    <n v="1.0040160642570282"/>
    <n v="125"/>
    <n v="125"/>
    <n v="0"/>
    <s v="N/A"/>
    <n v="0"/>
    <n v="1"/>
    <n v="0"/>
    <n v="0"/>
    <n v="0"/>
    <n v="0"/>
    <n v="0"/>
    <n v="0"/>
    <n v="0"/>
    <n v="0"/>
    <n v="0"/>
    <n v="0"/>
    <n v="0"/>
    <n v="0"/>
    <n v="0"/>
    <n v="0"/>
    <x v="3"/>
    <s v="Village"/>
    <x v="7"/>
    <x v="3"/>
    <n v="20.630609511999999"/>
    <n v="92.998641968000001"/>
    <s v="196316"/>
    <x v="1"/>
    <m/>
  </r>
  <r>
    <x v="0"/>
    <x v="3"/>
    <x v="1"/>
    <x v="22"/>
    <x v="264"/>
    <n v="82"/>
    <n v="408"/>
    <m/>
    <m/>
    <m/>
    <m/>
    <s v="No"/>
    <n v="0"/>
    <n v="0"/>
    <n v="0"/>
    <m/>
    <m/>
    <m/>
    <n v="0"/>
    <m/>
    <m/>
    <m/>
    <m/>
    <m/>
    <m/>
    <n v="0"/>
    <m/>
    <m/>
    <n v="0"/>
    <x v="1"/>
    <x v="1"/>
    <m/>
    <m/>
    <m/>
    <n v="0"/>
    <m/>
    <n v="0"/>
    <m/>
    <n v="0"/>
    <m/>
    <m/>
    <m/>
    <m/>
    <s v="no test"/>
    <s v="no test"/>
    <n v="0"/>
    <n v="0"/>
    <n v="0"/>
    <n v="0"/>
    <n v="0"/>
    <n v="0"/>
    <n v="0"/>
    <n v="0"/>
    <n v="0"/>
    <n v="1"/>
    <n v="408"/>
    <n v="1"/>
    <n v="1"/>
    <x v="0"/>
    <n v="0"/>
    <n v="0"/>
    <n v="0"/>
    <n v="1"/>
    <n v="68"/>
    <n v="68"/>
    <n v="0"/>
    <s v="N/A"/>
    <n v="0"/>
    <n v="1"/>
    <n v="0"/>
    <n v="0"/>
    <n v="0"/>
    <n v="0"/>
    <n v="0"/>
    <n v="0"/>
    <n v="0"/>
    <n v="0"/>
    <n v="0"/>
    <n v="0"/>
    <n v="0"/>
    <n v="0"/>
    <n v="0"/>
    <n v="0"/>
    <x v="3"/>
    <s v="Village"/>
    <x v="7"/>
    <x v="3"/>
    <n v="20.632720946999999"/>
    <n v="92.940132141000007"/>
    <s v="196312"/>
    <x v="1"/>
    <m/>
  </r>
  <r>
    <x v="0"/>
    <x v="3"/>
    <x v="1"/>
    <x v="22"/>
    <x v="265"/>
    <n v="83"/>
    <n v="417"/>
    <m/>
    <m/>
    <m/>
    <m/>
    <s v="No"/>
    <n v="0"/>
    <n v="0"/>
    <n v="0"/>
    <m/>
    <m/>
    <m/>
    <n v="0"/>
    <m/>
    <m/>
    <m/>
    <m/>
    <m/>
    <m/>
    <n v="10"/>
    <m/>
    <m/>
    <n v="0"/>
    <x v="1"/>
    <x v="1"/>
    <m/>
    <m/>
    <m/>
    <n v="0"/>
    <m/>
    <n v="0"/>
    <m/>
    <n v="0"/>
    <m/>
    <m/>
    <m/>
    <m/>
    <s v="no test"/>
    <s v="no test"/>
    <n v="0"/>
    <n v="0"/>
    <n v="0"/>
    <n v="0"/>
    <n v="0"/>
    <n v="0"/>
    <n v="0"/>
    <n v="0"/>
    <n v="0"/>
    <n v="1"/>
    <n v="417"/>
    <n v="1"/>
    <n v="1"/>
    <x v="0"/>
    <n v="10"/>
    <n v="0.14388489208633093"/>
    <n v="60"/>
    <n v="0.86330935251798557"/>
    <n v="60"/>
    <n v="70"/>
    <n v="0"/>
    <s v="N/A"/>
    <n v="0"/>
    <n v="1"/>
    <n v="0"/>
    <n v="0"/>
    <n v="0"/>
    <n v="0"/>
    <n v="0"/>
    <n v="0"/>
    <n v="0"/>
    <n v="0"/>
    <n v="0"/>
    <n v="0"/>
    <n v="0"/>
    <n v="0"/>
    <n v="0"/>
    <n v="0"/>
    <x v="3"/>
    <s v="Village"/>
    <x v="7"/>
    <x v="3"/>
    <n v="20.645240783999999"/>
    <n v="92.939758300999998"/>
    <s v="196313"/>
    <x v="1"/>
    <m/>
  </r>
  <r>
    <x v="0"/>
    <x v="11"/>
    <x v="1"/>
    <x v="23"/>
    <x v="266"/>
    <n v="54"/>
    <n v="264"/>
    <m/>
    <s v="UNICEF"/>
    <d v="2018-02-14T00:00:00"/>
    <n v="0"/>
    <s v="Yes"/>
    <m/>
    <m/>
    <n v="0"/>
    <n v="1"/>
    <n v="0"/>
    <n v="2"/>
    <n v="0"/>
    <m/>
    <m/>
    <m/>
    <m/>
    <m/>
    <m/>
    <n v="3"/>
    <n v="0"/>
    <m/>
    <n v="3"/>
    <x v="2"/>
    <x v="3"/>
    <m/>
    <m/>
    <m/>
    <n v="0"/>
    <s v="Household"/>
    <n v="0"/>
    <n v="0"/>
    <n v="7"/>
    <m/>
    <m/>
    <m/>
    <m/>
    <s v="no test"/>
    <s v="no test"/>
    <n v="1"/>
    <n v="0.94696969696969702"/>
    <n v="0.94696969696969702"/>
    <n v="250"/>
    <n v="1"/>
    <n v="264"/>
    <n v="1"/>
    <n v="264"/>
    <n v="0.52800000000000002"/>
    <n v="0"/>
    <n v="0"/>
    <n v="0.47199999999999998"/>
    <n v="1"/>
    <x v="0"/>
    <n v="3"/>
    <n v="6.8181818181818177E-2"/>
    <n v="18"/>
    <n v="0.93181818181818177"/>
    <n v="41"/>
    <n v="44"/>
    <n v="0"/>
    <s v="N/A"/>
    <n v="0"/>
    <n v="1"/>
    <n v="264"/>
    <n v="0"/>
    <n v="1"/>
    <n v="0"/>
    <n v="0"/>
    <n v="1"/>
    <n v="0"/>
    <n v="0"/>
    <n v="0"/>
    <n v="0"/>
    <n v="0"/>
    <n v="0"/>
    <n v="0"/>
    <n v="0"/>
    <x v="3"/>
    <s v="Village"/>
    <x v="7"/>
    <x v="3"/>
    <n v="19.434253692626999"/>
    <n v="93.742851257324205"/>
    <n v="0"/>
    <x v="0"/>
    <m/>
  </r>
  <r>
    <x v="0"/>
    <x v="11"/>
    <x v="1"/>
    <x v="23"/>
    <x v="267"/>
    <n v="127"/>
    <n v="559"/>
    <m/>
    <s v="UNICEF"/>
    <d v="2018-02-14T00:00:00"/>
    <n v="0"/>
    <s v="Yes"/>
    <m/>
    <m/>
    <n v="0"/>
    <n v="0"/>
    <n v="0"/>
    <n v="5"/>
    <n v="0"/>
    <m/>
    <m/>
    <m/>
    <m/>
    <m/>
    <m/>
    <n v="13"/>
    <n v="0"/>
    <m/>
    <n v="13"/>
    <x v="2"/>
    <x v="3"/>
    <m/>
    <m/>
    <m/>
    <n v="0"/>
    <s v="Household"/>
    <n v="0"/>
    <n v="0"/>
    <n v="7"/>
    <m/>
    <m/>
    <m/>
    <m/>
    <s v="no test"/>
    <s v="no test"/>
    <n v="0"/>
    <n v="0"/>
    <n v="0"/>
    <n v="0"/>
    <n v="1"/>
    <n v="559"/>
    <n v="1"/>
    <n v="559"/>
    <n v="1.1180000000000001"/>
    <n v="0"/>
    <n v="0"/>
    <n v="0"/>
    <n v="1"/>
    <x v="0"/>
    <n v="13"/>
    <n v="0.13953488372093023"/>
    <n v="78"/>
    <n v="0.85867620751341678"/>
    <n v="80"/>
    <n v="93"/>
    <n v="0"/>
    <s v="N/A"/>
    <n v="0"/>
    <n v="1"/>
    <n v="559"/>
    <n v="0"/>
    <n v="1"/>
    <n v="0"/>
    <n v="0"/>
    <n v="1"/>
    <n v="0"/>
    <n v="0"/>
    <n v="0"/>
    <n v="0"/>
    <n v="0"/>
    <n v="0"/>
    <n v="0"/>
    <n v="0"/>
    <x v="3"/>
    <s v="Village"/>
    <x v="7"/>
    <x v="3"/>
    <n v="20.453830718994102"/>
    <n v="92.683090209960895"/>
    <n v="197621"/>
    <x v="0"/>
    <m/>
  </r>
  <r>
    <x v="0"/>
    <x v="11"/>
    <x v="1"/>
    <x v="23"/>
    <x v="268"/>
    <n v="95"/>
    <n v="700"/>
    <m/>
    <s v="UNICEF"/>
    <d v="2018-02-14T00:00:00"/>
    <n v="0"/>
    <s v="Yes"/>
    <m/>
    <m/>
    <n v="0"/>
    <n v="0"/>
    <n v="0"/>
    <n v="3"/>
    <n v="0"/>
    <m/>
    <m/>
    <m/>
    <m/>
    <m/>
    <m/>
    <n v="28"/>
    <n v="0"/>
    <m/>
    <n v="28"/>
    <x v="2"/>
    <x v="3"/>
    <m/>
    <m/>
    <m/>
    <n v="0"/>
    <s v="Household"/>
    <n v="0"/>
    <n v="0"/>
    <n v="7"/>
    <m/>
    <m/>
    <m/>
    <m/>
    <s v="no test"/>
    <s v="no test"/>
    <n v="0"/>
    <n v="0"/>
    <n v="0"/>
    <n v="0"/>
    <n v="1"/>
    <n v="700"/>
    <n v="1"/>
    <n v="700"/>
    <n v="1.4"/>
    <n v="0"/>
    <n v="0"/>
    <n v="0"/>
    <n v="1"/>
    <x v="0"/>
    <n v="28"/>
    <n v="0.24"/>
    <n v="168"/>
    <n v="0.76285714285714279"/>
    <n v="89"/>
    <n v="117"/>
    <n v="0"/>
    <s v="N/A"/>
    <n v="0"/>
    <n v="1"/>
    <n v="700"/>
    <n v="0"/>
    <n v="1"/>
    <n v="0"/>
    <n v="0"/>
    <n v="1"/>
    <n v="0"/>
    <n v="0"/>
    <n v="0"/>
    <n v="0"/>
    <n v="0"/>
    <n v="0"/>
    <n v="0"/>
    <n v="0"/>
    <x v="3"/>
    <s v="Village"/>
    <x v="7"/>
    <x v="3"/>
    <n v="20.463909149169901"/>
    <n v="92.675468444824205"/>
    <n v="197629"/>
    <x v="0"/>
    <m/>
  </r>
  <r>
    <x v="0"/>
    <x v="11"/>
    <x v="1"/>
    <x v="23"/>
    <x v="269"/>
    <n v="20"/>
    <n v="102"/>
    <m/>
    <s v="UNICEF"/>
    <d v="2018-02-14T00:00:00"/>
    <n v="0"/>
    <s v="Yes"/>
    <m/>
    <m/>
    <n v="0"/>
    <n v="0"/>
    <n v="0"/>
    <n v="2"/>
    <n v="0"/>
    <m/>
    <m/>
    <m/>
    <m/>
    <m/>
    <m/>
    <n v="10"/>
    <n v="0"/>
    <m/>
    <n v="10"/>
    <x v="2"/>
    <x v="3"/>
    <m/>
    <m/>
    <m/>
    <n v="0"/>
    <s v="Household"/>
    <n v="0"/>
    <n v="0"/>
    <n v="7"/>
    <m/>
    <m/>
    <m/>
    <m/>
    <s v="no test"/>
    <s v="no test"/>
    <n v="0"/>
    <n v="0"/>
    <n v="0"/>
    <n v="0"/>
    <n v="1"/>
    <n v="102"/>
    <n v="1"/>
    <n v="102"/>
    <n v="0.20399999999999999"/>
    <n v="0"/>
    <n v="0"/>
    <n v="0.79600000000000004"/>
    <n v="1"/>
    <x v="0"/>
    <n v="10"/>
    <n v="0.58823529411764708"/>
    <n v="60"/>
    <n v="0.41176470588235292"/>
    <n v="7"/>
    <n v="17"/>
    <n v="0"/>
    <s v="N/A"/>
    <n v="0"/>
    <n v="1"/>
    <n v="102"/>
    <n v="0"/>
    <n v="1"/>
    <n v="0"/>
    <n v="0"/>
    <n v="1"/>
    <n v="0"/>
    <n v="0"/>
    <n v="0"/>
    <n v="0"/>
    <n v="0"/>
    <n v="0"/>
    <n v="0"/>
    <n v="0"/>
    <x v="3"/>
    <s v="Village"/>
    <x v="7"/>
    <x v="3"/>
    <n v="20.46994972229"/>
    <n v="92.676437377929702"/>
    <n v="197632"/>
    <x v="0"/>
    <m/>
  </r>
  <r>
    <x v="0"/>
    <x v="11"/>
    <x v="1"/>
    <x v="23"/>
    <x v="270"/>
    <n v="90"/>
    <n v="458"/>
    <m/>
    <s v="UNICEF"/>
    <d v="2018-02-14T00:00:00"/>
    <n v="0"/>
    <s v="Yes"/>
    <m/>
    <m/>
    <n v="0"/>
    <n v="0"/>
    <n v="0"/>
    <n v="3"/>
    <n v="0"/>
    <m/>
    <m/>
    <m/>
    <m/>
    <m/>
    <m/>
    <n v="14"/>
    <n v="0"/>
    <m/>
    <n v="14"/>
    <x v="2"/>
    <x v="3"/>
    <m/>
    <m/>
    <m/>
    <n v="0"/>
    <s v="Household"/>
    <n v="0"/>
    <n v="0"/>
    <n v="7"/>
    <m/>
    <m/>
    <m/>
    <m/>
    <s v="no test"/>
    <s v="no test"/>
    <n v="0"/>
    <n v="0"/>
    <n v="0"/>
    <n v="0"/>
    <n v="1"/>
    <n v="458"/>
    <n v="1"/>
    <n v="458"/>
    <n v="0.91600000000000004"/>
    <n v="0"/>
    <n v="0"/>
    <n v="8.3999999999999964E-2"/>
    <n v="1"/>
    <x v="0"/>
    <n v="14"/>
    <n v="0.18340611353711792"/>
    <n v="84"/>
    <n v="0.81222707423580787"/>
    <n v="62"/>
    <n v="76"/>
    <n v="0"/>
    <s v="N/A"/>
    <n v="0"/>
    <n v="1"/>
    <n v="458"/>
    <n v="0"/>
    <n v="1"/>
    <n v="0"/>
    <n v="0"/>
    <n v="1"/>
    <n v="0"/>
    <n v="0"/>
    <n v="0"/>
    <n v="0"/>
    <n v="0"/>
    <n v="0"/>
    <n v="0"/>
    <n v="0"/>
    <x v="3"/>
    <s v="Village"/>
    <x v="7"/>
    <x v="3"/>
    <n v="20.470119476318398"/>
    <n v="92.672653198242202"/>
    <n v="197630"/>
    <x v="0"/>
    <m/>
  </r>
  <r>
    <x v="0"/>
    <x v="11"/>
    <x v="1"/>
    <x v="23"/>
    <x v="228"/>
    <n v="85"/>
    <n v="296"/>
    <m/>
    <s v="UNICEF"/>
    <d v="2018-02-14T00:00:00"/>
    <n v="0"/>
    <s v="Yes"/>
    <m/>
    <m/>
    <n v="0"/>
    <n v="0"/>
    <n v="0"/>
    <n v="2"/>
    <n v="0"/>
    <m/>
    <m/>
    <m/>
    <m/>
    <m/>
    <m/>
    <n v="22"/>
    <n v="0"/>
    <m/>
    <n v="22"/>
    <x v="2"/>
    <x v="3"/>
    <m/>
    <m/>
    <m/>
    <n v="0"/>
    <s v="Household"/>
    <n v="0"/>
    <n v="0"/>
    <n v="7"/>
    <m/>
    <m/>
    <m/>
    <m/>
    <s v="no test"/>
    <s v="no test"/>
    <n v="0"/>
    <n v="0"/>
    <n v="0"/>
    <n v="0"/>
    <n v="1"/>
    <n v="296"/>
    <n v="1"/>
    <n v="296"/>
    <n v="0.59199999999999997"/>
    <n v="0"/>
    <n v="0"/>
    <n v="0.40800000000000003"/>
    <n v="1"/>
    <x v="0"/>
    <n v="22"/>
    <n v="0.44594594594594594"/>
    <n v="132"/>
    <n v="0.54729729729729726"/>
    <n v="27"/>
    <n v="49"/>
    <n v="0"/>
    <s v="N/A"/>
    <n v="0"/>
    <n v="1"/>
    <n v="296"/>
    <n v="0"/>
    <n v="1"/>
    <n v="0"/>
    <n v="0"/>
    <n v="1"/>
    <n v="0"/>
    <n v="0"/>
    <n v="0"/>
    <n v="0"/>
    <n v="0"/>
    <n v="0"/>
    <n v="0"/>
    <n v="0"/>
    <x v="3"/>
    <s v="Village"/>
    <x v="7"/>
    <x v="3"/>
    <n v="20.473930358886701"/>
    <n v="92.668853759765597"/>
    <n v="197631"/>
    <x v="0"/>
    <m/>
  </r>
  <r>
    <x v="0"/>
    <x v="11"/>
    <x v="1"/>
    <x v="23"/>
    <x v="271"/>
    <n v="124"/>
    <n v="705"/>
    <m/>
    <s v="UNICEF"/>
    <d v="2018-02-14T00:00:00"/>
    <n v="0"/>
    <s v="Yes"/>
    <m/>
    <m/>
    <n v="0"/>
    <n v="1"/>
    <n v="0"/>
    <n v="8"/>
    <n v="0"/>
    <m/>
    <m/>
    <m/>
    <m/>
    <m/>
    <m/>
    <n v="57"/>
    <n v="0"/>
    <m/>
    <n v="57"/>
    <x v="2"/>
    <x v="3"/>
    <m/>
    <m/>
    <m/>
    <n v="0"/>
    <s v="Household"/>
    <n v="0"/>
    <n v="0"/>
    <n v="7"/>
    <m/>
    <m/>
    <m/>
    <m/>
    <s v="no test"/>
    <s v="no test"/>
    <n v="1"/>
    <n v="0.3546099290780142"/>
    <n v="0.3546099290780142"/>
    <n v="250"/>
    <n v="1"/>
    <n v="705"/>
    <n v="1"/>
    <n v="705"/>
    <n v="1.41"/>
    <n v="0"/>
    <n v="0"/>
    <n v="0"/>
    <n v="1"/>
    <x v="0"/>
    <n v="57"/>
    <n v="0.48510638297872338"/>
    <n v="342"/>
    <n v="0.51914893617021274"/>
    <n v="61"/>
    <n v="118"/>
    <n v="0"/>
    <s v="N/A"/>
    <n v="0"/>
    <n v="1"/>
    <n v="705"/>
    <n v="0"/>
    <n v="1"/>
    <n v="0"/>
    <n v="0"/>
    <n v="1"/>
    <n v="0"/>
    <n v="0"/>
    <n v="0"/>
    <n v="0"/>
    <n v="0"/>
    <n v="0"/>
    <n v="0"/>
    <n v="0"/>
    <x v="3"/>
    <s v="Village"/>
    <x v="7"/>
    <x v="3"/>
    <n v="20.478969573974599"/>
    <n v="92.683746337890597"/>
    <n v="197617"/>
    <x v="0"/>
    <m/>
  </r>
  <r>
    <x v="0"/>
    <x v="11"/>
    <x v="1"/>
    <x v="23"/>
    <x v="272"/>
    <n v="91"/>
    <n v="409"/>
    <m/>
    <s v="UNICEF"/>
    <d v="2018-02-14T00:00:00"/>
    <n v="0"/>
    <s v="Yes"/>
    <m/>
    <m/>
    <n v="0"/>
    <n v="1"/>
    <n v="0"/>
    <n v="3"/>
    <n v="0"/>
    <m/>
    <m/>
    <m/>
    <m/>
    <m/>
    <m/>
    <n v="42"/>
    <n v="0"/>
    <m/>
    <n v="42"/>
    <x v="2"/>
    <x v="3"/>
    <m/>
    <m/>
    <m/>
    <n v="0"/>
    <s v="Household"/>
    <n v="0"/>
    <n v="0"/>
    <n v="7"/>
    <m/>
    <m/>
    <m/>
    <m/>
    <s v="no test"/>
    <s v="no test"/>
    <n v="1"/>
    <n v="0.61124694376528121"/>
    <n v="0.61124694376528121"/>
    <n v="250.00000000000003"/>
    <n v="1"/>
    <n v="409"/>
    <n v="1"/>
    <n v="409"/>
    <n v="0.81799999999999995"/>
    <n v="0"/>
    <n v="0"/>
    <n v="0.18200000000000005"/>
    <n v="1"/>
    <x v="0"/>
    <n v="42"/>
    <n v="0.61613691931540338"/>
    <n v="251.99999999999997"/>
    <n v="0.38141809290953543"/>
    <n v="26"/>
    <n v="68"/>
    <n v="0"/>
    <s v="N/A"/>
    <n v="0"/>
    <n v="1"/>
    <n v="409"/>
    <n v="0"/>
    <n v="1"/>
    <n v="0"/>
    <n v="0"/>
    <n v="1"/>
    <n v="0"/>
    <n v="0"/>
    <n v="0"/>
    <n v="0"/>
    <n v="0"/>
    <n v="0"/>
    <n v="0"/>
    <n v="0"/>
    <x v="3"/>
    <s v="Village"/>
    <x v="7"/>
    <x v="3"/>
    <n v="20.480100631713899"/>
    <n v="92.704818725585895"/>
    <n v="197618"/>
    <x v="0"/>
    <m/>
  </r>
  <r>
    <x v="0"/>
    <x v="11"/>
    <x v="1"/>
    <x v="23"/>
    <x v="273"/>
    <n v="150"/>
    <n v="1681"/>
    <m/>
    <s v="UNICEF"/>
    <d v="2018-02-14T00:00:00"/>
    <n v="0"/>
    <s v="Yes"/>
    <m/>
    <m/>
    <n v="0"/>
    <n v="0"/>
    <n v="0"/>
    <n v="4"/>
    <n v="0"/>
    <m/>
    <m/>
    <m/>
    <m/>
    <m/>
    <m/>
    <n v="31"/>
    <n v="0"/>
    <m/>
    <n v="31"/>
    <x v="2"/>
    <x v="3"/>
    <m/>
    <m/>
    <m/>
    <n v="0"/>
    <s v="Household"/>
    <n v="0"/>
    <n v="0"/>
    <n v="7"/>
    <m/>
    <m/>
    <m/>
    <m/>
    <s v="no test"/>
    <s v="no test"/>
    <n v="0"/>
    <n v="0"/>
    <n v="0"/>
    <n v="0"/>
    <n v="0.59488399762046396"/>
    <n v="999.99999999999989"/>
    <n v="0.59488399762046396"/>
    <n v="999.99999999999989"/>
    <n v="1.9999999999999998"/>
    <n v="0.40511600237953604"/>
    <n v="681.00000000000011"/>
    <n v="1.0000000000000002"/>
    <n v="3"/>
    <x v="0"/>
    <n v="31"/>
    <n v="0.11064842355740631"/>
    <n v="186"/>
    <n v="0.88875669244497313"/>
    <n v="249"/>
    <n v="280"/>
    <n v="0"/>
    <s v="N/A"/>
    <n v="0"/>
    <n v="1"/>
    <n v="1681"/>
    <n v="0"/>
    <n v="1"/>
    <n v="0"/>
    <n v="0"/>
    <n v="1"/>
    <n v="0"/>
    <n v="0"/>
    <n v="0"/>
    <n v="0"/>
    <n v="0"/>
    <n v="0"/>
    <n v="0"/>
    <n v="0"/>
    <x v="3"/>
    <s v="Village"/>
    <x v="7"/>
    <x v="3"/>
    <n v="20.486930847168001"/>
    <n v="92.662757873535199"/>
    <n v="197614"/>
    <x v="0"/>
    <m/>
  </r>
  <r>
    <x v="0"/>
    <x v="11"/>
    <x v="1"/>
    <x v="23"/>
    <x v="274"/>
    <n v="70"/>
    <n v="380"/>
    <m/>
    <s v="UNICEF"/>
    <d v="2018-02-14T00:00:00"/>
    <n v="0"/>
    <s v="Yes"/>
    <m/>
    <m/>
    <n v="0"/>
    <n v="0"/>
    <n v="0"/>
    <n v="1"/>
    <n v="0"/>
    <m/>
    <m/>
    <m/>
    <m/>
    <m/>
    <m/>
    <n v="16"/>
    <n v="0"/>
    <m/>
    <n v="16"/>
    <x v="2"/>
    <x v="3"/>
    <m/>
    <m/>
    <m/>
    <n v="0"/>
    <s v="Household"/>
    <n v="0"/>
    <n v="0"/>
    <n v="7"/>
    <m/>
    <m/>
    <m/>
    <m/>
    <s v="no test"/>
    <s v="no test"/>
    <n v="0"/>
    <n v="0"/>
    <n v="0"/>
    <n v="0"/>
    <n v="0.65789473684210531"/>
    <n v="250.00000000000003"/>
    <n v="0.65789473684210531"/>
    <n v="250.00000000000003"/>
    <n v="0.50000000000000011"/>
    <n v="0.34210526315789469"/>
    <n v="129.99999999999997"/>
    <n v="0.49999999999999989"/>
    <n v="1"/>
    <x v="0"/>
    <n v="16"/>
    <n v="0.25263157894736843"/>
    <n v="96"/>
    <n v="0.74210526315789471"/>
    <n v="47"/>
    <n v="63"/>
    <n v="0"/>
    <s v="N/A"/>
    <n v="0"/>
    <n v="1"/>
    <n v="380"/>
    <n v="0"/>
    <n v="1"/>
    <n v="0"/>
    <n v="0"/>
    <n v="1"/>
    <n v="0"/>
    <n v="0"/>
    <n v="0"/>
    <n v="0"/>
    <n v="0"/>
    <n v="0"/>
    <n v="0"/>
    <n v="0"/>
    <x v="3"/>
    <s v="Village"/>
    <x v="7"/>
    <x v="3"/>
    <n v="20.502599716186499"/>
    <n v="92.647476196289105"/>
    <n v="197615"/>
    <x v="0"/>
    <m/>
  </r>
  <r>
    <x v="0"/>
    <x v="11"/>
    <x v="1"/>
    <x v="23"/>
    <x v="275"/>
    <n v="367"/>
    <n v="1768"/>
    <m/>
    <s v="UNICEF"/>
    <d v="2018-02-14T00:00:00"/>
    <n v="0"/>
    <s v="Yes"/>
    <m/>
    <m/>
    <n v="0"/>
    <n v="0"/>
    <n v="0"/>
    <n v="3"/>
    <n v="0"/>
    <m/>
    <m/>
    <m/>
    <m/>
    <m/>
    <m/>
    <n v="0"/>
    <n v="0"/>
    <m/>
    <n v="0"/>
    <x v="2"/>
    <x v="3"/>
    <m/>
    <m/>
    <m/>
    <n v="0"/>
    <s v="Household"/>
    <n v="0"/>
    <n v="0"/>
    <n v="7"/>
    <m/>
    <m/>
    <m/>
    <m/>
    <s v="no test"/>
    <s v="no test"/>
    <n v="0"/>
    <n v="0"/>
    <n v="0"/>
    <n v="0"/>
    <n v="0.42420814479638008"/>
    <n v="750"/>
    <n v="0.42420814479638008"/>
    <n v="750"/>
    <n v="1.5"/>
    <n v="0.57579185520361986"/>
    <n v="1017.9999999999999"/>
    <n v="2.5"/>
    <n v="4"/>
    <x v="0"/>
    <n v="0"/>
    <n v="0"/>
    <n v="0"/>
    <n v="1.001131221719457"/>
    <n v="295"/>
    <n v="295"/>
    <n v="0"/>
    <s v="N/A"/>
    <n v="0"/>
    <n v="1"/>
    <n v="1768"/>
    <n v="0"/>
    <n v="1"/>
    <n v="0"/>
    <n v="0"/>
    <n v="1"/>
    <n v="0"/>
    <n v="0"/>
    <n v="0"/>
    <n v="0"/>
    <n v="0"/>
    <n v="0"/>
    <n v="0"/>
    <n v="0"/>
    <x v="3"/>
    <s v="Village"/>
    <x v="7"/>
    <x v="5"/>
    <n v="20.555610656738299"/>
    <n v="92.643516540527301"/>
    <n v="197593"/>
    <x v="0"/>
    <m/>
  </r>
  <r>
    <x v="0"/>
    <x v="11"/>
    <x v="1"/>
    <x v="23"/>
    <x v="276"/>
    <n v="245"/>
    <n v="1292"/>
    <m/>
    <s v="UNICEF"/>
    <d v="2018-02-14T00:00:00"/>
    <n v="0"/>
    <s v="Yes"/>
    <m/>
    <m/>
    <n v="0"/>
    <n v="0"/>
    <n v="0"/>
    <n v="2"/>
    <n v="0"/>
    <m/>
    <m/>
    <m/>
    <m/>
    <m/>
    <m/>
    <n v="0"/>
    <n v="0"/>
    <m/>
    <n v="0"/>
    <x v="2"/>
    <x v="3"/>
    <m/>
    <m/>
    <m/>
    <n v="0"/>
    <s v="Household"/>
    <n v="0"/>
    <n v="0"/>
    <n v="7"/>
    <m/>
    <m/>
    <m/>
    <m/>
    <s v="no test"/>
    <s v="no test"/>
    <n v="0"/>
    <n v="0"/>
    <n v="0"/>
    <n v="0"/>
    <n v="0.38699690402476783"/>
    <n v="500.00000000000006"/>
    <n v="0.38699690402476783"/>
    <n v="500.00000000000006"/>
    <n v="1.0000000000000002"/>
    <n v="0.61300309597523217"/>
    <n v="792"/>
    <n v="1.9999999999999998"/>
    <n v="3"/>
    <x v="0"/>
    <n v="0"/>
    <n v="0"/>
    <n v="0"/>
    <n v="0.99845201238390091"/>
    <n v="215"/>
    <n v="215"/>
    <n v="0"/>
    <s v="N/A"/>
    <n v="0"/>
    <n v="1"/>
    <n v="1292"/>
    <n v="0"/>
    <n v="1"/>
    <n v="0"/>
    <n v="0"/>
    <n v="1"/>
    <n v="0"/>
    <n v="0"/>
    <n v="0"/>
    <n v="0"/>
    <n v="0"/>
    <n v="0"/>
    <n v="0"/>
    <n v="0"/>
    <x v="3"/>
    <s v="Village"/>
    <x v="7"/>
    <x v="3"/>
    <n v="20.569759368896499"/>
    <n v="92.641799926757798"/>
    <s v="197590"/>
    <x v="0"/>
    <m/>
  </r>
  <r>
    <x v="0"/>
    <x v="11"/>
    <x v="1"/>
    <x v="23"/>
    <x v="277"/>
    <n v="280"/>
    <n v="2030"/>
    <m/>
    <s v="UNICEF"/>
    <d v="2018-02-14T00:00:00"/>
    <n v="0"/>
    <s v="Yes"/>
    <m/>
    <m/>
    <n v="0"/>
    <n v="0"/>
    <n v="0"/>
    <n v="3"/>
    <n v="0"/>
    <m/>
    <m/>
    <m/>
    <m/>
    <m/>
    <m/>
    <n v="0"/>
    <n v="0"/>
    <m/>
    <n v="0"/>
    <x v="2"/>
    <x v="3"/>
    <m/>
    <m/>
    <m/>
    <n v="0"/>
    <s v="Household"/>
    <n v="0"/>
    <n v="0"/>
    <n v="7"/>
    <m/>
    <m/>
    <m/>
    <m/>
    <s v="no test"/>
    <s v="no test"/>
    <n v="0"/>
    <n v="0"/>
    <n v="0"/>
    <n v="0"/>
    <n v="0.36945812807881773"/>
    <n v="750"/>
    <n v="0.36945812807881773"/>
    <n v="750"/>
    <n v="1.5"/>
    <n v="0.63054187192118227"/>
    <n v="1280"/>
    <n v="2.5"/>
    <n v="4"/>
    <x v="0"/>
    <n v="0"/>
    <n v="0"/>
    <n v="0"/>
    <n v="0.9990147783251232"/>
    <n v="338"/>
    <n v="338"/>
    <n v="0"/>
    <s v="N/A"/>
    <n v="0"/>
    <n v="1"/>
    <n v="2030"/>
    <n v="0"/>
    <n v="1"/>
    <n v="0"/>
    <n v="0"/>
    <n v="1"/>
    <n v="0"/>
    <n v="0"/>
    <n v="0"/>
    <n v="0"/>
    <n v="0"/>
    <n v="0"/>
    <n v="0"/>
    <n v="0"/>
    <x v="3"/>
    <s v="Village"/>
    <x v="7"/>
    <x v="5"/>
    <n v="20.581470489501999"/>
    <n v="92.643272399902301"/>
    <s v="197591"/>
    <x v="0"/>
    <m/>
  </r>
  <r>
    <x v="0"/>
    <x v="11"/>
    <x v="1"/>
    <x v="23"/>
    <x v="278"/>
    <n v="83"/>
    <n v="450"/>
    <m/>
    <s v="UNICEF"/>
    <d v="2018-02-14T00:00:00"/>
    <n v="0"/>
    <s v="Yes"/>
    <m/>
    <m/>
    <n v="0"/>
    <n v="0"/>
    <n v="0"/>
    <n v="2"/>
    <n v="0"/>
    <m/>
    <m/>
    <m/>
    <m/>
    <m/>
    <m/>
    <n v="17"/>
    <n v="0"/>
    <m/>
    <n v="17"/>
    <x v="2"/>
    <x v="3"/>
    <m/>
    <m/>
    <m/>
    <n v="0"/>
    <s v="Household"/>
    <n v="0"/>
    <n v="0"/>
    <n v="7"/>
    <m/>
    <m/>
    <m/>
    <m/>
    <s v="no test"/>
    <s v="no test"/>
    <n v="0"/>
    <n v="0"/>
    <n v="0"/>
    <n v="0"/>
    <n v="1"/>
    <n v="450"/>
    <n v="1"/>
    <n v="450"/>
    <n v="0.9"/>
    <n v="0"/>
    <n v="0"/>
    <n v="9.9999999999999978E-2"/>
    <n v="1"/>
    <x v="0"/>
    <n v="17"/>
    <n v="0.22666666666666666"/>
    <n v="102"/>
    <n v="0.77333333333333332"/>
    <n v="58"/>
    <n v="75"/>
    <n v="0"/>
    <s v="N/A"/>
    <n v="0"/>
    <n v="1"/>
    <n v="450"/>
    <n v="0"/>
    <n v="1"/>
    <n v="0"/>
    <n v="0"/>
    <n v="1"/>
    <n v="0"/>
    <n v="0"/>
    <n v="0"/>
    <n v="0"/>
    <n v="0"/>
    <n v="0"/>
    <n v="0"/>
    <n v="0"/>
    <x v="3"/>
    <s v="Village"/>
    <x v="7"/>
    <x v="3"/>
    <n v="20.651939392089801"/>
    <n v="92.684577941894503"/>
    <n v="197695"/>
    <x v="0"/>
    <m/>
  </r>
  <r>
    <x v="0"/>
    <x v="11"/>
    <x v="1"/>
    <x v="23"/>
    <x v="279"/>
    <n v="70"/>
    <n v="227"/>
    <m/>
    <s v="UNICEF"/>
    <d v="2018-02-14T00:00:00"/>
    <n v="0"/>
    <s v="Yes"/>
    <m/>
    <m/>
    <n v="0"/>
    <n v="3"/>
    <n v="0"/>
    <n v="0"/>
    <n v="0"/>
    <m/>
    <m/>
    <m/>
    <m/>
    <m/>
    <m/>
    <n v="9"/>
    <n v="0"/>
    <m/>
    <n v="9"/>
    <x v="2"/>
    <x v="3"/>
    <m/>
    <m/>
    <m/>
    <n v="0"/>
    <s v="Household"/>
    <n v="0"/>
    <n v="0"/>
    <n v="7"/>
    <m/>
    <m/>
    <m/>
    <m/>
    <s v="no test"/>
    <s v="no test"/>
    <n v="1"/>
    <n v="1"/>
    <n v="1"/>
    <n v="227"/>
    <n v="0"/>
    <n v="0"/>
    <n v="1"/>
    <n v="227"/>
    <n v="0.45400000000000001"/>
    <n v="0"/>
    <n v="0"/>
    <n v="0.54600000000000004"/>
    <n v="1"/>
    <x v="0"/>
    <n v="9"/>
    <n v="0.23788546255506607"/>
    <n v="54"/>
    <n v="0.76651982378854622"/>
    <n v="29"/>
    <n v="38"/>
    <n v="0"/>
    <s v="N/A"/>
    <n v="0"/>
    <n v="1"/>
    <n v="227"/>
    <n v="0"/>
    <n v="1"/>
    <n v="0"/>
    <n v="0"/>
    <n v="1"/>
    <n v="0"/>
    <n v="0"/>
    <n v="0"/>
    <n v="0"/>
    <n v="0"/>
    <n v="0"/>
    <n v="0"/>
    <n v="0"/>
    <x v="3"/>
    <s v="Village"/>
    <x v="7"/>
    <x v="10"/>
    <n v="20.495670318603501"/>
    <n v="92.651496887207003"/>
    <n v="197616"/>
    <x v="0"/>
    <m/>
  </r>
  <r>
    <x v="0"/>
    <x v="11"/>
    <x v="1"/>
    <x v="23"/>
    <x v="280"/>
    <n v="127"/>
    <n v="710"/>
    <m/>
    <s v="UNICEF"/>
    <d v="2018-08-31T00:00:00"/>
    <n v="0"/>
    <s v="Yes"/>
    <m/>
    <m/>
    <m/>
    <m/>
    <m/>
    <m/>
    <m/>
    <m/>
    <m/>
    <m/>
    <m/>
    <m/>
    <m/>
    <n v="2"/>
    <m/>
    <m/>
    <n v="2"/>
    <x v="2"/>
    <x v="3"/>
    <m/>
    <m/>
    <m/>
    <n v="0"/>
    <s v="Household"/>
    <n v="0"/>
    <n v="0"/>
    <n v="7"/>
    <m/>
    <m/>
    <m/>
    <m/>
    <s v="no test"/>
    <s v="no test"/>
    <n v="0"/>
    <n v="0"/>
    <n v="0"/>
    <n v="0"/>
    <n v="0"/>
    <n v="0"/>
    <n v="0"/>
    <n v="0"/>
    <n v="0"/>
    <n v="1"/>
    <n v="710"/>
    <n v="1"/>
    <n v="1"/>
    <x v="0"/>
    <n v="2"/>
    <n v="1.6901408450704224E-2"/>
    <n v="11.999999999999998"/>
    <n v="0.9802816901408451"/>
    <n v="116"/>
    <n v="118"/>
    <n v="0"/>
    <s v="N/A"/>
    <n v="0"/>
    <n v="1"/>
    <n v="710"/>
    <n v="0"/>
    <n v="1"/>
    <n v="0"/>
    <n v="0"/>
    <n v="1"/>
    <n v="0"/>
    <n v="0"/>
    <n v="0"/>
    <n v="0"/>
    <n v="0"/>
    <n v="0"/>
    <n v="0"/>
    <n v="0"/>
    <x v="3"/>
    <s v="Village"/>
    <x v="7"/>
    <x v="7"/>
    <n v="20.5047302246094"/>
    <n v="92.683113098144503"/>
    <n v="197611"/>
    <x v="0"/>
    <m/>
  </r>
  <r>
    <x v="0"/>
    <x v="11"/>
    <x v="1"/>
    <x v="23"/>
    <x v="281"/>
    <n v="64"/>
    <n v="345"/>
    <m/>
    <s v="UNICEF"/>
    <d v="2018-08-31T00:00:00"/>
    <n v="0"/>
    <s v="Yes"/>
    <m/>
    <m/>
    <m/>
    <m/>
    <m/>
    <m/>
    <m/>
    <m/>
    <m/>
    <m/>
    <m/>
    <m/>
    <m/>
    <n v="3"/>
    <m/>
    <m/>
    <n v="3"/>
    <x v="2"/>
    <x v="3"/>
    <m/>
    <m/>
    <m/>
    <n v="0"/>
    <s v="Household"/>
    <n v="0"/>
    <n v="0"/>
    <n v="7"/>
    <m/>
    <m/>
    <m/>
    <m/>
    <s v="no test"/>
    <s v="no test"/>
    <n v="0"/>
    <n v="0"/>
    <n v="0"/>
    <n v="0"/>
    <n v="0"/>
    <n v="0"/>
    <n v="0"/>
    <n v="0"/>
    <n v="0"/>
    <n v="1"/>
    <n v="345"/>
    <n v="1"/>
    <n v="1"/>
    <x v="0"/>
    <n v="3"/>
    <n v="5.2173913043478258E-2"/>
    <n v="18"/>
    <n v="0.95652173913043481"/>
    <n v="55"/>
    <n v="58"/>
    <n v="0"/>
    <s v="N/A"/>
    <n v="0"/>
    <n v="1"/>
    <n v="345"/>
    <n v="0"/>
    <n v="1"/>
    <n v="0"/>
    <n v="0"/>
    <n v="1"/>
    <n v="0"/>
    <n v="0"/>
    <n v="0"/>
    <n v="0"/>
    <n v="0"/>
    <n v="0"/>
    <n v="0"/>
    <n v="0"/>
    <x v="3"/>
    <s v="Village"/>
    <x v="7"/>
    <x v="7"/>
    <n v="20.497299194335898"/>
    <n v="92.683097839355497"/>
    <n v="197613"/>
    <x v="0"/>
    <m/>
  </r>
  <r>
    <x v="0"/>
    <x v="11"/>
    <x v="1"/>
    <x v="23"/>
    <x v="282"/>
    <n v="140"/>
    <n v="806"/>
    <m/>
    <s v="UNICEF"/>
    <d v="2018-08-31T00:00:00"/>
    <n v="0"/>
    <s v="Yes"/>
    <m/>
    <m/>
    <m/>
    <m/>
    <m/>
    <m/>
    <m/>
    <m/>
    <m/>
    <m/>
    <m/>
    <m/>
    <m/>
    <n v="2"/>
    <m/>
    <m/>
    <n v="2"/>
    <x v="2"/>
    <x v="3"/>
    <m/>
    <m/>
    <m/>
    <n v="0"/>
    <s v="Household"/>
    <n v="0"/>
    <n v="0"/>
    <n v="7"/>
    <m/>
    <m/>
    <m/>
    <m/>
    <s v="no test"/>
    <s v="no test"/>
    <n v="0"/>
    <n v="0"/>
    <n v="0"/>
    <n v="0"/>
    <n v="0"/>
    <n v="0"/>
    <n v="0"/>
    <n v="0"/>
    <n v="0"/>
    <n v="1"/>
    <n v="806"/>
    <n v="2"/>
    <n v="2"/>
    <x v="0"/>
    <n v="2"/>
    <n v="1.488833746898263E-2"/>
    <n v="12"/>
    <n v="0.98263027295285355"/>
    <n v="132"/>
    <n v="134"/>
    <n v="0"/>
    <s v="N/A"/>
    <n v="0"/>
    <n v="1"/>
    <n v="806"/>
    <n v="0"/>
    <n v="1"/>
    <n v="0"/>
    <n v="0"/>
    <n v="1"/>
    <n v="0"/>
    <n v="0"/>
    <n v="0"/>
    <n v="0"/>
    <n v="0"/>
    <n v="0"/>
    <s v="Yes"/>
    <s v="UNHCR"/>
    <x v="3"/>
    <s v="Village"/>
    <x v="10"/>
    <x v="3"/>
    <n v="20.824777999999998"/>
    <n v="92.362196999999995"/>
    <s v="MMR012CMP082"/>
    <x v="0"/>
    <m/>
  </r>
  <r>
    <x v="0"/>
    <x v="3"/>
    <x v="1"/>
    <x v="23"/>
    <x v="283"/>
    <n v="292"/>
    <n v="1751"/>
    <m/>
    <s v="OFDA"/>
    <d v="2018-04-30T00:00:00"/>
    <n v="0"/>
    <s v="Yes"/>
    <n v="0.5"/>
    <n v="0"/>
    <n v="11"/>
    <n v="0"/>
    <n v="0"/>
    <n v="0"/>
    <n v="11"/>
    <m/>
    <m/>
    <m/>
    <m/>
    <m/>
    <s v="no water test"/>
    <n v="192"/>
    <n v="70"/>
    <m/>
    <n v="0"/>
    <x v="1"/>
    <x v="1"/>
    <m/>
    <m/>
    <m/>
    <n v="0"/>
    <m/>
    <n v="341"/>
    <n v="0"/>
    <n v="0"/>
    <m/>
    <m/>
    <m/>
    <m/>
    <s v="no test"/>
    <s v="no test"/>
    <n v="1"/>
    <n v="1"/>
    <n v="1"/>
    <n v="1751"/>
    <n v="0"/>
    <n v="0"/>
    <n v="1"/>
    <n v="1751"/>
    <n v="3.5019999999999998"/>
    <n v="0"/>
    <n v="0"/>
    <n v="0.49800000000000022"/>
    <n v="4"/>
    <x v="0"/>
    <n v="262"/>
    <n v="0.6579097658480868"/>
    <n v="1152"/>
    <n v="0.10279840091376358"/>
    <n v="30"/>
    <n v="292"/>
    <n v="0.26717557251908397"/>
    <s v="N/A"/>
    <n v="0"/>
    <n v="1"/>
    <n v="0"/>
    <n v="0"/>
    <n v="0"/>
    <n v="0"/>
    <n v="0"/>
    <n v="0"/>
    <n v="0"/>
    <n v="0"/>
    <n v="0"/>
    <n v="0"/>
    <n v="0"/>
    <n v="0"/>
    <n v="0"/>
    <n v="0"/>
    <x v="3"/>
    <s v="Village"/>
    <x v="10"/>
    <x v="5"/>
    <n v="20.335864000000001"/>
    <n v="92.785706000000005"/>
    <s v="MMR012CMP031"/>
    <x v="1"/>
    <m/>
  </r>
  <r>
    <x v="0"/>
    <x v="3"/>
    <x v="1"/>
    <x v="23"/>
    <x v="284"/>
    <n v="46"/>
    <n v="227"/>
    <m/>
    <s v="OFDA"/>
    <d v="2018-04-30T00:00:00"/>
    <n v="0"/>
    <s v="No"/>
    <n v="0"/>
    <n v="0"/>
    <n v="3"/>
    <n v="0"/>
    <n v="0"/>
    <n v="0"/>
    <n v="3"/>
    <m/>
    <m/>
    <m/>
    <m/>
    <m/>
    <s v="no water test"/>
    <n v="51"/>
    <n v="23"/>
    <m/>
    <n v="0"/>
    <x v="1"/>
    <x v="1"/>
    <m/>
    <m/>
    <m/>
    <n v="0"/>
    <m/>
    <n v="46"/>
    <n v="0"/>
    <n v="0"/>
    <m/>
    <m/>
    <m/>
    <m/>
    <s v="no test"/>
    <s v="no test"/>
    <n v="1"/>
    <n v="1"/>
    <n v="1"/>
    <n v="227"/>
    <n v="0"/>
    <n v="0"/>
    <n v="1"/>
    <n v="227"/>
    <n v="0.45400000000000001"/>
    <n v="0"/>
    <n v="0"/>
    <n v="0.54600000000000004"/>
    <n v="1"/>
    <x v="0"/>
    <n v="74"/>
    <n v="1"/>
    <n v="227"/>
    <n v="0"/>
    <n v="0"/>
    <n v="38"/>
    <n v="0.3108108108108108"/>
    <s v="N/A"/>
    <n v="0"/>
    <n v="1"/>
    <n v="0"/>
    <n v="0"/>
    <n v="0"/>
    <n v="0"/>
    <n v="0"/>
    <n v="0"/>
    <n v="0"/>
    <n v="0"/>
    <n v="0"/>
    <n v="0"/>
    <n v="0"/>
    <n v="0"/>
    <n v="0"/>
    <n v="0"/>
    <x v="3"/>
    <s v="Village"/>
    <x v="7"/>
    <x v="3"/>
    <n v="20.339799880981399"/>
    <n v="92.782653808593807"/>
    <s v="197779"/>
    <x v="1"/>
    <m/>
  </r>
  <r>
    <x v="0"/>
    <x v="3"/>
    <x v="1"/>
    <x v="23"/>
    <x v="285"/>
    <n v="425"/>
    <n v="2552"/>
    <m/>
    <s v="OFDA"/>
    <d v="2018-04-30T00:00:00"/>
    <m/>
    <s v="Yes"/>
    <n v="0.5"/>
    <n v="0"/>
    <n v="48"/>
    <n v="0"/>
    <n v="0"/>
    <n v="0"/>
    <n v="48"/>
    <m/>
    <m/>
    <m/>
    <m/>
    <m/>
    <s v="no water test"/>
    <n v="328"/>
    <n v="0"/>
    <m/>
    <n v="0"/>
    <x v="1"/>
    <x v="1"/>
    <m/>
    <m/>
    <m/>
    <n v="0"/>
    <m/>
    <n v="580"/>
    <n v="0"/>
    <n v="0"/>
    <m/>
    <m/>
    <m/>
    <m/>
    <s v="no test"/>
    <s v="no test"/>
    <n v="1"/>
    <n v="1"/>
    <n v="1"/>
    <n v="2552"/>
    <n v="0"/>
    <n v="0"/>
    <n v="1"/>
    <n v="2552"/>
    <n v="5.1040000000000001"/>
    <n v="0"/>
    <n v="0"/>
    <n v="0"/>
    <n v="5"/>
    <x v="0"/>
    <n v="328"/>
    <n v="0.7711598746081505"/>
    <n v="1968"/>
    <n v="0.2280564263322884"/>
    <n v="97"/>
    <n v="425"/>
    <n v="0"/>
    <s v="N/A"/>
    <n v="0"/>
    <n v="1"/>
    <n v="0"/>
    <n v="0"/>
    <n v="0"/>
    <n v="0"/>
    <n v="0"/>
    <n v="0"/>
    <n v="0"/>
    <n v="0"/>
    <n v="0"/>
    <n v="0"/>
    <n v="0"/>
    <n v="0"/>
    <n v="0"/>
    <n v="0"/>
    <x v="3"/>
    <s v="Village"/>
    <x v="10"/>
    <x v="5"/>
    <n v="20.399269"/>
    <n v="92.781294000000003"/>
    <s v="MMR012CMP032"/>
    <x v="1"/>
    <m/>
  </r>
  <r>
    <x v="0"/>
    <x v="13"/>
    <x v="1"/>
    <x v="24"/>
    <x v="286"/>
    <n v="400"/>
    <n v="2248"/>
    <m/>
    <s v="OFDA/UNICEF"/>
    <d v="2018-06-15T00:00:00"/>
    <n v="20"/>
    <s v="Yes"/>
    <n v="0"/>
    <n v="0"/>
    <n v="0"/>
    <n v="13"/>
    <n v="0"/>
    <n v="1"/>
    <m/>
    <n v="13"/>
    <n v="11"/>
    <n v="13"/>
    <n v="10"/>
    <n v="0"/>
    <m/>
    <n v="118"/>
    <n v="24"/>
    <n v="3"/>
    <n v="142"/>
    <x v="0"/>
    <x v="0"/>
    <n v="0"/>
    <n v="0"/>
    <m/>
    <n v="0"/>
    <s v="Both"/>
    <n v="399"/>
    <n v="0"/>
    <n v="10"/>
    <n v="400"/>
    <n v="400"/>
    <m/>
    <m/>
    <n v="0.84615384615384615"/>
    <n v="0.76923076923076927"/>
    <n v="1"/>
    <n v="1"/>
    <n v="1"/>
    <n v="2248"/>
    <n v="0.11120996441281139"/>
    <n v="250"/>
    <n v="1"/>
    <n v="2248"/>
    <n v="4.4960000000000004"/>
    <n v="0"/>
    <n v="0"/>
    <n v="0"/>
    <n v="4"/>
    <x v="1"/>
    <n v="142"/>
    <n v="1"/>
    <n v="2248"/>
    <n v="0"/>
    <n v="0"/>
    <n v="112"/>
    <n v="0.16901408450704225"/>
    <n v="60"/>
    <n v="1"/>
    <n v="0"/>
    <n v="2248"/>
    <n v="1"/>
    <n v="1"/>
    <n v="1"/>
    <n v="2248"/>
    <n v="1"/>
    <n v="1"/>
    <n v="1"/>
    <n v="2000"/>
    <n v="2000"/>
    <n v="2000"/>
    <n v="0"/>
    <s v="Yes"/>
    <s v="LWF"/>
    <x v="0"/>
    <s v="Camp"/>
    <x v="8"/>
    <x v="5"/>
    <n v="20.181778000000001"/>
    <n v="92.823166999999998"/>
    <s v="MMR012CMP042"/>
    <x v="0"/>
    <m/>
  </r>
  <r>
    <x v="0"/>
    <x v="16"/>
    <x v="1"/>
    <x v="24"/>
    <x v="287"/>
    <n v="673"/>
    <n v="3095"/>
    <m/>
    <s v="OFDA/UNICEF"/>
    <d v="2018-06-15T00:00:00"/>
    <n v="20"/>
    <s v="Yes"/>
    <n v="0"/>
    <n v="0"/>
    <n v="0"/>
    <n v="24"/>
    <n v="0"/>
    <n v="0"/>
    <m/>
    <n v="24"/>
    <n v="21"/>
    <n v="24"/>
    <n v="16"/>
    <m/>
    <m/>
    <n v="188"/>
    <n v="15"/>
    <n v="3"/>
    <n v="203"/>
    <x v="0"/>
    <x v="0"/>
    <m/>
    <m/>
    <s v="construction of latrines ongoing"/>
    <n v="0"/>
    <s v="Both"/>
    <n v="592"/>
    <n v="0"/>
    <n v="12"/>
    <n v="673"/>
    <n v="673"/>
    <m/>
    <m/>
    <n v="0.875"/>
    <n v="0.66666666666666663"/>
    <n v="1"/>
    <n v="1"/>
    <n v="1"/>
    <n v="3095"/>
    <n v="0"/>
    <n v="0"/>
    <n v="1"/>
    <n v="3095"/>
    <n v="6.19"/>
    <n v="0"/>
    <n v="0"/>
    <n v="0"/>
    <n v="6"/>
    <x v="1"/>
    <n v="203"/>
    <n v="1"/>
    <n v="3095"/>
    <n v="0"/>
    <n v="0"/>
    <n v="155"/>
    <n v="7.3891625615763554E-2"/>
    <n v="60"/>
    <n v="1"/>
    <n v="0"/>
    <n v="3095"/>
    <n v="1"/>
    <n v="1"/>
    <n v="1"/>
    <n v="3095"/>
    <n v="1"/>
    <n v="1"/>
    <n v="1"/>
    <n v="3365"/>
    <n v="3365"/>
    <n v="3365"/>
    <n v="0"/>
    <s v="Yes"/>
    <s v="DRC"/>
    <x v="0"/>
    <s v="Camp"/>
    <x v="8"/>
    <x v="5"/>
    <n v="20.206778"/>
    <n v="92.774193999999994"/>
    <s v="MMR012CMP098"/>
    <x v="0"/>
    <m/>
  </r>
  <r>
    <x v="0"/>
    <x v="16"/>
    <x v="1"/>
    <x v="24"/>
    <x v="288"/>
    <n v="249"/>
    <n v="1362"/>
    <m/>
    <s v="OFDA/UNICEF"/>
    <d v="2018-06-15T00:00:00"/>
    <n v="20"/>
    <s v="Yes"/>
    <n v="0"/>
    <n v="0"/>
    <n v="0"/>
    <n v="15"/>
    <n v="0"/>
    <n v="1"/>
    <n v="17"/>
    <n v="13"/>
    <n v="11"/>
    <n v="13"/>
    <n v="9"/>
    <m/>
    <m/>
    <n v="249"/>
    <n v="0"/>
    <m/>
    <n v="249"/>
    <x v="2"/>
    <x v="0"/>
    <m/>
    <m/>
    <m/>
    <n v="0"/>
    <s v="Household"/>
    <n v="0"/>
    <n v="0"/>
    <n v="4"/>
    <n v="249"/>
    <n v="249"/>
    <m/>
    <m/>
    <n v="0.84615384615384615"/>
    <n v="0.69230769230769229"/>
    <n v="1"/>
    <n v="1"/>
    <n v="1"/>
    <n v="1362"/>
    <n v="0.18355359765051396"/>
    <n v="250.00000000000003"/>
    <n v="1"/>
    <n v="1362"/>
    <n v="2.7240000000000002"/>
    <n v="0"/>
    <n v="0"/>
    <n v="0.2759999999999998"/>
    <n v="3"/>
    <x v="1"/>
    <n v="249"/>
    <n v="1"/>
    <n v="1362"/>
    <n v="0"/>
    <n v="0"/>
    <n v="227"/>
    <n v="0"/>
    <s v="N/A"/>
    <n v="1"/>
    <n v="0"/>
    <n v="1362"/>
    <n v="1"/>
    <n v="1"/>
    <n v="1"/>
    <n v="1362"/>
    <n v="1"/>
    <n v="1"/>
    <n v="1"/>
    <n v="1245"/>
    <n v="1245"/>
    <n v="1245"/>
    <n v="0"/>
    <n v="0"/>
    <n v="0"/>
    <x v="3"/>
    <s v="Village"/>
    <x v="9"/>
    <x v="3"/>
    <n v="20.151471999999998"/>
    <n v="92.887277999999995"/>
    <s v="MMR012CMP111"/>
    <x v="0"/>
    <m/>
  </r>
  <r>
    <x v="0"/>
    <x v="17"/>
    <x v="1"/>
    <x v="24"/>
    <x v="289"/>
    <n v="400"/>
    <n v="2187"/>
    <m/>
    <s v="ECHO"/>
    <d v="2018-10-31T00:00:00"/>
    <n v="0"/>
    <s v="No"/>
    <n v="0"/>
    <n v="0"/>
    <n v="0"/>
    <n v="28"/>
    <n v="0"/>
    <n v="0"/>
    <n v="0"/>
    <m/>
    <m/>
    <m/>
    <m/>
    <m/>
    <m/>
    <n v="98"/>
    <n v="0"/>
    <n v="65"/>
    <n v="0"/>
    <x v="0"/>
    <x v="0"/>
    <m/>
    <m/>
    <m/>
    <n v="0"/>
    <s v="Household"/>
    <n v="0"/>
    <n v="0"/>
    <n v="9"/>
    <n v="400"/>
    <n v="400"/>
    <s v="No"/>
    <m/>
    <s v="no test"/>
    <s v="no test"/>
    <n v="1"/>
    <n v="1"/>
    <n v="1"/>
    <n v="2187"/>
    <n v="0"/>
    <n v="0"/>
    <n v="1"/>
    <n v="2187"/>
    <n v="4.3739999999999997"/>
    <n v="0"/>
    <n v="0"/>
    <n v="0"/>
    <n v="4"/>
    <x v="0"/>
    <n v="98"/>
    <n v="0.89620484682213075"/>
    <n v="1960"/>
    <n v="0.1005944215820759"/>
    <n v="11"/>
    <n v="109"/>
    <n v="0"/>
    <n v="1300"/>
    <n v="1"/>
    <n v="0"/>
    <n v="2187"/>
    <n v="1"/>
    <n v="1"/>
    <n v="1"/>
    <n v="2187"/>
    <n v="1"/>
    <n v="1"/>
    <n v="1"/>
    <n v="2000"/>
    <n v="2000"/>
    <n v="2000"/>
    <n v="0"/>
    <n v="0"/>
    <n v="0"/>
    <x v="0"/>
    <s v="Camp"/>
    <x v="4"/>
    <x v="5"/>
    <n v="20.207284999999999"/>
    <n v="92.788177000000005"/>
    <s v="MMR012CMP044"/>
    <x v="0"/>
    <m/>
  </r>
  <r>
    <x v="0"/>
    <x v="17"/>
    <x v="1"/>
    <x v="24"/>
    <x v="290"/>
    <n v="2256"/>
    <n v="12121"/>
    <m/>
    <s v="ECHO"/>
    <d v="2018-10-31T00:00:00"/>
    <n v="0"/>
    <s v="No"/>
    <n v="0"/>
    <n v="0"/>
    <n v="0"/>
    <n v="82"/>
    <n v="0"/>
    <n v="0"/>
    <n v="73"/>
    <n v="118"/>
    <n v="85"/>
    <n v="0"/>
    <n v="0"/>
    <n v="0"/>
    <m/>
    <n v="608"/>
    <n v="76"/>
    <n v="109"/>
    <n v="0"/>
    <x v="0"/>
    <x v="0"/>
    <n v="0"/>
    <n v="0"/>
    <m/>
    <n v="0"/>
    <s v="Household"/>
    <n v="0"/>
    <n v="0"/>
    <n v="29"/>
    <n v="2256"/>
    <n v="2256"/>
    <s v="No"/>
    <m/>
    <n v="0.72033898305084743"/>
    <s v="no test"/>
    <n v="1"/>
    <n v="1"/>
    <n v="1"/>
    <n v="12121"/>
    <n v="0"/>
    <n v="0"/>
    <n v="1"/>
    <n v="12121"/>
    <n v="24.242000000000001"/>
    <n v="0"/>
    <n v="0"/>
    <n v="0"/>
    <n v="24"/>
    <x v="1"/>
    <n v="684"/>
    <n v="1"/>
    <n v="12121"/>
    <n v="0"/>
    <n v="0"/>
    <n v="606"/>
    <n v="0.1111111111111111"/>
    <n v="2180"/>
    <n v="1"/>
    <n v="0"/>
    <n v="12121"/>
    <n v="1"/>
    <n v="1"/>
    <n v="1"/>
    <n v="12121"/>
    <n v="1"/>
    <n v="1"/>
    <n v="1"/>
    <n v="11280"/>
    <n v="11280"/>
    <n v="11280"/>
    <n v="0"/>
    <s v="Yes"/>
    <s v="LWF"/>
    <x v="0"/>
    <s v="Camp"/>
    <x v="8"/>
    <x v="5"/>
    <n v="20.185092000000001"/>
    <n v="92.802295999999998"/>
    <s v="MMR012CMP116"/>
    <x v="0"/>
    <m/>
  </r>
  <r>
    <x v="0"/>
    <x v="14"/>
    <x v="1"/>
    <x v="24"/>
    <x v="291"/>
    <n v="43"/>
    <n v="213"/>
    <m/>
    <m/>
    <m/>
    <m/>
    <m/>
    <m/>
    <m/>
    <n v="0"/>
    <n v="5"/>
    <m/>
    <m/>
    <m/>
    <m/>
    <m/>
    <m/>
    <m/>
    <m/>
    <m/>
    <n v="0"/>
    <m/>
    <m/>
    <m/>
    <x v="1"/>
    <x v="1"/>
    <m/>
    <m/>
    <m/>
    <m/>
    <m/>
    <m/>
    <m/>
    <m/>
    <m/>
    <m/>
    <m/>
    <m/>
    <s v="no test"/>
    <s v="no test"/>
    <n v="1"/>
    <n v="1"/>
    <n v="1"/>
    <n v="213"/>
    <n v="0"/>
    <n v="0"/>
    <n v="1"/>
    <n v="213"/>
    <n v="0.42599999999999999"/>
    <n v="0"/>
    <n v="0"/>
    <n v="0.57400000000000007"/>
    <n v="1"/>
    <x v="0"/>
    <n v="0"/>
    <n v="0"/>
    <n v="0"/>
    <n v="1.0140845070422535"/>
    <n v="36"/>
    <n v="36"/>
    <n v="0"/>
    <s v="N/A"/>
    <n v="0"/>
    <n v="1"/>
    <n v="0"/>
    <n v="0"/>
    <n v="0"/>
    <n v="0"/>
    <n v="0"/>
    <n v="0"/>
    <n v="0"/>
    <n v="0"/>
    <n v="0"/>
    <n v="0"/>
    <n v="0"/>
    <n v="0"/>
    <n v="0"/>
    <n v="0"/>
    <x v="2"/>
    <s v="Village"/>
    <x v="6"/>
    <x v="5"/>
    <n v="0"/>
    <n v="0"/>
    <n v="0"/>
    <x v="0"/>
    <m/>
  </r>
  <r>
    <x v="0"/>
    <x v="14"/>
    <x v="1"/>
    <x v="24"/>
    <x v="292"/>
    <n v="8"/>
    <n v="44"/>
    <m/>
    <m/>
    <m/>
    <m/>
    <m/>
    <m/>
    <m/>
    <n v="0"/>
    <n v="1"/>
    <m/>
    <m/>
    <m/>
    <m/>
    <m/>
    <m/>
    <m/>
    <m/>
    <m/>
    <n v="0"/>
    <m/>
    <m/>
    <m/>
    <x v="1"/>
    <x v="1"/>
    <m/>
    <m/>
    <m/>
    <m/>
    <m/>
    <m/>
    <m/>
    <m/>
    <m/>
    <m/>
    <m/>
    <m/>
    <s v="no test"/>
    <s v="no test"/>
    <n v="1"/>
    <n v="1"/>
    <n v="1"/>
    <n v="44"/>
    <n v="0"/>
    <n v="0"/>
    <n v="1"/>
    <n v="44"/>
    <n v="8.7999999999999995E-2"/>
    <n v="0"/>
    <n v="0"/>
    <n v="0.91200000000000003"/>
    <n v="1"/>
    <x v="0"/>
    <n v="0"/>
    <n v="0"/>
    <n v="0"/>
    <n v="0.95454545454545459"/>
    <n v="7"/>
    <n v="7"/>
    <n v="0"/>
    <s v="N/A"/>
    <n v="0"/>
    <n v="1"/>
    <n v="0"/>
    <n v="0"/>
    <n v="0"/>
    <n v="0"/>
    <n v="0"/>
    <n v="0"/>
    <n v="0"/>
    <n v="0"/>
    <n v="0"/>
    <n v="0"/>
    <n v="0"/>
    <n v="0"/>
    <n v="0"/>
    <n v="0"/>
    <x v="2"/>
    <s v="Village"/>
    <x v="6"/>
    <x v="5"/>
    <n v="0"/>
    <n v="0"/>
    <n v="0"/>
    <x v="0"/>
    <m/>
  </r>
  <r>
    <x v="0"/>
    <x v="14"/>
    <x v="1"/>
    <x v="24"/>
    <x v="293"/>
    <n v="27"/>
    <n v="175"/>
    <m/>
    <m/>
    <m/>
    <m/>
    <m/>
    <m/>
    <m/>
    <n v="0"/>
    <n v="4"/>
    <m/>
    <m/>
    <m/>
    <m/>
    <m/>
    <m/>
    <m/>
    <m/>
    <m/>
    <n v="0"/>
    <m/>
    <m/>
    <m/>
    <x v="1"/>
    <x v="1"/>
    <m/>
    <m/>
    <m/>
    <m/>
    <m/>
    <m/>
    <m/>
    <m/>
    <m/>
    <m/>
    <m/>
    <m/>
    <s v="no test"/>
    <s v="no test"/>
    <n v="1"/>
    <n v="1"/>
    <n v="1"/>
    <n v="175"/>
    <n v="0"/>
    <n v="0"/>
    <n v="1"/>
    <n v="175"/>
    <n v="0.35"/>
    <n v="0"/>
    <n v="0"/>
    <n v="0.65"/>
    <n v="1"/>
    <x v="0"/>
    <n v="0"/>
    <n v="0"/>
    <n v="0"/>
    <n v="0.99428571428571422"/>
    <n v="29"/>
    <n v="29"/>
    <n v="0"/>
    <s v="N/A"/>
    <n v="0"/>
    <n v="1"/>
    <n v="0"/>
    <n v="0"/>
    <n v="0"/>
    <n v="0"/>
    <n v="0"/>
    <n v="0"/>
    <n v="0"/>
    <n v="0"/>
    <n v="0"/>
    <n v="0"/>
    <n v="0"/>
    <n v="0"/>
    <n v="0"/>
    <n v="0"/>
    <x v="2"/>
    <s v="Village"/>
    <x v="6"/>
    <x v="5"/>
    <n v="20.1438598632813"/>
    <n v="92.867576599121094"/>
    <n v="196200"/>
    <x v="0"/>
    <m/>
  </r>
  <r>
    <x v="0"/>
    <x v="14"/>
    <x v="1"/>
    <x v="24"/>
    <x v="294"/>
    <n v="8"/>
    <n v="38"/>
    <m/>
    <m/>
    <m/>
    <m/>
    <m/>
    <m/>
    <m/>
    <n v="0"/>
    <n v="1"/>
    <m/>
    <m/>
    <m/>
    <m/>
    <m/>
    <m/>
    <m/>
    <m/>
    <m/>
    <n v="0"/>
    <m/>
    <m/>
    <m/>
    <x v="1"/>
    <x v="1"/>
    <m/>
    <m/>
    <m/>
    <m/>
    <m/>
    <m/>
    <m/>
    <m/>
    <m/>
    <m/>
    <m/>
    <m/>
    <s v="no test"/>
    <s v="no test"/>
    <n v="1"/>
    <n v="1"/>
    <n v="1"/>
    <n v="38"/>
    <n v="0"/>
    <n v="0"/>
    <n v="1"/>
    <n v="38"/>
    <n v="7.5999999999999998E-2"/>
    <n v="0"/>
    <n v="0"/>
    <n v="0.92400000000000004"/>
    <n v="1"/>
    <x v="0"/>
    <n v="0"/>
    <n v="0"/>
    <n v="0"/>
    <n v="0.94736842105263164"/>
    <n v="6"/>
    <n v="6"/>
    <n v="0"/>
    <s v="N/A"/>
    <n v="0"/>
    <n v="1"/>
    <n v="0"/>
    <n v="0"/>
    <n v="0"/>
    <n v="0"/>
    <n v="0"/>
    <n v="0"/>
    <n v="0"/>
    <n v="0"/>
    <n v="0"/>
    <n v="0"/>
    <n v="0"/>
    <n v="0"/>
    <n v="0"/>
    <n v="0"/>
    <x v="2"/>
    <s v="Village"/>
    <x v="6"/>
    <x v="5"/>
    <n v="20.183790206909201"/>
    <n v="92.864143371582003"/>
    <n v="196197"/>
    <x v="0"/>
    <m/>
  </r>
  <r>
    <x v="0"/>
    <x v="14"/>
    <x v="1"/>
    <x v="24"/>
    <x v="295"/>
    <n v="17"/>
    <n v="74"/>
    <m/>
    <m/>
    <m/>
    <m/>
    <m/>
    <m/>
    <m/>
    <n v="0"/>
    <n v="2"/>
    <m/>
    <m/>
    <m/>
    <m/>
    <m/>
    <m/>
    <m/>
    <m/>
    <m/>
    <n v="0"/>
    <m/>
    <m/>
    <m/>
    <x v="1"/>
    <x v="1"/>
    <m/>
    <m/>
    <m/>
    <m/>
    <m/>
    <m/>
    <m/>
    <m/>
    <m/>
    <m/>
    <m/>
    <m/>
    <s v="no test"/>
    <s v="no test"/>
    <n v="1"/>
    <n v="1"/>
    <n v="1"/>
    <n v="74"/>
    <n v="0"/>
    <n v="0"/>
    <n v="1"/>
    <n v="74"/>
    <n v="0.14799999999999999"/>
    <n v="0"/>
    <n v="0"/>
    <n v="0.85199999999999998"/>
    <n v="1"/>
    <x v="0"/>
    <n v="0"/>
    <n v="0"/>
    <n v="0"/>
    <n v="0.97297297297297292"/>
    <n v="12"/>
    <n v="12"/>
    <n v="0"/>
    <s v="N/A"/>
    <n v="0"/>
    <n v="1"/>
    <n v="0"/>
    <n v="0"/>
    <n v="0"/>
    <n v="0"/>
    <n v="0"/>
    <n v="0"/>
    <n v="0"/>
    <n v="0"/>
    <n v="0"/>
    <n v="0"/>
    <n v="0"/>
    <n v="0"/>
    <n v="0"/>
    <n v="0"/>
    <x v="2"/>
    <s v="Village"/>
    <x v="6"/>
    <x v="5"/>
    <n v="20.1934604644775"/>
    <n v="92.867782592773395"/>
    <n v="196147"/>
    <x v="0"/>
    <m/>
  </r>
  <r>
    <x v="0"/>
    <x v="14"/>
    <x v="1"/>
    <x v="24"/>
    <x v="296"/>
    <n v="26"/>
    <n v="105"/>
    <m/>
    <m/>
    <m/>
    <m/>
    <m/>
    <m/>
    <m/>
    <n v="0"/>
    <n v="3"/>
    <m/>
    <m/>
    <m/>
    <m/>
    <m/>
    <m/>
    <m/>
    <m/>
    <m/>
    <n v="0"/>
    <m/>
    <m/>
    <m/>
    <x v="1"/>
    <x v="1"/>
    <m/>
    <m/>
    <m/>
    <m/>
    <m/>
    <m/>
    <m/>
    <m/>
    <m/>
    <m/>
    <m/>
    <m/>
    <s v="no test"/>
    <s v="no test"/>
    <n v="1"/>
    <n v="1"/>
    <n v="1"/>
    <n v="105"/>
    <n v="0"/>
    <n v="0"/>
    <n v="1"/>
    <n v="105"/>
    <n v="0.21"/>
    <n v="0"/>
    <n v="0"/>
    <n v="0.79"/>
    <n v="1"/>
    <x v="0"/>
    <n v="0"/>
    <n v="0"/>
    <n v="0"/>
    <n v="1.0285714285714285"/>
    <n v="18"/>
    <n v="18"/>
    <n v="0"/>
    <s v="N/A"/>
    <n v="0"/>
    <n v="1"/>
    <n v="0"/>
    <n v="0"/>
    <n v="0"/>
    <n v="0"/>
    <n v="0"/>
    <n v="0"/>
    <n v="0"/>
    <n v="0"/>
    <n v="0"/>
    <n v="0"/>
    <n v="0"/>
    <n v="0"/>
    <n v="0"/>
    <n v="0"/>
    <x v="2"/>
    <s v="Village"/>
    <x v="6"/>
    <x v="5"/>
    <n v="20.194370269775401"/>
    <n v="92.834007263183594"/>
    <n v="196128"/>
    <x v="0"/>
    <m/>
  </r>
  <r>
    <x v="0"/>
    <x v="14"/>
    <x v="1"/>
    <x v="24"/>
    <x v="297"/>
    <n v="8"/>
    <n v="49"/>
    <m/>
    <m/>
    <m/>
    <m/>
    <m/>
    <m/>
    <m/>
    <n v="0"/>
    <n v="2"/>
    <m/>
    <m/>
    <m/>
    <m/>
    <m/>
    <m/>
    <m/>
    <m/>
    <m/>
    <n v="0"/>
    <m/>
    <m/>
    <m/>
    <x v="1"/>
    <x v="1"/>
    <m/>
    <m/>
    <m/>
    <m/>
    <m/>
    <m/>
    <m/>
    <m/>
    <m/>
    <m/>
    <m/>
    <m/>
    <s v="no test"/>
    <s v="no test"/>
    <n v="1"/>
    <n v="1"/>
    <n v="1"/>
    <n v="49"/>
    <n v="0"/>
    <n v="0"/>
    <n v="1"/>
    <n v="49"/>
    <n v="9.8000000000000004E-2"/>
    <n v="0"/>
    <n v="0"/>
    <n v="0.90200000000000002"/>
    <n v="1"/>
    <x v="0"/>
    <n v="0"/>
    <n v="0"/>
    <n v="0"/>
    <n v="0.97959183673469397"/>
    <n v="8"/>
    <n v="8"/>
    <n v="0"/>
    <s v="N/A"/>
    <n v="0"/>
    <n v="1"/>
    <n v="0"/>
    <n v="0"/>
    <n v="0"/>
    <n v="0"/>
    <n v="0"/>
    <n v="0"/>
    <n v="0"/>
    <n v="0"/>
    <n v="0"/>
    <n v="0"/>
    <n v="0"/>
    <n v="0"/>
    <n v="0"/>
    <n v="0"/>
    <x v="2"/>
    <s v="Village"/>
    <x v="6"/>
    <x v="5"/>
    <n v="20.204370498657202"/>
    <n v="92.780357360839801"/>
    <n v="196158"/>
    <x v="0"/>
    <m/>
  </r>
  <r>
    <x v="0"/>
    <x v="14"/>
    <x v="1"/>
    <x v="24"/>
    <x v="298"/>
    <n v="17"/>
    <n v="86"/>
    <m/>
    <m/>
    <m/>
    <m/>
    <m/>
    <m/>
    <m/>
    <n v="0"/>
    <n v="1"/>
    <m/>
    <m/>
    <m/>
    <m/>
    <m/>
    <m/>
    <m/>
    <m/>
    <m/>
    <n v="0"/>
    <m/>
    <m/>
    <m/>
    <x v="1"/>
    <x v="1"/>
    <m/>
    <m/>
    <m/>
    <m/>
    <m/>
    <m/>
    <m/>
    <m/>
    <m/>
    <m/>
    <m/>
    <m/>
    <s v="no test"/>
    <s v="no test"/>
    <n v="1"/>
    <n v="1"/>
    <n v="1"/>
    <n v="86"/>
    <n v="0"/>
    <n v="0"/>
    <n v="1"/>
    <n v="86"/>
    <n v="0.17199999999999999"/>
    <n v="0"/>
    <n v="0"/>
    <n v="0.82800000000000007"/>
    <n v="1"/>
    <x v="0"/>
    <n v="0"/>
    <n v="0"/>
    <n v="0"/>
    <n v="0.97674418604651159"/>
    <n v="14"/>
    <n v="14"/>
    <n v="0"/>
    <s v="N/A"/>
    <n v="0"/>
    <n v="1"/>
    <n v="0"/>
    <n v="0"/>
    <n v="0"/>
    <n v="0"/>
    <n v="0"/>
    <n v="0"/>
    <n v="0"/>
    <n v="0"/>
    <n v="0"/>
    <n v="0"/>
    <n v="0"/>
    <n v="0"/>
    <n v="0"/>
    <n v="0"/>
    <x v="3"/>
    <s v="Village"/>
    <x v="6"/>
    <x v="3"/>
    <n v="20.229290008544901"/>
    <n v="92.864669799804702"/>
    <n v="196167"/>
    <x v="0"/>
    <m/>
  </r>
  <r>
    <x v="0"/>
    <x v="14"/>
    <x v="1"/>
    <x v="24"/>
    <x v="299"/>
    <n v="51"/>
    <n v="256"/>
    <m/>
    <m/>
    <m/>
    <m/>
    <m/>
    <m/>
    <m/>
    <n v="0"/>
    <n v="1"/>
    <m/>
    <m/>
    <m/>
    <m/>
    <m/>
    <m/>
    <m/>
    <m/>
    <m/>
    <n v="0"/>
    <m/>
    <m/>
    <m/>
    <x v="1"/>
    <x v="1"/>
    <m/>
    <m/>
    <m/>
    <m/>
    <m/>
    <m/>
    <m/>
    <m/>
    <m/>
    <m/>
    <m/>
    <m/>
    <s v="no test"/>
    <s v="no test"/>
    <n v="1"/>
    <n v="0.9765625"/>
    <n v="0.9765625"/>
    <n v="250"/>
    <n v="0"/>
    <n v="0"/>
    <n v="0.9765625"/>
    <n v="250"/>
    <n v="0.5"/>
    <n v="2.34375E-2"/>
    <n v="6"/>
    <n v="0.5"/>
    <n v="1"/>
    <x v="0"/>
    <n v="0"/>
    <n v="0"/>
    <n v="0"/>
    <n v="1.0078125"/>
    <n v="43"/>
    <n v="43"/>
    <n v="0"/>
    <s v="N/A"/>
    <n v="0"/>
    <n v="1"/>
    <n v="0"/>
    <n v="0"/>
    <n v="0"/>
    <n v="0"/>
    <n v="0"/>
    <n v="0"/>
    <n v="0"/>
    <n v="0"/>
    <n v="0"/>
    <n v="0"/>
    <n v="0"/>
    <n v="0"/>
    <n v="0"/>
    <n v="0"/>
    <x v="2"/>
    <s v="Village"/>
    <x v="6"/>
    <x v="3"/>
    <n v="20.260789871215799"/>
    <n v="92.878593444824205"/>
    <n v="196178"/>
    <x v="0"/>
    <m/>
  </r>
  <r>
    <x v="0"/>
    <x v="14"/>
    <x v="1"/>
    <x v="24"/>
    <x v="300"/>
    <n v="108"/>
    <n v="541"/>
    <m/>
    <m/>
    <m/>
    <m/>
    <m/>
    <m/>
    <m/>
    <n v="0"/>
    <n v="1"/>
    <m/>
    <m/>
    <m/>
    <m/>
    <m/>
    <m/>
    <m/>
    <m/>
    <m/>
    <n v="0"/>
    <m/>
    <m/>
    <m/>
    <x v="1"/>
    <x v="1"/>
    <m/>
    <m/>
    <m/>
    <m/>
    <m/>
    <m/>
    <m/>
    <m/>
    <m/>
    <m/>
    <m/>
    <m/>
    <s v="no test"/>
    <s v="no test"/>
    <n v="1"/>
    <n v="0.46210720887245843"/>
    <n v="0.46210720887245843"/>
    <n v="250"/>
    <n v="0"/>
    <n v="0"/>
    <n v="0.46210720887245843"/>
    <n v="250"/>
    <n v="0.5"/>
    <n v="0.53789279112754151"/>
    <n v="290.99999999999994"/>
    <n v="0.5"/>
    <n v="1"/>
    <x v="0"/>
    <n v="0"/>
    <n v="0"/>
    <n v="0"/>
    <n v="0.99815157116451014"/>
    <n v="90"/>
    <n v="90"/>
    <n v="0"/>
    <s v="N/A"/>
    <n v="0"/>
    <n v="1"/>
    <n v="0"/>
    <n v="0"/>
    <n v="0"/>
    <n v="0"/>
    <n v="0"/>
    <n v="0"/>
    <n v="0"/>
    <n v="0"/>
    <n v="0"/>
    <n v="0"/>
    <n v="0"/>
    <n v="0"/>
    <n v="0"/>
    <n v="0"/>
    <x v="2"/>
    <s v="Village"/>
    <x v="6"/>
    <x v="3"/>
    <n v="20.272630691528299"/>
    <n v="92.84326171875"/>
    <n v="196163"/>
    <x v="0"/>
    <m/>
  </r>
  <r>
    <x v="0"/>
    <x v="14"/>
    <x v="1"/>
    <x v="24"/>
    <x v="301"/>
    <n v="21"/>
    <n v="106"/>
    <m/>
    <m/>
    <m/>
    <m/>
    <m/>
    <m/>
    <m/>
    <n v="0"/>
    <n v="1"/>
    <m/>
    <m/>
    <m/>
    <m/>
    <m/>
    <m/>
    <m/>
    <m/>
    <m/>
    <n v="0"/>
    <m/>
    <m/>
    <m/>
    <x v="1"/>
    <x v="1"/>
    <m/>
    <m/>
    <m/>
    <m/>
    <m/>
    <m/>
    <m/>
    <m/>
    <m/>
    <m/>
    <m/>
    <m/>
    <s v="no test"/>
    <s v="no test"/>
    <n v="1"/>
    <n v="1"/>
    <n v="1"/>
    <n v="106"/>
    <n v="0"/>
    <n v="0"/>
    <n v="1"/>
    <n v="106"/>
    <n v="0.21199999999999999"/>
    <n v="0"/>
    <n v="0"/>
    <n v="0.78800000000000003"/>
    <n v="1"/>
    <x v="0"/>
    <n v="0"/>
    <n v="0"/>
    <n v="0"/>
    <n v="1.0188679245283019"/>
    <n v="18"/>
    <n v="18"/>
    <n v="0"/>
    <s v="N/A"/>
    <n v="0"/>
    <n v="1"/>
    <n v="0"/>
    <n v="0"/>
    <n v="0"/>
    <n v="0"/>
    <n v="0"/>
    <n v="0"/>
    <n v="0"/>
    <n v="0"/>
    <n v="0"/>
    <n v="0"/>
    <n v="0"/>
    <n v="0"/>
    <n v="0"/>
    <n v="0"/>
    <x v="2"/>
    <s v="Village"/>
    <x v="6"/>
    <x v="3"/>
    <n v="20.286720275878899"/>
    <n v="92.882843017578097"/>
    <n v="196172"/>
    <x v="0"/>
    <m/>
  </r>
  <r>
    <x v="0"/>
    <x v="2"/>
    <x v="1"/>
    <x v="21"/>
    <x v="302"/>
    <n v="399"/>
    <n v="1975"/>
    <m/>
    <s v="ECHO/OFDA"/>
    <d v="2018-04-30T00:00:00"/>
    <n v="36"/>
    <s v="No"/>
    <n v="0"/>
    <n v="0"/>
    <n v="0"/>
    <n v="0"/>
    <n v="0"/>
    <n v="3"/>
    <n v="0"/>
    <m/>
    <m/>
    <m/>
    <m/>
    <m/>
    <s v="SI does not deliver water to the village, only CWF and HP sessions"/>
    <n v="347"/>
    <n v="347"/>
    <m/>
    <n v="0"/>
    <x v="3"/>
    <x v="0"/>
    <m/>
    <m/>
    <s v="There is solid waste management in ANY  villagebut no incinerator"/>
    <n v="0"/>
    <m/>
    <n v="0"/>
    <n v="0"/>
    <n v="3"/>
    <m/>
    <m/>
    <m/>
    <s v="Access to soap as incentive for mass cleaning campaigns"/>
    <s v="no test"/>
    <s v="no test"/>
    <n v="0"/>
    <n v="0"/>
    <n v="0"/>
    <n v="0"/>
    <n v="0.379746835443038"/>
    <n v="750"/>
    <n v="0.379746835443038"/>
    <n v="750"/>
    <n v="1.5"/>
    <n v="0.620253164556962"/>
    <n v="1225"/>
    <n v="2.5"/>
    <n v="4"/>
    <x v="0"/>
    <n v="694"/>
    <n v="1"/>
    <n v="1975"/>
    <n v="0"/>
    <n v="0"/>
    <n v="329"/>
    <n v="0.5"/>
    <s v="N/A"/>
    <n v="0"/>
    <n v="1"/>
    <n v="1500"/>
    <n v="0"/>
    <n v="1"/>
    <n v="0"/>
    <n v="0"/>
    <n v="0.759493670886076"/>
    <n v="0"/>
    <n v="0"/>
    <n v="0"/>
    <n v="0"/>
    <n v="0"/>
    <n v="0"/>
    <n v="0"/>
    <n v="0"/>
    <x v="3"/>
    <s v="Village"/>
    <x v="7"/>
    <x v="5"/>
    <n v="20.099340438842798"/>
    <n v="92.989143371582003"/>
    <s v="197558"/>
    <x v="0"/>
    <m/>
  </r>
  <r>
    <x v="0"/>
    <x v="3"/>
    <x v="1"/>
    <x v="24"/>
    <x v="303"/>
    <n v="87"/>
    <n v="447"/>
    <m/>
    <m/>
    <m/>
    <m/>
    <s v="No"/>
    <n v="0"/>
    <n v="0"/>
    <n v="2"/>
    <n v="4"/>
    <n v="0"/>
    <n v="0"/>
    <n v="0"/>
    <m/>
    <m/>
    <m/>
    <m/>
    <m/>
    <s v="No WASH actor"/>
    <n v="72"/>
    <n v="0"/>
    <m/>
    <n v="0"/>
    <x v="3"/>
    <x v="2"/>
    <m/>
    <m/>
    <m/>
    <n v="0"/>
    <m/>
    <n v="0"/>
    <n v="0"/>
    <n v="0"/>
    <m/>
    <m/>
    <m/>
    <m/>
    <s v="no test"/>
    <s v="no test"/>
    <n v="1"/>
    <n v="1"/>
    <n v="1"/>
    <n v="447"/>
    <n v="0"/>
    <n v="0"/>
    <n v="1"/>
    <n v="447"/>
    <n v="0.89400000000000002"/>
    <n v="0"/>
    <n v="0"/>
    <n v="0.10599999999999998"/>
    <n v="1"/>
    <x v="0"/>
    <n v="72"/>
    <n v="0.96644295302013428"/>
    <n v="432"/>
    <n v="4.0268456375838924E-2"/>
    <n v="3"/>
    <n v="75"/>
    <n v="0"/>
    <s v="N/A"/>
    <n v="0"/>
    <n v="1"/>
    <n v="0"/>
    <n v="0"/>
    <n v="0"/>
    <n v="0"/>
    <n v="0"/>
    <n v="0"/>
    <n v="0"/>
    <n v="0"/>
    <n v="0"/>
    <n v="0"/>
    <n v="0"/>
    <n v="0"/>
    <n v="0"/>
    <n v="0"/>
    <x v="3"/>
    <s v="Village"/>
    <x v="7"/>
    <x v="5"/>
    <n v="0"/>
    <n v="0"/>
    <s v=""/>
    <x v="1"/>
    <m/>
  </r>
  <r>
    <x v="0"/>
    <x v="3"/>
    <x v="1"/>
    <x v="24"/>
    <x v="304"/>
    <n v="373"/>
    <n v="1867"/>
    <m/>
    <m/>
    <m/>
    <m/>
    <s v="No"/>
    <n v="0"/>
    <n v="0"/>
    <n v="10"/>
    <n v="6"/>
    <m/>
    <m/>
    <n v="0"/>
    <m/>
    <m/>
    <m/>
    <m/>
    <m/>
    <m/>
    <n v="68"/>
    <m/>
    <m/>
    <n v="0"/>
    <x v="2"/>
    <x v="3"/>
    <m/>
    <m/>
    <m/>
    <n v="0"/>
    <m/>
    <n v="0"/>
    <m/>
    <n v="0"/>
    <m/>
    <m/>
    <m/>
    <m/>
    <s v="no test"/>
    <s v="no test"/>
    <n v="1"/>
    <n v="1"/>
    <n v="1"/>
    <n v="1867"/>
    <n v="0"/>
    <n v="0"/>
    <n v="1"/>
    <n v="1867"/>
    <n v="3.734"/>
    <n v="0"/>
    <n v="0"/>
    <n v="0.26600000000000001"/>
    <n v="4"/>
    <x v="0"/>
    <n v="68"/>
    <n v="0.21853240492769149"/>
    <n v="408"/>
    <n v="0.78093197643277978"/>
    <n v="243"/>
    <n v="311"/>
    <n v="0"/>
    <s v="N/A"/>
    <n v="0"/>
    <n v="1"/>
    <n v="0"/>
    <n v="0"/>
    <n v="0"/>
    <n v="0"/>
    <n v="0"/>
    <n v="0"/>
    <n v="0"/>
    <n v="0"/>
    <n v="0"/>
    <n v="0"/>
    <n v="0"/>
    <n v="0"/>
    <n v="0"/>
    <n v="0"/>
    <x v="3"/>
    <s v="Village"/>
    <x v="7"/>
    <x v="5"/>
    <n v="20.235199999999999"/>
    <n v="92.805000000000007"/>
    <s v="196143"/>
    <x v="1"/>
    <m/>
  </r>
  <r>
    <x v="0"/>
    <x v="3"/>
    <x v="1"/>
    <x v="24"/>
    <x v="305"/>
    <n v="197"/>
    <n v="488"/>
    <m/>
    <m/>
    <m/>
    <m/>
    <s v="No"/>
    <n v="0"/>
    <n v="0"/>
    <n v="9"/>
    <n v="4"/>
    <n v="0"/>
    <n v="0"/>
    <n v="0"/>
    <m/>
    <m/>
    <m/>
    <m/>
    <m/>
    <s v="No WASH actor"/>
    <n v="146"/>
    <n v="0"/>
    <m/>
    <n v="0"/>
    <x v="3"/>
    <x v="2"/>
    <m/>
    <m/>
    <m/>
    <n v="0"/>
    <m/>
    <n v="0"/>
    <n v="0"/>
    <n v="0"/>
    <m/>
    <m/>
    <m/>
    <m/>
    <s v="no test"/>
    <s v="no test"/>
    <n v="1"/>
    <n v="1"/>
    <n v="1"/>
    <n v="488"/>
    <n v="0"/>
    <n v="0"/>
    <n v="1"/>
    <n v="488"/>
    <n v="0.97599999999999998"/>
    <n v="0"/>
    <n v="0"/>
    <n v="2.4000000000000021E-2"/>
    <n v="1"/>
    <x v="0"/>
    <n v="146"/>
    <n v="1"/>
    <n v="488"/>
    <n v="0"/>
    <n v="0"/>
    <n v="81"/>
    <n v="0"/>
    <s v="N/A"/>
    <n v="0"/>
    <n v="1"/>
    <n v="0"/>
    <n v="0"/>
    <n v="0"/>
    <n v="0"/>
    <n v="0"/>
    <n v="0"/>
    <n v="0"/>
    <n v="0"/>
    <n v="0"/>
    <n v="0"/>
    <n v="0"/>
    <n v="0"/>
    <n v="0"/>
    <n v="0"/>
    <x v="3"/>
    <s v="Village"/>
    <x v="7"/>
    <x v="3"/>
    <n v="20.245159149169901"/>
    <n v="92.807418823242202"/>
    <s v="196137"/>
    <x v="1"/>
    <m/>
  </r>
  <r>
    <x v="0"/>
    <x v="12"/>
    <x v="1"/>
    <x v="24"/>
    <x v="306"/>
    <n v="656"/>
    <n v="3486"/>
    <n v="0"/>
    <s v="DFID/HARP"/>
    <d v="2020-09-30T00:00:00"/>
    <n v="0"/>
    <s v="No"/>
    <n v="0"/>
    <n v="0"/>
    <n v="0"/>
    <n v="37"/>
    <m/>
    <n v="0"/>
    <n v="46"/>
    <n v="35"/>
    <n v="24"/>
    <n v="84"/>
    <n v="51"/>
    <n v="8"/>
    <m/>
    <n v="109"/>
    <n v="126"/>
    <n v="0"/>
    <n v="235"/>
    <x v="0"/>
    <x v="2"/>
    <n v="0"/>
    <n v="2"/>
    <m/>
    <n v="1"/>
    <s v="Household"/>
    <n v="656"/>
    <n v="0"/>
    <n v="5"/>
    <n v="656"/>
    <n v="656"/>
    <s v="No"/>
    <m/>
    <n v="0.68571428571428572"/>
    <n v="0.6071428571428571"/>
    <n v="1"/>
    <n v="1"/>
    <n v="1"/>
    <n v="3486"/>
    <n v="0"/>
    <n v="0"/>
    <n v="1"/>
    <n v="3486"/>
    <n v="6.9720000000000004"/>
    <n v="0"/>
    <n v="0"/>
    <n v="2.7999999999999581E-2"/>
    <n v="7"/>
    <x v="1"/>
    <n v="235"/>
    <n v="0.62535857716580612"/>
    <n v="2180"/>
    <n v="0"/>
    <n v="0"/>
    <n v="174"/>
    <n v="0.53617021276595744"/>
    <n v="0"/>
    <n v="1"/>
    <n v="0"/>
    <n v="2500"/>
    <n v="1"/>
    <n v="0"/>
    <n v="1"/>
    <n v="3486"/>
    <n v="0.71715433161216291"/>
    <n v="1"/>
    <n v="1"/>
    <n v="3280"/>
    <n v="3280"/>
    <n v="3280"/>
    <n v="656"/>
    <s v="Yes"/>
    <s v="NRC"/>
    <x v="0"/>
    <s v="Camp"/>
    <x v="8"/>
    <x v="5"/>
    <n v="20.185917"/>
    <n v="92.831000000000003"/>
    <s v="MMR012CMP092"/>
    <x v="0"/>
    <m/>
  </r>
  <r>
    <x v="0"/>
    <x v="12"/>
    <x v="1"/>
    <x v="24"/>
    <x v="307"/>
    <n v="200"/>
    <n v="1065"/>
    <n v="0"/>
    <s v="DFID/HARP"/>
    <d v="2020-09-30T00:00:00"/>
    <n v="0"/>
    <s v="No"/>
    <n v="0"/>
    <n v="0"/>
    <n v="0"/>
    <n v="0"/>
    <n v="0"/>
    <n v="2"/>
    <n v="0"/>
    <n v="0"/>
    <n v="0"/>
    <n v="0"/>
    <n v="0"/>
    <n v="0"/>
    <m/>
    <n v="0"/>
    <n v="0"/>
    <n v="0"/>
    <n v="0"/>
    <x v="0"/>
    <x v="2"/>
    <n v="0"/>
    <n v="0"/>
    <m/>
    <n v="0"/>
    <m/>
    <n v="0"/>
    <n v="0"/>
    <n v="0"/>
    <n v="0"/>
    <n v="0"/>
    <m/>
    <m/>
    <s v="no test"/>
    <s v="no test"/>
    <n v="0"/>
    <n v="0"/>
    <n v="0"/>
    <n v="0"/>
    <n v="0.46948356807511737"/>
    <n v="500"/>
    <n v="0.46948356807511737"/>
    <n v="500"/>
    <n v="1"/>
    <n v="0.53051643192488263"/>
    <n v="565"/>
    <n v="1"/>
    <n v="2"/>
    <x v="0"/>
    <n v="0"/>
    <n v="0"/>
    <n v="0"/>
    <n v="1.0028169014084507"/>
    <n v="178"/>
    <n v="178"/>
    <n v="0"/>
    <s v="N/A"/>
    <n v="0"/>
    <n v="1"/>
    <n v="0"/>
    <n v="0"/>
    <n v="0"/>
    <n v="0"/>
    <n v="0"/>
    <n v="0"/>
    <n v="0"/>
    <n v="0"/>
    <n v="0"/>
    <n v="0"/>
    <n v="0"/>
    <n v="0"/>
    <n v="0"/>
    <n v="0"/>
    <x v="3"/>
    <s v="Village"/>
    <x v="7"/>
    <x v="5"/>
    <n v="20.1975498199463"/>
    <n v="92.785682678222699"/>
    <s v="196156"/>
    <x v="0"/>
    <m/>
  </r>
  <r>
    <x v="0"/>
    <x v="12"/>
    <x v="1"/>
    <x v="24"/>
    <x v="308"/>
    <n v="2428"/>
    <n v="13302"/>
    <m/>
    <s v="DFID/HARP"/>
    <d v="2020-09-30T00:00:00"/>
    <n v="0"/>
    <s v="No"/>
    <n v="0"/>
    <n v="0"/>
    <n v="0"/>
    <n v="128"/>
    <m/>
    <n v="0"/>
    <n v="234"/>
    <n v="201"/>
    <n v="182"/>
    <n v="142"/>
    <n v="86"/>
    <n v="9"/>
    <m/>
    <n v="577"/>
    <n v="211"/>
    <n v="0"/>
    <n v="788"/>
    <x v="0"/>
    <x v="2"/>
    <n v="0"/>
    <n v="18"/>
    <m/>
    <n v="1"/>
    <s v="Household"/>
    <n v="2428"/>
    <n v="0"/>
    <n v="24"/>
    <n v="2428"/>
    <n v="2428"/>
    <s v="No"/>
    <m/>
    <n v="0.90547263681592038"/>
    <n v="0.60563380281690138"/>
    <n v="1"/>
    <n v="1"/>
    <n v="1"/>
    <n v="13302"/>
    <n v="0"/>
    <n v="0"/>
    <n v="1"/>
    <n v="13302"/>
    <n v="26.603999999999999"/>
    <n v="0"/>
    <n v="0"/>
    <n v="0.3960000000000008"/>
    <n v="27"/>
    <x v="1"/>
    <n v="788"/>
    <n v="0.86753871598255905"/>
    <n v="11540"/>
    <n v="0"/>
    <n v="0"/>
    <n v="665"/>
    <n v="0.26776649746192893"/>
    <n v="0"/>
    <n v="1"/>
    <n v="0"/>
    <n v="12000"/>
    <n v="1"/>
    <n v="1"/>
    <n v="1"/>
    <n v="13302"/>
    <n v="0.90211998195760035"/>
    <n v="1"/>
    <n v="1"/>
    <n v="12140"/>
    <n v="12140"/>
    <n v="12140"/>
    <n v="2428"/>
    <s v="Yes"/>
    <s v="DRC"/>
    <x v="0"/>
    <s v="Camp"/>
    <x v="8"/>
    <x v="5"/>
    <n v="20.18994"/>
    <n v="92.798880999999994"/>
    <s v="MMR012CMP115"/>
    <x v="0"/>
    <m/>
  </r>
  <r>
    <x v="0"/>
    <x v="12"/>
    <x v="1"/>
    <x v="24"/>
    <x v="309"/>
    <n v="420"/>
    <n v="1984"/>
    <n v="0"/>
    <s v="DFID/HARP"/>
    <d v="2020-09-30T00:00:00"/>
    <n v="0"/>
    <s v="No"/>
    <n v="0"/>
    <n v="0"/>
    <n v="0"/>
    <n v="0"/>
    <n v="0"/>
    <n v="1"/>
    <n v="0"/>
    <n v="0"/>
    <n v="0"/>
    <n v="0"/>
    <n v="0"/>
    <n v="0"/>
    <m/>
    <n v="420"/>
    <n v="0"/>
    <n v="0"/>
    <n v="420"/>
    <x v="0"/>
    <x v="2"/>
    <n v="0"/>
    <n v="0"/>
    <m/>
    <n v="1"/>
    <s v="Household"/>
    <n v="420"/>
    <n v="0"/>
    <n v="1"/>
    <n v="0"/>
    <n v="0"/>
    <m/>
    <m/>
    <s v="no test"/>
    <s v="no test"/>
    <n v="0"/>
    <n v="0"/>
    <n v="0"/>
    <n v="0"/>
    <n v="0.12600806451612903"/>
    <n v="250"/>
    <n v="0.12600806451612903"/>
    <n v="250"/>
    <n v="0.5"/>
    <n v="0.873991935483871"/>
    <n v="1734"/>
    <n v="3.5"/>
    <n v="4"/>
    <x v="0"/>
    <n v="420"/>
    <n v="1"/>
    <n v="1984"/>
    <n v="0"/>
    <n v="0"/>
    <n v="331"/>
    <n v="0"/>
    <s v="N/A"/>
    <n v="0"/>
    <n v="1"/>
    <n v="500"/>
    <n v="0"/>
    <n v="0"/>
    <n v="0"/>
    <n v="0"/>
    <n v="0.25201612903225806"/>
    <n v="0"/>
    <n v="0"/>
    <n v="0"/>
    <n v="0"/>
    <n v="0"/>
    <n v="420"/>
    <n v="0"/>
    <n v="0"/>
    <x v="3"/>
    <s v="Village"/>
    <x v="9"/>
    <x v="3"/>
    <n v="20.151471999999998"/>
    <n v="92.887277999999995"/>
    <s v="MMR012CMP112"/>
    <x v="0"/>
    <m/>
  </r>
  <r>
    <x v="0"/>
    <x v="12"/>
    <x v="1"/>
    <x v="24"/>
    <x v="310"/>
    <n v="2280"/>
    <n v="11564"/>
    <n v="0"/>
    <s v="DFID/HARP"/>
    <d v="2020-09-30T00:00:00"/>
    <n v="0"/>
    <s v="No"/>
    <n v="0"/>
    <n v="0"/>
    <n v="0"/>
    <n v="172"/>
    <n v="0"/>
    <n v="0"/>
    <n v="196"/>
    <n v="211"/>
    <n v="198"/>
    <n v="204"/>
    <n v="156"/>
    <n v="13"/>
    <m/>
    <n v="505"/>
    <n v="11"/>
    <n v="0"/>
    <n v="516"/>
    <x v="0"/>
    <x v="2"/>
    <n v="0"/>
    <n v="26"/>
    <m/>
    <n v="1"/>
    <s v="Household"/>
    <n v="2280"/>
    <n v="0"/>
    <n v="26"/>
    <n v="2280"/>
    <n v="2280"/>
    <s v="No"/>
    <m/>
    <n v="0.93838862559241709"/>
    <n v="0.76470588235294112"/>
    <n v="1"/>
    <n v="1"/>
    <n v="1"/>
    <n v="11564"/>
    <n v="0"/>
    <n v="0"/>
    <n v="1"/>
    <n v="11564"/>
    <n v="23.128"/>
    <n v="0"/>
    <n v="0"/>
    <n v="0"/>
    <n v="23"/>
    <x v="1"/>
    <n v="516"/>
    <n v="0.8734002075406434"/>
    <n v="10100"/>
    <n v="0.10722933241093047"/>
    <n v="62"/>
    <n v="578"/>
    <n v="2.1317829457364341E-2"/>
    <n v="0"/>
    <n v="1"/>
    <n v="0"/>
    <n v="11564"/>
    <n v="1"/>
    <n v="1"/>
    <n v="1"/>
    <n v="11564"/>
    <n v="1"/>
    <n v="1"/>
    <n v="1"/>
    <n v="11400"/>
    <n v="11400"/>
    <n v="11400"/>
    <n v="2280"/>
    <s v="Yes"/>
    <s v="DRC"/>
    <x v="0"/>
    <s v="Camp"/>
    <x v="8"/>
    <x v="5"/>
    <n v="20.202525000000001"/>
    <n v="92.792479999999998"/>
    <s v="MMR012CMP045"/>
    <x v="0"/>
    <m/>
  </r>
  <r>
    <x v="0"/>
    <x v="12"/>
    <x v="1"/>
    <x v="24"/>
    <x v="311"/>
    <n v="235"/>
    <n v="1390"/>
    <n v="0"/>
    <s v="DFID/HARP"/>
    <d v="2020-09-30T00:00:00"/>
    <n v="0"/>
    <s v="No"/>
    <n v="0"/>
    <n v="0"/>
    <n v="0"/>
    <n v="10"/>
    <n v="0"/>
    <n v="0"/>
    <n v="0"/>
    <n v="0"/>
    <n v="0"/>
    <n v="0"/>
    <n v="0"/>
    <n v="0"/>
    <m/>
    <n v="0"/>
    <n v="0"/>
    <n v="0"/>
    <n v="0"/>
    <x v="0"/>
    <x v="2"/>
    <n v="0"/>
    <n v="0"/>
    <m/>
    <n v="1"/>
    <s v="Household"/>
    <n v="235"/>
    <n v="0"/>
    <n v="1"/>
    <n v="0"/>
    <n v="0"/>
    <m/>
    <m/>
    <s v="no test"/>
    <s v="no test"/>
    <n v="1"/>
    <n v="1"/>
    <n v="1"/>
    <n v="1390"/>
    <n v="0"/>
    <n v="0"/>
    <n v="1"/>
    <n v="1390"/>
    <n v="2.78"/>
    <n v="0"/>
    <n v="0"/>
    <n v="0.2200000000000002"/>
    <n v="3"/>
    <x v="0"/>
    <n v="0"/>
    <n v="0"/>
    <n v="0"/>
    <n v="1.0014388489208634"/>
    <n v="232"/>
    <n v="232"/>
    <n v="0"/>
    <s v="N/A"/>
    <n v="0"/>
    <n v="1"/>
    <n v="500"/>
    <n v="0"/>
    <n v="0"/>
    <n v="0"/>
    <n v="0"/>
    <n v="0.35971223021582732"/>
    <n v="0"/>
    <n v="0"/>
    <n v="0"/>
    <n v="0"/>
    <n v="0"/>
    <n v="235"/>
    <n v="0"/>
    <n v="0"/>
    <x v="3"/>
    <s v="Village"/>
    <x v="7"/>
    <x v="5"/>
    <n v="20.201499999999999"/>
    <n v="92.796599999999998"/>
    <n v="196154"/>
    <x v="0"/>
    <m/>
  </r>
  <r>
    <x v="0"/>
    <x v="12"/>
    <x v="1"/>
    <x v="24"/>
    <x v="312"/>
    <n v="92"/>
    <n v="469"/>
    <n v="0"/>
    <s v="DFID/HARP"/>
    <d v="2020-09-30T00:00:00"/>
    <n v="0"/>
    <s v="No"/>
    <n v="0"/>
    <n v="0"/>
    <n v="12"/>
    <n v="7"/>
    <n v="0"/>
    <n v="0"/>
    <n v="0"/>
    <n v="0"/>
    <n v="0"/>
    <n v="0"/>
    <n v="0"/>
    <n v="0"/>
    <m/>
    <n v="0"/>
    <n v="0"/>
    <n v="0"/>
    <n v="0"/>
    <x v="0"/>
    <x v="2"/>
    <n v="0"/>
    <n v="0"/>
    <m/>
    <n v="1"/>
    <s v="Household"/>
    <n v="92"/>
    <n v="0"/>
    <n v="1"/>
    <n v="0"/>
    <n v="0"/>
    <m/>
    <m/>
    <s v="no test"/>
    <s v="no test"/>
    <n v="1"/>
    <n v="1"/>
    <n v="1"/>
    <n v="469"/>
    <n v="0"/>
    <n v="0"/>
    <n v="1"/>
    <n v="469"/>
    <n v="0.93799999999999994"/>
    <n v="0"/>
    <n v="0"/>
    <n v="6.2000000000000055E-2"/>
    <n v="1"/>
    <x v="0"/>
    <n v="0"/>
    <n v="0"/>
    <n v="0"/>
    <n v="0.99786780383795304"/>
    <n v="78"/>
    <n v="78"/>
    <n v="0"/>
    <s v="N/A"/>
    <n v="0"/>
    <n v="1"/>
    <n v="469"/>
    <n v="0"/>
    <n v="1"/>
    <n v="0"/>
    <n v="0"/>
    <n v="1"/>
    <n v="0"/>
    <n v="0"/>
    <n v="0"/>
    <n v="0"/>
    <n v="0"/>
    <n v="92"/>
    <n v="0"/>
    <n v="0"/>
    <x v="3"/>
    <s v="Village"/>
    <x v="7"/>
    <x v="5"/>
    <n v="20.191719055175799"/>
    <n v="92.808166503906307"/>
    <s v="196155"/>
    <x v="0"/>
    <m/>
  </r>
  <r>
    <x v="0"/>
    <x v="12"/>
    <x v="1"/>
    <x v="24"/>
    <x v="313"/>
    <n v="72"/>
    <n v="447"/>
    <n v="0"/>
    <s v="DFID/HARP"/>
    <d v="2020-09-30T00:00:00"/>
    <n v="0"/>
    <s v="No"/>
    <n v="0"/>
    <n v="0"/>
    <n v="0"/>
    <n v="0"/>
    <n v="0"/>
    <n v="1"/>
    <n v="0"/>
    <n v="0"/>
    <n v="0"/>
    <n v="0"/>
    <n v="0"/>
    <n v="0"/>
    <m/>
    <n v="72"/>
    <n v="0"/>
    <n v="0"/>
    <n v="0"/>
    <x v="0"/>
    <x v="2"/>
    <n v="0"/>
    <n v="0"/>
    <m/>
    <n v="1"/>
    <s v="Household"/>
    <n v="72"/>
    <n v="0"/>
    <n v="1"/>
    <n v="0"/>
    <n v="0"/>
    <m/>
    <m/>
    <s v="no test"/>
    <s v="no test"/>
    <n v="0"/>
    <n v="0"/>
    <n v="0"/>
    <n v="0"/>
    <n v="0.5592841163310962"/>
    <n v="250"/>
    <n v="0.5592841163310962"/>
    <n v="250"/>
    <n v="0.5"/>
    <n v="0.4407158836689038"/>
    <n v="197"/>
    <n v="0.5"/>
    <n v="1"/>
    <x v="0"/>
    <n v="72"/>
    <n v="0.96644295302013428"/>
    <n v="432"/>
    <n v="4.0268456375838924E-2"/>
    <n v="3"/>
    <n v="75"/>
    <n v="0"/>
    <s v="N/A"/>
    <n v="0"/>
    <n v="1"/>
    <n v="447"/>
    <n v="0"/>
    <n v="1"/>
    <n v="0"/>
    <n v="0"/>
    <n v="1"/>
    <n v="0"/>
    <n v="0"/>
    <n v="0"/>
    <n v="0"/>
    <n v="0"/>
    <n v="72"/>
    <n v="0"/>
    <n v="0"/>
    <x v="3"/>
    <s v="Village"/>
    <x v="9"/>
    <x v="11"/>
    <n v="20.148584"/>
    <n v="92.880319999999998"/>
    <s v="MMR012CMP056"/>
    <x v="0"/>
    <m/>
  </r>
  <r>
    <x v="0"/>
    <x v="12"/>
    <x v="1"/>
    <x v="24"/>
    <x v="314"/>
    <n v="152"/>
    <n v="614"/>
    <n v="0"/>
    <s v="DFID/HARP"/>
    <d v="2020-09-30T00:00:00"/>
    <n v="0"/>
    <s v="No"/>
    <n v="0"/>
    <n v="0"/>
    <n v="0"/>
    <n v="12"/>
    <n v="0"/>
    <n v="0"/>
    <n v="0"/>
    <n v="0"/>
    <n v="0"/>
    <n v="0"/>
    <n v="0"/>
    <n v="0"/>
    <m/>
    <n v="152"/>
    <n v="0"/>
    <n v="0"/>
    <n v="0"/>
    <x v="0"/>
    <x v="2"/>
    <n v="0"/>
    <n v="0"/>
    <m/>
    <n v="1"/>
    <s v="Household"/>
    <n v="152"/>
    <n v="0"/>
    <n v="1"/>
    <n v="0"/>
    <n v="0"/>
    <m/>
    <m/>
    <s v="no test"/>
    <s v="no test"/>
    <n v="1"/>
    <n v="1"/>
    <n v="1"/>
    <n v="614"/>
    <n v="0"/>
    <n v="0"/>
    <n v="1"/>
    <n v="614"/>
    <n v="1.228"/>
    <n v="0"/>
    <n v="0"/>
    <n v="0"/>
    <n v="1"/>
    <x v="0"/>
    <n v="152"/>
    <n v="1"/>
    <n v="614"/>
    <n v="0"/>
    <n v="0"/>
    <n v="102"/>
    <n v="0"/>
    <s v="N/A"/>
    <n v="0"/>
    <n v="1"/>
    <n v="500"/>
    <n v="0"/>
    <n v="1"/>
    <n v="0"/>
    <n v="0"/>
    <n v="0.81433224755700329"/>
    <n v="0"/>
    <n v="0"/>
    <n v="0"/>
    <n v="0"/>
    <n v="0"/>
    <n v="152"/>
    <n v="0"/>
    <n v="0"/>
    <x v="3"/>
    <s v="Village"/>
    <x v="9"/>
    <x v="3"/>
    <n v="20.155805999999998"/>
    <n v="92.879138999999995"/>
    <s v="MMR012CMP093"/>
    <x v="0"/>
    <m/>
  </r>
  <r>
    <x v="0"/>
    <x v="12"/>
    <x v="1"/>
    <x v="24"/>
    <x v="315"/>
    <n v="1013"/>
    <n v="5950"/>
    <m/>
    <s v="DFID/HARP"/>
    <d v="2020-09-30T00:00:00"/>
    <n v="0"/>
    <s v="No"/>
    <n v="0"/>
    <n v="0"/>
    <n v="0"/>
    <n v="73"/>
    <m/>
    <n v="0"/>
    <n v="93"/>
    <n v="24"/>
    <n v="23"/>
    <n v="26"/>
    <n v="21"/>
    <n v="4"/>
    <m/>
    <n v="245"/>
    <n v="127"/>
    <n v="0"/>
    <n v="372"/>
    <x v="0"/>
    <x v="2"/>
    <n v="0"/>
    <n v="17"/>
    <m/>
    <n v="1"/>
    <s v="Household"/>
    <n v="1013"/>
    <n v="0"/>
    <n v="10"/>
    <n v="1013"/>
    <n v="1013"/>
    <s v="No"/>
    <m/>
    <n v="0.95833333333333337"/>
    <n v="0.80769230769230771"/>
    <n v="1"/>
    <n v="1"/>
    <n v="1"/>
    <n v="5950"/>
    <n v="0"/>
    <n v="0"/>
    <n v="1"/>
    <n v="5950"/>
    <n v="11.9"/>
    <n v="0"/>
    <n v="0"/>
    <n v="9.9999999999999645E-2"/>
    <n v="12"/>
    <x v="1"/>
    <n v="372"/>
    <n v="0.82352941176470584"/>
    <n v="4900"/>
    <n v="0"/>
    <n v="0"/>
    <n v="298"/>
    <n v="0.34139784946236557"/>
    <n v="0"/>
    <n v="1"/>
    <n v="0"/>
    <n v="5000"/>
    <n v="1"/>
    <n v="1"/>
    <n v="1"/>
    <n v="5950"/>
    <n v="0.84033613445378152"/>
    <n v="1"/>
    <n v="1"/>
    <n v="5065"/>
    <n v="5065"/>
    <n v="5065"/>
    <n v="1013"/>
    <s v="Yes"/>
    <s v="NRC"/>
    <x v="0"/>
    <s v="Camp"/>
    <x v="8"/>
    <x v="5"/>
    <n v="20.179939999999998"/>
    <n v="92.831879000000001"/>
    <s v="MMR012CMP048"/>
    <x v="0"/>
    <m/>
  </r>
  <r>
    <x v="0"/>
    <x v="12"/>
    <x v="1"/>
    <x v="24"/>
    <x v="316"/>
    <n v="299"/>
    <n v="1670"/>
    <m/>
    <s v="DFID/HARP"/>
    <d v="2020-09-30T00:00:00"/>
    <n v="0"/>
    <s v="No"/>
    <n v="0"/>
    <n v="0"/>
    <n v="0"/>
    <n v="0"/>
    <m/>
    <n v="0"/>
    <n v="79"/>
    <n v="39"/>
    <n v="35"/>
    <n v="42"/>
    <n v="33"/>
    <n v="7"/>
    <m/>
    <n v="192"/>
    <n v="0"/>
    <n v="0"/>
    <n v="192"/>
    <x v="0"/>
    <x v="2"/>
    <n v="0"/>
    <n v="11"/>
    <m/>
    <n v="1"/>
    <s v="Household"/>
    <n v="299"/>
    <n v="0"/>
    <n v="15"/>
    <n v="299"/>
    <n v="299"/>
    <s v="No"/>
    <m/>
    <n v="0.89743589743589747"/>
    <n v="0.7857142857142857"/>
    <n v="0"/>
    <n v="0"/>
    <n v="0"/>
    <n v="0"/>
    <n v="0"/>
    <n v="0"/>
    <n v="0"/>
    <n v="0"/>
    <n v="0"/>
    <n v="1"/>
    <n v="1670"/>
    <n v="3"/>
    <n v="3"/>
    <x v="1"/>
    <n v="192"/>
    <n v="1"/>
    <n v="1670"/>
    <n v="0"/>
    <n v="0"/>
    <n v="84"/>
    <n v="0"/>
    <n v="0"/>
    <n v="1"/>
    <n v="0"/>
    <n v="1670"/>
    <n v="1"/>
    <n v="1"/>
    <n v="1"/>
    <n v="1670"/>
    <n v="1"/>
    <n v="1"/>
    <n v="1"/>
    <n v="1495"/>
    <n v="1495"/>
    <n v="1495"/>
    <n v="299"/>
    <s v="Yes"/>
    <s v="UNHCR"/>
    <x v="0"/>
    <s v="Camp"/>
    <x v="3"/>
    <x v="5"/>
    <n v="20.181742"/>
    <n v="92.842230000000001"/>
    <s v="MMR012CMP091"/>
    <x v="0"/>
    <m/>
  </r>
  <r>
    <x v="0"/>
    <x v="8"/>
    <x v="1"/>
    <x v="24"/>
    <x v="317"/>
    <n v="380"/>
    <n v="1813"/>
    <m/>
    <s v="MHF"/>
    <d v="2018-09-13T00:00:00"/>
    <n v="0"/>
    <s v="No"/>
    <n v="0"/>
    <n v="0"/>
    <n v="8"/>
    <n v="30"/>
    <n v="0"/>
    <n v="0"/>
    <n v="0"/>
    <n v="0"/>
    <n v="0"/>
    <n v="0"/>
    <n v="0"/>
    <n v="0"/>
    <m/>
    <n v="113"/>
    <n v="0"/>
    <n v="0"/>
    <n v="0"/>
    <x v="1"/>
    <x v="1"/>
    <n v="0"/>
    <n v="0"/>
    <m/>
    <n v="0"/>
    <s v="Household"/>
    <n v="0"/>
    <n v="0"/>
    <n v="1"/>
    <n v="0"/>
    <n v="0"/>
    <m/>
    <m/>
    <s v="no test"/>
    <s v="no test"/>
    <n v="1"/>
    <n v="1"/>
    <n v="1"/>
    <n v="1813"/>
    <n v="0"/>
    <n v="0"/>
    <n v="1"/>
    <n v="1813"/>
    <n v="3.6259999999999999"/>
    <n v="0"/>
    <n v="0"/>
    <n v="0.37400000000000011"/>
    <n v="4"/>
    <x v="0"/>
    <n v="113"/>
    <n v="0.37396580253723111"/>
    <n v="678"/>
    <n v="0.62548262548262545"/>
    <n v="189"/>
    <n v="302"/>
    <n v="0"/>
    <s v="N/A"/>
    <n v="0"/>
    <n v="1"/>
    <n v="500"/>
    <n v="0"/>
    <n v="0"/>
    <n v="0"/>
    <n v="0"/>
    <n v="0.27578599007170435"/>
    <n v="0"/>
    <n v="0"/>
    <n v="0"/>
    <n v="0"/>
    <n v="0"/>
    <n v="0"/>
    <n v="0"/>
    <n v="0"/>
    <x v="3"/>
    <s v="Village"/>
    <x v="7"/>
    <x v="3"/>
    <n v="20.235199999999999"/>
    <n v="92.790199999999999"/>
    <s v="196138"/>
    <x v="0"/>
    <m/>
  </r>
  <r>
    <x v="0"/>
    <x v="8"/>
    <x v="1"/>
    <x v="24"/>
    <x v="318"/>
    <n v="615"/>
    <n v="2985"/>
    <m/>
    <s v="MHF"/>
    <d v="2018-09-13T00:00:00"/>
    <n v="0"/>
    <s v="No"/>
    <n v="0"/>
    <n v="0"/>
    <n v="9"/>
    <n v="62"/>
    <n v="0"/>
    <n v="0"/>
    <n v="0"/>
    <n v="0"/>
    <n v="0"/>
    <n v="0"/>
    <n v="0"/>
    <n v="0"/>
    <m/>
    <n v="2"/>
    <n v="0"/>
    <n v="0"/>
    <n v="0"/>
    <x v="1"/>
    <x v="1"/>
    <n v="0"/>
    <n v="0"/>
    <m/>
    <n v="0"/>
    <s v="Household"/>
    <n v="0"/>
    <n v="0"/>
    <n v="1"/>
    <n v="0"/>
    <n v="0"/>
    <m/>
    <m/>
    <s v="no test"/>
    <s v="no test"/>
    <n v="1"/>
    <n v="1"/>
    <n v="1"/>
    <n v="2985"/>
    <n v="0"/>
    <n v="0"/>
    <n v="1"/>
    <n v="2985"/>
    <n v="5.97"/>
    <n v="0"/>
    <n v="0"/>
    <n v="3.0000000000000249E-2"/>
    <n v="6"/>
    <x v="0"/>
    <n v="2"/>
    <n v="4.0201005025125632E-3"/>
    <n v="12.000000000000002"/>
    <n v="0.99698492462311561"/>
    <n v="496"/>
    <n v="498"/>
    <n v="0"/>
    <s v="N/A"/>
    <n v="0"/>
    <n v="1"/>
    <n v="500"/>
    <n v="0"/>
    <n v="0"/>
    <n v="0"/>
    <n v="0"/>
    <n v="0.16750418760469013"/>
    <n v="0"/>
    <n v="0"/>
    <n v="0"/>
    <n v="0"/>
    <n v="0"/>
    <n v="0"/>
    <n v="0"/>
    <n v="0"/>
    <x v="3"/>
    <s v="Village"/>
    <x v="7"/>
    <x v="5"/>
    <n v="20.127127999999999"/>
    <n v="92.875450000000001"/>
    <s v="196208"/>
    <x v="0"/>
    <m/>
  </r>
  <r>
    <x v="0"/>
    <x v="8"/>
    <x v="1"/>
    <x v="24"/>
    <x v="319"/>
    <n v="22"/>
    <n v="113"/>
    <m/>
    <s v="MHF"/>
    <d v="2018-09-13T00:00:00"/>
    <n v="0"/>
    <s v="No"/>
    <n v="0"/>
    <n v="0"/>
    <n v="2"/>
    <n v="1"/>
    <n v="0"/>
    <n v="0"/>
    <n v="0"/>
    <n v="0"/>
    <n v="0"/>
    <n v="0"/>
    <n v="0"/>
    <n v="0"/>
    <m/>
    <n v="22"/>
    <n v="0"/>
    <n v="0"/>
    <n v="0"/>
    <x v="1"/>
    <x v="1"/>
    <n v="0"/>
    <n v="0"/>
    <m/>
    <n v="0"/>
    <s v="Household"/>
    <n v="0"/>
    <n v="0"/>
    <n v="1"/>
    <n v="0"/>
    <n v="0"/>
    <m/>
    <m/>
    <s v="no test"/>
    <s v="no test"/>
    <n v="1"/>
    <n v="1"/>
    <n v="1"/>
    <n v="113"/>
    <n v="0"/>
    <n v="0"/>
    <n v="1"/>
    <n v="113"/>
    <n v="0.22600000000000001"/>
    <n v="0"/>
    <n v="0"/>
    <n v="0.77400000000000002"/>
    <n v="1"/>
    <x v="0"/>
    <n v="22"/>
    <n v="1"/>
    <n v="113"/>
    <n v="0"/>
    <n v="0"/>
    <n v="19"/>
    <n v="0"/>
    <s v="N/A"/>
    <n v="0"/>
    <n v="1"/>
    <n v="113"/>
    <n v="0"/>
    <n v="1"/>
    <n v="0"/>
    <n v="0"/>
    <n v="1"/>
    <n v="0"/>
    <n v="0"/>
    <n v="0"/>
    <n v="0"/>
    <n v="0"/>
    <n v="0"/>
    <n v="0"/>
    <n v="0"/>
    <x v="3"/>
    <s v="Village"/>
    <x v="7"/>
    <x v="3"/>
    <n v="20.218299999999999"/>
    <n v="92.805999999999997"/>
    <s v="196140"/>
    <x v="0"/>
    <m/>
  </r>
  <r>
    <x v="0"/>
    <x v="8"/>
    <x v="1"/>
    <x v="24"/>
    <x v="320"/>
    <n v="250"/>
    <n v="1183"/>
    <m/>
    <s v="MHF"/>
    <d v="2018-09-13T00:00:00"/>
    <n v="0"/>
    <s v="No"/>
    <n v="0"/>
    <n v="0"/>
    <n v="11"/>
    <n v="21"/>
    <n v="0"/>
    <n v="0"/>
    <n v="0"/>
    <n v="0"/>
    <n v="0"/>
    <n v="0"/>
    <n v="0"/>
    <n v="0"/>
    <m/>
    <n v="65"/>
    <n v="0"/>
    <n v="0"/>
    <n v="0"/>
    <x v="1"/>
    <x v="1"/>
    <n v="0"/>
    <n v="0"/>
    <m/>
    <n v="0"/>
    <s v="Household"/>
    <n v="0"/>
    <n v="0"/>
    <n v="1"/>
    <n v="0"/>
    <n v="0"/>
    <m/>
    <m/>
    <s v="no test"/>
    <s v="no test"/>
    <n v="1"/>
    <n v="1"/>
    <n v="1"/>
    <n v="1183"/>
    <n v="0"/>
    <n v="0"/>
    <n v="1"/>
    <n v="1183"/>
    <n v="2.3660000000000001"/>
    <n v="0"/>
    <n v="0"/>
    <n v="0"/>
    <n v="2"/>
    <x v="0"/>
    <n v="65"/>
    <n v="0.32967032967032966"/>
    <n v="390"/>
    <n v="0.66948436179205417"/>
    <n v="132"/>
    <n v="197"/>
    <n v="0"/>
    <s v="N/A"/>
    <n v="0"/>
    <n v="1"/>
    <n v="500"/>
    <n v="0"/>
    <n v="0"/>
    <n v="0"/>
    <n v="0"/>
    <n v="0.42265426880811496"/>
    <n v="0"/>
    <n v="0"/>
    <n v="0"/>
    <n v="0"/>
    <n v="0"/>
    <n v="0"/>
    <n v="0"/>
    <n v="0"/>
    <x v="3"/>
    <s v="Village"/>
    <x v="7"/>
    <x v="5"/>
    <n v="20.2302"/>
    <n v="92.817999999999998"/>
    <s v="196139"/>
    <x v="0"/>
    <m/>
  </r>
  <r>
    <x v="0"/>
    <x v="8"/>
    <x v="1"/>
    <x v="24"/>
    <x v="321"/>
    <n v="325"/>
    <n v="1857"/>
    <m/>
    <s v="MHF"/>
    <d v="2018-09-13T00:00:00"/>
    <n v="0"/>
    <s v="No"/>
    <n v="0"/>
    <n v="0"/>
    <n v="20"/>
    <n v="30"/>
    <n v="0"/>
    <n v="0"/>
    <n v="0"/>
    <n v="0"/>
    <n v="0"/>
    <n v="0"/>
    <n v="0"/>
    <n v="0"/>
    <m/>
    <n v="64"/>
    <n v="0"/>
    <n v="0"/>
    <n v="0"/>
    <x v="1"/>
    <x v="1"/>
    <n v="0"/>
    <n v="0"/>
    <m/>
    <n v="0"/>
    <s v="Household"/>
    <n v="0"/>
    <n v="0"/>
    <n v="1"/>
    <n v="0"/>
    <n v="0"/>
    <m/>
    <m/>
    <s v="no test"/>
    <s v="no test"/>
    <n v="1"/>
    <n v="1"/>
    <n v="1"/>
    <n v="1857"/>
    <n v="0"/>
    <n v="0"/>
    <n v="1"/>
    <n v="1857"/>
    <n v="3.714"/>
    <n v="0"/>
    <n v="0"/>
    <n v="0.28600000000000003"/>
    <n v="4"/>
    <x v="0"/>
    <n v="64"/>
    <n v="0.20678513731825526"/>
    <n v="384"/>
    <n v="0.79483037156704361"/>
    <n v="246"/>
    <n v="310"/>
    <n v="0"/>
    <s v="N/A"/>
    <n v="0"/>
    <n v="1"/>
    <n v="500"/>
    <n v="0"/>
    <n v="0"/>
    <n v="0"/>
    <n v="0"/>
    <n v="0.26925148088314488"/>
    <n v="0"/>
    <n v="0"/>
    <n v="0"/>
    <n v="0"/>
    <n v="0"/>
    <n v="0"/>
    <n v="0"/>
    <n v="0"/>
    <x v="3"/>
    <s v="Village"/>
    <x v="7"/>
    <x v="5"/>
    <n v="20.2195"/>
    <n v="92.811300000000003"/>
    <s v="196145"/>
    <x v="0"/>
    <m/>
  </r>
  <r>
    <x v="0"/>
    <x v="8"/>
    <x v="1"/>
    <x v="24"/>
    <x v="322"/>
    <n v="164"/>
    <n v="908"/>
    <m/>
    <s v="MHF"/>
    <d v="2018-09-13T00:00:00"/>
    <n v="0"/>
    <s v="No"/>
    <n v="0"/>
    <n v="0"/>
    <n v="20"/>
    <n v="35"/>
    <n v="0"/>
    <n v="0"/>
    <n v="0"/>
    <n v="0"/>
    <n v="0"/>
    <n v="0"/>
    <n v="0"/>
    <n v="0"/>
    <m/>
    <n v="48"/>
    <n v="0"/>
    <n v="0"/>
    <n v="0"/>
    <x v="1"/>
    <x v="1"/>
    <n v="0"/>
    <n v="0"/>
    <m/>
    <n v="0"/>
    <s v="Household"/>
    <n v="0"/>
    <n v="0"/>
    <n v="1"/>
    <n v="0"/>
    <n v="0"/>
    <m/>
    <m/>
    <s v="no test"/>
    <s v="no test"/>
    <n v="1"/>
    <n v="1"/>
    <n v="1"/>
    <n v="908"/>
    <n v="0"/>
    <n v="0"/>
    <n v="1"/>
    <n v="908"/>
    <n v="1.8160000000000001"/>
    <n v="0"/>
    <n v="0"/>
    <n v="0.18399999999999994"/>
    <n v="2"/>
    <x v="0"/>
    <n v="48"/>
    <n v="0.31718061674008813"/>
    <n v="288"/>
    <n v="0.68061674008810569"/>
    <n v="103"/>
    <n v="151"/>
    <n v="0"/>
    <s v="N/A"/>
    <n v="0"/>
    <n v="1"/>
    <n v="500"/>
    <n v="0"/>
    <n v="1"/>
    <n v="0"/>
    <n v="0"/>
    <n v="0.5506607929515418"/>
    <n v="0"/>
    <n v="0"/>
    <n v="0"/>
    <n v="0"/>
    <n v="0"/>
    <n v="0"/>
    <n v="0"/>
    <n v="0"/>
    <x v="3"/>
    <s v="Village"/>
    <x v="7"/>
    <x v="5"/>
    <n v="20.212700000000002"/>
    <n v="92.820800000000006"/>
    <s v="196144"/>
    <x v="0"/>
    <m/>
  </r>
  <r>
    <x v="0"/>
    <x v="8"/>
    <x v="1"/>
    <x v="24"/>
    <x v="323"/>
    <n v="80"/>
    <n v="359"/>
    <m/>
    <s v="MHF"/>
    <d v="2018-09-13T00:00:00"/>
    <n v="0"/>
    <s v="No"/>
    <n v="0"/>
    <n v="0"/>
    <n v="7"/>
    <n v="13"/>
    <n v="0"/>
    <n v="0"/>
    <n v="0"/>
    <n v="0"/>
    <n v="0"/>
    <n v="0"/>
    <n v="0"/>
    <n v="0"/>
    <m/>
    <n v="80"/>
    <n v="0"/>
    <n v="0"/>
    <n v="0"/>
    <x v="1"/>
    <x v="1"/>
    <n v="0"/>
    <n v="0"/>
    <m/>
    <n v="0"/>
    <s v="Household"/>
    <n v="0"/>
    <n v="0"/>
    <n v="1"/>
    <n v="0"/>
    <n v="0"/>
    <m/>
    <m/>
    <s v="no test"/>
    <s v="no test"/>
    <n v="1"/>
    <n v="1"/>
    <n v="1"/>
    <n v="359"/>
    <n v="0"/>
    <n v="0"/>
    <n v="1"/>
    <n v="359"/>
    <n v="0.71799999999999997"/>
    <n v="0"/>
    <n v="0"/>
    <n v="0.28200000000000003"/>
    <n v="1"/>
    <x v="0"/>
    <n v="80"/>
    <n v="1"/>
    <n v="359"/>
    <n v="0"/>
    <n v="0"/>
    <n v="60"/>
    <n v="0"/>
    <s v="N/A"/>
    <n v="0"/>
    <n v="1"/>
    <n v="359"/>
    <n v="0"/>
    <n v="1"/>
    <n v="0"/>
    <n v="0"/>
    <n v="1"/>
    <n v="0"/>
    <n v="0"/>
    <n v="0"/>
    <n v="0"/>
    <n v="0"/>
    <n v="0"/>
    <n v="0"/>
    <n v="0"/>
    <x v="3"/>
    <s v="Village"/>
    <x v="7"/>
    <x v="3"/>
    <n v="20.202400000000001"/>
    <n v="92.812799999999996"/>
    <s v="196159"/>
    <x v="0"/>
    <m/>
  </r>
  <r>
    <x v="0"/>
    <x v="3"/>
    <x v="1"/>
    <x v="24"/>
    <x v="324"/>
    <n v="14"/>
    <n v="93"/>
    <m/>
    <m/>
    <m/>
    <m/>
    <s v="No"/>
    <n v="0"/>
    <n v="0"/>
    <n v="0"/>
    <n v="0"/>
    <n v="0"/>
    <n v="0"/>
    <n v="0"/>
    <m/>
    <m/>
    <m/>
    <m/>
    <m/>
    <m/>
    <n v="0"/>
    <n v="0"/>
    <m/>
    <n v="0"/>
    <x v="2"/>
    <x v="3"/>
    <m/>
    <m/>
    <m/>
    <n v="0"/>
    <s v="Household"/>
    <n v="0"/>
    <n v="0"/>
    <n v="0"/>
    <m/>
    <m/>
    <m/>
    <m/>
    <s v="no test"/>
    <s v="no test"/>
    <n v="0"/>
    <n v="0"/>
    <n v="0"/>
    <n v="0"/>
    <n v="0"/>
    <n v="0"/>
    <n v="0"/>
    <n v="0"/>
    <n v="0"/>
    <n v="1"/>
    <n v="93"/>
    <n v="1"/>
    <n v="1"/>
    <x v="0"/>
    <n v="0"/>
    <n v="0"/>
    <n v="0"/>
    <n v="1.032258064516129"/>
    <n v="16"/>
    <n v="16"/>
    <n v="0"/>
    <s v="N/A"/>
    <n v="0"/>
    <n v="1"/>
    <n v="0"/>
    <n v="0"/>
    <n v="0"/>
    <n v="0"/>
    <n v="0"/>
    <n v="0"/>
    <n v="0"/>
    <n v="0"/>
    <n v="0"/>
    <n v="0"/>
    <n v="0"/>
    <n v="0"/>
    <n v="0"/>
    <n v="0"/>
    <x v="3"/>
    <s v="Village"/>
    <x v="7"/>
    <x v="5"/>
    <n v="0"/>
    <n v="0"/>
    <s v=""/>
    <x v="1"/>
    <m/>
  </r>
  <r>
    <x v="0"/>
    <x v="3"/>
    <x v="1"/>
    <x v="24"/>
    <x v="325"/>
    <n v="22"/>
    <n v="114"/>
    <m/>
    <m/>
    <m/>
    <m/>
    <s v="No"/>
    <n v="0"/>
    <n v="0"/>
    <n v="0"/>
    <n v="0"/>
    <n v="0"/>
    <n v="0"/>
    <n v="0"/>
    <m/>
    <m/>
    <m/>
    <m/>
    <m/>
    <m/>
    <n v="0"/>
    <n v="0"/>
    <m/>
    <n v="0"/>
    <x v="2"/>
    <x v="3"/>
    <m/>
    <m/>
    <m/>
    <n v="0"/>
    <s v="Household"/>
    <n v="0"/>
    <n v="0"/>
    <n v="2"/>
    <m/>
    <m/>
    <m/>
    <m/>
    <s v="no test"/>
    <s v="no test"/>
    <n v="0"/>
    <n v="0"/>
    <n v="0"/>
    <n v="0"/>
    <n v="0"/>
    <n v="0"/>
    <n v="0"/>
    <n v="0"/>
    <n v="0"/>
    <n v="1"/>
    <n v="114"/>
    <n v="1"/>
    <n v="1"/>
    <x v="0"/>
    <n v="0"/>
    <n v="0"/>
    <n v="0"/>
    <n v="1.0526315789473684"/>
    <n v="6"/>
    <n v="6"/>
    <n v="0"/>
    <n v="0"/>
    <n v="0"/>
    <n v="1"/>
    <n v="114"/>
    <n v="0"/>
    <n v="1"/>
    <n v="0"/>
    <n v="0"/>
    <n v="1"/>
    <n v="0"/>
    <n v="0"/>
    <n v="0"/>
    <n v="0"/>
    <n v="0"/>
    <n v="0"/>
    <s v="Yes"/>
    <s v="UNHCR"/>
    <x v="0"/>
    <s v="Camp"/>
    <x v="3"/>
    <x v="5"/>
    <n v="20.182987000000001"/>
    <n v="92.804803000000007"/>
    <s v="MMR012CMP103"/>
    <x v="1"/>
    <m/>
  </r>
  <r>
    <x v="0"/>
    <x v="17"/>
    <x v="1"/>
    <x v="21"/>
    <x v="326"/>
    <n v="1341"/>
    <n v="5938"/>
    <m/>
    <s v="UNICEF"/>
    <d v="2018-06-30T00:00:00"/>
    <n v="0"/>
    <s v="No"/>
    <n v="0"/>
    <n v="0"/>
    <n v="0"/>
    <n v="0"/>
    <n v="81000"/>
    <n v="2"/>
    <n v="0"/>
    <n v="0"/>
    <n v="0"/>
    <n v="0"/>
    <n v="0"/>
    <n v="0"/>
    <m/>
    <n v="87"/>
    <n v="116"/>
    <n v="34"/>
    <n v="0"/>
    <x v="0"/>
    <x v="2"/>
    <n v="0"/>
    <n v="0"/>
    <m/>
    <n v="0"/>
    <s v="Household"/>
    <n v="0"/>
    <n v="0"/>
    <n v="20"/>
    <n v="1341"/>
    <n v="1341"/>
    <s v="No"/>
    <m/>
    <s v="no test"/>
    <s v="no test"/>
    <n v="0.90939710340181878"/>
    <n v="0.90939710340181878"/>
    <n v="0.90939710340181878"/>
    <n v="5400"/>
    <n v="8.4203435500168414E-2"/>
    <n v="500.00000000000006"/>
    <n v="0.99360053890198718"/>
    <n v="5900"/>
    <n v="11.8"/>
    <n v="6.3994610980128153E-3"/>
    <n v="38.000000000000099"/>
    <n v="0.19999999999999929"/>
    <n v="12"/>
    <x v="0"/>
    <n v="203"/>
    <n v="0.29302795554058608"/>
    <n v="1740.0000000000002"/>
    <n v="0.31660491748063324"/>
    <n v="94"/>
    <n v="297"/>
    <n v="0.5714285714285714"/>
    <n v="680"/>
    <n v="1"/>
    <n v="0"/>
    <n v="5938"/>
    <n v="1"/>
    <n v="1"/>
    <n v="1"/>
    <n v="5938"/>
    <n v="1"/>
    <n v="1"/>
    <n v="1"/>
    <n v="6705"/>
    <n v="6705"/>
    <n v="6705"/>
    <n v="0"/>
    <s v="Yes"/>
    <s v="DRC"/>
    <x v="0"/>
    <s v="Camp"/>
    <x v="8"/>
    <x v="5"/>
    <n v="20.090183"/>
    <n v="93.010368999999997"/>
    <s v="MMR012CMP018"/>
    <x v="0"/>
    <m/>
  </r>
  <r>
    <x v="0"/>
    <x v="2"/>
    <x v="1"/>
    <x v="24"/>
    <x v="327"/>
    <n v="397"/>
    <n v="1995"/>
    <m/>
    <s v="HARP"/>
    <d v="2020-09-30T00:00:00"/>
    <n v="0"/>
    <s v="No"/>
    <n v="0"/>
    <n v="0"/>
    <n v="0"/>
    <n v="26"/>
    <n v="0"/>
    <n v="0"/>
    <n v="29"/>
    <n v="0"/>
    <n v="0"/>
    <n v="0"/>
    <n v="0"/>
    <n v="0"/>
    <m/>
    <n v="55"/>
    <n v="61"/>
    <n v="12"/>
    <n v="112"/>
    <x v="0"/>
    <x v="0"/>
    <n v="0"/>
    <n v="0"/>
    <m/>
    <n v="0"/>
    <s v="Communal"/>
    <n v="0"/>
    <n v="0"/>
    <n v="2"/>
    <n v="397"/>
    <n v="397"/>
    <m/>
    <m/>
    <s v="no test"/>
    <s v="no test"/>
    <n v="1"/>
    <n v="1"/>
    <n v="1"/>
    <n v="1995"/>
    <n v="0"/>
    <n v="0"/>
    <n v="1"/>
    <n v="1995"/>
    <n v="3.99"/>
    <n v="0"/>
    <n v="0"/>
    <n v="9.9999999999997868E-3"/>
    <n v="4"/>
    <x v="0"/>
    <n v="116"/>
    <n v="0.55137844611528819"/>
    <n v="1100"/>
    <n v="0"/>
    <n v="0"/>
    <n v="100"/>
    <n v="0.52586206896551724"/>
    <n v="240"/>
    <n v="1"/>
    <n v="0"/>
    <n v="1000"/>
    <n v="1"/>
    <n v="0"/>
    <n v="1"/>
    <n v="1995"/>
    <n v="0.50125313283208017"/>
    <n v="1"/>
    <n v="1"/>
    <n v="1985"/>
    <n v="1985"/>
    <n v="1985"/>
    <n v="0"/>
    <s v="Yes"/>
    <s v="LWF"/>
    <x v="0"/>
    <s v="Camp"/>
    <x v="8"/>
    <x v="5"/>
    <n v="20.128488999999998"/>
    <n v="92.875814000000005"/>
    <s v="MMR012CMP039"/>
    <x v="0"/>
    <m/>
  </r>
  <r>
    <x v="0"/>
    <x v="2"/>
    <x v="1"/>
    <x v="24"/>
    <x v="328"/>
    <n v="1016"/>
    <n v="4892"/>
    <m/>
    <s v="HARP"/>
    <d v="2020-09-30T00:00:00"/>
    <n v="0"/>
    <s v="No"/>
    <n v="0"/>
    <n v="0"/>
    <n v="0"/>
    <n v="46"/>
    <n v="0"/>
    <n v="0"/>
    <n v="53"/>
    <n v="0"/>
    <n v="0"/>
    <n v="0"/>
    <n v="0"/>
    <n v="0"/>
    <m/>
    <n v="254"/>
    <n v="32"/>
    <n v="162"/>
    <n v="250"/>
    <x v="0"/>
    <x v="2"/>
    <n v="0"/>
    <n v="0"/>
    <m/>
    <n v="0"/>
    <s v="Household"/>
    <n v="0"/>
    <n v="0"/>
    <n v="9"/>
    <n v="1016"/>
    <n v="1016"/>
    <m/>
    <m/>
    <s v="no test"/>
    <s v="no test"/>
    <n v="1"/>
    <n v="1"/>
    <n v="1"/>
    <n v="4892"/>
    <n v="0"/>
    <n v="0"/>
    <n v="1"/>
    <n v="4892"/>
    <n v="9.7840000000000007"/>
    <n v="0"/>
    <n v="0"/>
    <n v="0.2159999999999993"/>
    <n v="10"/>
    <x v="0"/>
    <n v="286"/>
    <n v="1"/>
    <n v="4892"/>
    <n v="0"/>
    <n v="0"/>
    <n v="245"/>
    <n v="0.11188811188811189"/>
    <n v="3240"/>
    <n v="1"/>
    <n v="0"/>
    <n v="4500"/>
    <n v="1"/>
    <n v="1"/>
    <n v="1"/>
    <n v="4892"/>
    <n v="0.91986917416189695"/>
    <n v="1"/>
    <n v="1"/>
    <n v="5080"/>
    <n v="5080"/>
    <n v="5080"/>
    <n v="0"/>
    <s v="Yes"/>
    <s v="DRC"/>
    <x v="0"/>
    <s v="Camp"/>
    <x v="8"/>
    <x v="5"/>
    <n v="20.179417000000001"/>
    <n v="92.813028000000003"/>
    <s v="MMR012CMP113"/>
    <x v="0"/>
    <m/>
  </r>
  <r>
    <x v="0"/>
    <x v="2"/>
    <x v="1"/>
    <x v="24"/>
    <x v="329"/>
    <n v="1311"/>
    <n v="6936"/>
    <m/>
    <s v="HARP"/>
    <d v="2020-09-30T00:00:00"/>
    <n v="0"/>
    <s v="No"/>
    <n v="0"/>
    <n v="0"/>
    <n v="0"/>
    <n v="71"/>
    <n v="0"/>
    <n v="0"/>
    <n v="88"/>
    <n v="0"/>
    <n v="0"/>
    <n v="0"/>
    <n v="0"/>
    <n v="0"/>
    <m/>
    <n v="305"/>
    <n v="137"/>
    <n v="197"/>
    <n v="303"/>
    <x v="0"/>
    <x v="0"/>
    <n v="0"/>
    <n v="0"/>
    <m/>
    <n v="0"/>
    <s v="Household"/>
    <n v="0"/>
    <n v="0"/>
    <n v="0"/>
    <n v="0"/>
    <n v="0"/>
    <m/>
    <m/>
    <s v="no test"/>
    <s v="no test"/>
    <n v="1"/>
    <n v="1"/>
    <n v="1"/>
    <n v="6936"/>
    <n v="0"/>
    <n v="0"/>
    <n v="1"/>
    <n v="6936"/>
    <n v="13.872"/>
    <n v="0"/>
    <n v="0"/>
    <n v="0.12800000000000011"/>
    <n v="14"/>
    <x v="0"/>
    <n v="442"/>
    <n v="0.87946943483275664"/>
    <n v="6100"/>
    <n v="0"/>
    <n v="0"/>
    <n v="347"/>
    <n v="0.30995475113122173"/>
    <n v="3940"/>
    <n v="0"/>
    <n v="1"/>
    <n v="0"/>
    <n v="0"/>
    <n v="0"/>
    <n v="0"/>
    <n v="0"/>
    <n v="0"/>
    <n v="0"/>
    <n v="0"/>
    <n v="0"/>
    <n v="0"/>
    <n v="0"/>
    <n v="0"/>
    <s v="Yes"/>
    <s v="DRC"/>
    <x v="0"/>
    <s v="Camp"/>
    <x v="8"/>
    <x v="5"/>
    <n v="20.181405999999999"/>
    <n v="92.807552000000001"/>
    <s v="MMR012CMP114"/>
    <x v="0"/>
    <m/>
  </r>
  <r>
    <x v="0"/>
    <x v="2"/>
    <x v="1"/>
    <x v="24"/>
    <x v="330"/>
    <n v="1436"/>
    <n v="8508"/>
    <m/>
    <s v="HARP"/>
    <d v="2020-09-30T00:00:00"/>
    <n v="0"/>
    <s v="No"/>
    <n v="0"/>
    <n v="0"/>
    <n v="0"/>
    <n v="72"/>
    <n v="0"/>
    <n v="0"/>
    <n v="93"/>
    <n v="0"/>
    <n v="0"/>
    <n v="0"/>
    <n v="0"/>
    <n v="0"/>
    <m/>
    <n v="406"/>
    <n v="130"/>
    <n v="117"/>
    <n v="371"/>
    <x v="0"/>
    <x v="0"/>
    <n v="0"/>
    <n v="0"/>
    <m/>
    <n v="0"/>
    <s v="Household"/>
    <n v="0"/>
    <n v="0"/>
    <n v="8"/>
    <n v="2007"/>
    <n v="2007"/>
    <m/>
    <m/>
    <s v="no test"/>
    <s v="no test"/>
    <n v="1"/>
    <n v="1"/>
    <n v="1"/>
    <n v="8508"/>
    <n v="0"/>
    <n v="0"/>
    <n v="1"/>
    <n v="8508"/>
    <n v="17.015999999999998"/>
    <n v="0"/>
    <n v="0"/>
    <n v="0"/>
    <n v="17"/>
    <x v="0"/>
    <n v="536"/>
    <n v="0.95439586271744237"/>
    <n v="8120"/>
    <n v="0"/>
    <n v="0"/>
    <n v="425"/>
    <n v="0.24253731343283583"/>
    <n v="2340"/>
    <n v="1"/>
    <n v="0"/>
    <n v="4000"/>
    <n v="1"/>
    <n v="0"/>
    <n v="1"/>
    <n v="8508"/>
    <n v="0.4701457451810061"/>
    <n v="1"/>
    <n v="1"/>
    <n v="10035"/>
    <n v="10035"/>
    <n v="10035"/>
    <n v="0"/>
    <s v="Yes"/>
    <s v="DRC"/>
    <x v="0"/>
    <s v="Camp"/>
    <x v="8"/>
    <x v="5"/>
    <n v="20.16846"/>
    <n v="92.827427"/>
    <s v="MMR012CMP041"/>
    <x v="0"/>
    <m/>
  </r>
  <r>
    <x v="0"/>
    <x v="2"/>
    <x v="1"/>
    <x v="24"/>
    <x v="331"/>
    <n v="601"/>
    <n v="3360"/>
    <m/>
    <s v="HARP"/>
    <d v="2020-09-30T00:00:00"/>
    <n v="0"/>
    <s v="No"/>
    <n v="0"/>
    <n v="0"/>
    <n v="0"/>
    <n v="21"/>
    <n v="0"/>
    <n v="0"/>
    <n v="21"/>
    <n v="0"/>
    <n v="0"/>
    <n v="0"/>
    <n v="0"/>
    <n v="0"/>
    <m/>
    <n v="0"/>
    <n v="0"/>
    <n v="0"/>
    <n v="0"/>
    <x v="2"/>
    <x v="3"/>
    <n v="0"/>
    <n v="0"/>
    <m/>
    <n v="0"/>
    <s v="Household"/>
    <n v="0"/>
    <n v="0"/>
    <n v="1"/>
    <n v="593"/>
    <n v="593"/>
    <m/>
    <m/>
    <s v="no test"/>
    <s v="no test"/>
    <n v="1"/>
    <n v="1"/>
    <n v="1"/>
    <n v="3360"/>
    <n v="0"/>
    <n v="0"/>
    <n v="1"/>
    <n v="3360"/>
    <n v="6.72"/>
    <n v="0"/>
    <n v="0"/>
    <n v="0.28000000000000025"/>
    <n v="7"/>
    <x v="0"/>
    <n v="0"/>
    <n v="0"/>
    <n v="0"/>
    <n v="1"/>
    <n v="168"/>
    <n v="168"/>
    <n v="0"/>
    <n v="0"/>
    <n v="0"/>
    <n v="1"/>
    <n v="500"/>
    <n v="0"/>
    <n v="0"/>
    <n v="0"/>
    <n v="0"/>
    <n v="0.14880952380952381"/>
    <n v="0.98668885191347755"/>
    <n v="0.98668885191347755"/>
    <n v="2965"/>
    <n v="2965"/>
    <n v="2965"/>
    <n v="0"/>
    <s v="Yes"/>
    <s v="UNHCR"/>
    <x v="0"/>
    <s v="Camp"/>
    <x v="3"/>
    <x v="5"/>
    <n v="20.167421999999998"/>
    <n v="92.830074999999994"/>
    <s v="MMR012CMP097"/>
    <x v="0"/>
    <m/>
  </r>
  <r>
    <x v="0"/>
    <x v="2"/>
    <x v="1"/>
    <x v="24"/>
    <x v="332"/>
    <n v="400"/>
    <n v="2186"/>
    <m/>
    <s v="HARP"/>
    <d v="2020-09-30T00:00:00"/>
    <n v="0"/>
    <s v="No"/>
    <n v="0"/>
    <n v="0"/>
    <n v="0"/>
    <n v="27"/>
    <n v="0"/>
    <n v="0"/>
    <n v="27"/>
    <n v="0"/>
    <n v="0"/>
    <n v="0"/>
    <n v="0"/>
    <n v="0"/>
    <m/>
    <n v="102"/>
    <n v="5"/>
    <n v="25"/>
    <n v="102"/>
    <x v="0"/>
    <x v="2"/>
    <n v="0"/>
    <n v="0"/>
    <m/>
    <n v="0"/>
    <s v="Household"/>
    <n v="0"/>
    <n v="0"/>
    <n v="2"/>
    <n v="400"/>
    <n v="400"/>
    <m/>
    <m/>
    <s v="no test"/>
    <s v="no test"/>
    <n v="1"/>
    <n v="1"/>
    <n v="1"/>
    <n v="2186"/>
    <n v="0"/>
    <n v="0"/>
    <n v="1"/>
    <n v="2186"/>
    <n v="4.3719999999999999"/>
    <n v="0"/>
    <n v="0"/>
    <n v="0"/>
    <n v="4"/>
    <x v="0"/>
    <n v="107"/>
    <n v="0.93321134492223234"/>
    <n v="2040"/>
    <n v="1.8298261665141813E-2"/>
    <n v="2"/>
    <n v="109"/>
    <n v="4.6728971962616821E-2"/>
    <n v="500"/>
    <n v="1"/>
    <n v="0"/>
    <n v="1000"/>
    <n v="1"/>
    <n v="0"/>
    <n v="1"/>
    <n v="2186"/>
    <n v="0.45745654162854527"/>
    <n v="1"/>
    <n v="1"/>
    <n v="2000"/>
    <n v="2000"/>
    <n v="2000"/>
    <n v="0"/>
    <n v="0"/>
    <n v="0"/>
    <x v="0"/>
    <s v="Camp"/>
    <x v="4"/>
    <x v="5"/>
    <n v="20.180194"/>
    <n v="92.816638999999995"/>
    <s v="MMR012CMP102"/>
    <x v="0"/>
    <m/>
  </r>
  <r>
    <x v="0"/>
    <x v="2"/>
    <x v="1"/>
    <x v="24"/>
    <x v="333"/>
    <n v="2286"/>
    <n v="12202"/>
    <m/>
    <s v="HARP"/>
    <d v="2020-09-30T00:00:00"/>
    <n v="0"/>
    <s v="No"/>
    <n v="0"/>
    <n v="0"/>
    <n v="0"/>
    <n v="48"/>
    <n v="0"/>
    <n v="0"/>
    <n v="48"/>
    <n v="0"/>
    <n v="0"/>
    <n v="0"/>
    <n v="0"/>
    <n v="0"/>
    <m/>
    <n v="243"/>
    <n v="21"/>
    <n v="50"/>
    <n v="240"/>
    <x v="0"/>
    <x v="0"/>
    <n v="0"/>
    <n v="0"/>
    <m/>
    <n v="0"/>
    <s v="Household"/>
    <n v="0"/>
    <n v="0"/>
    <n v="8"/>
    <n v="1135"/>
    <n v="1895"/>
    <m/>
    <m/>
    <s v="no test"/>
    <s v="no test"/>
    <n v="1"/>
    <n v="0.98344533683002788"/>
    <n v="1"/>
    <n v="12202"/>
    <n v="0"/>
    <n v="0"/>
    <n v="1"/>
    <n v="12202"/>
    <n v="24.404"/>
    <n v="0"/>
    <n v="0"/>
    <n v="0"/>
    <n v="24"/>
    <x v="0"/>
    <n v="264"/>
    <n v="0.39829536141616129"/>
    <n v="4860"/>
    <n v="0.56712014423864943"/>
    <n v="346"/>
    <n v="610"/>
    <n v="7.9545454545454544E-2"/>
    <n v="1000"/>
    <n v="0"/>
    <n v="1"/>
    <n v="4000"/>
    <n v="0"/>
    <n v="0"/>
    <n v="0"/>
    <n v="0"/>
    <n v="0.32781511227667598"/>
    <n v="0.49650043744531935"/>
    <n v="0.82895888013998253"/>
    <n v="5675"/>
    <n v="9475"/>
    <n v="9475"/>
    <n v="0"/>
    <s v="Yes"/>
    <s v="LWF"/>
    <x v="0"/>
    <s v="Camp"/>
    <x v="11"/>
    <x v="5"/>
    <n v="20.1585"/>
    <n v="92.839416999999997"/>
    <s v="MMR012CMP046"/>
    <x v="0"/>
    <m/>
  </r>
  <r>
    <x v="0"/>
    <x v="2"/>
    <x v="1"/>
    <x v="24"/>
    <x v="334"/>
    <n v="150"/>
    <n v="745"/>
    <m/>
    <s v="HARP"/>
    <d v="2020-09-30T00:00:00"/>
    <n v="0"/>
    <s v="No"/>
    <n v="0"/>
    <n v="0"/>
    <n v="0"/>
    <n v="10"/>
    <n v="0"/>
    <n v="0"/>
    <n v="10"/>
    <n v="0"/>
    <n v="0"/>
    <n v="0"/>
    <n v="0"/>
    <n v="0"/>
    <m/>
    <n v="0"/>
    <n v="0"/>
    <n v="0"/>
    <n v="0"/>
    <x v="2"/>
    <x v="3"/>
    <n v="0"/>
    <n v="0"/>
    <m/>
    <n v="0"/>
    <s v="Household"/>
    <n v="0"/>
    <n v="0"/>
    <n v="1"/>
    <n v="0"/>
    <n v="0"/>
    <m/>
    <m/>
    <s v="no test"/>
    <s v="no test"/>
    <n v="1"/>
    <n v="1"/>
    <n v="1"/>
    <n v="745"/>
    <n v="0"/>
    <n v="0"/>
    <n v="1"/>
    <n v="745"/>
    <n v="1.49"/>
    <n v="0"/>
    <n v="0"/>
    <n v="0"/>
    <n v="1"/>
    <x v="0"/>
    <n v="0"/>
    <n v="0"/>
    <n v="0"/>
    <n v="0.99865771812080528"/>
    <n v="124"/>
    <n v="124"/>
    <n v="0"/>
    <s v="N/A"/>
    <n v="0"/>
    <n v="1"/>
    <n v="500"/>
    <n v="0"/>
    <n v="1"/>
    <n v="0"/>
    <n v="0"/>
    <n v="0.67114093959731547"/>
    <n v="0"/>
    <n v="0"/>
    <n v="0"/>
    <n v="0"/>
    <n v="0"/>
    <n v="0"/>
    <n v="0"/>
    <n v="0"/>
    <x v="3"/>
    <s v="Village"/>
    <x v="7"/>
    <x v="3"/>
    <n v="20.162599563598601"/>
    <n v="92.834457397460895"/>
    <s v="196210"/>
    <x v="0"/>
    <m/>
  </r>
  <r>
    <x v="0"/>
    <x v="2"/>
    <x v="1"/>
    <x v="24"/>
    <x v="335"/>
    <n v="198"/>
    <n v="1131"/>
    <m/>
    <s v="HARP"/>
    <d v="2020-09-30T00:00:00"/>
    <n v="0"/>
    <s v="No"/>
    <n v="0"/>
    <n v="0"/>
    <n v="0"/>
    <n v="18"/>
    <n v="0"/>
    <n v="0"/>
    <n v="18"/>
    <n v="0"/>
    <n v="0"/>
    <n v="0"/>
    <n v="0"/>
    <n v="0"/>
    <m/>
    <n v="0"/>
    <n v="0"/>
    <n v="0"/>
    <n v="0"/>
    <x v="2"/>
    <x v="3"/>
    <n v="0"/>
    <n v="0"/>
    <m/>
    <n v="0"/>
    <s v="Household"/>
    <n v="0"/>
    <n v="0"/>
    <n v="2"/>
    <n v="586"/>
    <n v="586"/>
    <m/>
    <m/>
    <s v="no test"/>
    <s v="no test"/>
    <n v="1"/>
    <n v="1"/>
    <n v="1"/>
    <n v="1131"/>
    <n v="0"/>
    <n v="0"/>
    <n v="1"/>
    <n v="1131"/>
    <n v="2.262"/>
    <n v="0"/>
    <n v="0"/>
    <n v="0"/>
    <n v="2"/>
    <x v="0"/>
    <n v="0"/>
    <n v="0"/>
    <n v="0"/>
    <n v="1.0026525198938991"/>
    <n v="189"/>
    <n v="189"/>
    <n v="0"/>
    <s v="N/A"/>
    <n v="1"/>
    <n v="0"/>
    <n v="1000"/>
    <n v="1"/>
    <n v="1"/>
    <n v="1"/>
    <n v="1131"/>
    <n v="0.88417329796640143"/>
    <n v="1"/>
    <n v="1"/>
    <n v="2930"/>
    <n v="2930"/>
    <n v="2930"/>
    <n v="0"/>
    <n v="0"/>
    <n v="0"/>
    <x v="3"/>
    <s v="Village"/>
    <x v="7"/>
    <x v="5"/>
    <n v="20.148910522460898"/>
    <n v="92.846160888671903"/>
    <s v="196209"/>
    <x v="0"/>
    <m/>
  </r>
  <r>
    <x v="0"/>
    <x v="8"/>
    <x v="1"/>
    <x v="21"/>
    <x v="336"/>
    <n v="204"/>
    <n v="1055"/>
    <m/>
    <s v="OFDA"/>
    <d v="2018-03-31T00:00:00"/>
    <n v="0"/>
    <s v="No"/>
    <n v="0"/>
    <n v="0"/>
    <n v="0"/>
    <n v="0"/>
    <n v="0"/>
    <n v="2"/>
    <n v="0"/>
    <n v="0"/>
    <n v="0"/>
    <n v="0"/>
    <n v="0"/>
    <n v="0"/>
    <m/>
    <n v="50"/>
    <n v="20"/>
    <n v="0"/>
    <n v="70"/>
    <x v="2"/>
    <x v="3"/>
    <n v="0"/>
    <n v="0"/>
    <m/>
    <n v="0"/>
    <s v="Household"/>
    <n v="0"/>
    <n v="0"/>
    <n v="3"/>
    <n v="0"/>
    <n v="0"/>
    <m/>
    <m/>
    <s v="no test"/>
    <s v="no test"/>
    <n v="0"/>
    <n v="0"/>
    <n v="0"/>
    <n v="0"/>
    <n v="0.47393364928909953"/>
    <n v="500"/>
    <n v="0.47393364928909953"/>
    <n v="500"/>
    <n v="1"/>
    <n v="0.52606635071090047"/>
    <n v="555"/>
    <n v="1"/>
    <n v="2"/>
    <x v="0"/>
    <n v="70"/>
    <n v="0.28436018957345971"/>
    <n v="300"/>
    <n v="0.6028436018957346"/>
    <n v="106"/>
    <n v="176"/>
    <n v="0.2857142857142857"/>
    <s v="N/A"/>
    <n v="0"/>
    <n v="1"/>
    <n v="1055"/>
    <n v="0"/>
    <n v="1"/>
    <n v="0"/>
    <n v="0"/>
    <n v="1"/>
    <n v="0"/>
    <n v="0"/>
    <n v="0"/>
    <n v="0"/>
    <n v="0"/>
    <n v="0"/>
    <n v="0"/>
    <n v="0"/>
    <x v="3"/>
    <s v="Village"/>
    <x v="7"/>
    <x v="3"/>
    <n v="20.0839"/>
    <n v="92.993799999999993"/>
    <s v="197557"/>
    <x v="0"/>
    <m/>
  </r>
  <r>
    <x v="0"/>
    <x v="8"/>
    <x v="1"/>
    <x v="21"/>
    <x v="337"/>
    <n v="744"/>
    <n v="2810"/>
    <m/>
    <s v="OFDA"/>
    <d v="2018-03-31T00:00:00"/>
    <n v="0"/>
    <s v="No"/>
    <n v="0"/>
    <n v="0"/>
    <n v="14"/>
    <n v="0"/>
    <n v="70067"/>
    <n v="0"/>
    <n v="8"/>
    <n v="0"/>
    <n v="0"/>
    <n v="0"/>
    <n v="0"/>
    <n v="0"/>
    <m/>
    <n v="348"/>
    <n v="18"/>
    <n v="0"/>
    <n v="366"/>
    <x v="0"/>
    <x v="0"/>
    <n v="0"/>
    <n v="0"/>
    <m/>
    <n v="0.55000000000000004"/>
    <s v="Both"/>
    <n v="660"/>
    <n v="0"/>
    <n v="7"/>
    <n v="720"/>
    <n v="720"/>
    <m/>
    <m/>
    <s v="no test"/>
    <s v="no test"/>
    <n v="1"/>
    <n v="1"/>
    <n v="1"/>
    <n v="2810"/>
    <n v="0"/>
    <n v="0"/>
    <n v="1"/>
    <n v="2810"/>
    <n v="5.62"/>
    <n v="0"/>
    <n v="0"/>
    <n v="0.37999999999999989"/>
    <n v="6"/>
    <x v="0"/>
    <n v="366"/>
    <n v="1"/>
    <n v="2810"/>
    <n v="0"/>
    <n v="0"/>
    <n v="141"/>
    <n v="4.9180327868852458E-2"/>
    <n v="0"/>
    <n v="0"/>
    <n v="1"/>
    <n v="2810"/>
    <n v="0"/>
    <n v="1"/>
    <n v="0"/>
    <n v="0"/>
    <n v="1"/>
    <n v="0.967741935483871"/>
    <n v="0.967741935483871"/>
    <n v="3600"/>
    <n v="3600"/>
    <n v="3600"/>
    <n v="409.20000000000005"/>
    <s v="Yes"/>
    <s v="DRC"/>
    <x v="0"/>
    <s v="Camp"/>
    <x v="8"/>
    <x v="5"/>
    <n v="20.064226000000001"/>
    <n v="92.993758999999997"/>
    <s v="MMR012CMP019"/>
    <x v="0"/>
    <m/>
  </r>
  <r>
    <x v="0"/>
    <x v="8"/>
    <x v="1"/>
    <x v="21"/>
    <x v="338"/>
    <n v="948"/>
    <n v="3946"/>
    <m/>
    <s v="OFDA"/>
    <d v="2018-03-31T00:00:00"/>
    <n v="0"/>
    <s v="No"/>
    <n v="0"/>
    <n v="0"/>
    <n v="50"/>
    <n v="8"/>
    <n v="0"/>
    <n v="0"/>
    <n v="0"/>
    <n v="0"/>
    <n v="0"/>
    <n v="0"/>
    <n v="0"/>
    <n v="0"/>
    <m/>
    <n v="243"/>
    <n v="97"/>
    <n v="0"/>
    <n v="340"/>
    <x v="2"/>
    <x v="0"/>
    <n v="0"/>
    <n v="0"/>
    <m/>
    <n v="0.45"/>
    <s v="Both"/>
    <n v="0"/>
    <n v="0"/>
    <n v="7"/>
    <n v="0"/>
    <n v="0"/>
    <m/>
    <m/>
    <s v="no test"/>
    <s v="no test"/>
    <n v="1"/>
    <n v="1"/>
    <n v="1"/>
    <n v="3946"/>
    <n v="0"/>
    <n v="0"/>
    <n v="1"/>
    <n v="3946"/>
    <n v="7.8920000000000003"/>
    <n v="0"/>
    <n v="0"/>
    <n v="0.10799999999999965"/>
    <n v="8"/>
    <x v="0"/>
    <n v="340"/>
    <n v="0.36948808920425746"/>
    <n v="1458"/>
    <n v="0.48352762290927526"/>
    <n v="318"/>
    <n v="658"/>
    <n v="0.28529411764705881"/>
    <s v="N/A"/>
    <n v="0"/>
    <n v="1"/>
    <n v="3500"/>
    <n v="0"/>
    <n v="1"/>
    <n v="0"/>
    <n v="0"/>
    <n v="0.88697415103902688"/>
    <n v="0"/>
    <n v="0"/>
    <n v="0"/>
    <n v="0"/>
    <n v="0"/>
    <n v="426.6"/>
    <n v="0"/>
    <n v="0"/>
    <x v="3"/>
    <s v="Village"/>
    <x v="7"/>
    <x v="5"/>
    <n v="20.0641"/>
    <n v="92.994600000000005"/>
    <s v="197548"/>
    <x v="0"/>
    <m/>
  </r>
  <r>
    <x v="0"/>
    <x v="8"/>
    <x v="1"/>
    <x v="21"/>
    <x v="339"/>
    <n v="477"/>
    <n v="2034"/>
    <m/>
    <s v="OFDA"/>
    <d v="2018-03-31T00:00:00"/>
    <n v="0"/>
    <s v="No"/>
    <n v="0"/>
    <n v="0"/>
    <n v="15"/>
    <n v="7"/>
    <n v="0"/>
    <n v="2"/>
    <n v="0"/>
    <n v="0"/>
    <n v="0"/>
    <n v="0"/>
    <n v="0"/>
    <n v="0"/>
    <m/>
    <n v="102"/>
    <n v="74"/>
    <n v="0"/>
    <n v="176"/>
    <x v="2"/>
    <x v="0"/>
    <n v="0"/>
    <n v="0"/>
    <s v="Village approach(Agency regular provide only cleaning mateirals)"/>
    <n v="0"/>
    <s v="Household"/>
    <n v="0"/>
    <n v="0"/>
    <n v="4"/>
    <n v="0"/>
    <n v="0"/>
    <m/>
    <m/>
    <s v="no test"/>
    <s v="no test"/>
    <n v="1"/>
    <n v="1"/>
    <n v="1"/>
    <n v="2034"/>
    <n v="0.24582104228121926"/>
    <n v="500"/>
    <n v="1"/>
    <n v="2034"/>
    <n v="4.0679999999999996"/>
    <n v="0"/>
    <n v="0"/>
    <n v="0"/>
    <n v="4"/>
    <x v="0"/>
    <n v="176"/>
    <n v="0.30088495575221241"/>
    <n v="612"/>
    <n v="0.4808259587020649"/>
    <n v="163"/>
    <n v="339"/>
    <n v="0.42045454545454547"/>
    <s v="N/A"/>
    <n v="0"/>
    <n v="1"/>
    <n v="2000"/>
    <n v="0"/>
    <n v="1"/>
    <n v="0"/>
    <n v="0"/>
    <n v="0.98328416912487704"/>
    <n v="0"/>
    <n v="0"/>
    <n v="0"/>
    <n v="0"/>
    <n v="0"/>
    <n v="0"/>
    <n v="0"/>
    <n v="0"/>
    <x v="3"/>
    <s v="Village"/>
    <x v="7"/>
    <x v="3"/>
    <n v="20.057860999999999"/>
    <n v="92.995181000000002"/>
    <s v="197550"/>
    <x v="0"/>
    <m/>
  </r>
  <r>
    <x v="0"/>
    <x v="3"/>
    <x v="1"/>
    <x v="24"/>
    <x v="340"/>
    <n v="357"/>
    <n v="2743"/>
    <m/>
    <m/>
    <m/>
    <m/>
    <s v="No"/>
    <n v="0"/>
    <n v="0"/>
    <n v="0"/>
    <n v="20"/>
    <n v="0"/>
    <n v="0"/>
    <n v="0"/>
    <m/>
    <m/>
    <m/>
    <m/>
    <m/>
    <m/>
    <n v="39"/>
    <n v="0"/>
    <m/>
    <n v="0"/>
    <x v="1"/>
    <x v="1"/>
    <m/>
    <m/>
    <m/>
    <n v="0"/>
    <s v="Household"/>
    <n v="0"/>
    <n v="0"/>
    <n v="2"/>
    <m/>
    <m/>
    <m/>
    <m/>
    <s v="no test"/>
    <s v="no test"/>
    <n v="1"/>
    <n v="1"/>
    <n v="1"/>
    <n v="2743"/>
    <n v="0"/>
    <n v="0"/>
    <n v="1"/>
    <n v="2743"/>
    <n v="5.4859999999999998"/>
    <n v="0"/>
    <n v="0"/>
    <n v="0"/>
    <n v="5"/>
    <x v="0"/>
    <n v="39"/>
    <n v="8.5308056872037921E-2"/>
    <n v="234.00000000000003"/>
    <n v="0.91432737878235504"/>
    <n v="418"/>
    <n v="457"/>
    <n v="0"/>
    <s v="N/A"/>
    <n v="0"/>
    <n v="1"/>
    <n v="1000"/>
    <n v="0"/>
    <n v="0"/>
    <n v="0"/>
    <n v="0"/>
    <n v="0.36456434560699963"/>
    <n v="0"/>
    <n v="0"/>
    <n v="0"/>
    <n v="0"/>
    <n v="0"/>
    <n v="0"/>
    <n v="0"/>
    <n v="0"/>
    <x v="3"/>
    <s v="Village"/>
    <x v="7"/>
    <x v="5"/>
    <n v="0"/>
    <n v="0"/>
    <s v=""/>
    <x v="1"/>
    <m/>
  </r>
  <r>
    <x v="0"/>
    <x v="3"/>
    <x v="1"/>
    <x v="24"/>
    <x v="341"/>
    <n v="251"/>
    <n v="1820"/>
    <m/>
    <m/>
    <m/>
    <m/>
    <s v="No"/>
    <n v="0"/>
    <n v="0"/>
    <n v="0"/>
    <n v="33"/>
    <n v="0"/>
    <n v="0"/>
    <n v="0"/>
    <m/>
    <m/>
    <m/>
    <m/>
    <m/>
    <m/>
    <n v="0"/>
    <n v="0"/>
    <m/>
    <n v="0"/>
    <x v="1"/>
    <x v="1"/>
    <m/>
    <m/>
    <m/>
    <n v="0"/>
    <s v="Household"/>
    <n v="0"/>
    <n v="0"/>
    <n v="1"/>
    <m/>
    <m/>
    <m/>
    <m/>
    <s v="no test"/>
    <s v="no test"/>
    <n v="1"/>
    <n v="1"/>
    <n v="1"/>
    <n v="1820"/>
    <n v="0"/>
    <n v="0"/>
    <n v="1"/>
    <n v="1820"/>
    <n v="3.64"/>
    <n v="0"/>
    <n v="0"/>
    <n v="0.35999999999999988"/>
    <n v="4"/>
    <x v="0"/>
    <n v="0"/>
    <n v="0"/>
    <n v="0"/>
    <n v="0.99890109890109902"/>
    <n v="303"/>
    <n v="303"/>
    <n v="0"/>
    <s v="N/A"/>
    <n v="0"/>
    <n v="1"/>
    <n v="500"/>
    <n v="0"/>
    <n v="0"/>
    <n v="0"/>
    <n v="0"/>
    <n v="0.27472527472527475"/>
    <n v="0"/>
    <n v="0"/>
    <n v="0"/>
    <n v="0"/>
    <n v="0"/>
    <n v="0"/>
    <n v="0"/>
    <n v="0"/>
    <x v="3"/>
    <s v="Village"/>
    <x v="7"/>
    <x v="5"/>
    <n v="20.1573600769043"/>
    <n v="92.838653564453097"/>
    <n v="196211"/>
    <x v="1"/>
    <m/>
  </r>
  <r>
    <x v="0"/>
    <x v="3"/>
    <x v="2"/>
    <x v="25"/>
    <x v="342"/>
    <n v="39"/>
    <n v="202"/>
    <m/>
    <m/>
    <m/>
    <m/>
    <s v="No"/>
    <n v="0"/>
    <n v="0"/>
    <m/>
    <m/>
    <m/>
    <m/>
    <m/>
    <m/>
    <m/>
    <m/>
    <m/>
    <m/>
    <m/>
    <n v="0"/>
    <m/>
    <m/>
    <m/>
    <x v="2"/>
    <x v="3"/>
    <m/>
    <m/>
    <m/>
    <m/>
    <m/>
    <m/>
    <m/>
    <m/>
    <m/>
    <m/>
    <m/>
    <m/>
    <s v="no test"/>
    <s v="no test"/>
    <n v="0"/>
    <n v="0"/>
    <n v="0"/>
    <n v="0"/>
    <n v="0"/>
    <n v="0"/>
    <n v="0"/>
    <n v="0"/>
    <n v="0"/>
    <n v="1"/>
    <n v="202"/>
    <n v="1"/>
    <n v="1"/>
    <x v="0"/>
    <n v="0"/>
    <n v="0"/>
    <n v="0"/>
    <n v="0.99009900990099009"/>
    <n v="10"/>
    <n v="10"/>
    <n v="0"/>
    <n v="0"/>
    <n v="0"/>
    <n v="1"/>
    <n v="0"/>
    <n v="0"/>
    <n v="0"/>
    <n v="0"/>
    <n v="0"/>
    <n v="0"/>
    <n v="0"/>
    <n v="0"/>
    <n v="0"/>
    <n v="0"/>
    <n v="0"/>
    <n v="0"/>
    <n v="0"/>
    <n v="0"/>
    <x v="0"/>
    <s v="Camp"/>
    <x v="2"/>
    <x v="0"/>
    <n v="0"/>
    <n v="0"/>
    <s v="MMR015CMP249"/>
    <x v="1"/>
    <m/>
  </r>
  <r>
    <x v="0"/>
    <x v="3"/>
    <x v="2"/>
    <x v="26"/>
    <x v="343"/>
    <n v="36"/>
    <n v="188"/>
    <m/>
    <m/>
    <m/>
    <m/>
    <s v="No"/>
    <n v="0"/>
    <n v="0"/>
    <m/>
    <m/>
    <m/>
    <m/>
    <m/>
    <m/>
    <m/>
    <m/>
    <m/>
    <m/>
    <m/>
    <n v="0"/>
    <m/>
    <m/>
    <m/>
    <x v="1"/>
    <x v="1"/>
    <m/>
    <m/>
    <m/>
    <m/>
    <m/>
    <m/>
    <m/>
    <m/>
    <m/>
    <m/>
    <m/>
    <m/>
    <s v="no test"/>
    <s v="no test"/>
    <n v="0"/>
    <n v="0"/>
    <n v="0"/>
    <n v="0"/>
    <n v="0"/>
    <n v="0"/>
    <n v="0"/>
    <n v="0"/>
    <n v="0"/>
    <n v="1"/>
    <n v="188"/>
    <n v="1"/>
    <n v="1"/>
    <x v="0"/>
    <n v="0"/>
    <n v="0"/>
    <n v="0"/>
    <n v="0.95744680851063824"/>
    <n v="9"/>
    <n v="9"/>
    <n v="0"/>
    <n v="0"/>
    <n v="0"/>
    <n v="1"/>
    <n v="0"/>
    <n v="0"/>
    <n v="0"/>
    <n v="0"/>
    <n v="0"/>
    <n v="0"/>
    <n v="0"/>
    <n v="0"/>
    <n v="0"/>
    <n v="0"/>
    <n v="0"/>
    <n v="0"/>
    <n v="0"/>
    <n v="0"/>
    <x v="0"/>
    <s v="Camp"/>
    <x v="2"/>
    <x v="0"/>
    <n v="0"/>
    <n v="0"/>
    <s v="MMR015CMP222"/>
    <x v="1"/>
    <m/>
  </r>
  <r>
    <x v="0"/>
    <x v="1"/>
    <x v="2"/>
    <x v="27"/>
    <x v="344"/>
    <n v="7"/>
    <n v="44"/>
    <m/>
    <m/>
    <m/>
    <m/>
    <s v="NA"/>
    <s v="NA"/>
    <s v="NA"/>
    <n v="0"/>
    <n v="0"/>
    <m/>
    <m/>
    <n v="2"/>
    <m/>
    <m/>
    <m/>
    <m/>
    <m/>
    <m/>
    <n v="9"/>
    <m/>
    <m/>
    <n v="9"/>
    <x v="0"/>
    <x v="0"/>
    <m/>
    <m/>
    <m/>
    <n v="0"/>
    <m/>
    <n v="0"/>
    <m/>
    <m/>
    <m/>
    <m/>
    <m/>
    <m/>
    <s v="no test"/>
    <s v="no test"/>
    <n v="0"/>
    <n v="0"/>
    <n v="0"/>
    <n v="0"/>
    <n v="0"/>
    <n v="0"/>
    <n v="0"/>
    <n v="0"/>
    <n v="0"/>
    <n v="1"/>
    <n v="44"/>
    <n v="1"/>
    <n v="1"/>
    <x v="0"/>
    <n v="9"/>
    <n v="1"/>
    <n v="44"/>
    <n v="0"/>
    <n v="0"/>
    <n v="2"/>
    <n v="0"/>
    <n v="0"/>
    <n v="0"/>
    <n v="1"/>
    <n v="0"/>
    <n v="0"/>
    <n v="0"/>
    <n v="0"/>
    <n v="0"/>
    <n v="0"/>
    <n v="0"/>
    <n v="0"/>
    <n v="0"/>
    <n v="0"/>
    <n v="0"/>
    <n v="0"/>
    <n v="0"/>
    <n v="0"/>
    <x v="0"/>
    <s v="Camp"/>
    <x v="4"/>
    <x v="1"/>
    <n v="23.933098999999999"/>
    <n v="98.139397000000002"/>
    <s v="MMR015CMP139"/>
    <x v="0"/>
    <m/>
  </r>
  <r>
    <x v="0"/>
    <x v="3"/>
    <x v="2"/>
    <x v="27"/>
    <x v="345"/>
    <n v="152"/>
    <n v="779"/>
    <m/>
    <m/>
    <m/>
    <m/>
    <s v="No"/>
    <n v="0"/>
    <n v="0"/>
    <m/>
    <m/>
    <m/>
    <m/>
    <m/>
    <m/>
    <m/>
    <m/>
    <m/>
    <m/>
    <m/>
    <n v="0"/>
    <m/>
    <m/>
    <m/>
    <x v="1"/>
    <x v="1"/>
    <m/>
    <m/>
    <m/>
    <m/>
    <m/>
    <m/>
    <m/>
    <m/>
    <m/>
    <m/>
    <m/>
    <m/>
    <s v="no test"/>
    <s v="no test"/>
    <n v="0"/>
    <n v="0"/>
    <n v="0"/>
    <n v="0"/>
    <n v="0"/>
    <n v="0"/>
    <n v="0"/>
    <n v="0"/>
    <n v="0"/>
    <n v="1"/>
    <n v="779"/>
    <n v="2"/>
    <n v="2"/>
    <x v="0"/>
    <n v="0"/>
    <n v="0"/>
    <n v="0"/>
    <n v="1.0012836970474968"/>
    <n v="39"/>
    <n v="39"/>
    <n v="0"/>
    <n v="0"/>
    <n v="0"/>
    <n v="1"/>
    <n v="0"/>
    <n v="0"/>
    <n v="0"/>
    <n v="0"/>
    <n v="0"/>
    <n v="0"/>
    <n v="0"/>
    <n v="0"/>
    <n v="0"/>
    <n v="0"/>
    <n v="0"/>
    <n v="0"/>
    <s v="Yes"/>
    <s v="KBC"/>
    <x v="0"/>
    <s v="Camp"/>
    <x v="2"/>
    <x v="0"/>
    <n v="24.08738"/>
    <n v="98.115809999999996"/>
    <s v="MMR015CMP247"/>
    <x v="1"/>
    <m/>
  </r>
  <r>
    <x v="0"/>
    <x v="3"/>
    <x v="2"/>
    <x v="28"/>
    <x v="346"/>
    <n v="37"/>
    <n v="120"/>
    <m/>
    <m/>
    <m/>
    <m/>
    <s v="No"/>
    <n v="0"/>
    <n v="0"/>
    <m/>
    <m/>
    <m/>
    <m/>
    <m/>
    <m/>
    <m/>
    <m/>
    <m/>
    <m/>
    <m/>
    <n v="0"/>
    <m/>
    <m/>
    <m/>
    <x v="1"/>
    <x v="1"/>
    <m/>
    <m/>
    <m/>
    <m/>
    <m/>
    <m/>
    <m/>
    <m/>
    <m/>
    <m/>
    <m/>
    <m/>
    <s v="no test"/>
    <s v="no test"/>
    <n v="0"/>
    <n v="0"/>
    <n v="0"/>
    <n v="0"/>
    <n v="0"/>
    <n v="0"/>
    <n v="0"/>
    <n v="0"/>
    <n v="0"/>
    <n v="1"/>
    <n v="120"/>
    <n v="1"/>
    <n v="1"/>
    <x v="0"/>
    <n v="0"/>
    <n v="0"/>
    <n v="0"/>
    <n v="1"/>
    <n v="6"/>
    <n v="6"/>
    <n v="0"/>
    <n v="0"/>
    <n v="0"/>
    <n v="1"/>
    <n v="0"/>
    <n v="0"/>
    <n v="0"/>
    <n v="0"/>
    <n v="0"/>
    <n v="0"/>
    <n v="0"/>
    <n v="0"/>
    <n v="0"/>
    <n v="0"/>
    <n v="0"/>
    <n v="0"/>
    <n v="0"/>
    <n v="0"/>
    <x v="0"/>
    <s v="Camp"/>
    <x v="2"/>
    <x v="0"/>
    <n v="22.677008000000001"/>
    <n v="97.314762999999999"/>
    <s v="MMR015CMP244"/>
    <x v="1"/>
    <m/>
  </r>
  <r>
    <x v="0"/>
    <x v="3"/>
    <x v="2"/>
    <x v="29"/>
    <x v="347"/>
    <n v="78"/>
    <n v="392"/>
    <m/>
    <m/>
    <m/>
    <m/>
    <s v="No"/>
    <n v="0"/>
    <n v="0"/>
    <n v="0"/>
    <n v="0"/>
    <m/>
    <m/>
    <n v="0"/>
    <m/>
    <m/>
    <m/>
    <m/>
    <m/>
    <m/>
    <n v="0"/>
    <m/>
    <n v="0"/>
    <n v="0"/>
    <x v="1"/>
    <x v="1"/>
    <m/>
    <m/>
    <m/>
    <n v="0"/>
    <m/>
    <n v="1"/>
    <m/>
    <m/>
    <m/>
    <m/>
    <m/>
    <m/>
    <s v="no test"/>
    <s v="no test"/>
    <n v="0"/>
    <n v="0"/>
    <n v="0"/>
    <n v="0"/>
    <n v="0"/>
    <n v="0"/>
    <n v="0"/>
    <n v="0"/>
    <n v="0"/>
    <n v="1"/>
    <n v="392"/>
    <n v="1"/>
    <n v="1"/>
    <x v="0"/>
    <n v="0"/>
    <n v="0"/>
    <n v="0"/>
    <n v="0.99489795918367352"/>
    <n v="65"/>
    <n v="65"/>
    <n v="0"/>
    <n v="0"/>
    <n v="0"/>
    <n v="1"/>
    <n v="0"/>
    <n v="0"/>
    <n v="0"/>
    <n v="0"/>
    <n v="0"/>
    <n v="0"/>
    <n v="0"/>
    <n v="0"/>
    <n v="0"/>
    <n v="0"/>
    <n v="0"/>
    <n v="0"/>
    <n v="0"/>
    <n v="0"/>
    <x v="0"/>
    <s v="Village Type Camp"/>
    <x v="3"/>
    <x v="1"/>
    <n v="23.372409999999999"/>
    <n v="98.352670000000003"/>
    <s v="MMR015CMP207"/>
    <x v="1"/>
    <m/>
  </r>
  <r>
    <x v="0"/>
    <x v="6"/>
    <x v="2"/>
    <x v="27"/>
    <x v="348"/>
    <n v="154"/>
    <n v="779"/>
    <m/>
    <s v="SCI, ADRA/CANADA"/>
    <d v="2019-11-30T00:00:00"/>
    <n v="0"/>
    <s v="Yes"/>
    <n v="0.5"/>
    <n v="0.8"/>
    <n v="0"/>
    <n v="1"/>
    <m/>
    <m/>
    <n v="0"/>
    <n v="0"/>
    <n v="0"/>
    <n v="0"/>
    <n v="0"/>
    <n v="0"/>
    <m/>
    <n v="60"/>
    <n v="0"/>
    <n v="0"/>
    <n v="0"/>
    <x v="0"/>
    <x v="0"/>
    <m/>
    <m/>
    <m/>
    <n v="1"/>
    <s v="Communal"/>
    <n v="0"/>
    <n v="11"/>
    <n v="3"/>
    <n v="0"/>
    <n v="0"/>
    <m/>
    <m/>
    <s v="no test"/>
    <s v="no test"/>
    <n v="1"/>
    <n v="0.3209242618741977"/>
    <n v="1"/>
    <n v="779"/>
    <n v="0"/>
    <n v="0"/>
    <n v="1"/>
    <n v="779"/>
    <n v="1.5580000000000001"/>
    <n v="0"/>
    <n v="0"/>
    <n v="0.44199999999999995"/>
    <n v="2"/>
    <x v="0"/>
    <n v="60"/>
    <n v="1"/>
    <n v="779"/>
    <n v="0"/>
    <n v="0"/>
    <n v="39"/>
    <n v="0"/>
    <n v="0"/>
    <n v="0"/>
    <n v="1"/>
    <n v="779"/>
    <n v="0"/>
    <n v="1"/>
    <n v="0"/>
    <n v="0"/>
    <n v="1"/>
    <n v="0"/>
    <n v="0"/>
    <n v="0"/>
    <n v="0"/>
    <n v="0"/>
    <n v="154"/>
    <n v="0"/>
    <n v="0"/>
    <x v="0"/>
    <s v="Camp"/>
    <x v="3"/>
    <x v="0"/>
    <n v="24.08738"/>
    <n v="98.115809999999996"/>
    <s v="MMR015CMP022"/>
    <x v="0"/>
    <m/>
  </r>
  <r>
    <x v="0"/>
    <x v="6"/>
    <x v="2"/>
    <x v="27"/>
    <x v="349"/>
    <n v="27"/>
    <n v="134"/>
    <m/>
    <m/>
    <m/>
    <m/>
    <s v="Yes"/>
    <s v="NA"/>
    <s v="NA"/>
    <n v="0"/>
    <n v="0"/>
    <m/>
    <m/>
    <n v="0"/>
    <n v="0"/>
    <n v="0"/>
    <n v="0"/>
    <n v="0"/>
    <n v="0"/>
    <m/>
    <n v="0"/>
    <n v="0"/>
    <n v="0"/>
    <n v="0"/>
    <x v="1"/>
    <x v="1"/>
    <m/>
    <m/>
    <m/>
    <m/>
    <m/>
    <n v="0"/>
    <m/>
    <m/>
    <n v="0"/>
    <n v="0"/>
    <m/>
    <m/>
    <s v="no test"/>
    <s v="no test"/>
    <n v="0"/>
    <n v="0"/>
    <n v="0"/>
    <n v="0"/>
    <n v="0"/>
    <n v="0"/>
    <n v="0"/>
    <n v="0"/>
    <n v="0"/>
    <n v="1"/>
    <n v="134"/>
    <n v="1"/>
    <n v="1"/>
    <x v="0"/>
    <n v="0"/>
    <n v="0"/>
    <n v="0"/>
    <n v="1.044776119402985"/>
    <n v="7"/>
    <n v="7"/>
    <n v="0"/>
    <n v="0"/>
    <n v="0"/>
    <n v="1"/>
    <n v="0"/>
    <n v="0"/>
    <n v="0"/>
    <n v="0"/>
    <n v="0"/>
    <n v="0"/>
    <n v="0"/>
    <n v="0"/>
    <n v="0"/>
    <n v="0"/>
    <n v="0"/>
    <n v="0"/>
    <n v="0"/>
    <n v="0"/>
    <x v="0"/>
    <s v="Camp"/>
    <x v="4"/>
    <x v="0"/>
    <n v="0"/>
    <n v="0"/>
    <s v="MMR015CMP236"/>
    <x v="0"/>
    <m/>
  </r>
  <r>
    <x v="0"/>
    <x v="18"/>
    <x v="2"/>
    <x v="25"/>
    <x v="350"/>
    <n v="86"/>
    <n v="510"/>
    <n v="40"/>
    <s v="Plan/GFFO,ADRA/CANADA, WHH(BMZ, AA)"/>
    <s v="12/31/2019,30/4/18, 30/6/18"/>
    <n v="0"/>
    <s v="Yes"/>
    <n v="0.11"/>
    <n v="0.5"/>
    <n v="0"/>
    <n v="0"/>
    <n v="21600"/>
    <n v="0"/>
    <n v="8"/>
    <n v="0"/>
    <n v="0"/>
    <n v="0"/>
    <n v="0"/>
    <n v="0"/>
    <m/>
    <n v="89"/>
    <n v="0"/>
    <n v="0"/>
    <n v="89"/>
    <x v="1"/>
    <x v="1"/>
    <n v="0"/>
    <n v="0"/>
    <m/>
    <n v="0"/>
    <m/>
    <n v="2"/>
    <n v="0"/>
    <n v="0"/>
    <n v="77"/>
    <n v="0"/>
    <m/>
    <m/>
    <s v="no test"/>
    <s v="no test"/>
    <n v="1"/>
    <n v="1"/>
    <n v="1"/>
    <n v="510"/>
    <n v="0"/>
    <n v="0"/>
    <n v="1"/>
    <n v="510"/>
    <n v="1.02"/>
    <n v="0"/>
    <n v="0"/>
    <n v="0"/>
    <n v="1"/>
    <x v="0"/>
    <n v="89"/>
    <n v="1"/>
    <n v="510"/>
    <n v="0"/>
    <n v="0"/>
    <n v="85"/>
    <n v="0"/>
    <n v="0"/>
    <n v="0"/>
    <n v="1"/>
    <n v="0"/>
    <n v="0"/>
    <n v="0"/>
    <n v="0"/>
    <n v="0"/>
    <n v="0"/>
    <n v="0.89534883720930236"/>
    <n v="0"/>
    <n v="385"/>
    <n v="0"/>
    <n v="385"/>
    <n v="0"/>
    <s v="Yes"/>
    <s v="KBC"/>
    <x v="0"/>
    <s v="Village Type Camp"/>
    <x v="4"/>
    <x v="0"/>
    <n v="23.4008"/>
    <n v="97.848529999999997"/>
    <s v="MMR015CMP015"/>
    <x v="0"/>
    <m/>
  </r>
  <r>
    <x v="0"/>
    <x v="1"/>
    <x v="2"/>
    <x v="25"/>
    <x v="351"/>
    <n v="61"/>
    <n v="292"/>
    <m/>
    <s v="WHH(BMZ, AA)"/>
    <s v="30/4/18, 30/6/18"/>
    <n v="0"/>
    <s v="Yes"/>
    <n v="0.7"/>
    <m/>
    <m/>
    <n v="2"/>
    <n v="8100"/>
    <m/>
    <n v="3"/>
    <n v="0"/>
    <n v="0"/>
    <n v="0"/>
    <n v="0"/>
    <n v="0"/>
    <m/>
    <n v="10"/>
    <n v="0"/>
    <n v="0"/>
    <n v="10"/>
    <x v="0"/>
    <x v="0"/>
    <n v="0"/>
    <n v="0"/>
    <m/>
    <n v="0.7"/>
    <s v="Communal"/>
    <m/>
    <n v="2"/>
    <n v="1"/>
    <n v="0"/>
    <n v="0"/>
    <m/>
    <m/>
    <s v="no test"/>
    <s v="no test"/>
    <n v="1"/>
    <n v="1"/>
    <n v="1"/>
    <n v="292"/>
    <n v="0"/>
    <n v="0"/>
    <n v="1"/>
    <n v="292"/>
    <n v="0.58399999999999996"/>
    <n v="0"/>
    <n v="0"/>
    <n v="0.41600000000000004"/>
    <n v="1"/>
    <x v="0"/>
    <n v="10"/>
    <n v="0.68493150684931503"/>
    <n v="200"/>
    <n v="0.34246575342465752"/>
    <n v="5"/>
    <n v="15"/>
    <n v="0"/>
    <n v="0"/>
    <n v="0"/>
    <n v="1"/>
    <n v="292"/>
    <n v="0"/>
    <n v="1"/>
    <n v="0"/>
    <n v="0"/>
    <n v="1"/>
    <n v="0"/>
    <n v="0"/>
    <n v="0"/>
    <n v="0"/>
    <n v="0"/>
    <n v="42.699999999999996"/>
    <s v="Yes"/>
    <s v="KBC"/>
    <x v="0"/>
    <s v="Camp"/>
    <x v="0"/>
    <x v="0"/>
    <n v="23.450914000000001"/>
    <n v="97.926813999999993"/>
    <s v="MMR015CMP016"/>
    <x v="0"/>
    <m/>
  </r>
  <r>
    <x v="0"/>
    <x v="19"/>
    <x v="2"/>
    <x v="25"/>
    <x v="352"/>
    <n v="35"/>
    <n v="141"/>
    <m/>
    <s v="Plan/GFFO,ADRA/CANADA , WHH"/>
    <s v="12/31/2019,30/4/18, 30/6/18"/>
    <n v="0"/>
    <s v="Yes"/>
    <n v="0.66"/>
    <n v="1"/>
    <n v="0"/>
    <n v="1"/>
    <n v="4725"/>
    <n v="0"/>
    <n v="7"/>
    <n v="0"/>
    <n v="0"/>
    <n v="0"/>
    <n v="0"/>
    <n v="0"/>
    <m/>
    <n v="12"/>
    <n v="4"/>
    <n v="0"/>
    <n v="12"/>
    <x v="0"/>
    <x v="0"/>
    <n v="0"/>
    <n v="0"/>
    <m/>
    <n v="0"/>
    <m/>
    <n v="2"/>
    <n v="2"/>
    <n v="1"/>
    <n v="38"/>
    <n v="0"/>
    <m/>
    <m/>
    <s v="no test"/>
    <s v="no test"/>
    <n v="1"/>
    <n v="1"/>
    <n v="1"/>
    <n v="141"/>
    <n v="0"/>
    <n v="0"/>
    <n v="1"/>
    <n v="141"/>
    <n v="0.28199999999999997"/>
    <n v="0"/>
    <n v="0"/>
    <n v="0.71799999999999997"/>
    <n v="1"/>
    <x v="0"/>
    <n v="16"/>
    <n v="1"/>
    <n v="141"/>
    <n v="0"/>
    <n v="0"/>
    <n v="7"/>
    <n v="0.25"/>
    <n v="0"/>
    <n v="1"/>
    <n v="0"/>
    <n v="141"/>
    <n v="0"/>
    <n v="1"/>
    <n v="1"/>
    <n v="141"/>
    <n v="1"/>
    <n v="1"/>
    <n v="0"/>
    <n v="190"/>
    <n v="0"/>
    <n v="190"/>
    <n v="0"/>
    <s v="Yes"/>
    <s v="KBC"/>
    <x v="0"/>
    <s v="Camp"/>
    <x v="2"/>
    <x v="0"/>
    <n v="23.460349999999998"/>
    <n v="97.947360000000003"/>
    <s v="MMR015CMP245"/>
    <x v="0"/>
    <m/>
  </r>
  <r>
    <x v="0"/>
    <x v="20"/>
    <x v="2"/>
    <x v="25"/>
    <x v="353"/>
    <n v="30"/>
    <n v="138"/>
    <m/>
    <s v="HARP,WHH(BMZ, AA)"/>
    <s v="30/12/2018,30/4/18, 30/6/18"/>
    <n v="0"/>
    <s v="Yes"/>
    <n v="0.5"/>
    <n v="1"/>
    <n v="1"/>
    <m/>
    <n v="6000"/>
    <m/>
    <n v="1"/>
    <n v="2"/>
    <n v="0"/>
    <n v="4"/>
    <n v="4"/>
    <n v="4"/>
    <m/>
    <n v="8"/>
    <n v="4"/>
    <n v="2"/>
    <n v="8"/>
    <x v="0"/>
    <x v="0"/>
    <n v="2"/>
    <n v="0"/>
    <m/>
    <n v="0.7"/>
    <s v="Household"/>
    <n v="2"/>
    <n v="1"/>
    <n v="2"/>
    <n v="29"/>
    <n v="0"/>
    <s v="Yes"/>
    <m/>
    <n v="0"/>
    <n v="1"/>
    <n v="1"/>
    <n v="1"/>
    <n v="1"/>
    <n v="138"/>
    <n v="0"/>
    <n v="0"/>
    <n v="1"/>
    <n v="138"/>
    <n v="0.27600000000000002"/>
    <n v="0"/>
    <n v="0"/>
    <n v="0.72399999999999998"/>
    <n v="1"/>
    <x v="1"/>
    <n v="12"/>
    <n v="1"/>
    <n v="138"/>
    <n v="0"/>
    <n v="0"/>
    <n v="7"/>
    <n v="0.33333333333333331"/>
    <n v="40"/>
    <n v="0"/>
    <n v="1"/>
    <n v="138"/>
    <n v="0"/>
    <n v="1"/>
    <n v="0"/>
    <n v="0"/>
    <n v="1"/>
    <n v="0.96666666666666667"/>
    <n v="0"/>
    <n v="145"/>
    <n v="0"/>
    <n v="145"/>
    <n v="21"/>
    <s v="Yes"/>
    <s v="KMSS-LSO"/>
    <x v="0"/>
    <s v="Camp"/>
    <x v="0"/>
    <x v="0"/>
    <n v="23.460349999999998"/>
    <n v="97.947360000000003"/>
    <s v="MMR015CMP017"/>
    <x v="0"/>
    <m/>
  </r>
  <r>
    <x v="0"/>
    <x v="6"/>
    <x v="2"/>
    <x v="25"/>
    <x v="354"/>
    <n v="36"/>
    <n v="145"/>
    <m/>
    <s v="ADRA/CANADA"/>
    <d v="2018-01-31T00:00:00"/>
    <n v="0"/>
    <s v="Yes"/>
    <n v="1"/>
    <n v="1"/>
    <n v="0"/>
    <n v="1"/>
    <m/>
    <m/>
    <n v="0"/>
    <n v="0"/>
    <n v="0"/>
    <n v="0"/>
    <n v="0"/>
    <n v="0"/>
    <m/>
    <n v="12"/>
    <n v="0"/>
    <n v="0"/>
    <n v="0"/>
    <x v="0"/>
    <x v="0"/>
    <m/>
    <m/>
    <m/>
    <n v="1"/>
    <m/>
    <n v="0"/>
    <n v="2"/>
    <n v="1"/>
    <n v="0"/>
    <n v="0"/>
    <m/>
    <m/>
    <s v="no test"/>
    <s v="no test"/>
    <n v="1"/>
    <n v="1"/>
    <n v="1"/>
    <n v="145"/>
    <n v="0"/>
    <n v="0"/>
    <n v="1"/>
    <n v="145"/>
    <n v="0.28999999999999998"/>
    <n v="0"/>
    <n v="0"/>
    <n v="0.71"/>
    <n v="1"/>
    <x v="0"/>
    <n v="12"/>
    <n v="1"/>
    <n v="145"/>
    <n v="0"/>
    <n v="0"/>
    <n v="7"/>
    <n v="0"/>
    <n v="0"/>
    <n v="0"/>
    <n v="1"/>
    <n v="145"/>
    <n v="0"/>
    <n v="1"/>
    <n v="0"/>
    <n v="0"/>
    <n v="1"/>
    <n v="0"/>
    <n v="0"/>
    <n v="0"/>
    <n v="0"/>
    <n v="0"/>
    <n v="36"/>
    <n v="0"/>
    <n v="0"/>
    <x v="1"/>
    <s v="Camp"/>
    <x v="0"/>
    <x v="0"/>
    <n v="0"/>
    <n v="0"/>
    <n v="0"/>
    <x v="0"/>
    <m/>
  </r>
  <r>
    <x v="0"/>
    <x v="19"/>
    <x v="2"/>
    <x v="30"/>
    <x v="355"/>
    <n v="69"/>
    <n v="282"/>
    <n v="72"/>
    <s v="MHF,WHH(BMZ, AA)"/>
    <s v="11/17/2018,30/4/18, 30/6/18"/>
    <m/>
    <s v="Yes"/>
    <n v="0.4"/>
    <n v="0.2"/>
    <n v="2"/>
    <m/>
    <n v="7500"/>
    <m/>
    <n v="1"/>
    <n v="0"/>
    <n v="0"/>
    <n v="0"/>
    <n v="0"/>
    <n v="0"/>
    <m/>
    <n v="16"/>
    <n v="0"/>
    <n v="0"/>
    <n v="16"/>
    <x v="0"/>
    <x v="0"/>
    <n v="0"/>
    <n v="0"/>
    <m/>
    <n v="1"/>
    <s v="Communal"/>
    <m/>
    <n v="2"/>
    <n v="1"/>
    <n v="59"/>
    <n v="0"/>
    <m/>
    <m/>
    <s v="no test"/>
    <s v="no test"/>
    <n v="1"/>
    <n v="1"/>
    <n v="1"/>
    <n v="282"/>
    <n v="0"/>
    <n v="0"/>
    <n v="1"/>
    <n v="282"/>
    <n v="0.56399999999999995"/>
    <n v="0"/>
    <n v="0"/>
    <n v="0.43600000000000005"/>
    <n v="1"/>
    <x v="0"/>
    <n v="16"/>
    <n v="1"/>
    <n v="282"/>
    <n v="0"/>
    <n v="0"/>
    <n v="14"/>
    <n v="0"/>
    <n v="0"/>
    <n v="0"/>
    <n v="1"/>
    <n v="282"/>
    <n v="0"/>
    <n v="1"/>
    <n v="0"/>
    <n v="0"/>
    <n v="1"/>
    <n v="0.85507246376811596"/>
    <n v="0"/>
    <n v="295"/>
    <n v="0"/>
    <n v="295"/>
    <n v="69"/>
    <s v="Yes"/>
    <s v="KMSS-LSO"/>
    <x v="0"/>
    <s v="Camp"/>
    <x v="2"/>
    <x v="0"/>
    <n v="23.099304"/>
    <n v="97.400671000000003"/>
    <s v="MMR015CMP248"/>
    <x v="0"/>
    <m/>
  </r>
  <r>
    <x v="0"/>
    <x v="8"/>
    <x v="2"/>
    <x v="30"/>
    <x v="356"/>
    <n v="58"/>
    <n v="257"/>
    <m/>
    <s v="MHF"/>
    <d v="2018-11-17T00:00:00"/>
    <m/>
    <s v="Yes"/>
    <n v="0.28999999999999998"/>
    <n v="0.28999999999999998"/>
    <n v="0"/>
    <n v="1"/>
    <n v="7500"/>
    <n v="0"/>
    <n v="1"/>
    <n v="0"/>
    <n v="0"/>
    <n v="0"/>
    <n v="0"/>
    <n v="0"/>
    <m/>
    <n v="10"/>
    <n v="0"/>
    <n v="0"/>
    <n v="10"/>
    <x v="0"/>
    <x v="3"/>
    <n v="0"/>
    <n v="0"/>
    <m/>
    <n v="0"/>
    <m/>
    <n v="0"/>
    <n v="1"/>
    <n v="1"/>
    <n v="58"/>
    <n v="0"/>
    <m/>
    <m/>
    <s v="no test"/>
    <s v="no test"/>
    <n v="1"/>
    <n v="1"/>
    <n v="1"/>
    <n v="257"/>
    <n v="0"/>
    <n v="0"/>
    <n v="1"/>
    <n v="257"/>
    <n v="0.51400000000000001"/>
    <n v="0"/>
    <n v="0"/>
    <n v="0.48599999999999999"/>
    <n v="1"/>
    <x v="0"/>
    <n v="10"/>
    <n v="0.77821011673151752"/>
    <n v="200"/>
    <n v="0.23346303501945526"/>
    <n v="3"/>
    <n v="13"/>
    <n v="0"/>
    <n v="0"/>
    <n v="1"/>
    <n v="0"/>
    <n v="257"/>
    <n v="0"/>
    <n v="1"/>
    <n v="1"/>
    <n v="257"/>
    <n v="1"/>
    <n v="1"/>
    <n v="0"/>
    <n v="290"/>
    <n v="0"/>
    <n v="290"/>
    <n v="0"/>
    <n v="0"/>
    <n v="0"/>
    <x v="1"/>
    <s v="Camp"/>
    <x v="0"/>
    <x v="0"/>
    <n v="0"/>
    <n v="0"/>
    <n v="0"/>
    <x v="0"/>
    <m/>
  </r>
  <r>
    <x v="0"/>
    <x v="1"/>
    <x v="2"/>
    <x v="30"/>
    <x v="357"/>
    <n v="28"/>
    <n v="128"/>
    <m/>
    <s v="WHH(BMZ, AA)"/>
    <s v="30/4/18, 30/6/18"/>
    <n v="0"/>
    <s v="No"/>
    <n v="0"/>
    <n v="0"/>
    <m/>
    <n v="1"/>
    <n v="1800"/>
    <m/>
    <n v="2"/>
    <n v="0"/>
    <n v="0"/>
    <n v="0"/>
    <n v="0"/>
    <n v="0"/>
    <m/>
    <n v="7"/>
    <n v="0"/>
    <n v="0"/>
    <n v="5"/>
    <x v="0"/>
    <x v="0"/>
    <n v="0"/>
    <n v="0"/>
    <m/>
    <n v="0.7"/>
    <s v="Communal"/>
    <m/>
    <n v="2"/>
    <n v="1"/>
    <n v="0"/>
    <n v="0"/>
    <m/>
    <m/>
    <s v="no test"/>
    <s v="no test"/>
    <n v="1"/>
    <n v="1"/>
    <n v="1"/>
    <n v="128"/>
    <n v="0"/>
    <n v="0"/>
    <n v="1"/>
    <n v="128"/>
    <n v="0.25600000000000001"/>
    <n v="0"/>
    <n v="0"/>
    <n v="0.74399999999999999"/>
    <n v="1"/>
    <x v="0"/>
    <n v="7"/>
    <n v="1"/>
    <n v="128"/>
    <n v="0"/>
    <n v="0"/>
    <n v="6"/>
    <n v="0"/>
    <n v="0"/>
    <n v="0"/>
    <n v="1"/>
    <n v="128"/>
    <n v="0"/>
    <n v="1"/>
    <n v="0"/>
    <n v="0"/>
    <n v="1"/>
    <n v="0"/>
    <n v="0"/>
    <n v="0"/>
    <n v="0"/>
    <n v="0"/>
    <n v="19.599999999999998"/>
    <s v="Yes"/>
    <s v="KMSS-LSO"/>
    <x v="0"/>
    <s v="Camp"/>
    <x v="2"/>
    <x v="0"/>
    <n v="0"/>
    <n v="0"/>
    <s v="MMR015CMP232"/>
    <x v="0"/>
    <m/>
  </r>
  <r>
    <x v="0"/>
    <x v="21"/>
    <x v="2"/>
    <x v="25"/>
    <x v="358"/>
    <n v="145"/>
    <n v="721"/>
    <m/>
    <s v="WHH(BMZ, AA),SCI"/>
    <s v="30/4/18,30/6/18,11/30/2019,"/>
    <n v="0"/>
    <s v="Yes"/>
    <n v="0.6"/>
    <n v="1"/>
    <n v="1"/>
    <m/>
    <n v="7200"/>
    <m/>
    <n v="2"/>
    <n v="0"/>
    <n v="0"/>
    <n v="0"/>
    <n v="0"/>
    <n v="0"/>
    <m/>
    <n v="20"/>
    <m/>
    <m/>
    <n v="20"/>
    <x v="0"/>
    <x v="0"/>
    <m/>
    <m/>
    <m/>
    <n v="0"/>
    <s v="Household"/>
    <n v="1"/>
    <n v="3"/>
    <n v="1"/>
    <n v="0"/>
    <n v="0"/>
    <m/>
    <m/>
    <s v="no test"/>
    <s v="no test"/>
    <n v="1"/>
    <n v="1"/>
    <n v="1"/>
    <n v="721"/>
    <n v="0"/>
    <n v="0"/>
    <n v="1"/>
    <n v="721"/>
    <n v="1.4419999999999999"/>
    <n v="0"/>
    <n v="0"/>
    <n v="0"/>
    <n v="1"/>
    <x v="0"/>
    <n v="20"/>
    <n v="0.55478502080443826"/>
    <n v="400"/>
    <n v="0.44382801664355065"/>
    <n v="16"/>
    <n v="36"/>
    <n v="0"/>
    <n v="0"/>
    <n v="0"/>
    <n v="1"/>
    <n v="500"/>
    <n v="0"/>
    <n v="0"/>
    <n v="0"/>
    <n v="0"/>
    <n v="0.69348127600554788"/>
    <n v="0"/>
    <n v="0"/>
    <n v="0"/>
    <n v="0"/>
    <n v="0"/>
    <n v="0"/>
    <s v="Yes"/>
    <s v="KBC"/>
    <x v="0"/>
    <s v="Camp"/>
    <x v="0"/>
    <x v="0"/>
    <n v="23.591999999999999"/>
    <n v="97.796999999999997"/>
    <s v="MMR015CMP220"/>
    <x v="0"/>
    <m/>
  </r>
  <r>
    <x v="0"/>
    <x v="8"/>
    <x v="2"/>
    <x v="25"/>
    <x v="359"/>
    <n v="20"/>
    <n v="82"/>
    <n v="20"/>
    <s v="MHF"/>
    <d v="2018-11-17T00:00:00"/>
    <m/>
    <s v="Yes"/>
    <n v="0.56999999999999995"/>
    <n v="0.43"/>
    <n v="0"/>
    <n v="0"/>
    <n v="7500"/>
    <n v="0"/>
    <n v="0"/>
    <n v="0"/>
    <n v="0"/>
    <n v="0"/>
    <n v="0"/>
    <n v="0"/>
    <m/>
    <n v="6"/>
    <n v="0"/>
    <n v="0"/>
    <n v="6"/>
    <x v="2"/>
    <x v="3"/>
    <n v="0"/>
    <n v="0"/>
    <m/>
    <n v="1"/>
    <s v="Communal"/>
    <n v="0"/>
    <n v="1"/>
    <n v="1"/>
    <n v="20"/>
    <n v="0"/>
    <m/>
    <m/>
    <s v="no test"/>
    <s v="no test"/>
    <n v="1"/>
    <n v="1"/>
    <n v="1"/>
    <n v="82"/>
    <n v="0"/>
    <n v="0"/>
    <n v="1"/>
    <n v="82"/>
    <n v="0.16400000000000001"/>
    <n v="0"/>
    <n v="0"/>
    <n v="0.83599999999999997"/>
    <n v="1"/>
    <x v="0"/>
    <n v="6"/>
    <n v="1"/>
    <n v="82"/>
    <n v="0"/>
    <n v="0"/>
    <n v="4"/>
    <n v="0"/>
    <n v="0"/>
    <n v="1"/>
    <n v="0"/>
    <n v="82"/>
    <n v="0"/>
    <n v="1"/>
    <n v="1"/>
    <n v="82"/>
    <n v="1"/>
    <n v="1"/>
    <n v="0"/>
    <n v="100"/>
    <n v="0"/>
    <n v="100"/>
    <n v="20"/>
    <n v="0"/>
    <n v="0"/>
    <x v="0"/>
    <s v="Camp"/>
    <x v="2"/>
    <x v="0"/>
    <n v="0"/>
    <n v="0"/>
    <s v="MMR015CMP246"/>
    <x v="0"/>
    <m/>
  </r>
  <r>
    <x v="0"/>
    <x v="22"/>
    <x v="2"/>
    <x v="26"/>
    <x v="360"/>
    <n v="33"/>
    <n v="143"/>
    <m/>
    <s v="WHH(BMZ, AA)"/>
    <s v="30/4/18, 30/6/18"/>
    <n v="0"/>
    <s v="Yes"/>
    <n v="0.5"/>
    <n v="1"/>
    <m/>
    <n v="1"/>
    <n v="6750"/>
    <m/>
    <n v="6"/>
    <n v="0"/>
    <n v="0"/>
    <n v="0"/>
    <n v="0"/>
    <n v="0"/>
    <m/>
    <n v="18"/>
    <n v="0"/>
    <n v="0"/>
    <n v="18"/>
    <x v="0"/>
    <x v="0"/>
    <n v="0"/>
    <n v="0"/>
    <m/>
    <n v="0.6"/>
    <s v="Communal"/>
    <m/>
    <n v="5"/>
    <n v="2"/>
    <n v="0"/>
    <n v="0"/>
    <m/>
    <m/>
    <s v="no test"/>
    <s v="no test"/>
    <n v="1"/>
    <n v="1"/>
    <n v="1"/>
    <n v="143"/>
    <n v="0"/>
    <n v="0"/>
    <n v="1"/>
    <n v="143"/>
    <n v="0.28599999999999998"/>
    <n v="0"/>
    <n v="0"/>
    <n v="0.71399999999999997"/>
    <n v="1"/>
    <x v="0"/>
    <n v="18"/>
    <n v="1"/>
    <n v="143"/>
    <n v="0"/>
    <n v="0"/>
    <n v="7"/>
    <n v="0"/>
    <n v="0"/>
    <n v="0"/>
    <n v="1"/>
    <n v="143"/>
    <n v="0"/>
    <n v="1"/>
    <n v="0"/>
    <n v="0"/>
    <n v="1"/>
    <n v="0"/>
    <n v="0"/>
    <n v="0"/>
    <n v="0"/>
    <n v="0"/>
    <n v="19.8"/>
    <s v="Yes"/>
    <s v="KBC"/>
    <x v="0"/>
    <s v="Camp"/>
    <x v="0"/>
    <x v="0"/>
    <n v="23.250678000000001"/>
    <n v="97.124403000000001"/>
    <s v="MMR015CMP009"/>
    <x v="0"/>
    <m/>
  </r>
  <r>
    <x v="0"/>
    <x v="0"/>
    <x v="2"/>
    <x v="26"/>
    <x v="361"/>
    <n v="29"/>
    <n v="171"/>
    <m/>
    <s v="HARP"/>
    <d v="2018-12-31T00:00:00"/>
    <n v="0"/>
    <s v="Yes"/>
    <n v="0.5"/>
    <n v="1"/>
    <n v="0"/>
    <n v="1"/>
    <n v="7200"/>
    <m/>
    <n v="2"/>
    <n v="2"/>
    <m/>
    <n v="4"/>
    <n v="4"/>
    <n v="4"/>
    <m/>
    <n v="4"/>
    <n v="4"/>
    <n v="4"/>
    <n v="10"/>
    <x v="0"/>
    <x v="2"/>
    <n v="4"/>
    <n v="0"/>
    <m/>
    <n v="1"/>
    <s v="Communal"/>
    <n v="0"/>
    <n v="2"/>
    <n v="2"/>
    <n v="29"/>
    <n v="0"/>
    <s v="Yes"/>
    <m/>
    <n v="0"/>
    <n v="1"/>
    <n v="1"/>
    <n v="1"/>
    <n v="1"/>
    <n v="171"/>
    <n v="0"/>
    <n v="0"/>
    <n v="1"/>
    <n v="171"/>
    <n v="0.34200000000000003"/>
    <n v="0"/>
    <n v="0"/>
    <n v="0.65799999999999992"/>
    <n v="1"/>
    <x v="1"/>
    <n v="8"/>
    <n v="0.46783625730994149"/>
    <n v="80"/>
    <n v="0.11695906432748537"/>
    <n v="1"/>
    <n v="9"/>
    <n v="0.5"/>
    <n v="80"/>
    <n v="1"/>
    <n v="0"/>
    <n v="171"/>
    <n v="0"/>
    <n v="1"/>
    <n v="1"/>
    <n v="171"/>
    <n v="1"/>
    <n v="1"/>
    <n v="0"/>
    <n v="145"/>
    <n v="0"/>
    <n v="145"/>
    <n v="29"/>
    <s v="Yes"/>
    <s v="KMSS-LSO"/>
    <x v="0"/>
    <s v="Camp"/>
    <x v="0"/>
    <x v="0"/>
    <n v="23.24661"/>
    <n v="97.116680000000002"/>
    <s v="MMR015CMP209"/>
    <x v="0"/>
    <m/>
  </r>
  <r>
    <x v="0"/>
    <x v="1"/>
    <x v="2"/>
    <x v="25"/>
    <x v="362"/>
    <n v="69"/>
    <n v="305"/>
    <m/>
    <s v="WHH(BMZ, AA)"/>
    <s v="30/4/18, 30/6/18"/>
    <n v="0"/>
    <s v="Yes"/>
    <n v="0.6"/>
    <n v="0"/>
    <n v="0"/>
    <n v="0"/>
    <m/>
    <m/>
    <n v="16"/>
    <n v="0"/>
    <n v="0"/>
    <n v="0"/>
    <n v="0"/>
    <n v="0"/>
    <m/>
    <n v="75"/>
    <n v="0"/>
    <n v="0"/>
    <n v="75"/>
    <x v="0"/>
    <x v="0"/>
    <n v="0"/>
    <n v="0"/>
    <m/>
    <n v="0.3"/>
    <s v="Household"/>
    <n v="4"/>
    <m/>
    <n v="3"/>
    <n v="0"/>
    <n v="0"/>
    <m/>
    <m/>
    <s v="no test"/>
    <s v="no test"/>
    <n v="0"/>
    <n v="0"/>
    <n v="0"/>
    <n v="0"/>
    <n v="0"/>
    <n v="0"/>
    <n v="0"/>
    <n v="0"/>
    <n v="0"/>
    <n v="1"/>
    <n v="305"/>
    <n v="1"/>
    <n v="1"/>
    <x v="0"/>
    <n v="75"/>
    <n v="1"/>
    <n v="305"/>
    <n v="0"/>
    <n v="0"/>
    <n v="51"/>
    <n v="0"/>
    <n v="0"/>
    <n v="0"/>
    <n v="1"/>
    <n v="305"/>
    <n v="0"/>
    <n v="1"/>
    <n v="0"/>
    <n v="0"/>
    <n v="1"/>
    <n v="0"/>
    <n v="0"/>
    <n v="0"/>
    <n v="0"/>
    <n v="0"/>
    <n v="20.7"/>
    <s v="Yes"/>
    <s v="KBC"/>
    <x v="0"/>
    <s v="Village Type Camp"/>
    <x v="0"/>
    <x v="0"/>
    <n v="23.588920000000002"/>
    <n v="97.793019999999999"/>
    <s v="MMR015CMP018"/>
    <x v="0"/>
    <m/>
  </r>
  <r>
    <x v="0"/>
    <x v="19"/>
    <x v="2"/>
    <x v="31"/>
    <x v="363"/>
    <n v="62"/>
    <n v="301"/>
    <m/>
    <s v="Plan/GFFO,ADRA/CANADA  "/>
    <d v="2019-12-31T00:00:00"/>
    <n v="0"/>
    <s v="Yes"/>
    <n v="0.67"/>
    <n v="1"/>
    <n v="0"/>
    <n v="0"/>
    <n v="0"/>
    <n v="0"/>
    <n v="0"/>
    <n v="0"/>
    <n v="0"/>
    <n v="0"/>
    <n v="0"/>
    <n v="0"/>
    <m/>
    <n v="10"/>
    <n v="0"/>
    <n v="0"/>
    <n v="10"/>
    <x v="0"/>
    <x v="3"/>
    <n v="0"/>
    <n v="0"/>
    <m/>
    <n v="0"/>
    <s v="Communal"/>
    <n v="0"/>
    <n v="2"/>
    <n v="1"/>
    <n v="0"/>
    <n v="0"/>
    <m/>
    <m/>
    <s v="no test"/>
    <s v="no test"/>
    <n v="0"/>
    <n v="0"/>
    <n v="0"/>
    <n v="0"/>
    <n v="0"/>
    <n v="0"/>
    <n v="0"/>
    <n v="0"/>
    <n v="0"/>
    <n v="1"/>
    <n v="301"/>
    <n v="1"/>
    <n v="1"/>
    <x v="0"/>
    <n v="10"/>
    <n v="0.66445182724252494"/>
    <n v="200"/>
    <n v="0.33222591362126247"/>
    <n v="5"/>
    <n v="15"/>
    <n v="0"/>
    <n v="0"/>
    <n v="0"/>
    <n v="1"/>
    <n v="301"/>
    <n v="0"/>
    <n v="1"/>
    <n v="0"/>
    <n v="0"/>
    <n v="1"/>
    <n v="0"/>
    <n v="0"/>
    <n v="0"/>
    <n v="0"/>
    <n v="0"/>
    <n v="0"/>
    <n v="0"/>
    <n v="0"/>
    <x v="0"/>
    <s v="Camp"/>
    <x v="2"/>
    <x v="0"/>
    <n v="23.611999999999998"/>
    <n v="97.506"/>
    <s v="MMR015CMP224"/>
    <x v="0"/>
    <m/>
  </r>
  <r>
    <x v="0"/>
    <x v="19"/>
    <x v="2"/>
    <x v="25"/>
    <x v="364"/>
    <n v="39"/>
    <n v="179"/>
    <m/>
    <s v="Plan/GFFO,ADRA/CANADA  ,WHH(BMZ, AA)"/>
    <s v="12/31/2019,30/4/18, 30/6/18"/>
    <n v="0"/>
    <s v="Yes"/>
    <n v="0.44"/>
    <n v="1"/>
    <n v="0"/>
    <n v="0"/>
    <n v="7500"/>
    <n v="0"/>
    <n v="0"/>
    <n v="0"/>
    <n v="0"/>
    <n v="0"/>
    <n v="0"/>
    <n v="0"/>
    <m/>
    <n v="20"/>
    <n v="0"/>
    <n v="0"/>
    <n v="20"/>
    <x v="3"/>
    <x v="2"/>
    <n v="0"/>
    <n v="0"/>
    <m/>
    <m/>
    <s v="Household"/>
    <m/>
    <m/>
    <m/>
    <n v="0"/>
    <n v="0"/>
    <m/>
    <m/>
    <s v="no test"/>
    <s v="no test"/>
    <n v="1"/>
    <n v="1"/>
    <n v="1"/>
    <n v="179"/>
    <n v="0"/>
    <n v="0"/>
    <n v="1"/>
    <n v="179"/>
    <n v="0.35799999999999998"/>
    <n v="0"/>
    <n v="0"/>
    <n v="0.64200000000000002"/>
    <n v="1"/>
    <x v="0"/>
    <n v="20"/>
    <n v="1"/>
    <n v="179"/>
    <n v="0"/>
    <n v="0"/>
    <n v="9"/>
    <n v="0"/>
    <n v="0"/>
    <n v="0"/>
    <n v="1"/>
    <n v="0"/>
    <n v="0"/>
    <n v="0"/>
    <n v="0"/>
    <n v="0"/>
    <n v="0"/>
    <n v="0"/>
    <n v="0"/>
    <n v="0"/>
    <n v="0"/>
    <n v="0"/>
    <n v="0"/>
    <n v="0"/>
    <n v="0"/>
    <x v="0"/>
    <s v="Camp"/>
    <x v="2"/>
    <x v="0"/>
    <n v="23.850999999999999"/>
    <n v="98.337999999999994"/>
    <s v="MMR015CMP227"/>
    <x v="0"/>
    <m/>
  </r>
  <r>
    <x v="0"/>
    <x v="23"/>
    <x v="2"/>
    <x v="25"/>
    <x v="365"/>
    <n v="44"/>
    <n v="265"/>
    <m/>
    <s v="WHH(BMZ,AA),SCI, ADRA/CANADA"/>
    <s v="30/4/18, 30/6/18,11/30/2019"/>
    <n v="0"/>
    <s v="Yes"/>
    <n v="0.6"/>
    <n v="1"/>
    <n v="0"/>
    <m/>
    <n v="8100"/>
    <m/>
    <n v="12"/>
    <n v="0"/>
    <n v="0"/>
    <n v="0"/>
    <n v="0"/>
    <n v="0"/>
    <m/>
    <n v="49"/>
    <n v="0"/>
    <n v="0"/>
    <n v="49"/>
    <x v="0"/>
    <x v="3"/>
    <m/>
    <m/>
    <m/>
    <n v="0.3"/>
    <s v="Household"/>
    <n v="3"/>
    <n v="2"/>
    <n v="3"/>
    <n v="0"/>
    <n v="0"/>
    <m/>
    <m/>
    <s v="no test"/>
    <s v="no test"/>
    <n v="1"/>
    <n v="1"/>
    <n v="1"/>
    <n v="265"/>
    <n v="0"/>
    <n v="0"/>
    <n v="1"/>
    <n v="265"/>
    <n v="0.53"/>
    <n v="0"/>
    <n v="0"/>
    <n v="0.47"/>
    <n v="1"/>
    <x v="0"/>
    <n v="49"/>
    <n v="1"/>
    <n v="265"/>
    <n v="0"/>
    <n v="0"/>
    <n v="44"/>
    <n v="0"/>
    <n v="0"/>
    <n v="0"/>
    <n v="1"/>
    <n v="265"/>
    <n v="0"/>
    <n v="1"/>
    <n v="0"/>
    <n v="0"/>
    <n v="1"/>
    <n v="0"/>
    <n v="0"/>
    <n v="0"/>
    <n v="0"/>
    <n v="0"/>
    <n v="13.2"/>
    <s v="Yes"/>
    <s v="KBC"/>
    <x v="0"/>
    <s v="Village Type Camp"/>
    <x v="0"/>
    <x v="0"/>
    <n v="23.400155999999999"/>
    <n v="98.220614999999995"/>
    <s v="MMR015CMP006"/>
    <x v="0"/>
    <m/>
  </r>
  <r>
    <x v="0"/>
    <x v="24"/>
    <x v="2"/>
    <x v="25"/>
    <x v="366"/>
    <n v="22"/>
    <n v="111"/>
    <m/>
    <s v="WHH(BMZ, AA),HARP"/>
    <s v="30/4/18, 30/6/18,12/31/2018"/>
    <n v="0"/>
    <s v="Yes"/>
    <n v="0.5"/>
    <n v="1"/>
    <n v="0"/>
    <n v="0"/>
    <n v="5400"/>
    <m/>
    <n v="6"/>
    <n v="2"/>
    <m/>
    <n v="4"/>
    <n v="4"/>
    <n v="4"/>
    <m/>
    <n v="8"/>
    <n v="4"/>
    <n v="0"/>
    <n v="10"/>
    <x v="0"/>
    <x v="0"/>
    <n v="0"/>
    <n v="0"/>
    <m/>
    <n v="1"/>
    <s v="Communal"/>
    <n v="0"/>
    <n v="2"/>
    <n v="2"/>
    <n v="21"/>
    <n v="0"/>
    <s v="Yes"/>
    <m/>
    <n v="0"/>
    <n v="1"/>
    <n v="1"/>
    <n v="1"/>
    <n v="1"/>
    <n v="111"/>
    <n v="0"/>
    <n v="0"/>
    <n v="1"/>
    <n v="111"/>
    <n v="0.222"/>
    <n v="0"/>
    <n v="0"/>
    <n v="0.77800000000000002"/>
    <n v="1"/>
    <x v="1"/>
    <n v="12"/>
    <n v="1"/>
    <n v="111"/>
    <n v="0"/>
    <n v="0"/>
    <n v="6"/>
    <n v="0.33333333333333331"/>
    <n v="0"/>
    <n v="0"/>
    <n v="1"/>
    <n v="111"/>
    <n v="0"/>
    <n v="1"/>
    <n v="0"/>
    <n v="0"/>
    <n v="1"/>
    <n v="0.95454545454545459"/>
    <n v="0"/>
    <n v="105"/>
    <n v="0"/>
    <n v="105"/>
    <n v="22"/>
    <s v="Yes"/>
    <s v="KMSS-LSO"/>
    <x v="0"/>
    <s v="Camp"/>
    <x v="0"/>
    <x v="0"/>
    <n v="23.463000000000001"/>
    <n v="98.248999999999995"/>
    <s v="MMR015CMP217"/>
    <x v="0"/>
    <m/>
  </r>
  <r>
    <x v="0"/>
    <x v="21"/>
    <x v="2"/>
    <x v="27"/>
    <x v="367"/>
    <n v="51"/>
    <n v="207"/>
    <m/>
    <s v="WHH(BMZ, AA),SCI, ADRA/CANADA"/>
    <s v="30/4/18, 30/6/18,11/30/2019"/>
    <n v="0"/>
    <s v="Yes"/>
    <n v="0.5"/>
    <n v="1"/>
    <n v="0"/>
    <n v="1"/>
    <n v="7200"/>
    <m/>
    <n v="8"/>
    <n v="0"/>
    <n v="0"/>
    <n v="0"/>
    <n v="0"/>
    <n v="0"/>
    <m/>
    <n v="12"/>
    <n v="0"/>
    <n v="0"/>
    <n v="9"/>
    <x v="0"/>
    <x v="0"/>
    <m/>
    <m/>
    <m/>
    <n v="0.7"/>
    <s v="Communal"/>
    <n v="0"/>
    <n v="3"/>
    <n v="1"/>
    <n v="0"/>
    <n v="0"/>
    <m/>
    <m/>
    <s v="no test"/>
    <s v="no test"/>
    <n v="1"/>
    <n v="1"/>
    <n v="1"/>
    <n v="207"/>
    <n v="0"/>
    <n v="0"/>
    <n v="1"/>
    <n v="207"/>
    <n v="0.41399999999999998"/>
    <n v="0"/>
    <n v="0"/>
    <n v="0.58600000000000008"/>
    <n v="1"/>
    <x v="0"/>
    <n v="12"/>
    <n v="1"/>
    <n v="207"/>
    <n v="0"/>
    <n v="0"/>
    <n v="10"/>
    <n v="0"/>
    <n v="0"/>
    <n v="0"/>
    <n v="1"/>
    <n v="207"/>
    <n v="0"/>
    <n v="1"/>
    <n v="0"/>
    <n v="0"/>
    <n v="1"/>
    <n v="0"/>
    <n v="0"/>
    <n v="0"/>
    <n v="0"/>
    <n v="0"/>
    <n v="35.699999999999996"/>
    <s v="Yes"/>
    <s v="KBC"/>
    <x v="0"/>
    <s v="Camp"/>
    <x v="0"/>
    <x v="0"/>
    <n v="24.006319999999999"/>
    <n v="97.909400000000005"/>
    <s v="MMR015CMP213"/>
    <x v="0"/>
    <m/>
  </r>
  <r>
    <x v="0"/>
    <x v="0"/>
    <x v="2"/>
    <x v="27"/>
    <x v="368"/>
    <n v="22"/>
    <n v="80"/>
    <m/>
    <s v="HARP"/>
    <d v="2018-12-31T00:00:00"/>
    <n v="0"/>
    <s v="Yes"/>
    <n v="0.5"/>
    <n v="1"/>
    <n v="1"/>
    <n v="1"/>
    <n v="7200"/>
    <m/>
    <n v="4"/>
    <n v="2"/>
    <m/>
    <n v="4"/>
    <n v="4"/>
    <n v="4"/>
    <m/>
    <n v="8"/>
    <n v="0"/>
    <n v="0"/>
    <n v="4"/>
    <x v="0"/>
    <x v="2"/>
    <n v="0"/>
    <n v="1"/>
    <m/>
    <n v="1"/>
    <s v="Communal"/>
    <n v="1"/>
    <n v="0"/>
    <n v="2"/>
    <n v="22"/>
    <n v="0"/>
    <s v="Yes"/>
    <m/>
    <n v="0"/>
    <n v="1"/>
    <n v="1"/>
    <n v="1"/>
    <n v="1"/>
    <n v="80"/>
    <n v="0"/>
    <n v="0"/>
    <n v="1"/>
    <n v="80"/>
    <n v="0.16"/>
    <n v="0"/>
    <n v="0"/>
    <n v="0.84"/>
    <n v="1"/>
    <x v="1"/>
    <n v="8"/>
    <n v="1"/>
    <n v="80"/>
    <n v="0"/>
    <n v="0"/>
    <n v="4"/>
    <n v="0"/>
    <n v="0"/>
    <n v="1"/>
    <n v="0"/>
    <n v="80"/>
    <n v="0"/>
    <n v="1"/>
    <n v="1"/>
    <n v="80"/>
    <n v="1"/>
    <n v="1"/>
    <n v="0"/>
    <n v="110"/>
    <n v="0"/>
    <n v="110"/>
    <n v="22"/>
    <s v="Yes"/>
    <s v="KMSS-LSO"/>
    <x v="0"/>
    <s v="Camp"/>
    <x v="0"/>
    <x v="0"/>
    <n v="24.006789000000001"/>
    <n v="97.911647000000002"/>
    <s v="MMR015CMP216"/>
    <x v="0"/>
    <m/>
  </r>
  <r>
    <x v="0"/>
    <x v="25"/>
    <x v="2"/>
    <x v="31"/>
    <x v="369"/>
    <n v="74"/>
    <n v="391"/>
    <m/>
    <s v="MHF,HARP"/>
    <s v="11/17/2018,12/31/2018"/>
    <n v="0"/>
    <s v="Yes"/>
    <n v="0.4"/>
    <n v="0.2"/>
    <n v="0"/>
    <n v="1"/>
    <n v="14400"/>
    <m/>
    <n v="4"/>
    <n v="2"/>
    <m/>
    <n v="4"/>
    <n v="4"/>
    <n v="4"/>
    <m/>
    <n v="17"/>
    <n v="4"/>
    <n v="0"/>
    <n v="5"/>
    <x v="0"/>
    <x v="0"/>
    <m/>
    <m/>
    <m/>
    <n v="1"/>
    <s v="Communal"/>
    <m/>
    <n v="2"/>
    <n v="2"/>
    <n v="74"/>
    <m/>
    <s v="Yes"/>
    <m/>
    <n v="0"/>
    <n v="1"/>
    <n v="1"/>
    <n v="1"/>
    <n v="1"/>
    <n v="391"/>
    <n v="0"/>
    <n v="0"/>
    <n v="1"/>
    <n v="391"/>
    <n v="0.78200000000000003"/>
    <n v="0"/>
    <n v="0"/>
    <n v="0.21799999999999997"/>
    <n v="1"/>
    <x v="1"/>
    <n v="21"/>
    <n v="0.86956521739130432"/>
    <n v="340"/>
    <n v="0"/>
    <n v="0"/>
    <n v="20"/>
    <n v="0.19047619047619047"/>
    <n v="0"/>
    <n v="1"/>
    <n v="0"/>
    <n v="391"/>
    <n v="0"/>
    <n v="1"/>
    <n v="1"/>
    <n v="391"/>
    <n v="1"/>
    <n v="1"/>
    <n v="0"/>
    <n v="370"/>
    <n v="0"/>
    <n v="370"/>
    <n v="74"/>
    <s v="Yes"/>
    <s v="KBC"/>
    <x v="0"/>
    <s v="Camp"/>
    <x v="0"/>
    <x v="0"/>
    <n v="23.821380000000001"/>
    <n v="97.681970000000007"/>
    <s v="MMR015CMP004"/>
    <x v="0"/>
    <m/>
  </r>
  <r>
    <x v="0"/>
    <x v="26"/>
    <x v="2"/>
    <x v="31"/>
    <x v="370"/>
    <n v="69"/>
    <n v="359"/>
    <m/>
    <s v="MHF,ADRA/CANADA"/>
    <s v="11/17/2018,1/31/2018"/>
    <n v="0"/>
    <s v="Yes"/>
    <n v="0.4"/>
    <n v="0.2"/>
    <n v="0"/>
    <n v="1"/>
    <n v="29964"/>
    <n v="0"/>
    <n v="0"/>
    <n v="0"/>
    <n v="0"/>
    <n v="0"/>
    <n v="0"/>
    <n v="0"/>
    <m/>
    <n v="10"/>
    <n v="0"/>
    <n v="0"/>
    <n v="10"/>
    <x v="0"/>
    <x v="0"/>
    <m/>
    <m/>
    <m/>
    <n v="1"/>
    <s v="Communal"/>
    <n v="0"/>
    <n v="2"/>
    <n v="1"/>
    <n v="100"/>
    <n v="0"/>
    <m/>
    <m/>
    <s v="no test"/>
    <s v="no test"/>
    <n v="1"/>
    <n v="1"/>
    <n v="1"/>
    <n v="359"/>
    <n v="0"/>
    <n v="0"/>
    <n v="1"/>
    <n v="359"/>
    <n v="0.71799999999999997"/>
    <n v="0"/>
    <n v="0"/>
    <n v="0.28200000000000003"/>
    <n v="1"/>
    <x v="0"/>
    <n v="10"/>
    <n v="0.55710306406685239"/>
    <n v="200"/>
    <n v="0.44568245125348194"/>
    <n v="8"/>
    <n v="18"/>
    <n v="0"/>
    <n v="0"/>
    <n v="1"/>
    <n v="0"/>
    <n v="359"/>
    <n v="0"/>
    <n v="1"/>
    <n v="1"/>
    <n v="359"/>
    <n v="1"/>
    <n v="1"/>
    <n v="0"/>
    <n v="500"/>
    <n v="0"/>
    <n v="500"/>
    <n v="69"/>
    <s v="Yes"/>
    <s v="KBC"/>
    <x v="0"/>
    <s v="Camp"/>
    <x v="0"/>
    <x v="0"/>
    <n v="23.828520000000001"/>
    <n v="97.669557999999995"/>
    <s v="MMR015CMP001"/>
    <x v="0"/>
    <m/>
  </r>
  <r>
    <x v="0"/>
    <x v="27"/>
    <x v="2"/>
    <x v="31"/>
    <x v="371"/>
    <n v="36"/>
    <n v="179"/>
    <m/>
    <s v="MHF,WHH(BMZ, AA),ECHO,ADRA/CANADA"/>
    <s v="11/17/2018,30/4/18, 30/6/18,1/31/2018"/>
    <m/>
    <s v="Yes"/>
    <n v="0.56999999999999995"/>
    <n v="0.14000000000000001"/>
    <n v="0"/>
    <n v="2"/>
    <n v="24000"/>
    <n v="0"/>
    <n v="6"/>
    <n v="0"/>
    <n v="0"/>
    <n v="0"/>
    <n v="0"/>
    <n v="0"/>
    <m/>
    <n v="17"/>
    <n v="0"/>
    <n v="0"/>
    <n v="17"/>
    <x v="2"/>
    <x v="0"/>
    <n v="0"/>
    <n v="0"/>
    <m/>
    <n v="1"/>
    <s v="Communal"/>
    <n v="0"/>
    <n v="1"/>
    <n v="2"/>
    <n v="100"/>
    <n v="100"/>
    <m/>
    <m/>
    <s v="no test"/>
    <s v="no test"/>
    <n v="1"/>
    <n v="1"/>
    <n v="1"/>
    <n v="179"/>
    <n v="0"/>
    <n v="0"/>
    <n v="1"/>
    <n v="179"/>
    <n v="0.35799999999999998"/>
    <n v="0"/>
    <n v="0"/>
    <n v="0.64200000000000002"/>
    <n v="1"/>
    <x v="0"/>
    <n v="17"/>
    <n v="1"/>
    <n v="179"/>
    <n v="0"/>
    <n v="0"/>
    <n v="9"/>
    <n v="0"/>
    <n v="0"/>
    <n v="1"/>
    <n v="0"/>
    <n v="179"/>
    <n v="1"/>
    <n v="1"/>
    <n v="1"/>
    <n v="179"/>
    <n v="1"/>
    <n v="1"/>
    <n v="1"/>
    <n v="500"/>
    <n v="500"/>
    <n v="500"/>
    <n v="36"/>
    <s v="Yes"/>
    <s v="KBC"/>
    <x v="0"/>
    <s v="Camp"/>
    <x v="0"/>
    <x v="0"/>
    <n v="23.841646999999998"/>
    <n v="97.700940000000003"/>
    <s v="MMR015CMP214"/>
    <x v="0"/>
    <m/>
  </r>
  <r>
    <x v="0"/>
    <x v="25"/>
    <x v="2"/>
    <x v="31"/>
    <x v="372"/>
    <n v="44"/>
    <n v="214"/>
    <n v="115"/>
    <s v="MHF,HARP"/>
    <s v="11/17/2018,12/31/2018"/>
    <n v="0"/>
    <s v="Yes"/>
    <n v="0.4"/>
    <n v="0.4"/>
    <n v="1"/>
    <n v="1"/>
    <n v="10800"/>
    <m/>
    <n v="4"/>
    <n v="2"/>
    <m/>
    <n v="4"/>
    <n v="4"/>
    <n v="4"/>
    <m/>
    <n v="16"/>
    <n v="3"/>
    <n v="1"/>
    <n v="17"/>
    <x v="0"/>
    <x v="0"/>
    <m/>
    <m/>
    <m/>
    <n v="1"/>
    <s v="Communal"/>
    <m/>
    <n v="2"/>
    <n v="4"/>
    <n v="43"/>
    <m/>
    <s v="Yes"/>
    <m/>
    <n v="0"/>
    <n v="1"/>
    <n v="1"/>
    <n v="1"/>
    <n v="1"/>
    <n v="214"/>
    <n v="0"/>
    <n v="0"/>
    <n v="1"/>
    <n v="214"/>
    <n v="0.42799999999999999"/>
    <n v="0"/>
    <n v="0"/>
    <n v="0.57200000000000006"/>
    <n v="1"/>
    <x v="1"/>
    <n v="19"/>
    <n v="1"/>
    <n v="214"/>
    <n v="0"/>
    <n v="0"/>
    <n v="11"/>
    <n v="0.15789473684210525"/>
    <n v="20"/>
    <n v="0"/>
    <n v="1"/>
    <n v="214"/>
    <n v="0"/>
    <n v="1"/>
    <n v="0"/>
    <n v="0"/>
    <n v="1"/>
    <n v="0.97727272727272729"/>
    <n v="0"/>
    <n v="215"/>
    <n v="0"/>
    <n v="215"/>
    <n v="44"/>
    <s v="Yes"/>
    <s v="KMSS-LSO"/>
    <x v="0"/>
    <s v="Camp"/>
    <x v="0"/>
    <x v="0"/>
    <n v="23.828150000000001"/>
    <n v="97.670360000000002"/>
    <s v="MMR015CMP003"/>
    <x v="0"/>
    <s v="data is provided from both SCI/KMSS"/>
  </r>
  <r>
    <x v="0"/>
    <x v="19"/>
    <x v="2"/>
    <x v="25"/>
    <x v="373"/>
    <n v="63"/>
    <n v="279"/>
    <m/>
    <s v="Plan/GFFO,ADRA/CANADA  ,WHH(BMZ,AA)"/>
    <s v="12/31/2019,30/4/18, 30/6/18"/>
    <n v="0"/>
    <s v="Yes"/>
    <n v="0.7"/>
    <n v="1"/>
    <m/>
    <n v="1"/>
    <n v="15000"/>
    <m/>
    <n v="8"/>
    <n v="0"/>
    <n v="0"/>
    <n v="0"/>
    <n v="0"/>
    <n v="0"/>
    <m/>
    <n v="14"/>
    <n v="0"/>
    <n v="0"/>
    <n v="14"/>
    <x v="0"/>
    <x v="0"/>
    <n v="0"/>
    <n v="0"/>
    <m/>
    <n v="1"/>
    <s v="Communal"/>
    <m/>
    <n v="2"/>
    <n v="1"/>
    <n v="57"/>
    <n v="0"/>
    <m/>
    <m/>
    <s v="no test"/>
    <s v="no test"/>
    <n v="1"/>
    <n v="1"/>
    <n v="1"/>
    <n v="279"/>
    <n v="0"/>
    <n v="0"/>
    <n v="1"/>
    <n v="279"/>
    <n v="0.55800000000000005"/>
    <n v="0"/>
    <n v="0"/>
    <n v="0.44199999999999995"/>
    <n v="1"/>
    <x v="0"/>
    <n v="14"/>
    <n v="1"/>
    <n v="279"/>
    <n v="0"/>
    <n v="0"/>
    <n v="14"/>
    <n v="0"/>
    <n v="0"/>
    <n v="0"/>
    <n v="1"/>
    <n v="279"/>
    <n v="0"/>
    <n v="1"/>
    <n v="0"/>
    <n v="0"/>
    <n v="1"/>
    <n v="0.90476190476190477"/>
    <n v="0"/>
    <n v="285"/>
    <n v="0"/>
    <n v="285"/>
    <n v="63"/>
    <s v="Yes"/>
    <s v="KBC"/>
    <x v="0"/>
    <s v="Camp"/>
    <x v="0"/>
    <x v="0"/>
    <n v="23.694130000000001"/>
    <n v="97.818979999999996"/>
    <s v="MMR015CMP007"/>
    <x v="0"/>
    <m/>
  </r>
  <r>
    <x v="0"/>
    <x v="19"/>
    <x v="2"/>
    <x v="25"/>
    <x v="374"/>
    <n v="39"/>
    <n v="146"/>
    <n v="23"/>
    <s v="Plan/GFFO,ADRA/CANADA  ,WHH(BMZ, AA)"/>
    <s v="12/31/2019,30/4/18, 30/6/18"/>
    <n v="0"/>
    <s v="Yes"/>
    <n v="0.5"/>
    <n v="1"/>
    <m/>
    <m/>
    <n v="2700"/>
    <m/>
    <n v="3"/>
    <n v="0"/>
    <n v="0"/>
    <n v="0"/>
    <n v="0"/>
    <n v="0"/>
    <s v="Insufficient Drinking Water"/>
    <n v="5"/>
    <n v="0"/>
    <n v="0"/>
    <n v="5"/>
    <x v="1"/>
    <x v="1"/>
    <n v="0"/>
    <n v="0"/>
    <m/>
    <n v="0"/>
    <s v="Household"/>
    <m/>
    <n v="0"/>
    <n v="1"/>
    <n v="32"/>
    <n v="0"/>
    <m/>
    <m/>
    <s v="no test"/>
    <s v="no test"/>
    <n v="1"/>
    <n v="1"/>
    <n v="1"/>
    <n v="146"/>
    <n v="0"/>
    <n v="0"/>
    <n v="1"/>
    <n v="146"/>
    <n v="0.29199999999999998"/>
    <n v="0"/>
    <n v="0"/>
    <n v="0.70799999999999996"/>
    <n v="1"/>
    <x v="0"/>
    <n v="5"/>
    <n v="0.68493150684931503"/>
    <n v="100"/>
    <n v="0.27397260273972601"/>
    <n v="2"/>
    <n v="7"/>
    <n v="0"/>
    <n v="0"/>
    <n v="0"/>
    <n v="1"/>
    <n v="146"/>
    <n v="0"/>
    <n v="1"/>
    <n v="0"/>
    <n v="0"/>
    <n v="1"/>
    <n v="0.82051282051282048"/>
    <n v="0"/>
    <n v="160"/>
    <n v="0"/>
    <n v="160"/>
    <n v="0"/>
    <n v="0"/>
    <n v="0"/>
    <x v="0"/>
    <s v="Camp"/>
    <x v="2"/>
    <x v="0"/>
    <n v="23.682887999999998"/>
    <n v="97.810101000000003"/>
    <s v="MMR015CMP225"/>
    <x v="0"/>
    <m/>
  </r>
  <r>
    <x v="0"/>
    <x v="1"/>
    <x v="2"/>
    <x v="29"/>
    <x v="375"/>
    <n v="39"/>
    <n v="196"/>
    <m/>
    <s v="WHH(BMZ, AA)"/>
    <s v="30/4/18, 30/6/18"/>
    <n v="0"/>
    <s v="Yes"/>
    <n v="0.71"/>
    <n v="1"/>
    <n v="2"/>
    <m/>
    <n v="9000"/>
    <m/>
    <n v="2"/>
    <n v="0"/>
    <n v="0"/>
    <n v="0"/>
    <n v="0"/>
    <n v="0"/>
    <m/>
    <n v="5"/>
    <n v="3"/>
    <n v="0"/>
    <n v="8"/>
    <x v="0"/>
    <x v="3"/>
    <n v="0"/>
    <n v="0"/>
    <m/>
    <n v="1"/>
    <s v="Communal"/>
    <m/>
    <n v="4"/>
    <n v="2"/>
    <n v="0"/>
    <n v="0"/>
    <m/>
    <m/>
    <s v="no test"/>
    <s v="no test"/>
    <n v="1"/>
    <n v="1"/>
    <n v="1"/>
    <n v="196"/>
    <n v="0"/>
    <n v="0"/>
    <n v="1"/>
    <n v="196"/>
    <n v="0.39200000000000002"/>
    <n v="0"/>
    <n v="0"/>
    <n v="0.60799999999999998"/>
    <n v="1"/>
    <x v="0"/>
    <n v="8"/>
    <n v="0.51020408163265307"/>
    <n v="100"/>
    <n v="0.2040816326530612"/>
    <n v="2"/>
    <n v="10"/>
    <n v="0.375"/>
    <n v="0"/>
    <n v="0"/>
    <n v="1"/>
    <n v="196"/>
    <n v="0"/>
    <n v="1"/>
    <n v="0"/>
    <n v="0"/>
    <n v="1"/>
    <n v="0"/>
    <n v="0"/>
    <n v="0"/>
    <n v="0"/>
    <n v="0"/>
    <n v="39"/>
    <s v="Yes"/>
    <s v="KBC"/>
    <x v="0"/>
    <s v="Camp"/>
    <x v="0"/>
    <x v="0"/>
    <n v="23.354268999999999"/>
    <n v="98.218626999999998"/>
    <s v="MMR015CMP218"/>
    <x v="0"/>
    <m/>
  </r>
  <r>
    <x v="0"/>
    <x v="28"/>
    <x v="2"/>
    <x v="30"/>
    <x v="376"/>
    <n v="57"/>
    <n v="263"/>
    <m/>
    <s v="MHF,ADRA/CANADA,WHH(BMZ, AA)"/>
    <s v="11/17/2018,1/31/2018,30/4/18, 30/6/18"/>
    <m/>
    <s v="Yes"/>
    <n v="0.8"/>
    <n v="0.5"/>
    <n v="0"/>
    <n v="1"/>
    <n v="7500"/>
    <n v="0"/>
    <n v="7"/>
    <n v="0"/>
    <n v="0"/>
    <n v="0"/>
    <n v="0"/>
    <n v="0"/>
    <m/>
    <n v="16"/>
    <n v="0"/>
    <n v="0"/>
    <n v="16"/>
    <x v="0"/>
    <x v="0"/>
    <n v="0"/>
    <n v="0"/>
    <m/>
    <n v="0.8"/>
    <s v="Communal"/>
    <n v="0"/>
    <n v="4"/>
    <n v="2"/>
    <n v="48"/>
    <n v="0"/>
    <m/>
    <m/>
    <s v="no test"/>
    <s v="no test"/>
    <n v="1"/>
    <n v="1"/>
    <n v="1"/>
    <n v="263"/>
    <n v="0"/>
    <n v="0"/>
    <n v="1"/>
    <n v="263"/>
    <n v="0.52600000000000002"/>
    <n v="0"/>
    <n v="0"/>
    <n v="0.47399999999999998"/>
    <n v="1"/>
    <x v="0"/>
    <n v="16"/>
    <n v="1"/>
    <n v="263"/>
    <n v="0"/>
    <n v="0"/>
    <n v="13"/>
    <n v="0"/>
    <n v="0"/>
    <n v="0"/>
    <n v="1"/>
    <n v="263"/>
    <n v="0"/>
    <n v="1"/>
    <n v="0"/>
    <n v="0"/>
    <n v="1"/>
    <n v="0.84210526315789469"/>
    <n v="0"/>
    <n v="240"/>
    <n v="0"/>
    <n v="240"/>
    <n v="45.6"/>
    <s v="Yes"/>
    <s v="KBC"/>
    <x v="0"/>
    <s v="Camp"/>
    <x v="0"/>
    <x v="0"/>
    <n v="23.094290000000001"/>
    <n v="97.404089999999997"/>
    <s v="MMR015CMP014"/>
    <x v="0"/>
    <m/>
  </r>
  <r>
    <x v="0"/>
    <x v="19"/>
    <x v="2"/>
    <x v="31"/>
    <x v="377"/>
    <n v="121"/>
    <n v="504"/>
    <m/>
    <s v="MHF,WHH(BMZ, AA),ECHO"/>
    <s v="11/17/2018,30/4/18, 30/6/18"/>
    <n v="0"/>
    <s v="Yes"/>
    <n v="0.5"/>
    <n v="1"/>
    <m/>
    <n v="1"/>
    <n v="14400"/>
    <m/>
    <n v="2"/>
    <n v="0"/>
    <n v="0"/>
    <n v="0"/>
    <n v="0"/>
    <n v="0"/>
    <m/>
    <n v="13"/>
    <n v="3"/>
    <n v="0"/>
    <n v="16"/>
    <x v="0"/>
    <x v="0"/>
    <n v="0"/>
    <n v="0"/>
    <m/>
    <n v="1"/>
    <s v="Communal"/>
    <m/>
    <n v="4"/>
    <n v="2"/>
    <n v="121"/>
    <n v="0"/>
    <m/>
    <m/>
    <s v="no test"/>
    <s v="no test"/>
    <n v="1"/>
    <n v="1"/>
    <n v="1"/>
    <n v="504"/>
    <n v="0"/>
    <n v="0"/>
    <n v="1"/>
    <n v="504"/>
    <n v="1.008"/>
    <n v="0"/>
    <n v="0"/>
    <n v="0"/>
    <n v="1"/>
    <x v="0"/>
    <n v="16"/>
    <n v="0.51587301587301593"/>
    <n v="260"/>
    <n v="0.35714285714285715"/>
    <n v="9"/>
    <n v="25"/>
    <n v="0.1875"/>
    <n v="0"/>
    <n v="1"/>
    <n v="0"/>
    <n v="504"/>
    <n v="0"/>
    <n v="1"/>
    <n v="1"/>
    <n v="504"/>
    <n v="1"/>
    <n v="1"/>
    <n v="0"/>
    <n v="605"/>
    <n v="0"/>
    <n v="605"/>
    <n v="121"/>
    <s v="Yes"/>
    <s v="KBC"/>
    <x v="0"/>
    <s v="Camp"/>
    <x v="0"/>
    <x v="0"/>
    <n v="23.838190000000001"/>
    <n v="97.709879999999998"/>
    <s v="MMR015CMP215"/>
    <x v="0"/>
    <m/>
  </r>
  <r>
    <x v="0"/>
    <x v="1"/>
    <x v="2"/>
    <x v="25"/>
    <x v="378"/>
    <n v="106"/>
    <n v="635"/>
    <m/>
    <s v="WHH(BMZ, AA)"/>
    <s v="30/4/18, 30/6/18"/>
    <n v="0"/>
    <s v="Yes"/>
    <n v="0.5"/>
    <n v="1"/>
    <m/>
    <n v="1"/>
    <n v="9600"/>
    <m/>
    <n v="5"/>
    <n v="0"/>
    <n v="0"/>
    <n v="0"/>
    <n v="0"/>
    <n v="0"/>
    <m/>
    <n v="106"/>
    <n v="0"/>
    <n v="0"/>
    <n v="106"/>
    <x v="0"/>
    <x v="3"/>
    <n v="0"/>
    <n v="0"/>
    <m/>
    <n v="0.4"/>
    <s v="Communal"/>
    <m/>
    <m/>
    <n v="1"/>
    <n v="0"/>
    <n v="0"/>
    <m/>
    <m/>
    <s v="no test"/>
    <s v="no test"/>
    <n v="1"/>
    <n v="1"/>
    <n v="1"/>
    <n v="635"/>
    <n v="0"/>
    <n v="0"/>
    <n v="1"/>
    <n v="635"/>
    <n v="1.27"/>
    <n v="0"/>
    <n v="0"/>
    <n v="0"/>
    <n v="1"/>
    <x v="0"/>
    <n v="106"/>
    <n v="1"/>
    <n v="635"/>
    <n v="0"/>
    <n v="0"/>
    <n v="106"/>
    <n v="0"/>
    <n v="0"/>
    <n v="0"/>
    <n v="1"/>
    <n v="500"/>
    <n v="0"/>
    <n v="0"/>
    <n v="0"/>
    <n v="0"/>
    <n v="0.78740157480314965"/>
    <n v="0"/>
    <n v="0"/>
    <n v="0"/>
    <n v="0"/>
    <n v="0"/>
    <n v="42.400000000000006"/>
    <n v="0"/>
    <n v="0"/>
    <x v="0"/>
    <s v="Village Type Camp"/>
    <x v="2"/>
    <x v="0"/>
    <n v="23.447111"/>
    <n v="97.868876999999998"/>
    <s v="MMR015CMP219"/>
    <x v="0"/>
    <m/>
  </r>
  <r>
    <x v="0"/>
    <x v="1"/>
    <x v="2"/>
    <x v="30"/>
    <x v="379"/>
    <n v="19"/>
    <n v="82"/>
    <m/>
    <s v="WHH(BMZ, AA)"/>
    <s v="30/4/18, 30/6/18"/>
    <m/>
    <s v="NA"/>
    <s v="NA"/>
    <s v="NA"/>
    <n v="0"/>
    <n v="0"/>
    <n v="17280"/>
    <n v="1"/>
    <m/>
    <n v="0"/>
    <n v="0"/>
    <n v="0"/>
    <n v="0"/>
    <n v="0"/>
    <s v="Solar Pump System (9600 Litre per day)"/>
    <n v="17"/>
    <n v="0"/>
    <n v="0"/>
    <n v="17"/>
    <x v="2"/>
    <x v="3"/>
    <n v="0"/>
    <n v="0"/>
    <m/>
    <n v="0"/>
    <s v="Household"/>
    <m/>
    <m/>
    <n v="1"/>
    <n v="0"/>
    <n v="0"/>
    <m/>
    <m/>
    <s v="no test"/>
    <s v="no test"/>
    <n v="1"/>
    <n v="1"/>
    <n v="1"/>
    <n v="82"/>
    <n v="1"/>
    <n v="82"/>
    <n v="1"/>
    <n v="82"/>
    <n v="0.16400000000000001"/>
    <n v="0"/>
    <n v="0"/>
    <n v="0.83599999999999997"/>
    <n v="1"/>
    <x v="0"/>
    <n v="17"/>
    <n v="1"/>
    <n v="82"/>
    <n v="0"/>
    <n v="0"/>
    <n v="4"/>
    <n v="0"/>
    <n v="0"/>
    <n v="0"/>
    <n v="1"/>
    <n v="82"/>
    <n v="0"/>
    <n v="1"/>
    <n v="0"/>
    <n v="0"/>
    <n v="1"/>
    <n v="0"/>
    <n v="0"/>
    <n v="0"/>
    <n v="0"/>
    <n v="0"/>
    <n v="0"/>
    <n v="0"/>
    <n v="0"/>
    <x v="0"/>
    <s v="Camp"/>
    <x v="2"/>
    <x v="0"/>
    <n v="22.765999999999998"/>
    <n v="97.358999999999995"/>
    <s v="MMR015CMP221"/>
    <x v="0"/>
    <m/>
  </r>
  <r>
    <x v="0"/>
    <x v="6"/>
    <x v="2"/>
    <x v="29"/>
    <x v="380"/>
    <n v="35"/>
    <n v="173"/>
    <m/>
    <s v="SCI"/>
    <d v="2019-11-30T00:00:00"/>
    <n v="0"/>
    <s v="Yes"/>
    <n v="0.4"/>
    <n v="0.8"/>
    <n v="1"/>
    <n v="0"/>
    <m/>
    <m/>
    <n v="0"/>
    <n v="0"/>
    <n v="0"/>
    <n v="0"/>
    <n v="0"/>
    <n v="0"/>
    <m/>
    <n v="37"/>
    <n v="0"/>
    <n v="0"/>
    <n v="0"/>
    <x v="1"/>
    <x v="1"/>
    <m/>
    <m/>
    <m/>
    <m/>
    <m/>
    <n v="0"/>
    <m/>
    <n v="1"/>
    <n v="0"/>
    <n v="0"/>
    <m/>
    <m/>
    <s v="no test"/>
    <s v="no test"/>
    <n v="1"/>
    <n v="1"/>
    <n v="1"/>
    <n v="173"/>
    <n v="0"/>
    <n v="0"/>
    <n v="1"/>
    <n v="173"/>
    <n v="0.34599999999999997"/>
    <n v="0"/>
    <n v="0"/>
    <n v="0.65400000000000003"/>
    <n v="1"/>
    <x v="0"/>
    <n v="37"/>
    <n v="1"/>
    <n v="173"/>
    <n v="0"/>
    <n v="0"/>
    <n v="9"/>
    <n v="0"/>
    <n v="0"/>
    <n v="0"/>
    <n v="1"/>
    <n v="173"/>
    <n v="0"/>
    <n v="1"/>
    <n v="0"/>
    <n v="0"/>
    <n v="1"/>
    <n v="0"/>
    <n v="0"/>
    <n v="0"/>
    <n v="0"/>
    <n v="0"/>
    <n v="0"/>
    <n v="0"/>
    <n v="0"/>
    <x v="0"/>
    <s v="Camp"/>
    <x v="4"/>
    <x v="0"/>
    <n v="23.353999999999999"/>
    <n v="98.221000000000004"/>
    <s v="MMR015CMP226"/>
    <x v="0"/>
    <m/>
  </r>
  <r>
    <x v="0"/>
    <x v="1"/>
    <x v="2"/>
    <x v="25"/>
    <x v="381"/>
    <n v="190"/>
    <n v="917"/>
    <m/>
    <s v="WHH(BMZ, AA)"/>
    <s v="30/4/18, 30/6/18"/>
    <n v="0"/>
    <s v="Yes"/>
    <n v="0.6"/>
    <m/>
    <m/>
    <m/>
    <n v="43200"/>
    <m/>
    <n v="16"/>
    <n v="0"/>
    <n v="0"/>
    <n v="0"/>
    <n v="0"/>
    <n v="0"/>
    <m/>
    <n v="127"/>
    <n v="85"/>
    <n v="0"/>
    <n v="212"/>
    <x v="3"/>
    <x v="3"/>
    <n v="0"/>
    <n v="0"/>
    <m/>
    <n v="0.6"/>
    <s v="Both"/>
    <n v="4"/>
    <m/>
    <n v="1"/>
    <n v="182"/>
    <n v="0"/>
    <m/>
    <m/>
    <s v="no test"/>
    <s v="no test"/>
    <n v="1"/>
    <n v="1"/>
    <n v="1"/>
    <n v="917"/>
    <n v="0"/>
    <n v="0"/>
    <n v="1"/>
    <n v="917"/>
    <n v="1.8340000000000001"/>
    <n v="0"/>
    <n v="0"/>
    <n v="0.16599999999999993"/>
    <n v="2"/>
    <x v="0"/>
    <n v="212"/>
    <n v="0.83097055616139581"/>
    <n v="762"/>
    <n v="0"/>
    <n v="0"/>
    <n v="153"/>
    <n v="0.40094339622641512"/>
    <n v="0"/>
    <n v="0"/>
    <n v="1"/>
    <n v="500"/>
    <n v="0"/>
    <n v="0"/>
    <n v="0"/>
    <n v="0"/>
    <n v="0.54525627044711011"/>
    <n v="0.95789473684210524"/>
    <n v="0"/>
    <n v="910"/>
    <n v="0"/>
    <n v="910"/>
    <n v="114"/>
    <s v="Yes"/>
    <s v="KBC"/>
    <x v="0"/>
    <s v="Village Type Camp"/>
    <x v="0"/>
    <x v="0"/>
    <n v="23.38503"/>
    <n v="97.837040000000002"/>
    <s v="MMR015CMP020"/>
    <x v="0"/>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5" cacheId="0" dataOnRows="1" applyNumberFormats="0" applyBorderFormats="0" applyFontFormats="0" applyPatternFormats="0" applyAlignmentFormats="0" applyWidthHeightFormats="1" dataCaption="Values" updatedVersion="6" minRefreshableVersion="3" colGrandTotals="0" itemPrintTitles="1" createdVersion="6" indent="0" showHeaders="0" outline="1" outlineData="1" multipleFieldFilters="0">
  <location ref="C172:D178" firstHeaderRow="0" firstDataRow="0" firstDataCol="1" rowPageCount="4" colPageCount="1"/>
  <pivotFields count="92">
    <pivotField axis="axisPage" subtotalTop="0" showAll="0">
      <items count="8">
        <item m="1" x="2"/>
        <item x="0"/>
        <item m="1" x="1"/>
        <item m="1" x="3"/>
        <item m="1" x="6"/>
        <item m="1" x="4"/>
        <item m="1" x="5"/>
        <item t="default"/>
      </items>
    </pivotField>
    <pivotField subtotalTop="0" showAll="0"/>
    <pivotField axis="axisPage" subtotalTop="0" showAll="0">
      <items count="5">
        <item x="0"/>
        <item x="1"/>
        <item x="2"/>
        <item m="1" x="3"/>
        <item t="default"/>
      </items>
    </pivotField>
    <pivotField subtotalTop="0" showAll="0"/>
    <pivotField subtotalTop="0" showAll="0"/>
    <pivotField subtotalTop="0" showAll="0"/>
    <pivotField dataField="1"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howAll="0" defaultSubtotal="0"/>
    <pivotField subtotalTop="0" showAll="0"/>
    <pivotField subtotalTop="0" showAll="0"/>
    <pivotField numFmtId="9" subtotalTop="0" showAll="0"/>
    <pivotField subtotalTop="0" showAll="0"/>
    <pivotField dataField="1" subtotalTop="0" showAll="0"/>
    <pivotField subtotalTop="0" showAll="0"/>
    <pivotField subtotalTop="0" showAll="0"/>
    <pivotField subtotalTop="0" showAll="0"/>
    <pivotField dataField="1" subtotalTop="0" showAll="0"/>
    <pivotField subtotalTop="0" showAll="0"/>
    <pivotField subtotalTop="0" showAll="0"/>
    <pivotField subtotalTop="0" showAll="0"/>
    <pivotField subtotalTop="0" showAll="0"/>
    <pivotField numFmtId="1" subtotalTop="0" showAll="0"/>
    <pivotField showAll="0" defaultSubtotal="0"/>
    <pivotField numFmtId="1" subtotalTop="0" showAll="0"/>
    <pivotField numFmtId="9" subtotalTop="0" showAll="0"/>
    <pivotField dataField="1" numFmtId="164" subtotalTop="0" showAll="0"/>
    <pivotField subtotalTop="0" showAll="0"/>
    <pivotField subtotalTop="0" showAll="0"/>
    <pivotField subtotalTop="0" showAll="0"/>
    <pivotField numFmtId="9" showAll="0" defaultSubtotal="0"/>
    <pivotField dataField="1" showAll="0" defaultSubtotal="0"/>
    <pivotField subtotalTop="0" showAll="0"/>
    <pivotField subtotalTop="0" showAll="0"/>
    <pivotField dataField="1" numFmtId="1" showAll="0" defaultSubtotal="0"/>
    <pivotField numFmtId="1" showAll="0" defaultSubtotal="0"/>
    <pivotField numFmtId="1" showAll="0" defaultSubtotal="0"/>
    <pivotField numFmtId="1" showAll="0" defaultSubtotal="0"/>
    <pivotField numFmtId="1" showAll="0" defaultSubtotal="0"/>
    <pivotField subtotalTop="0" showAll="0"/>
    <pivotField subtotalTop="0" showAll="0"/>
    <pivotField subtotalTop="0" showAll="0"/>
    <pivotField numFmtId="1" showAll="0" defaultSubtotal="0"/>
    <pivotField numFmtId="1" showAll="0" defaultSubtotal="0"/>
    <pivotField dataField="1" numFmtId="1" showAll="0" defaultSubtotal="0"/>
    <pivotField numFmtId="1" subtotalTop="0" showAll="0"/>
    <pivotField subtotalTop="0" showAll="0"/>
    <pivotField subtotalTop="0" showAll="0"/>
    <pivotField axis="axisPage" subtotalTop="0" multipleItemSelectionAllowed="1" showAll="0">
      <items count="6">
        <item x="0"/>
        <item x="1"/>
        <item h="1" x="3"/>
        <item h="1" m="1" x="4"/>
        <item h="1" x="2"/>
        <item t="default"/>
      </items>
    </pivotField>
    <pivotField subtotalTop="0" showAll="0"/>
    <pivotField subtotalTop="0" showAll="0"/>
    <pivotField subtotalTop="0" showAll="0"/>
    <pivotField subtotalTop="0" showAll="0"/>
    <pivotField subtotalTop="0" showAll="0"/>
    <pivotField subtotalTop="0" showAll="0"/>
    <pivotField axis="axisPage" subtotalTop="0" showAll="0">
      <items count="5">
        <item x="0"/>
        <item x="1"/>
        <item m="1" x="2"/>
        <item m="1" x="3"/>
        <item t="default"/>
      </items>
    </pivotField>
    <pivotField subtotalTop="0" showAll="0"/>
  </pivotFields>
  <rowFields count="1">
    <field x="-2"/>
  </rowFields>
  <rowItems count="7">
    <i>
      <x/>
    </i>
    <i i="1">
      <x v="1"/>
    </i>
    <i i="2">
      <x v="2"/>
    </i>
    <i i="3">
      <x v="3"/>
    </i>
    <i i="4">
      <x v="4"/>
    </i>
    <i i="5">
      <x v="5"/>
    </i>
    <i i="6">
      <x v="6"/>
    </i>
  </rowItems>
  <colItems count="1">
    <i/>
  </colItems>
  <pageFields count="4">
    <pageField fld="0" item="1" hier="-1"/>
    <pageField fld="90" item="0" hier="-1"/>
    <pageField fld="83" hier="-1"/>
    <pageField fld="2" item="2" hier="-1"/>
  </pageFields>
  <dataFields count="7">
    <dataField name="Total Population reached" fld="6" baseField="2" baseItem="0" numFmtId="3"/>
    <dataField name="Number of people with equitable and safe access to sufficient quantity of drinking water_1" fld="48" baseField="2" baseItem="1" numFmtId="3"/>
    <dataField name="Number of people with equitable and safe access to sufficient quantity of domestic water_2" fld="52" baseField="2" baseItem="1" numFmtId="3"/>
    <dataField name="Number of people with access to functional sanitation facilities_3" fld="61" baseField="2" baseItem="1" numFmtId="3"/>
    <dataField name="Number of people with access to continuous sanitation services_4" fld="66" baseField="2" baseItem="0" numFmtId="164"/>
    <dataField name="Number of people reached by regular dedicated hygiene promotion_5" fld="69" baseField="0" baseItem="0" numFmtId="164"/>
    <dataField name="Number of People received regular supply of hygiene items_6" fld="79" baseField="0" baseItem="0"/>
  </dataFields>
  <formats count="37">
    <format dxfId="892">
      <pivotArea field="2" type="button" dataOnly="0" labelOnly="1" outline="0" axis="axisPage" fieldPosition="3"/>
    </format>
    <format dxfId="891">
      <pivotArea dataOnly="0" labelOnly="1" outline="0" fieldPosition="0">
        <references count="1">
          <reference field="4294967294" count="3">
            <x v="1"/>
            <x v="2"/>
            <x v="3"/>
          </reference>
        </references>
      </pivotArea>
    </format>
    <format dxfId="890">
      <pivotArea dataOnly="0" labelOnly="1" outline="0" fieldPosition="0">
        <references count="1">
          <reference field="4294967294" count="3">
            <x v="1"/>
            <x v="2"/>
            <x v="3"/>
          </reference>
        </references>
      </pivotArea>
    </format>
    <format dxfId="889">
      <pivotArea outline="0" fieldPosition="0">
        <references count="1">
          <reference field="4294967294" count="1">
            <x v="1"/>
          </reference>
        </references>
      </pivotArea>
    </format>
    <format dxfId="888">
      <pivotArea outline="0" fieldPosition="0">
        <references count="1">
          <reference field="4294967294" count="1">
            <x v="2"/>
          </reference>
        </references>
      </pivotArea>
    </format>
    <format dxfId="887">
      <pivotArea outline="0" fieldPosition="0">
        <references count="1">
          <reference field="4294967294" count="1">
            <x v="3"/>
          </reference>
        </references>
      </pivotArea>
    </format>
    <format dxfId="886">
      <pivotArea type="all" dataOnly="0" outline="0" fieldPosition="0"/>
    </format>
    <format dxfId="885">
      <pivotArea field="2" type="button" dataOnly="0" labelOnly="1" outline="0" axis="axisPage" fieldPosition="3"/>
    </format>
    <format dxfId="884">
      <pivotArea dataOnly="0" labelOnly="1" outline="0" fieldPosition="0">
        <references count="1">
          <reference field="4294967294" count="3">
            <x v="1"/>
            <x v="2"/>
            <x v="3"/>
          </reference>
        </references>
      </pivotArea>
    </format>
    <format dxfId="883">
      <pivotArea outline="0" fieldPosition="0">
        <references count="1">
          <reference field="4294967294" count="1">
            <x v="0"/>
          </reference>
        </references>
      </pivotArea>
    </format>
    <format dxfId="882">
      <pivotArea dataOnly="0" labelOnly="1" outline="0" fieldPosition="0">
        <references count="1">
          <reference field="4294967294" count="1">
            <x v="0"/>
          </reference>
        </references>
      </pivotArea>
    </format>
    <format dxfId="881">
      <pivotArea outline="0" collapsedLevelsAreSubtotals="1" fieldPosition="0">
        <references count="1">
          <reference field="4294967294" count="2" selected="0">
            <x v="1"/>
            <x v="2"/>
          </reference>
        </references>
      </pivotArea>
    </format>
    <format dxfId="880">
      <pivotArea outline="0" collapsedLevelsAreSubtotals="1" fieldPosition="0">
        <references count="1">
          <reference field="4294967294" count="2" selected="0">
            <x v="1"/>
            <x v="2"/>
          </reference>
        </references>
      </pivotArea>
    </format>
    <format dxfId="879">
      <pivotArea dataOnly="0" labelOnly="1" outline="0" fieldPosition="0">
        <references count="1">
          <reference field="4294967294" count="2">
            <x v="1"/>
            <x v="2"/>
          </reference>
        </references>
      </pivotArea>
    </format>
    <format dxfId="878">
      <pivotArea outline="0" collapsedLevelsAreSubtotals="1" fieldPosition="0">
        <references count="1">
          <reference field="4294967294" count="2" selected="0">
            <x v="3"/>
            <x v="4"/>
          </reference>
        </references>
      </pivotArea>
    </format>
    <format dxfId="877">
      <pivotArea outline="0" collapsedLevelsAreSubtotals="1" fieldPosition="0">
        <references count="1">
          <reference field="4294967294" count="2" selected="0">
            <x v="3"/>
            <x v="4"/>
          </reference>
        </references>
      </pivotArea>
    </format>
    <format dxfId="876">
      <pivotArea dataOnly="0" labelOnly="1" outline="0" fieldPosition="0">
        <references count="1">
          <reference field="4294967294" count="2">
            <x v="3"/>
            <x v="4"/>
          </reference>
        </references>
      </pivotArea>
    </format>
    <format dxfId="875">
      <pivotArea outline="0" collapsedLevelsAreSubtotals="1" fieldPosition="0">
        <references count="1">
          <reference field="4294967294" count="1" selected="0">
            <x v="5"/>
          </reference>
        </references>
      </pivotArea>
    </format>
    <format dxfId="874">
      <pivotArea outline="0" collapsedLevelsAreSubtotals="1" fieldPosition="0">
        <references count="1">
          <reference field="4294967294" count="1" selected="0">
            <x v="5"/>
          </reference>
        </references>
      </pivotArea>
    </format>
    <format dxfId="873">
      <pivotArea dataOnly="0" labelOnly="1" outline="0" fieldPosition="0">
        <references count="1">
          <reference field="4294967294" count="1">
            <x v="5"/>
          </reference>
        </references>
      </pivotArea>
    </format>
    <format dxfId="872">
      <pivotArea outline="0" collapsedLevelsAreSubtotals="1" fieldPosition="0">
        <references count="1">
          <reference field="4294967294" count="5" selected="0">
            <x v="1"/>
            <x v="2"/>
            <x v="3"/>
            <x v="4"/>
            <x v="5"/>
          </reference>
        </references>
      </pivotArea>
    </format>
    <format dxfId="871">
      <pivotArea dataOnly="0" labelOnly="1" outline="0" fieldPosition="0">
        <references count="1">
          <reference field="4294967294" count="5">
            <x v="1"/>
            <x v="2"/>
            <x v="3"/>
            <x v="4"/>
            <x v="5"/>
          </reference>
        </references>
      </pivotArea>
    </format>
    <format dxfId="870">
      <pivotArea dataOnly="0" labelOnly="1" outline="0" fieldPosition="0">
        <references count="1">
          <reference field="4294967294" count="5">
            <x v="1"/>
            <x v="2"/>
            <x v="3"/>
            <x v="4"/>
            <x v="5"/>
          </reference>
        </references>
      </pivotArea>
    </format>
    <format dxfId="869">
      <pivotArea dataOnly="0" labelOnly="1" outline="0" fieldPosition="0">
        <references count="1">
          <reference field="4294967294" count="5">
            <x v="1"/>
            <x v="2"/>
            <x v="3"/>
            <x v="4"/>
            <x v="5"/>
          </reference>
        </references>
      </pivotArea>
    </format>
    <format dxfId="868">
      <pivotArea dataOnly="0" labelOnly="1" outline="0" fieldPosition="0">
        <references count="1">
          <reference field="4294967294" count="5">
            <x v="1"/>
            <x v="2"/>
            <x v="3"/>
            <x v="4"/>
            <x v="5"/>
          </reference>
        </references>
      </pivotArea>
    </format>
    <format dxfId="867">
      <pivotArea outline="0" collapsedLevelsAreSubtotals="1" fieldPosition="0">
        <references count="1">
          <reference field="4294967294" count="2" selected="0">
            <x v="4"/>
            <x v="5"/>
          </reference>
        </references>
      </pivotArea>
    </format>
    <format dxfId="866">
      <pivotArea type="all" dataOnly="0" outline="0" fieldPosition="0"/>
    </format>
    <format dxfId="865">
      <pivotArea outline="0" collapsedLevelsAreSubtotals="1" fieldPosition="0"/>
    </format>
    <format dxfId="864">
      <pivotArea dataOnly="0" labelOnly="1" grandRow="1" outline="0" fieldPosition="0"/>
    </format>
    <format dxfId="863">
      <pivotArea dataOnly="0" labelOnly="1" outline="0" fieldPosition="0">
        <references count="1">
          <reference field="4294967294" count="6">
            <x v="0"/>
            <x v="1"/>
            <x v="2"/>
            <x v="3"/>
            <x v="4"/>
            <x v="5"/>
          </reference>
        </references>
      </pivotArea>
    </format>
    <format dxfId="862">
      <pivotArea type="all" dataOnly="0" outline="0" fieldPosition="0"/>
    </format>
    <format dxfId="861">
      <pivotArea outline="0" collapsedLevelsAreSubtotals="1" fieldPosition="0"/>
    </format>
    <format dxfId="860">
      <pivotArea dataOnly="0" labelOnly="1" grandRow="1" outline="0" fieldPosition="0"/>
    </format>
    <format dxfId="859">
      <pivotArea dataOnly="0" labelOnly="1" outline="0" fieldPosition="0">
        <references count="1">
          <reference field="4294967294" count="6">
            <x v="0"/>
            <x v="1"/>
            <x v="2"/>
            <x v="3"/>
            <x v="4"/>
            <x v="5"/>
          </reference>
        </references>
      </pivotArea>
    </format>
    <format dxfId="858">
      <pivotArea outline="0" collapsedLevelsAreSubtotals="1" fieldPosition="0">
        <references count="1">
          <reference field="4294967294" count="1" selected="0">
            <x v="6"/>
          </reference>
        </references>
      </pivotArea>
    </format>
    <format dxfId="857">
      <pivotArea dataOnly="0" labelOnly="1" outline="0" fieldPosition="0">
        <references count="1">
          <reference field="4294967294" count="1">
            <x v="6"/>
          </reference>
        </references>
      </pivotArea>
    </format>
    <format dxfId="856">
      <pivotArea collapsedLevelsAreSubtotals="1" fieldPosition="0">
        <references count="1">
          <reference field="4294967294" count="1">
            <x v="6"/>
          </reference>
        </references>
      </pivotArea>
    </format>
  </formats>
  <pivotTableStyleInfo name="PivotStyleLight2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0.xml><?xml version="1.0" encoding="utf-8"?>
<pivotTableDefinition xmlns="http://schemas.openxmlformats.org/spreadsheetml/2006/main" name="PivotTable1" cacheId="0" applyNumberFormats="0" applyBorderFormats="0" applyFontFormats="0" applyPatternFormats="0" applyAlignmentFormats="0" applyWidthHeightFormats="1" dataCaption="Values" updatedVersion="6" minRefreshableVersion="3" itemPrintTitles="1" createdVersion="6" indent="0" outline="1" outlineData="1" multipleFieldFilters="0">
  <location ref="A4:E48" firstHeaderRow="0" firstDataRow="1" firstDataCol="1" rowPageCount="1" colPageCount="1"/>
  <pivotFields count="92">
    <pivotField axis="axisPage" subtotalTop="0" showAll="0">
      <items count="8">
        <item m="1" x="2"/>
        <item m="1" x="3"/>
        <item m="1" x="6"/>
        <item x="0"/>
        <item m="1" x="4"/>
        <item m="1" x="1"/>
        <item m="1" x="5"/>
        <item t="default"/>
      </items>
    </pivotField>
    <pivotField axis="axisRow" subtotalTop="0" showAll="0">
      <items count="42">
        <item x="13"/>
        <item x="17"/>
        <item x="6"/>
        <item x="0"/>
        <item x="20"/>
        <item x="1"/>
        <item x="21"/>
        <item x="22"/>
        <item x="23"/>
        <item x="3"/>
        <item x="12"/>
        <item x="8"/>
        <item x="26"/>
        <item x="4"/>
        <item x="2"/>
        <item x="7"/>
        <item m="1" x="37"/>
        <item x="5"/>
        <item x="10"/>
        <item m="1" x="32"/>
        <item m="1" x="39"/>
        <item x="11"/>
        <item x="14"/>
        <item m="1" x="40"/>
        <item x="15"/>
        <item x="16"/>
        <item m="1" x="35"/>
        <item m="1" x="30"/>
        <item m="1" x="38"/>
        <item m="1" x="29"/>
        <item m="1" x="31"/>
        <item x="25"/>
        <item m="1" x="33"/>
        <item m="1" x="34"/>
        <item m="1" x="36"/>
        <item x="19"/>
        <item x="24"/>
        <item x="27"/>
        <item x="28"/>
        <item x="18"/>
        <item x="9"/>
        <item t="default"/>
      </items>
    </pivotField>
    <pivotField axis="axisRow" subtotalTop="0" multipleItemSelectionAllowed="1" showAll="0">
      <items count="5">
        <item x="0"/>
        <item x="1"/>
        <item x="2"/>
        <item m="1" x="3"/>
        <item t="default"/>
      </items>
    </pivotField>
    <pivotField subtotalTop="0" showAll="0"/>
    <pivotField subtotalTop="0" showAll="0"/>
    <pivotField subtotalTop="0" showAll="0"/>
    <pivotField subtotalTop="0" showAll="0"/>
    <pivotField dataField="1"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dataField="1"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dataField="1"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dataField="1" subtotalTop="0" showAll="0"/>
    <pivotField subtotalTop="0" showAll="0"/>
    <pivotField showAll="0" defaultSubtotal="0"/>
    <pivotField subtotalTop="0" showAll="0"/>
    <pivotField subtotalTop="0" showAll="0"/>
    <pivotField numFmtId="9" subtotalTop="0" showAll="0"/>
    <pivotField numFmtId="9"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howAll="0" defaultSubtotal="0"/>
    <pivotField numFmtId="1" subtotalTop="0" showAll="0"/>
    <pivotField subtotalTop="0" showAll="0"/>
    <pivotField subtotalTop="0" showAll="0"/>
    <pivotField subtotalTop="0" showAll="0"/>
    <pivotField subtotalTop="0" showAll="0"/>
    <pivotField subtotalTop="0" showAll="0"/>
    <pivotField numFmtId="9" showAll="0" defaultSubtotal="0"/>
    <pivotField showAll="0" defaultSubtotal="0"/>
    <pivotField subtotalTop="0" showAll="0"/>
    <pivotField subtotalTop="0" showAll="0"/>
    <pivotField numFmtId="1" showAll="0" defaultSubtotal="0"/>
    <pivotField numFmtId="1" showAll="0" defaultSubtotal="0"/>
    <pivotField numFmtId="1" showAll="0" defaultSubtotal="0"/>
    <pivotField numFmtId="1" showAll="0" defaultSubtotal="0"/>
    <pivotField numFmtId="1" showAll="0" defaultSubtotal="0"/>
    <pivotField subtotalTop="0" showAll="0"/>
    <pivotField subtotalTop="0" showAll="0"/>
    <pivotField subtotalTop="0" showAll="0"/>
    <pivotField numFmtId="1" showAll="0" defaultSubtotal="0"/>
    <pivotField numFmtId="1" showAll="0" defaultSubtotal="0"/>
    <pivotField numFmtId="1" showAll="0" defaultSubtota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s>
  <rowFields count="2">
    <field x="2"/>
    <field x="1"/>
  </rowFields>
  <rowItems count="44">
    <i>
      <x/>
    </i>
    <i r="1">
      <x v="2"/>
    </i>
    <i r="1">
      <x v="3"/>
    </i>
    <i r="1">
      <x v="5"/>
    </i>
    <i r="1">
      <x v="9"/>
    </i>
    <i r="1">
      <x v="11"/>
    </i>
    <i r="1">
      <x v="13"/>
    </i>
    <i r="1">
      <x v="14"/>
    </i>
    <i r="1">
      <x v="15"/>
    </i>
    <i r="1">
      <x v="17"/>
    </i>
    <i r="1">
      <x v="40"/>
    </i>
    <i t="default">
      <x/>
    </i>
    <i>
      <x v="1"/>
    </i>
    <i r="1">
      <x/>
    </i>
    <i r="1">
      <x v="1"/>
    </i>
    <i r="1">
      <x v="9"/>
    </i>
    <i r="1">
      <x v="10"/>
    </i>
    <i r="1">
      <x v="11"/>
    </i>
    <i r="1">
      <x v="14"/>
    </i>
    <i r="1">
      <x v="18"/>
    </i>
    <i r="1">
      <x v="21"/>
    </i>
    <i r="1">
      <x v="22"/>
    </i>
    <i r="1">
      <x v="24"/>
    </i>
    <i r="1">
      <x v="25"/>
    </i>
    <i t="default">
      <x v="1"/>
    </i>
    <i>
      <x v="2"/>
    </i>
    <i r="1">
      <x v="2"/>
    </i>
    <i r="1">
      <x v="3"/>
    </i>
    <i r="1">
      <x v="4"/>
    </i>
    <i r="1">
      <x v="5"/>
    </i>
    <i r="1">
      <x v="6"/>
    </i>
    <i r="1">
      <x v="7"/>
    </i>
    <i r="1">
      <x v="8"/>
    </i>
    <i r="1">
      <x v="9"/>
    </i>
    <i r="1">
      <x v="11"/>
    </i>
    <i r="1">
      <x v="12"/>
    </i>
    <i r="1">
      <x v="31"/>
    </i>
    <i r="1">
      <x v="35"/>
    </i>
    <i r="1">
      <x v="36"/>
    </i>
    <i r="1">
      <x v="37"/>
    </i>
    <i r="1">
      <x v="38"/>
    </i>
    <i r="1">
      <x v="39"/>
    </i>
    <i t="default">
      <x v="2"/>
    </i>
    <i t="grand">
      <x/>
    </i>
  </rowItems>
  <colFields count="1">
    <field x="-2"/>
  </colFields>
  <colItems count="4">
    <i>
      <x/>
    </i>
    <i i="1">
      <x v="1"/>
    </i>
    <i i="2">
      <x v="2"/>
    </i>
    <i i="3">
      <x v="3"/>
    </i>
  </colItems>
  <pageFields count="1">
    <pageField fld="0" item="3" hier="-1"/>
  </pageFields>
  <dataFields count="4">
    <dataField name="Sum of #of students at TLS" fld="7" baseField="1" baseItem="0"/>
    <dataField name="Sum of # of hand washing station for TLS" fld="23" baseField="1" baseItem="0"/>
    <dataField name="Sum of # of latrines in TLS (schools)" fld="32" baseField="1" baseItem="0"/>
    <dataField name="Count of Is sufficient soap available for TLS?" fld="41" subtotal="count" baseField="0" baseItem="0"/>
  </dataFields>
  <formats count="22">
    <format dxfId="855">
      <pivotArea field="2" type="button" dataOnly="0" labelOnly="1" outline="0" axis="axisRow" fieldPosition="0"/>
    </format>
    <format dxfId="854">
      <pivotArea dataOnly="0" labelOnly="1" outline="0" fieldPosition="0">
        <references count="1">
          <reference field="4294967294" count="4">
            <x v="0"/>
            <x v="1"/>
            <x v="2"/>
            <x v="3"/>
          </reference>
        </references>
      </pivotArea>
    </format>
    <format dxfId="853">
      <pivotArea type="all" dataOnly="0" outline="0" fieldPosition="0"/>
    </format>
    <format dxfId="852">
      <pivotArea outline="0" collapsedLevelsAreSubtotals="1" fieldPosition="0"/>
    </format>
    <format dxfId="851">
      <pivotArea field="2" type="button" dataOnly="0" labelOnly="1" outline="0" axis="axisRow" fieldPosition="0"/>
    </format>
    <format dxfId="850">
      <pivotArea dataOnly="0" labelOnly="1" fieldPosition="0">
        <references count="1">
          <reference field="2" count="0"/>
        </references>
      </pivotArea>
    </format>
    <format dxfId="849">
      <pivotArea dataOnly="0" labelOnly="1" fieldPosition="0">
        <references count="1">
          <reference field="2" count="0" defaultSubtotal="1"/>
        </references>
      </pivotArea>
    </format>
    <format dxfId="848">
      <pivotArea dataOnly="0" labelOnly="1" grandRow="1" outline="0" fieldPosition="0"/>
    </format>
    <format dxfId="847">
      <pivotArea dataOnly="0" labelOnly="1" fieldPosition="0">
        <references count="2">
          <reference field="1" count="7">
            <x v="2"/>
            <x v="3"/>
            <x v="5"/>
            <x v="11"/>
            <x v="13"/>
            <x v="14"/>
            <x v="15"/>
          </reference>
          <reference field="2" count="1" selected="0">
            <x v="0"/>
          </reference>
        </references>
      </pivotArea>
    </format>
    <format dxfId="846">
      <pivotArea dataOnly="0" labelOnly="1" fieldPosition="0">
        <references count="2">
          <reference field="1" count="5">
            <x v="0"/>
            <x v="1"/>
            <x v="10"/>
            <x v="11"/>
            <x v="14"/>
          </reference>
          <reference field="2" count="1" selected="0">
            <x v="1"/>
          </reference>
        </references>
      </pivotArea>
    </format>
    <format dxfId="845">
      <pivotArea dataOnly="0" labelOnly="1" fieldPosition="0">
        <references count="2">
          <reference field="1" count="9">
            <x v="2"/>
            <x v="3"/>
            <x v="4"/>
            <x v="5"/>
            <x v="6"/>
            <x v="7"/>
            <x v="8"/>
            <x v="11"/>
            <x v="12"/>
          </reference>
          <reference field="2" count="1" selected="0">
            <x v="2"/>
          </reference>
        </references>
      </pivotArea>
    </format>
    <format dxfId="844">
      <pivotArea dataOnly="0" labelOnly="1" outline="0" fieldPosition="0">
        <references count="1">
          <reference field="4294967294" count="4">
            <x v="0"/>
            <x v="1"/>
            <x v="2"/>
            <x v="3"/>
          </reference>
        </references>
      </pivotArea>
    </format>
    <format dxfId="843">
      <pivotArea type="all" dataOnly="0" outline="0" fieldPosition="0"/>
    </format>
    <format dxfId="842">
      <pivotArea outline="0" collapsedLevelsAreSubtotals="1" fieldPosition="0"/>
    </format>
    <format dxfId="841">
      <pivotArea field="2" type="button" dataOnly="0" labelOnly="1" outline="0" axis="axisRow" fieldPosition="0"/>
    </format>
    <format dxfId="840">
      <pivotArea dataOnly="0" labelOnly="1" fieldPosition="0">
        <references count="1">
          <reference field="2" count="0"/>
        </references>
      </pivotArea>
    </format>
    <format dxfId="839">
      <pivotArea dataOnly="0" labelOnly="1" fieldPosition="0">
        <references count="1">
          <reference field="2" count="0" defaultSubtotal="1"/>
        </references>
      </pivotArea>
    </format>
    <format dxfId="838">
      <pivotArea dataOnly="0" labelOnly="1" grandRow="1" outline="0" fieldPosition="0"/>
    </format>
    <format dxfId="837">
      <pivotArea dataOnly="0" labelOnly="1" fieldPosition="0">
        <references count="2">
          <reference field="1" count="7">
            <x v="2"/>
            <x v="3"/>
            <x v="5"/>
            <x v="11"/>
            <x v="13"/>
            <x v="14"/>
            <x v="15"/>
          </reference>
          <reference field="2" count="1" selected="0">
            <x v="0"/>
          </reference>
        </references>
      </pivotArea>
    </format>
    <format dxfId="836">
      <pivotArea dataOnly="0" labelOnly="1" fieldPosition="0">
        <references count="2">
          <reference field="1" count="5">
            <x v="0"/>
            <x v="1"/>
            <x v="10"/>
            <x v="11"/>
            <x v="14"/>
          </reference>
          <reference field="2" count="1" selected="0">
            <x v="1"/>
          </reference>
        </references>
      </pivotArea>
    </format>
    <format dxfId="835">
      <pivotArea dataOnly="0" labelOnly="1" fieldPosition="0">
        <references count="2">
          <reference field="1" count="9">
            <x v="2"/>
            <x v="3"/>
            <x v="4"/>
            <x v="5"/>
            <x v="6"/>
            <x v="7"/>
            <x v="8"/>
            <x v="11"/>
            <x v="12"/>
          </reference>
          <reference field="2" count="1" selected="0">
            <x v="2"/>
          </reference>
        </references>
      </pivotArea>
    </format>
    <format dxfId="834">
      <pivotArea dataOnly="0" labelOnly="1" outline="0" fieldPosition="0">
        <references count="1">
          <reference field="4294967294" count="4">
            <x v="0"/>
            <x v="1"/>
            <x v="2"/>
            <x v="3"/>
          </reference>
        </references>
      </pivotArea>
    </format>
  </formats>
  <pivotTableStyleInfo name="PivotTable Style a"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1.xml><?xml version="1.0" encoding="utf-8"?>
<pivotTableDefinition xmlns="http://schemas.openxmlformats.org/spreadsheetml/2006/main" name="water_test" cacheId="0" applyNumberFormats="0" applyBorderFormats="0" applyFontFormats="0" applyPatternFormats="0" applyAlignmentFormats="0" applyWidthHeightFormats="1" dataCaption="Values" updatedVersion="6" minRefreshableVersion="3" rowGrandTotals="0" colGrandTotals="0" itemPrintTitles="1" createdVersion="6" indent="0" outline="1" outlineData="1" multipleFieldFilters="0" chartFormat="21">
  <location ref="B54:E57" firstHeaderRow="0" firstDataRow="1" firstDataCol="1" rowPageCount="3" colPageCount="1"/>
  <pivotFields count="92">
    <pivotField axis="axisPage" subtotalTop="0" multipleItemSelectionAllowed="1" showAll="0">
      <items count="8">
        <item m="1" x="2"/>
        <item m="1" x="3"/>
        <item x="0"/>
        <item h="1" m="1" x="1"/>
        <item m="1" x="6"/>
        <item m="1" x="4"/>
        <item h="1" m="1" x="5"/>
        <item t="default"/>
      </items>
    </pivotField>
    <pivotField subtotalTop="0" showAll="0"/>
    <pivotField axis="axisRow" subtotalTop="0" showAll="0">
      <items count="5">
        <item x="0"/>
        <item x="1"/>
        <item x="2"/>
        <item m="1" x="3"/>
        <item t="default"/>
      </items>
    </pivotField>
    <pivotField subtotalTop="0" showAll="0"/>
    <pivotField dataField="1"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dataField="1" showAll="0" defaultSubtotal="0"/>
    <pivotField dataField="1"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numFmtId="9" subtotalTop="0" showAll="0"/>
    <pivotField subtotalTop="0" showAll="0"/>
    <pivotField subtotalTop="0" showAll="0"/>
    <pivotField subtotalTop="0" showAll="0"/>
    <pivotField showAll="0" defaultSubtotal="0"/>
    <pivotField subtotalTop="0" showAll="0"/>
    <pivotField subtotalTop="0" showAll="0"/>
    <pivotField subtotalTop="0" showAll="0"/>
    <pivotField numFmtId="9" subtotalTop="0" showAll="0"/>
    <pivotField numFmtId="1" subtotalTop="0" showAll="0"/>
    <pivotField subtotalTop="0" showAll="0"/>
    <pivotField numFmtId="9" showAll="0" defaultSubtotal="0"/>
    <pivotField showAll="0" defaultSubtotal="0"/>
    <pivotField numFmtId="9" subtotalTop="0" showAll="0"/>
    <pivotField subtotalTop="0" showAll="0"/>
    <pivotField numFmtId="1" showAll="0" defaultSubtotal="0"/>
    <pivotField numFmtId="1" showAll="0" defaultSubtotal="0"/>
    <pivotField numFmtId="1" showAll="0" defaultSubtotal="0"/>
    <pivotField numFmtId="1" showAll="0" defaultSubtotal="0"/>
    <pivotField numFmtId="1" showAll="0" defaultSubtotal="0"/>
    <pivotField subtotalTop="0" showAll="0"/>
    <pivotField numFmtId="9" subtotalTop="0" showAll="0"/>
    <pivotField numFmtId="9" subtotalTop="0" showAll="0"/>
    <pivotField numFmtId="1" showAll="0" defaultSubtotal="0"/>
    <pivotField numFmtId="1" showAll="0" defaultSubtotal="0"/>
    <pivotField numFmtId="1" showAll="0" defaultSubtotal="0"/>
    <pivotField subtotalTop="0" showAll="0"/>
    <pivotField subtotalTop="0" showAll="0"/>
    <pivotField subtotalTop="0" showAll="0"/>
    <pivotField axis="axisPage" subtotalTop="0" multipleItemSelectionAllowed="1" showAll="0">
      <items count="6">
        <item m="1" x="4"/>
        <item x="0"/>
        <item x="1"/>
        <item h="1" x="3"/>
        <item h="1" x="2"/>
        <item t="default"/>
      </items>
    </pivotField>
    <pivotField subtotalTop="0" showAll="0"/>
    <pivotField subtotalTop="0" showAll="0"/>
    <pivotField subtotalTop="0" showAll="0"/>
    <pivotField subtotalTop="0" showAll="0"/>
    <pivotField subtotalTop="0" showAll="0"/>
    <pivotField subtotalTop="0" showAll="0"/>
    <pivotField axis="axisPage" subtotalTop="0" showAll="0">
      <items count="5">
        <item x="0"/>
        <item x="1"/>
        <item m="1" x="3"/>
        <item m="1" x="2"/>
        <item t="default"/>
      </items>
    </pivotField>
    <pivotField subtotalTop="0" showAll="0"/>
  </pivotFields>
  <rowFields count="1">
    <field x="2"/>
  </rowFields>
  <rowItems count="3">
    <i>
      <x/>
    </i>
    <i>
      <x v="1"/>
    </i>
    <i>
      <x v="2"/>
    </i>
  </rowItems>
  <colFields count="1">
    <field x="-2"/>
  </colFields>
  <colItems count="3">
    <i>
      <x/>
    </i>
    <i i="1">
      <x v="1"/>
    </i>
    <i i="2">
      <x v="2"/>
    </i>
  </colItems>
  <pageFields count="3">
    <pageField fld="0" hier="-1"/>
    <pageField fld="90" item="0" hier="-1"/>
    <pageField fld="83" hier="-1"/>
  </pageFields>
  <dataFields count="3">
    <dataField name="Average of %Water samples which passed at HH" fld="44" subtotal="average" baseField="2" baseItem="0" numFmtId="9"/>
    <dataField name="Average of %of Water samples which passed at water source" fld="43" subtotal="average" baseField="2" baseItem="1"/>
    <dataField name="Count of Site Name" fld="4" subtotal="count" baseField="0" baseItem="0"/>
  </dataFields>
  <formats count="13">
    <format dxfId="240">
      <pivotArea field="2" type="button" dataOnly="0" labelOnly="1" outline="0" axis="axisRow" fieldPosition="0"/>
    </format>
    <format dxfId="239">
      <pivotArea dataOnly="0" labelOnly="1" outline="0" fieldPosition="0">
        <references count="1">
          <reference field="4294967294" count="2">
            <x v="0"/>
            <x v="2"/>
          </reference>
        </references>
      </pivotArea>
    </format>
    <format dxfId="238">
      <pivotArea type="all" dataOnly="0" outline="0" fieldPosition="0"/>
    </format>
    <format dxfId="237">
      <pivotArea outline="0" collapsedLevelsAreSubtotals="1" fieldPosition="0"/>
    </format>
    <format dxfId="236">
      <pivotArea field="2" type="button" dataOnly="0" labelOnly="1" outline="0" axis="axisRow" fieldPosition="0"/>
    </format>
    <format dxfId="235">
      <pivotArea dataOnly="0" labelOnly="1" fieldPosition="0">
        <references count="1">
          <reference field="2" count="0"/>
        </references>
      </pivotArea>
    </format>
    <format dxfId="234">
      <pivotArea dataOnly="0" labelOnly="1" outline="0" fieldPosition="0">
        <references count="1">
          <reference field="4294967294" count="2">
            <x v="0"/>
            <x v="2"/>
          </reference>
        </references>
      </pivotArea>
    </format>
    <format dxfId="233">
      <pivotArea type="all" dataOnly="0" outline="0" fieldPosition="0"/>
    </format>
    <format dxfId="232">
      <pivotArea outline="0" collapsedLevelsAreSubtotals="1" fieldPosition="0"/>
    </format>
    <format dxfId="231">
      <pivotArea field="2" type="button" dataOnly="0" labelOnly="1" outline="0" axis="axisRow" fieldPosition="0"/>
    </format>
    <format dxfId="230">
      <pivotArea dataOnly="0" labelOnly="1" fieldPosition="0">
        <references count="1">
          <reference field="2" count="0"/>
        </references>
      </pivotArea>
    </format>
    <format dxfId="229">
      <pivotArea dataOnly="0" labelOnly="1" outline="0" fieldPosition="0">
        <references count="1">
          <reference field="4294967294" count="2">
            <x v="0"/>
            <x v="2"/>
          </reference>
        </references>
      </pivotArea>
    </format>
    <format dxfId="228">
      <pivotArea collapsedLevelsAreSubtotals="1" fieldPosition="0">
        <references count="2">
          <reference field="4294967294" count="1" selected="0">
            <x v="1"/>
          </reference>
          <reference field="2" count="2">
            <x v="0"/>
            <x v="1"/>
          </reference>
        </references>
      </pivotArea>
    </format>
  </formats>
  <chartFormats count="4">
    <chartFormat chart="11" format="1" series="1">
      <pivotArea type="data" outline="0" fieldPosition="0">
        <references count="1">
          <reference field="4294967294" count="1" selected="0">
            <x v="0"/>
          </reference>
        </references>
      </pivotArea>
    </chartFormat>
    <chartFormat chart="11" format="2" series="1">
      <pivotArea type="data" outline="0" fieldPosition="0">
        <references count="1">
          <reference field="4294967294" count="1" selected="0">
            <x v="2"/>
          </reference>
        </references>
      </pivotArea>
    </chartFormat>
    <chartFormat chart="20" format="1" series="1">
      <pivotArea type="data" outline="0" fieldPosition="0">
        <references count="1">
          <reference field="4294967294" count="1" selected="0">
            <x v="0"/>
          </reference>
        </references>
      </pivotArea>
    </chartFormat>
    <chartFormat chart="20" format="2" series="1">
      <pivotArea type="data" outline="0" fieldPosition="0">
        <references count="1">
          <reference field="4294967294" count="1" selected="0">
            <x v="2"/>
          </reference>
        </references>
      </pivotArea>
    </chartFormat>
  </chartFormats>
  <pivotTableStyleInfo name="CUSTOM"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2.xml><?xml version="1.0" encoding="utf-8"?>
<pivotTableDefinition xmlns="http://schemas.openxmlformats.org/spreadsheetml/2006/main" name="latrine_kachin" cacheId="0" dataOnRows="1" applyNumberFormats="0" applyBorderFormats="0" applyFontFormats="0" applyPatternFormats="0" applyAlignmentFormats="0" applyWidthHeightFormats="1" dataCaption="Values" updatedVersion="6" minRefreshableVersion="3" rowGrandTotals="0" colGrandTotals="0" itemPrintTitles="1" createdVersion="6" indent="0" outline="1" outlineData="1" multipleFieldFilters="0" chartFormat="23">
  <location ref="C80:E88" firstHeaderRow="1" firstDataRow="2" firstDataCol="1" rowPageCount="3" colPageCount="1"/>
  <pivotFields count="92">
    <pivotField axis="axisPage" subtotalTop="0" showAll="0">
      <items count="8">
        <item m="1" x="2"/>
        <item m="1" x="3"/>
        <item m="1" x="6"/>
        <item x="0"/>
        <item m="1" x="4"/>
        <item m="1" x="1"/>
        <item m="1" x="5"/>
        <item t="default"/>
      </items>
    </pivotField>
    <pivotField subtotalTop="0" showAll="0"/>
    <pivotField axis="axisPage" subtotalTop="0" showAll="0">
      <items count="5">
        <item x="0"/>
        <item x="1"/>
        <item x="2"/>
        <item m="1" x="3"/>
        <item t="default"/>
      </items>
    </pivotField>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dataField="1" subtotalTop="0" showAll="0"/>
    <pivotField dataField="1" subtotalTop="0" showAll="0"/>
    <pivotField dataField="1" subtotalTop="0" showAll="0"/>
    <pivotField dataField="1"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howAll="0" defaultSubtota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numFmtId="9" subtotalTop="0" showAll="0"/>
    <pivotField subtotalTop="0" showAll="0"/>
    <pivotField subtotalTop="0" showAll="0"/>
    <pivotField subtotalTop="0" showAll="0"/>
    <pivotField showAll="0" defaultSubtotal="0"/>
    <pivotField dataField="1" subtotalTop="0" showAll="0"/>
    <pivotField subtotalTop="0" showAll="0"/>
    <pivotField subtotalTop="0" showAll="0"/>
    <pivotField numFmtId="9" subtotalTop="0" showAll="0"/>
    <pivotField dataField="1" numFmtId="1" subtotalTop="0" showAll="0"/>
    <pivotField dataField="1" subtotalTop="0" showAll="0"/>
    <pivotField numFmtId="9" showAll="0" defaultSubtotal="0"/>
    <pivotField showAll="0" defaultSubtotal="0"/>
    <pivotField numFmtId="9" subtotalTop="0" showAll="0"/>
    <pivotField subtotalTop="0" showAll="0"/>
    <pivotField numFmtId="1" showAll="0" defaultSubtotal="0"/>
    <pivotField numFmtId="1" showAll="0" defaultSubtotal="0"/>
    <pivotField numFmtId="1" showAll="0" defaultSubtotal="0"/>
    <pivotField numFmtId="1" showAll="0" defaultSubtotal="0"/>
    <pivotField numFmtId="1" showAll="0" defaultSubtotal="0"/>
    <pivotField subtotalTop="0" showAll="0"/>
    <pivotField numFmtId="9" subtotalTop="0" showAll="0"/>
    <pivotField numFmtId="9" subtotalTop="0" showAll="0"/>
    <pivotField numFmtId="1" showAll="0" defaultSubtotal="0"/>
    <pivotField numFmtId="1" showAll="0" defaultSubtotal="0"/>
    <pivotField numFmtId="1" showAll="0" defaultSubtotal="0"/>
    <pivotField subtotalTop="0" showAll="0"/>
    <pivotField subtotalTop="0" showAll="0"/>
    <pivotField subtotalTop="0" showAll="0"/>
    <pivotField subtotalTop="0" showAll="0">
      <items count="6">
        <item h="1" m="1" x="4"/>
        <item x="0"/>
        <item h="1" x="1"/>
        <item x="3"/>
        <item h="1" x="2"/>
        <item t="default"/>
      </items>
    </pivotField>
    <pivotField subtotalTop="0" showAll="0"/>
    <pivotField subtotalTop="0" showAll="0"/>
    <pivotField axis="axisCol" subtotalTop="0" showAll="0">
      <items count="13">
        <item h="1" x="7"/>
        <item n="# in GCA (20:1)" x="0"/>
        <item h="1" x="11"/>
        <item h="1" x="5"/>
        <item n="# in NGCA (20:1)" x="1"/>
        <item h="1" x="3"/>
        <item h="1" x="10"/>
        <item h="1" x="9"/>
        <item h="1" x="4"/>
        <item h="1" x="8"/>
        <item h="1" x="6"/>
        <item h="1" x="2"/>
        <item t="default"/>
      </items>
    </pivotField>
    <pivotField subtotalTop="0" showAll="0"/>
    <pivotField subtotalTop="0" showAll="0"/>
    <pivotField subtotalTop="0" showAll="0"/>
    <pivotField axis="axisPage" subtotalTop="0" showAll="0">
      <items count="5">
        <item x="0"/>
        <item x="1"/>
        <item m="1" x="3"/>
        <item m="1" x="2"/>
        <item t="default"/>
      </items>
    </pivotField>
    <pivotField subtotalTop="0" showAll="0"/>
  </pivotFields>
  <rowFields count="1">
    <field x="-2"/>
  </rowFields>
  <rowItems count="7">
    <i>
      <x/>
    </i>
    <i i="1">
      <x v="1"/>
    </i>
    <i i="2">
      <x v="2"/>
    </i>
    <i i="3">
      <x v="3"/>
    </i>
    <i i="4">
      <x v="4"/>
    </i>
    <i i="5">
      <x v="5"/>
    </i>
    <i i="6">
      <x v="6"/>
    </i>
  </rowItems>
  <colFields count="1">
    <field x="86"/>
  </colFields>
  <colItems count="2">
    <i>
      <x v="1"/>
    </i>
    <i>
      <x v="4"/>
    </i>
  </colItems>
  <pageFields count="3">
    <pageField fld="0" item="3" hier="-1"/>
    <pageField fld="2" item="0" hier="-1"/>
    <pageField fld="90" item="0" hier="-1"/>
  </pageFields>
  <dataFields count="7">
    <dataField name="# latrines (target)" fld="64" baseField="0" baseItem="0"/>
    <dataField name="# latrines (gap)" fld="63" baseField="0" baseItem="0"/>
    <dataField name="# latrines repairs" fld="26" baseField="86" baseItem="1"/>
    <dataField name="# latrines desludged" fld="27" baseField="87" baseItem="1"/>
    <dataField name="# handed over" fld="28" baseField="87" baseItem="1"/>
    <dataField name="  Total # of latrine" fld="59" baseField="86" baseItem="1"/>
    <dataField name="Sum of # Existing functional latrines" fld="25" baseField="86" baseItem="1"/>
  </dataFields>
  <formats count="17">
    <format dxfId="257">
      <pivotArea field="2" type="button" dataOnly="0" labelOnly="1" outline="0" axis="axisPage" fieldPosition="1"/>
    </format>
    <format dxfId="256">
      <pivotArea field="83" type="button" dataOnly="0" labelOnly="1" outline="0"/>
    </format>
    <format dxfId="255">
      <pivotArea dataOnly="0" labelOnly="1" outline="0" fieldPosition="0">
        <references count="1">
          <reference field="4294967294" count="4">
            <x v="1"/>
            <x v="2"/>
            <x v="3"/>
            <x v="4"/>
          </reference>
        </references>
      </pivotArea>
    </format>
    <format dxfId="254">
      <pivotArea type="all" dataOnly="0" outline="0" fieldPosition="0"/>
    </format>
    <format dxfId="253">
      <pivotArea outline="0" collapsedLevelsAreSubtotals="1" fieldPosition="0"/>
    </format>
    <format dxfId="252">
      <pivotArea type="origin" dataOnly="0" labelOnly="1" outline="0" fieldPosition="0"/>
    </format>
    <format dxfId="251">
      <pivotArea field="83" type="button" dataOnly="0" labelOnly="1" outline="0"/>
    </format>
    <format dxfId="250">
      <pivotArea type="topRight" dataOnly="0" labelOnly="1" outline="0" fieldPosition="0"/>
    </format>
    <format dxfId="249">
      <pivotArea field="-2" type="button" dataOnly="0" labelOnly="1" outline="0" axis="axisRow" fieldPosition="0"/>
    </format>
    <format dxfId="248">
      <pivotArea dataOnly="0" labelOnly="1" outline="0" fieldPosition="0">
        <references count="1">
          <reference field="4294967294" count="4">
            <x v="1"/>
            <x v="2"/>
            <x v="3"/>
            <x v="4"/>
          </reference>
        </references>
      </pivotArea>
    </format>
    <format dxfId="247">
      <pivotArea type="all" dataOnly="0" outline="0" fieldPosition="0"/>
    </format>
    <format dxfId="246">
      <pivotArea outline="0" collapsedLevelsAreSubtotals="1" fieldPosition="0"/>
    </format>
    <format dxfId="245">
      <pivotArea type="origin" dataOnly="0" labelOnly="1" outline="0" fieldPosition="0"/>
    </format>
    <format dxfId="244">
      <pivotArea field="83" type="button" dataOnly="0" labelOnly="1" outline="0"/>
    </format>
    <format dxfId="243">
      <pivotArea type="topRight" dataOnly="0" labelOnly="1" outline="0" fieldPosition="0"/>
    </format>
    <format dxfId="242">
      <pivotArea field="-2" type="button" dataOnly="0" labelOnly="1" outline="0" axis="axisRow" fieldPosition="0"/>
    </format>
    <format dxfId="241">
      <pivotArea dataOnly="0" labelOnly="1" outline="0" fieldPosition="0">
        <references count="1">
          <reference field="4294967294" count="4">
            <x v="1"/>
            <x v="2"/>
            <x v="3"/>
            <x v="4"/>
          </reference>
        </references>
      </pivotArea>
    </format>
  </formats>
  <chartFormats count="8">
    <chartFormat chart="5" format="2" series="1">
      <pivotArea type="data" outline="0" fieldPosition="0">
        <references count="1">
          <reference field="4294967294" count="1" selected="0">
            <x v="3"/>
          </reference>
        </references>
      </pivotArea>
    </chartFormat>
    <chartFormat chart="5" format="4" series="1">
      <pivotArea type="data" outline="0" fieldPosition="0">
        <references count="1">
          <reference field="4294967294" count="1" selected="0">
            <x v="4"/>
          </reference>
        </references>
      </pivotArea>
    </chartFormat>
    <chartFormat chart="5" format="5" series="1">
      <pivotArea type="data" outline="0" fieldPosition="0">
        <references count="1">
          <reference field="4294967294" count="1" selected="0">
            <x v="1"/>
          </reference>
        </references>
      </pivotArea>
    </chartFormat>
    <chartFormat chart="5" format="6" series="1">
      <pivotArea type="data" outline="0" fieldPosition="0">
        <references count="1">
          <reference field="4294967294" count="1" selected="0">
            <x v="2"/>
          </reference>
        </references>
      </pivotArea>
    </chartFormat>
    <chartFormat chart="9" format="11" series="1">
      <pivotArea type="data" outline="0" fieldPosition="0">
        <references count="1">
          <reference field="4294967294" count="1" selected="0">
            <x v="1"/>
          </reference>
        </references>
      </pivotArea>
    </chartFormat>
    <chartFormat chart="9" format="12" series="1">
      <pivotArea type="data" outline="0" fieldPosition="0">
        <references count="2">
          <reference field="4294967294" count="1" selected="0">
            <x v="1"/>
          </reference>
          <reference field="86" count="1" selected="0">
            <x v="6"/>
          </reference>
        </references>
      </pivotArea>
    </chartFormat>
    <chartFormat chart="9" format="13" series="1">
      <pivotArea type="data" outline="0" fieldPosition="0">
        <references count="2">
          <reference field="4294967294" count="1" selected="0">
            <x v="1"/>
          </reference>
          <reference field="86" count="1" selected="0">
            <x v="1"/>
          </reference>
        </references>
      </pivotArea>
    </chartFormat>
    <chartFormat chart="9" format="14" series="1">
      <pivotArea type="data" outline="0" fieldPosition="0">
        <references count="2">
          <reference field="4294967294" count="1" selected="0">
            <x v="1"/>
          </reference>
          <reference field="86" count="1" selected="0">
            <x v="4"/>
          </reference>
        </references>
      </pivotArea>
    </chartFormat>
  </chartFormats>
  <pivotTableStyleInfo name="PivotStyleLight10 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3.xml><?xml version="1.0" encoding="utf-8"?>
<pivotTableDefinition xmlns="http://schemas.openxmlformats.org/spreadsheetml/2006/main" name="PivotTable13" cacheId="0" applyNumberFormats="0" applyBorderFormats="0" applyFontFormats="0" applyPatternFormats="0" applyAlignmentFormats="0" applyWidthHeightFormats="1" dataCaption="Values" updatedVersion="6" minRefreshableVersion="3" rowGrandTotals="0" colGrandTotals="0" itemPrintTitles="1" createdVersion="6" indent="0" compact="0" compactData="0" multipleFieldFilters="0" chartFormat="8">
  <location ref="C193:K271" firstHeaderRow="0" firstDataRow="1" firstDataCol="4" rowPageCount="2" colPageCount="1"/>
  <pivotFields count="92">
    <pivotField axis="axisPage" compact="0" outline="0" subtotalTop="0" showAll="0" defaultSubtotal="0">
      <items count="7">
        <item m="1" x="2"/>
        <item m="1" x="3"/>
        <item m="1" x="6"/>
        <item x="0"/>
        <item m="1" x="4"/>
        <item m="1" x="1"/>
        <item m="1" x="5"/>
      </items>
    </pivotField>
    <pivotField compact="0" outline="0" subtotalTop="0" showAll="0" defaultSubtotal="0"/>
    <pivotField axis="axisRow" compact="0" outline="0" subtotalTop="0" multipleItemSelectionAllowed="1" showAll="0">
      <items count="5">
        <item x="0"/>
        <item x="1"/>
        <item x="2"/>
        <item m="1" x="3"/>
        <item t="default"/>
      </items>
    </pivotField>
    <pivotField axis="axisRow" compact="0" outline="0" subtotalTop="0" showAll="0" defaultSubtotal="0">
      <items count="36">
        <item x="13"/>
        <item x="3"/>
        <item x="14"/>
        <item x="9"/>
        <item x="8"/>
        <item x="29"/>
        <item x="28"/>
        <item x="25"/>
        <item x="15"/>
        <item x="16"/>
        <item m="1" x="33"/>
        <item m="1" x="34"/>
        <item x="0"/>
        <item x="26"/>
        <item x="17"/>
        <item x="18"/>
        <item x="11"/>
        <item x="4"/>
        <item x="1"/>
        <item x="19"/>
        <item x="27"/>
        <item x="20"/>
        <item x="10"/>
        <item x="31"/>
        <item x="30"/>
        <item m="1" x="32"/>
        <item x="21"/>
        <item x="22"/>
        <item x="5"/>
        <item m="1" x="35"/>
        <item x="23"/>
        <item x="6"/>
        <item x="24"/>
        <item x="7"/>
        <item x="12"/>
        <item x="2"/>
      </items>
    </pivotField>
    <pivotField axis="axisRow" compact="0" outline="0" subtotalTop="0" showAll="0" defaultSubtotal="0">
      <items count="581">
        <item x="20"/>
        <item x="134"/>
        <item x="21"/>
        <item x="22"/>
        <item x="23"/>
        <item x="135"/>
        <item m="1" x="420"/>
        <item x="291"/>
        <item x="196"/>
        <item m="1" x="406"/>
        <item x="275"/>
        <item m="1" x="494"/>
        <item x="245"/>
        <item x="304"/>
        <item x="205"/>
        <item m="1" x="560"/>
        <item m="1" x="537"/>
        <item m="1" x="407"/>
        <item m="1" x="504"/>
        <item x="285"/>
        <item x="302"/>
        <item x="251"/>
        <item x="210"/>
        <item x="221"/>
        <item m="1" x="431"/>
        <item m="1" x="523"/>
        <item m="1" x="437"/>
        <item m="1" x="441"/>
        <item x="317"/>
        <item m="1" x="418"/>
        <item x="24"/>
        <item x="266"/>
        <item x="223"/>
        <item m="1" x="506"/>
        <item m="1" x="454"/>
        <item m="1" x="424"/>
        <item x="25"/>
        <item x="318"/>
        <item x="327"/>
        <item x="228"/>
        <item x="325"/>
        <item x="328"/>
        <item x="329"/>
        <item x="324"/>
        <item m="1" x="519"/>
        <item m="1" x="520"/>
        <item m="1" x="469"/>
        <item x="9"/>
        <item m="1" x="436"/>
        <item x="26"/>
        <item m="1" x="577"/>
        <item x="244"/>
        <item x="293"/>
        <item x="27"/>
        <item x="237"/>
        <item m="1" x="503"/>
        <item m="1" x="511"/>
        <item x="234"/>
        <item x="301"/>
        <item x="28"/>
        <item x="157"/>
        <item m="1" x="445"/>
        <item x="277"/>
        <item m="1" x="444"/>
        <item x="29"/>
        <item x="276"/>
        <item x="169"/>
        <item x="164"/>
        <item x="166"/>
        <item x="330"/>
        <item x="331"/>
        <item x="340"/>
        <item x="257"/>
        <item x="319"/>
        <item x="30"/>
        <item m="1" x="534"/>
        <item m="1" x="470"/>
        <item x="188"/>
        <item x="296"/>
        <item m="1" x="484"/>
        <item m="1" x="434"/>
        <item x="31"/>
        <item m="1" x="525"/>
        <item x="32"/>
        <item m="1" x="562"/>
        <item m="1" x="419"/>
        <item m="1" x="568"/>
        <item x="195"/>
        <item m="1" x="473"/>
        <item x="207"/>
        <item m="1" x="541"/>
        <item m="1" x="393"/>
        <item x="209"/>
        <item x="208"/>
        <item m="1" x="561"/>
        <item m="1" x="550"/>
        <item m="1" x="510"/>
        <item m="1" x="478"/>
        <item m="1" x="488"/>
        <item m="1" x="385"/>
        <item x="6"/>
        <item x="33"/>
        <item x="34"/>
        <item x="294"/>
        <item x="191"/>
        <item m="1" x="476"/>
        <item x="35"/>
        <item x="332"/>
        <item x="36"/>
        <item m="1" x="450"/>
        <item x="11"/>
        <item x="345"/>
        <item x="348"/>
        <item x="37"/>
        <item x="224"/>
        <item m="1" x="502"/>
        <item x="38"/>
        <item m="1" x="389"/>
        <item x="1"/>
        <item x="39"/>
        <item x="5"/>
        <item x="187"/>
        <item m="1" x="443"/>
        <item m="1" x="400"/>
        <item x="176"/>
        <item x="17"/>
        <item x="40"/>
        <item x="41"/>
        <item x="42"/>
        <item x="349"/>
        <item m="1" x="571"/>
        <item x="230"/>
        <item x="179"/>
        <item x="136"/>
        <item x="239"/>
        <item m="1" x="485"/>
        <item m="1" x="535"/>
        <item x="235"/>
        <item m="1" x="421"/>
        <item x="279"/>
        <item m="1" x="480"/>
        <item m="1" x="514"/>
        <item x="248"/>
        <item x="146"/>
        <item x="262"/>
        <item m="1" x="543"/>
        <item m="1" x="457"/>
        <item x="155"/>
        <item m="1" x="439"/>
        <item m="1" x="466"/>
        <item x="137"/>
        <item m="1" x="459"/>
        <item x="286"/>
        <item x="217"/>
        <item x="13"/>
        <item x="172"/>
        <item x="175"/>
        <item m="1" x="460"/>
        <item m="1" x="403"/>
        <item m="1" x="425"/>
        <item x="350"/>
        <item x="278"/>
        <item m="1" x="567"/>
        <item x="351"/>
        <item x="352"/>
        <item x="353"/>
        <item x="354"/>
        <item x="170"/>
        <item x="199"/>
        <item m="1" x="414"/>
        <item m="1" x="522"/>
        <item m="1" x="413"/>
        <item m="1" x="428"/>
        <item m="1" x="481"/>
        <item m="1" x="576"/>
        <item x="268"/>
        <item x="192"/>
        <item x="178"/>
        <item m="1" x="423"/>
        <item m="1" x="512"/>
        <item m="1" x="433"/>
        <item m="1" x="448"/>
        <item x="222"/>
        <item m="1" x="408"/>
        <item x="162"/>
        <item x="174"/>
        <item x="326"/>
        <item m="1" x="471"/>
        <item m="1" x="554"/>
        <item x="305"/>
        <item x="274"/>
        <item x="355"/>
        <item m="1" x="498"/>
        <item x="43"/>
        <item x="44"/>
        <item x="263"/>
        <item m="1" x="482"/>
        <item x="300"/>
        <item x="220"/>
        <item x="138"/>
        <item m="1" x="551"/>
        <item x="45"/>
        <item m="1" x="399"/>
        <item m="1" x="493"/>
        <item x="154"/>
        <item x="18"/>
        <item x="46"/>
        <item x="47"/>
        <item x="48"/>
        <item x="215"/>
        <item x="243"/>
        <item x="242"/>
        <item m="1" x="540"/>
        <item m="1" x="463"/>
        <item m="1" x="392"/>
        <item m="1" x="501"/>
        <item m="1" x="452"/>
        <item x="49"/>
        <item m="1" x="461"/>
        <item x="356"/>
        <item x="50"/>
        <item x="51"/>
        <item x="52"/>
        <item x="357"/>
        <item x="2"/>
        <item x="3"/>
        <item x="53"/>
        <item x="272"/>
        <item m="1" x="396"/>
        <item x="149"/>
        <item x="54"/>
        <item x="139"/>
        <item m="1" x="542"/>
        <item x="55"/>
        <item x="56"/>
        <item x="57"/>
        <item x="358"/>
        <item x="58"/>
        <item x="59"/>
        <item x="60"/>
        <item x="61"/>
        <item x="62"/>
        <item x="0"/>
        <item m="1" x="547"/>
        <item x="63"/>
        <item x="64"/>
        <item x="140"/>
        <item x="65"/>
        <item x="346"/>
        <item x="359"/>
        <item x="343"/>
        <item x="66"/>
        <item x="67"/>
        <item x="68"/>
        <item x="69"/>
        <item m="1" x="496"/>
        <item x="7"/>
        <item x="70"/>
        <item x="360"/>
        <item x="361"/>
        <item x="71"/>
        <item x="72"/>
        <item x="10"/>
        <item m="1" x="395"/>
        <item m="1" x="553"/>
        <item x="265"/>
        <item x="73"/>
        <item x="74"/>
        <item m="1" x="390"/>
        <item m="1" x="404"/>
        <item x="306"/>
        <item x="75"/>
        <item x="320"/>
        <item m="1" x="458"/>
        <item x="144"/>
        <item x="270"/>
        <item x="280"/>
        <item x="281"/>
        <item x="231"/>
        <item x="190"/>
        <item x="362"/>
        <item x="143"/>
        <item x="12"/>
        <item x="76"/>
        <item x="15"/>
        <item x="363"/>
        <item x="364"/>
        <item x="365"/>
        <item x="366"/>
        <item x="367"/>
        <item x="368"/>
        <item m="1" x="397"/>
        <item m="1" x="533"/>
        <item x="77"/>
        <item x="78"/>
        <item m="1" x="447"/>
        <item m="1" x="487"/>
        <item m="1" x="564"/>
        <item x="256"/>
        <item x="14"/>
        <item m="1" x="456"/>
        <item x="369"/>
        <item x="370"/>
        <item x="371"/>
        <item x="372"/>
        <item x="344"/>
        <item x="373"/>
        <item x="374"/>
        <item x="79"/>
        <item x="375"/>
        <item x="376"/>
        <item x="377"/>
        <item m="1" x="530"/>
        <item x="80"/>
        <item m="1" x="518"/>
        <item x="81"/>
        <item x="82"/>
        <item m="1" x="401"/>
        <item x="347"/>
        <item m="1" x="536"/>
        <item x="83"/>
        <item x="167"/>
        <item m="1" x="555"/>
        <item x="267"/>
        <item x="84"/>
        <item x="85"/>
        <item x="189"/>
        <item x="86"/>
        <item x="378"/>
        <item m="1" x="467"/>
        <item x="177"/>
        <item x="156"/>
        <item m="1" x="415"/>
        <item x="201"/>
        <item x="321"/>
        <item x="322"/>
        <item x="299"/>
        <item x="226"/>
        <item x="193"/>
        <item x="249"/>
        <item x="250"/>
        <item m="1" x="559"/>
        <item x="87"/>
        <item m="1" x="416"/>
        <item x="204"/>
        <item x="88"/>
        <item m="1" x="422"/>
        <item m="1" x="472"/>
        <item m="1" x="468"/>
        <item x="145"/>
        <item x="89"/>
        <item x="283"/>
        <item x="284"/>
        <item x="282"/>
        <item m="1" x="477"/>
        <item x="151"/>
        <item m="1" x="398"/>
        <item x="287"/>
        <item x="307"/>
        <item x="308"/>
        <item x="290"/>
        <item x="297"/>
        <item m="1" x="545"/>
        <item x="246"/>
        <item x="186"/>
        <item x="90"/>
        <item x="91"/>
        <item x="218"/>
        <item x="92"/>
        <item x="180"/>
        <item m="1" x="430"/>
        <item x="173"/>
        <item x="342"/>
        <item x="379"/>
        <item x="93"/>
        <item m="1" x="572"/>
        <item m="1" x="516"/>
        <item x="232"/>
        <item m="1" x="455"/>
        <item x="264"/>
        <item x="94"/>
        <item m="1" x="462"/>
        <item m="1" x="490"/>
        <item x="303"/>
        <item x="289"/>
        <item m="1" x="432"/>
        <item x="181"/>
        <item m="1" x="495"/>
        <item x="95"/>
        <item x="198"/>
        <item m="1" x="446"/>
        <item m="1" x="526"/>
        <item x="158"/>
        <item x="203"/>
        <item x="219"/>
        <item m="1" x="453"/>
        <item m="1" x="479"/>
        <item x="261"/>
        <item m="1" x="384"/>
        <item x="96"/>
        <item x="97"/>
        <item x="98"/>
        <item x="99"/>
        <item m="1" x="497"/>
        <item m="1" x="565"/>
        <item m="1" x="417"/>
        <item m="1" x="442"/>
        <item m="1" x="382"/>
        <item m="1" x="411"/>
        <item x="100"/>
        <item m="1" x="513"/>
        <item x="101"/>
        <item x="141"/>
        <item x="152"/>
        <item m="1" x="383"/>
        <item x="102"/>
        <item x="103"/>
        <item m="1" x="475"/>
        <item x="240"/>
        <item m="1" x="563"/>
        <item x="206"/>
        <item x="104"/>
        <item x="288"/>
        <item x="309"/>
        <item m="1" x="489"/>
        <item x="105"/>
        <item m="1" x="531"/>
        <item m="1" x="464"/>
        <item x="310"/>
        <item x="311"/>
        <item x="312"/>
        <item x="171"/>
        <item x="106"/>
        <item x="313"/>
        <item m="1" x="402"/>
        <item x="314"/>
        <item x="107"/>
        <item x="168"/>
        <item x="108"/>
        <item x="109"/>
        <item x="142"/>
        <item m="1" x="575"/>
        <item x="110"/>
        <item x="111"/>
        <item x="194"/>
        <item x="112"/>
        <item x="113"/>
        <item x="114"/>
        <item x="213"/>
        <item x="214"/>
        <item x="241"/>
        <item m="1" x="483"/>
        <item x="115"/>
        <item x="238"/>
        <item m="1" x="548"/>
        <item x="336"/>
        <item x="131"/>
        <item m="1" x="549"/>
        <item m="1" x="524"/>
        <item m="1" x="449"/>
        <item x="337"/>
        <item x="338"/>
        <item x="339"/>
        <item m="1" x="529"/>
        <item x="159"/>
        <item x="116"/>
        <item x="19"/>
        <item x="161"/>
        <item x="8"/>
        <item x="147"/>
        <item x="153"/>
        <item x="252"/>
        <item x="253"/>
        <item x="117"/>
        <item x="118"/>
        <item x="119"/>
        <item x="120"/>
        <item x="121"/>
        <item x="122"/>
        <item x="123"/>
        <item x="124"/>
        <item x="125"/>
        <item m="1" x="409"/>
        <item x="259"/>
        <item m="1" x="491"/>
        <item x="150"/>
        <item m="1" x="505"/>
        <item x="200"/>
        <item x="197"/>
        <item m="1" x="574"/>
        <item x="216"/>
        <item x="247"/>
        <item m="1" x="517"/>
        <item m="1" x="552"/>
        <item x="236"/>
        <item m="1" x="579"/>
        <item x="229"/>
        <item x="185"/>
        <item x="202"/>
        <item m="1" x="429"/>
        <item m="1" x="387"/>
        <item x="333"/>
        <item x="334"/>
        <item m="1" x="465"/>
        <item m="1" x="507"/>
        <item m="1" x="580"/>
        <item x="254"/>
        <item m="1" x="546"/>
        <item x="292"/>
        <item x="126"/>
        <item m="1" x="492"/>
        <item m="1" x="566"/>
        <item x="341"/>
        <item x="335"/>
        <item x="298"/>
        <item m="1" x="438"/>
        <item m="1" x="427"/>
        <item m="1" x="386"/>
        <item m="1" x="426"/>
        <item x="315"/>
        <item x="316"/>
        <item m="1" x="528"/>
        <item x="295"/>
        <item x="273"/>
        <item m="1" x="508"/>
        <item m="1" x="558"/>
        <item m="1" x="410"/>
        <item m="1" x="578"/>
        <item x="182"/>
        <item x="16"/>
        <item x="380"/>
        <item x="258"/>
        <item m="1" x="527"/>
        <item m="1" x="412"/>
        <item m="1" x="521"/>
        <item x="183"/>
        <item x="184"/>
        <item m="1" x="440"/>
        <item x="127"/>
        <item m="1" x="515"/>
        <item x="128"/>
        <item m="1" x="570"/>
        <item m="1" x="556"/>
        <item x="148"/>
        <item x="4"/>
        <item x="133"/>
        <item x="132"/>
        <item m="1" x="509"/>
        <item m="1" x="451"/>
        <item x="227"/>
        <item x="271"/>
        <item m="1" x="499"/>
        <item x="260"/>
        <item x="129"/>
        <item x="255"/>
        <item x="130"/>
        <item x="212"/>
        <item m="1" x="388"/>
        <item m="1" x="532"/>
        <item m="1" x="538"/>
        <item m="1" x="539"/>
        <item m="1" x="557"/>
        <item m="1" x="405"/>
        <item m="1" x="474"/>
        <item m="1" x="435"/>
        <item x="165"/>
        <item m="1" x="573"/>
        <item x="211"/>
        <item x="233"/>
        <item x="163"/>
        <item m="1" x="569"/>
        <item x="323"/>
        <item m="1" x="500"/>
        <item m="1" x="544"/>
        <item m="1" x="391"/>
        <item x="269"/>
        <item m="1" x="394"/>
        <item x="225"/>
        <item m="1" x="486"/>
        <item x="160"/>
        <item x="381"/>
      </items>
    </pivotField>
    <pivotField dataField="1" compact="0" outline="0" subtotalTop="0" showAll="0" defaultSubtotal="0"/>
    <pivotField dataField="1"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numFmtId="1"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compact="0" outline="0" showAll="0" defaultSubtotal="0"/>
    <pivotField compact="0" outline="0" subtotalTop="0" showAll="0" defaultSubtotal="0"/>
    <pivotField compact="0" outline="0" subtotalTop="0" showAll="0" defaultSubtotal="0"/>
    <pivotField compact="0" numFmtId="9" outline="0" subtotalTop="0" showAll="0" defaultSubtotal="0"/>
    <pivotField compact="0" outline="0" subtotalTop="0" showAll="0" defaultSubtotal="0"/>
    <pivotField compact="0" outline="0" subtotalTop="0" showAll="0" defaultSubtotal="0"/>
    <pivotField compact="0" outline="0" subtotalTop="0" showAll="0" defaultSubtotal="0"/>
    <pivotField compact="0" numFmtId="1" outline="0" subtotalTop="0" showAll="0" defaultSubtotal="0"/>
    <pivotField compact="0" outline="0" subtotalTop="0" showAll="0" defaultSubtotal="0"/>
    <pivotField compact="0" outline="0" subtotalTop="0" showAll="0" defaultSubtotal="0"/>
    <pivotField compact="0" outline="0" subtotalTop="0" showAll="0" defaultSubtotal="0"/>
    <pivotField dataField="1" compact="0" outline="0" subtotalTop="0" showAll="0" defaultSubtotal="0"/>
    <pivotField compact="0" outline="0" subtotalTop="0" showAll="0" defaultSubtotal="0"/>
    <pivotField compact="0" numFmtId="1" outline="0" subtotalTop="0" showAll="0" defaultSubtotal="0"/>
    <pivotField compact="0" numFmtId="1" outline="0" subtotalTop="0" showAll="0" defaultSubtotal="0"/>
    <pivotField compact="0" outline="0" showAll="0" defaultSubtotal="0"/>
    <pivotField compact="0" numFmtId="1" outline="0" subtotalTop="0" showAll="0" defaultSubtotal="0"/>
    <pivotField compact="0" outline="0" subtotalTop="0" showAll="0" defaultSubtotal="0"/>
    <pivotField compact="0" outline="0" subtotalTop="0" showAll="0" defaultSubtotal="0"/>
    <pivotField dataField="1" compact="0" outline="0" subtotalTop="0" showAll="0" defaultSubtotal="0"/>
    <pivotField compact="0" outline="0" subtotalTop="0" showAll="0" defaultSubtotal="0"/>
    <pivotField compact="0" outline="0" subtotalTop="0" showAll="0" defaultSubtotal="0"/>
    <pivotField compact="0" numFmtId="9" outline="0" showAll="0" defaultSubtotal="0"/>
    <pivotField compact="0" outline="0" showAll="0" defaultSubtotal="0"/>
    <pivotField compact="0" numFmtId="9" outline="0" subtotalTop="0" showAll="0" defaultSubtotal="0"/>
    <pivotField dataField="1" compact="0" numFmtId="9" outline="0" subtotalTop="0" showAll="0" defaultSubtotal="0"/>
    <pivotField compact="0" numFmtId="1" outline="0" showAll="0" defaultSubtotal="0"/>
    <pivotField compact="0" numFmtId="1" outline="0" showAll="0" defaultSubtotal="0"/>
    <pivotField compact="0" numFmtId="1" outline="0" showAll="0" defaultSubtotal="0"/>
    <pivotField compact="0" numFmtId="1" outline="0" showAll="0" defaultSubtotal="0"/>
    <pivotField compact="0" numFmtId="1" outline="0" showAll="0" defaultSubtotal="0"/>
    <pivotField compact="0" numFmtId="9" outline="0" subtotalTop="0" showAll="0" defaultSubtotal="0"/>
    <pivotField compact="0" numFmtId="9" outline="0" subtotalTop="0" showAll="0" defaultSubtotal="0"/>
    <pivotField compact="0" numFmtId="9" outline="0" subtotalTop="0" showAll="0" defaultSubtotal="0"/>
    <pivotField compact="0" numFmtId="1" outline="0" showAll="0" defaultSubtotal="0"/>
    <pivotField compact="0" numFmtId="1" outline="0" showAll="0" defaultSubtotal="0"/>
    <pivotField compact="0" numFmtId="1" outline="0" showAll="0" defaultSubtotal="0"/>
    <pivotField compact="0" numFmtId="1" outline="0" subtotalTop="0" showAll="0" defaultSubtotal="0"/>
    <pivotField compact="0" outline="0" subtotalTop="0" showAll="0" defaultSubtotal="0"/>
    <pivotField compact="0" outline="0" subtotalTop="0" showAll="0" defaultSubtotal="0"/>
    <pivotField compact="0" outline="0" subtotalTop="0" showAll="0" defaultSubtotal="0">
      <items count="5">
        <item m="1" x="4"/>
        <item x="0"/>
        <item x="1"/>
        <item x="3"/>
        <item x="2"/>
      </items>
    </pivotField>
    <pivotField compact="0" outline="0" subtotalTop="0" showAll="0" defaultSubtotal="0"/>
    <pivotField axis="axisRow" compact="0" outline="0" subtotalTop="0" showAll="0" defaultSubtotal="0">
      <items count="13">
        <item x="1"/>
        <item x="0"/>
        <item x="2"/>
        <item x="4"/>
        <item x="3"/>
        <item x="12"/>
        <item x="8"/>
        <item x="9"/>
        <item x="10"/>
        <item x="5"/>
        <item x="11"/>
        <item x="7"/>
        <item x="6"/>
      </items>
    </pivotField>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axis="axisPage" compact="0" outline="0" subtotalTop="0" showAll="0" defaultSubtotal="0">
      <items count="4">
        <item x="0"/>
        <item n="Gap" x="1"/>
        <item h="1" m="1" x="3"/>
        <item h="1" m="1" x="2"/>
      </items>
    </pivotField>
    <pivotField compact="0" outline="0" subtotalTop="0" showAll="0" defaultSubtotal="0"/>
  </pivotFields>
  <rowFields count="4">
    <field x="2"/>
    <field x="3"/>
    <field x="4"/>
    <field x="85"/>
  </rowFields>
  <rowItems count="78">
    <i>
      <x/>
      <x v="1"/>
      <x v="47"/>
      <x v="4"/>
    </i>
    <i r="2">
      <x v="468"/>
      <x v="1"/>
    </i>
    <i r="1">
      <x v="12"/>
      <x v="256"/>
      <x v="4"/>
    </i>
    <i r="2">
      <x v="262"/>
      <x v="4"/>
    </i>
    <i r="1">
      <x v="17"/>
      <x v="110"/>
      <x v="4"/>
    </i>
    <i r="2">
      <x v="282"/>
      <x v="4"/>
    </i>
    <i r="1">
      <x v="18"/>
      <x v="154"/>
      <x v="4"/>
    </i>
    <i r="2">
      <x v="284"/>
      <x v="4"/>
    </i>
    <i r="2">
      <x v="299"/>
      <x v="4"/>
    </i>
    <i r="1">
      <x v="28"/>
      <x v="125"/>
      <x v="4"/>
    </i>
    <i r="2">
      <x v="529"/>
      <x v="4"/>
    </i>
    <i r="1">
      <x v="31"/>
      <x v="205"/>
      <x v="4"/>
    </i>
    <i r="1">
      <x v="33"/>
      <x v="466"/>
      <x v="2"/>
    </i>
    <i r="1">
      <x v="35"/>
      <x v="100"/>
      <x v="2"/>
    </i>
    <i t="default">
      <x/>
    </i>
    <i>
      <x v="1"/>
      <x v="8"/>
      <x v="132"/>
      <x v="7"/>
    </i>
    <i r="1">
      <x v="9"/>
      <x v="14"/>
      <x v="11"/>
    </i>
    <i r="2">
      <x v="22"/>
      <x v="8"/>
    </i>
    <i r="2">
      <x v="23"/>
      <x v="11"/>
    </i>
    <i r="2">
      <x v="89"/>
      <x v="11"/>
    </i>
    <i r="2">
      <x v="92"/>
      <x v="8"/>
    </i>
    <i r="2">
      <x v="93"/>
      <x v="11"/>
    </i>
    <i r="2">
      <x v="153"/>
      <x v="7"/>
    </i>
    <i r="2">
      <x v="182"/>
      <x v="11"/>
    </i>
    <i r="2">
      <x v="198"/>
      <x v="11"/>
    </i>
    <i r="2">
      <x v="209"/>
      <x v="8"/>
    </i>
    <i r="2">
      <x v="367"/>
      <x v="11"/>
    </i>
    <i r="2">
      <x v="394"/>
      <x v="11"/>
    </i>
    <i r="2">
      <x v="420"/>
      <x v="11"/>
    </i>
    <i r="2">
      <x v="448"/>
      <x v="8"/>
    </i>
    <i r="2">
      <x v="449"/>
      <x v="11"/>
    </i>
    <i r="2">
      <x v="490"/>
      <x v="11"/>
    </i>
    <i r="2">
      <x v="556"/>
      <x v="8"/>
    </i>
    <i r="2">
      <x v="567"/>
      <x v="11"/>
    </i>
    <i r="1">
      <x v="15"/>
      <x v="54"/>
      <x v="11"/>
    </i>
    <i r="2">
      <x v="57"/>
      <x v="11"/>
    </i>
    <i r="2">
      <x v="134"/>
      <x v="11"/>
    </i>
    <i r="2">
      <x v="137"/>
      <x v="11"/>
    </i>
    <i r="2">
      <x v="418"/>
      <x v="8"/>
    </i>
    <i r="2">
      <x v="450"/>
      <x v="11"/>
    </i>
    <i r="2">
      <x v="453"/>
      <x v="11"/>
    </i>
    <i r="2">
      <x v="494"/>
      <x v="8"/>
    </i>
    <i r="1">
      <x v="19"/>
      <x v="12"/>
      <x v="11"/>
    </i>
    <i r="2">
      <x v="51"/>
      <x v="11"/>
    </i>
    <i r="2">
      <x v="210"/>
      <x v="11"/>
    </i>
    <i r="2">
      <x v="211"/>
      <x v="11"/>
    </i>
    <i r="2">
      <x v="363"/>
      <x v="11"/>
    </i>
    <i r="1">
      <x v="27"/>
      <x v="72"/>
      <x v="11"/>
    </i>
    <i r="2">
      <x v="144"/>
      <x v="11"/>
    </i>
    <i r="2">
      <x v="195"/>
      <x v="11"/>
    </i>
    <i r="2">
      <x v="265"/>
      <x v="11"/>
    </i>
    <i r="2">
      <x v="298"/>
      <x v="11"/>
    </i>
    <i r="2">
      <x v="379"/>
      <x v="11"/>
    </i>
    <i r="2">
      <x v="397"/>
      <x v="11"/>
    </i>
    <i r="2">
      <x v="471"/>
      <x v="11"/>
    </i>
    <i r="2">
      <x v="472"/>
      <x v="11"/>
    </i>
    <i r="2">
      <x v="483"/>
      <x v="11"/>
    </i>
    <i r="2">
      <x v="506"/>
      <x v="11"/>
    </i>
    <i r="2">
      <x v="531"/>
      <x v="11"/>
    </i>
    <i r="2">
      <x v="552"/>
      <x v="11"/>
    </i>
    <i r="2">
      <x v="554"/>
      <x v="11"/>
    </i>
    <i r="1">
      <x v="30"/>
      <x v="19"/>
      <x v="8"/>
    </i>
    <i r="2">
      <x v="351"/>
      <x v="8"/>
    </i>
    <i r="2">
      <x v="352"/>
      <x v="11"/>
    </i>
    <i r="1">
      <x v="32"/>
      <x v="13"/>
      <x v="11"/>
    </i>
    <i r="2">
      <x v="40"/>
      <x v="4"/>
    </i>
    <i r="2">
      <x v="43"/>
      <x v="11"/>
    </i>
    <i r="2">
      <x v="71"/>
      <x v="11"/>
    </i>
    <i r="2">
      <x v="189"/>
      <x v="11"/>
    </i>
    <i r="2">
      <x v="383"/>
      <x v="11"/>
    </i>
    <i r="2">
      <x v="512"/>
      <x v="11"/>
    </i>
    <i t="default">
      <x v="1"/>
    </i>
    <i>
      <x v="2"/>
      <x v="5"/>
      <x v="318"/>
      <x v="4"/>
    </i>
    <i r="1">
      <x v="6"/>
      <x v="248"/>
      <x v="2"/>
    </i>
    <i r="1">
      <x v="7"/>
      <x v="372"/>
      <x v="2"/>
    </i>
    <i r="1">
      <x v="13"/>
      <x v="250"/>
      <x v="2"/>
    </i>
    <i r="1">
      <x v="20"/>
      <x v="111"/>
      <x v="2"/>
    </i>
    <i t="default">
      <x v="2"/>
    </i>
  </rowItems>
  <colFields count="1">
    <field x="-2"/>
  </colFields>
  <colItems count="5">
    <i>
      <x/>
    </i>
    <i i="1">
      <x v="1"/>
    </i>
    <i i="2">
      <x v="2"/>
    </i>
    <i i="3">
      <x v="3"/>
    </i>
    <i i="4">
      <x v="4"/>
    </i>
  </colItems>
  <pageFields count="2">
    <pageField fld="0" item="3" hier="-1"/>
    <pageField fld="90" item="1" hier="-1"/>
  </pageFields>
  <dataFields count="5">
    <dataField name="HHs" fld="5" baseField="0" baseItem="0" numFmtId="164"/>
    <dataField name="Pops" fld="6" baseField="0" baseItem="0" numFmtId="164"/>
    <dataField name="% WATER GAP" fld="54" subtotal="average" baseField="85" baseItem="1" numFmtId="9"/>
    <dataField name="% LATRINE GAP" fld="62" subtotal="average" baseField="85" baseItem="1" numFmtId="9"/>
    <dataField name="% HYGIENE GAP" fld="68" subtotal="average" baseField="85" baseItem="1" numFmtId="9"/>
  </dataFields>
  <formats count="22">
    <format dxfId="279">
      <pivotArea type="all" dataOnly="0" outline="0" fieldPosition="0"/>
    </format>
    <format dxfId="278">
      <pivotArea outline="0" collapsedLevelsAreSubtotals="1" fieldPosition="0"/>
    </format>
    <format dxfId="277">
      <pivotArea field="2" type="button" dataOnly="0" labelOnly="1" outline="0" axis="axisRow" fieldPosition="0"/>
    </format>
    <format dxfId="276">
      <pivotArea dataOnly="0" labelOnly="1" grandRow="1" outline="0" fieldPosition="0"/>
    </format>
    <format dxfId="275">
      <pivotArea type="all" dataOnly="0" outline="0" fieldPosition="0"/>
    </format>
    <format dxfId="274">
      <pivotArea outline="0" collapsedLevelsAreSubtotals="1" fieldPosition="0"/>
    </format>
    <format dxfId="273">
      <pivotArea field="2" type="button" dataOnly="0" labelOnly="1" outline="0" axis="axisRow" fieldPosition="0"/>
    </format>
    <format dxfId="272">
      <pivotArea dataOnly="0" labelOnly="1" grandRow="1" outline="0" fieldPosition="0"/>
    </format>
    <format dxfId="271">
      <pivotArea type="all" dataOnly="0" outline="0" fieldPosition="0"/>
    </format>
    <format dxfId="270">
      <pivotArea outline="0" collapsedLevelsAreSubtotals="1" fieldPosition="0"/>
    </format>
    <format dxfId="269">
      <pivotArea type="origin" dataOnly="0" labelOnly="1" outline="0" fieldPosition="0"/>
    </format>
    <format dxfId="268">
      <pivotArea field="90" type="button" dataOnly="0" labelOnly="1" outline="0" axis="axisPage" fieldPosition="1"/>
    </format>
    <format dxfId="267">
      <pivotArea type="topRight" dataOnly="0" labelOnly="1" outline="0" fieldPosition="0"/>
    </format>
    <format dxfId="266">
      <pivotArea field="83" type="button" dataOnly="0" labelOnly="1" outline="0"/>
    </format>
    <format dxfId="265">
      <pivotArea type="all" dataOnly="0" outline="0" fieldPosition="0"/>
    </format>
    <format dxfId="264">
      <pivotArea outline="0" collapsedLevelsAreSubtotals="1" fieldPosition="0"/>
    </format>
    <format dxfId="263">
      <pivotArea type="origin" dataOnly="0" labelOnly="1" outline="0" fieldPosition="0"/>
    </format>
    <format dxfId="262">
      <pivotArea field="90" type="button" dataOnly="0" labelOnly="1" outline="0" axis="axisPage" fieldPosition="1"/>
    </format>
    <format dxfId="261">
      <pivotArea type="topRight" dataOnly="0" labelOnly="1" outline="0" fieldPosition="0"/>
    </format>
    <format dxfId="260">
      <pivotArea field="83" type="button" dataOnly="0" labelOnly="1" outline="0"/>
    </format>
    <format dxfId="259">
      <pivotArea outline="0" fieldPosition="0">
        <references count="1">
          <reference field="4294967294" count="3" selected="0">
            <x v="2"/>
            <x v="3"/>
            <x v="4"/>
          </reference>
        </references>
      </pivotArea>
    </format>
    <format dxfId="258">
      <pivotArea outline="0" fieldPosition="0">
        <references count="1">
          <reference field="4294967294" count="2" selected="0">
            <x v="0"/>
            <x v="1"/>
          </reference>
        </references>
      </pivotArea>
    </format>
  </formats>
  <pivotTableStyleInfo name="PivotStyleLight9" showRowHeaders="1" showColHeaders="1" showRowStripes="1" showColStripes="1"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4.xml><?xml version="1.0" encoding="utf-8"?>
<pivotTableDefinition xmlns="http://schemas.openxmlformats.org/spreadsheetml/2006/main" name="PivotTable1" cacheId="0" applyNumberFormats="0" applyBorderFormats="0" applyFontFormats="0" applyPatternFormats="0" applyAlignmentFormats="0" applyWidthHeightFormats="1" dataCaption="Values" updatedVersion="6" minRefreshableVersion="3" itemPrintTitles="1" createdVersion="6" indent="0" outline="1" outlineData="1" multipleFieldFilters="0" rowHeaderCaption="Township">
  <location ref="C10:G24" firstHeaderRow="0" firstDataRow="1" firstDataCol="1" rowPageCount="4" colPageCount="1"/>
  <pivotFields count="92">
    <pivotField axis="axisPage" subtotalTop="0" showAll="0">
      <items count="8">
        <item m="1" x="2"/>
        <item m="1" x="3"/>
        <item x="0"/>
        <item m="1" x="1"/>
        <item m="1" x="6"/>
        <item m="1" x="4"/>
        <item m="1" x="5"/>
        <item t="default"/>
      </items>
    </pivotField>
    <pivotField subtotalTop="0" showAll="0"/>
    <pivotField axis="axisPage" subtotalTop="0" showAll="0">
      <items count="5">
        <item x="0"/>
        <item x="1"/>
        <item x="2"/>
        <item m="1" x="3"/>
        <item t="default"/>
      </items>
    </pivotField>
    <pivotField axis="axisRow" subtotalTop="0" showAll="0" sortType="ascending">
      <items count="37">
        <item x="13"/>
        <item x="3"/>
        <item x="14"/>
        <item x="9"/>
        <item x="8"/>
        <item x="29"/>
        <item x="28"/>
        <item x="25"/>
        <item x="15"/>
        <item x="16"/>
        <item m="1" x="33"/>
        <item m="1" x="34"/>
        <item x="0"/>
        <item x="26"/>
        <item x="17"/>
        <item x="18"/>
        <item x="11"/>
        <item x="4"/>
        <item x="1"/>
        <item x="19"/>
        <item x="27"/>
        <item x="20"/>
        <item x="10"/>
        <item x="31"/>
        <item x="30"/>
        <item m="1" x="32"/>
        <item x="21"/>
        <item x="22"/>
        <item x="5"/>
        <item m="1" x="35"/>
        <item x="23"/>
        <item x="6"/>
        <item x="24"/>
        <item x="7"/>
        <item x="12"/>
        <item x="2"/>
        <item t="default"/>
      </items>
    </pivotField>
    <pivotField subtotalTop="0" showAll="0"/>
    <pivotField subtotalTop="0" showAll="0"/>
    <pivotField dataField="1"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numFmtId="1" subtotalTop="0" showAll="0"/>
    <pivotField subtotalTop="0" showAll="0"/>
    <pivotField subtotalTop="0" showAll="0"/>
    <pivotField subtotalTop="0" showAll="0"/>
    <pivotField subtotalTop="0" showAll="0"/>
    <pivotField numFmtId="1"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howAll="0" defaultSubtota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dataField="1" subtotalTop="0" showAll="0"/>
    <pivotField subtotalTop="0" showAll="0"/>
    <pivotField subtotalTop="0" showAll="0"/>
    <pivotField subtotalTop="0" showAll="0"/>
    <pivotField showAll="0" defaultSubtotal="0"/>
    <pivotField subtotalTop="0" showAll="0"/>
    <pivotField subtotalTop="0" showAll="0"/>
    <pivotField subtotalTop="0" showAll="0"/>
    <pivotField dataField="1" subtotalTop="0" showAll="0"/>
    <pivotField subtotalTop="0" showAll="0"/>
    <pivotField subtotalTop="0" showAll="0"/>
    <pivotField numFmtId="9" showAll="0" defaultSubtotal="0"/>
    <pivotField showAll="0" defaultSubtotal="0"/>
    <pivotField subtotalTop="0" showAll="0"/>
    <pivotField dataField="1" subtotalTop="0" showAll="0"/>
    <pivotField numFmtId="1" showAll="0" defaultSubtotal="0"/>
    <pivotField numFmtId="1" showAll="0" defaultSubtotal="0"/>
    <pivotField numFmtId="1" showAll="0" defaultSubtotal="0"/>
    <pivotField numFmtId="1" showAll="0" defaultSubtotal="0"/>
    <pivotField numFmtId="1" showAll="0" defaultSubtotal="0"/>
    <pivotField subtotalTop="0" showAll="0"/>
    <pivotField subtotalTop="0" showAll="0"/>
    <pivotField subtotalTop="0" showAll="0"/>
    <pivotField numFmtId="1" showAll="0" defaultSubtotal="0"/>
    <pivotField numFmtId="1" showAll="0" defaultSubtotal="0"/>
    <pivotField numFmtId="1" showAll="0" defaultSubtotal="0"/>
    <pivotField subtotalTop="0" showAll="0"/>
    <pivotField subtotalTop="0" showAll="0"/>
    <pivotField subtotalTop="0" showAll="0"/>
    <pivotField axis="axisPage" subtotalTop="0" multipleItemSelectionAllowed="1" showAll="0">
      <items count="6">
        <item m="1" x="4"/>
        <item x="0"/>
        <item x="1"/>
        <item h="1" x="3"/>
        <item h="1" x="2"/>
        <item t="default"/>
      </items>
    </pivotField>
    <pivotField subtotalTop="0" showAll="0"/>
    <pivotField subtotalTop="0" showAll="0"/>
    <pivotField subtotalTop="0" showAll="0"/>
    <pivotField subtotalTop="0" showAll="0"/>
    <pivotField subtotalTop="0" showAll="0"/>
    <pivotField subtotalTop="0" showAll="0"/>
    <pivotField axis="axisPage" subtotalTop="0" showAll="0">
      <items count="5">
        <item x="0"/>
        <item x="1"/>
        <item m="1" x="3"/>
        <item m="1" x="2"/>
        <item t="default"/>
      </items>
    </pivotField>
    <pivotField subtotalTop="0" showAll="0"/>
  </pivotFields>
  <rowFields count="1">
    <field x="3"/>
  </rowFields>
  <rowItems count="14">
    <i>
      <x v="1"/>
    </i>
    <i>
      <x v="3"/>
    </i>
    <i>
      <x v="4"/>
    </i>
    <i>
      <x v="12"/>
    </i>
    <i>
      <x v="16"/>
    </i>
    <i>
      <x v="17"/>
    </i>
    <i>
      <x v="18"/>
    </i>
    <i>
      <x v="22"/>
    </i>
    <i>
      <x v="28"/>
    </i>
    <i>
      <x v="31"/>
    </i>
    <i>
      <x v="33"/>
    </i>
    <i>
      <x v="34"/>
    </i>
    <i>
      <x v="35"/>
    </i>
    <i t="grand">
      <x/>
    </i>
  </rowItems>
  <colFields count="1">
    <field x="-2"/>
  </colFields>
  <colItems count="4">
    <i>
      <x/>
    </i>
    <i i="1">
      <x v="1"/>
    </i>
    <i i="2">
      <x v="2"/>
    </i>
    <i i="3">
      <x v="3"/>
    </i>
  </colItems>
  <pageFields count="4">
    <pageField fld="0" item="2" hier="-1"/>
    <pageField fld="90" item="0" hier="-1"/>
    <pageField fld="83" hier="-1"/>
    <pageField fld="2" item="0" hier="-1"/>
  </pageFields>
  <dataFields count="4">
    <dataField name="Waters GAP" fld="54" subtotal="average" baseField="3" baseItem="1" numFmtId="9"/>
    <dataField name="Sanitation Gap" fld="62" subtotal="average" baseField="3" baseItem="1" numFmtId="9"/>
    <dataField name="Hygiene Gap" fld="68" subtotal="average" baseField="3" baseItem="1" numFmtId="9"/>
    <dataField name="PoP " fld="6" baseField="0" baseItem="0" numFmtId="164"/>
  </dataFields>
  <formats count="33">
    <format dxfId="312">
      <pivotArea type="all" dataOnly="0" outline="0" fieldPosition="0"/>
    </format>
    <format dxfId="311">
      <pivotArea outline="0" collapsedLevelsAreSubtotals="1" fieldPosition="0"/>
    </format>
    <format dxfId="310">
      <pivotArea field="3" type="button" dataOnly="0" labelOnly="1" outline="0" axis="axisRow" fieldPosition="0"/>
    </format>
    <format dxfId="309">
      <pivotArea dataOnly="0" labelOnly="1" outline="0" axis="axisValues" fieldPosition="0"/>
    </format>
    <format dxfId="308">
      <pivotArea dataOnly="0" labelOnly="1" fieldPosition="0">
        <references count="1">
          <reference field="3" count="0"/>
        </references>
      </pivotArea>
    </format>
    <format dxfId="307">
      <pivotArea dataOnly="0" labelOnly="1" grandRow="1" outline="0" fieldPosition="0"/>
    </format>
    <format dxfId="306">
      <pivotArea dataOnly="0" labelOnly="1" outline="0" axis="axisValues" fieldPosition="0"/>
    </format>
    <format dxfId="305">
      <pivotArea type="all" dataOnly="0" outline="0" fieldPosition="0"/>
    </format>
    <format dxfId="304">
      <pivotArea outline="0" collapsedLevelsAreSubtotals="1" fieldPosition="0"/>
    </format>
    <format dxfId="303">
      <pivotArea field="3" type="button" dataOnly="0" labelOnly="1" outline="0" axis="axisRow" fieldPosition="0"/>
    </format>
    <format dxfId="302">
      <pivotArea dataOnly="0" labelOnly="1" outline="0" axis="axisValues" fieldPosition="0"/>
    </format>
    <format dxfId="301">
      <pivotArea dataOnly="0" labelOnly="1" fieldPosition="0">
        <references count="1">
          <reference field="3" count="0"/>
        </references>
      </pivotArea>
    </format>
    <format dxfId="300">
      <pivotArea dataOnly="0" labelOnly="1" grandRow="1" outline="0" fieldPosition="0"/>
    </format>
    <format dxfId="299">
      <pivotArea dataOnly="0" labelOnly="1" outline="0" axis="axisValues" fieldPosition="0"/>
    </format>
    <format dxfId="298">
      <pivotArea outline="0" fieldPosition="0">
        <references count="1">
          <reference field="4294967294" count="1">
            <x v="1"/>
          </reference>
        </references>
      </pivotArea>
    </format>
    <format dxfId="297">
      <pivotArea field="3" type="button" dataOnly="0" labelOnly="1" outline="0" axis="axisRow" fieldPosition="0"/>
    </format>
    <format dxfId="296">
      <pivotArea dataOnly="0" labelOnly="1" outline="0" fieldPosition="0">
        <references count="1">
          <reference field="4294967294" count="2">
            <x v="0"/>
            <x v="1"/>
          </reference>
        </references>
      </pivotArea>
    </format>
    <format dxfId="295">
      <pivotArea outline="0" fieldPosition="0">
        <references count="1">
          <reference field="4294967294" count="1">
            <x v="0"/>
          </reference>
        </references>
      </pivotArea>
    </format>
    <format dxfId="294">
      <pivotArea outline="0" fieldPosition="0">
        <references count="1">
          <reference field="4294967294" count="1">
            <x v="0"/>
          </reference>
        </references>
      </pivotArea>
    </format>
    <format dxfId="293">
      <pivotArea outline="0" fieldPosition="0">
        <references count="1">
          <reference field="4294967294" count="1">
            <x v="2"/>
          </reference>
        </references>
      </pivotArea>
    </format>
    <format dxfId="292">
      <pivotArea type="all" dataOnly="0" outline="0" fieldPosition="0"/>
    </format>
    <format dxfId="291">
      <pivotArea outline="0" collapsedLevelsAreSubtotals="1" fieldPosition="0"/>
    </format>
    <format dxfId="290">
      <pivotArea field="3" type="button" dataOnly="0" labelOnly="1" outline="0" axis="axisRow" fieldPosition="0"/>
    </format>
    <format dxfId="289">
      <pivotArea dataOnly="0" labelOnly="1" fieldPosition="0">
        <references count="1">
          <reference field="3" count="0"/>
        </references>
      </pivotArea>
    </format>
    <format dxfId="288">
      <pivotArea dataOnly="0" labelOnly="1" outline="0" fieldPosition="0">
        <references count="1">
          <reference field="4294967294" count="4">
            <x v="0"/>
            <x v="1"/>
            <x v="2"/>
            <x v="3"/>
          </reference>
        </references>
      </pivotArea>
    </format>
    <format dxfId="287">
      <pivotArea type="all" dataOnly="0" outline="0" fieldPosition="0"/>
    </format>
    <format dxfId="286">
      <pivotArea outline="0" collapsedLevelsAreSubtotals="1" fieldPosition="0"/>
    </format>
    <format dxfId="285">
      <pivotArea field="3" type="button" dataOnly="0" labelOnly="1" outline="0" axis="axisRow" fieldPosition="0"/>
    </format>
    <format dxfId="284">
      <pivotArea dataOnly="0" labelOnly="1" fieldPosition="0">
        <references count="1">
          <reference field="3" count="0"/>
        </references>
      </pivotArea>
    </format>
    <format dxfId="283">
      <pivotArea dataOnly="0" labelOnly="1" outline="0" fieldPosition="0">
        <references count="1">
          <reference field="4294967294" count="4">
            <x v="0"/>
            <x v="1"/>
            <x v="2"/>
            <x v="3"/>
          </reference>
        </references>
      </pivotArea>
    </format>
    <format dxfId="282">
      <pivotArea field="3" type="button" dataOnly="0" labelOnly="1" outline="0" axis="axisRow" fieldPosition="0"/>
    </format>
    <format dxfId="281">
      <pivotArea dataOnly="0" labelOnly="1" outline="0" fieldPosition="0">
        <references count="1">
          <reference field="4294967294" count="4">
            <x v="0"/>
            <x v="1"/>
            <x v="2"/>
            <x v="3"/>
          </reference>
        </references>
      </pivotArea>
    </format>
    <format dxfId="280">
      <pivotArea outline="0" collapsedLevelsAreSubtotals="1" fieldPosition="0">
        <references count="1">
          <reference field="4294967294" count="1" selected="0">
            <x v="3"/>
          </reference>
        </references>
      </pivotArea>
    </format>
  </formats>
  <chartFormats count="4">
    <chartFormat chart="1" format="6" series="1">
      <pivotArea type="data" outline="0" fieldPosition="0">
        <references count="1">
          <reference field="4294967294" count="1" selected="0">
            <x v="2"/>
          </reference>
        </references>
      </pivotArea>
    </chartFormat>
    <chartFormat chart="1" format="7" series="1">
      <pivotArea type="data" outline="0" fieldPosition="0">
        <references count="1">
          <reference field="4294967294" count="1" selected="0">
            <x v="3"/>
          </reference>
        </references>
      </pivotArea>
    </chartFormat>
    <chartFormat chart="1" format="8" series="1">
      <pivotArea type="data" outline="0" fieldPosition="0">
        <references count="1">
          <reference field="4294967294" count="1" selected="0">
            <x v="0"/>
          </reference>
        </references>
      </pivotArea>
    </chartFormat>
    <chartFormat chart="1" format="9" series="1">
      <pivotArea type="data" outline="0" fieldPosition="0">
        <references count="1">
          <reference field="4294967294" count="1" selected="0">
            <x v="1"/>
          </reference>
        </references>
      </pivotArea>
    </chartFormat>
  </chartFormats>
  <pivotTableStyleInfo name="CUSTOM" showRowHeaders="1" showColHeaders="1" showRowStripes="1" showColStripes="0" showLastColumn="1"/>
  <extLst>
    <ext xmlns:x14="http://schemas.microsoft.com/office/spreadsheetml/2009/9/main" uri="{962EF5D1-5CA2-4c93-8EF4-DBF5C05439D2}">
      <x14:pivotTableDefinition xmlns:xm="http://schemas.microsoft.com/office/excel/2006/main" hideValuesRow="1">
        <x14:conditionalFormats count="1">
          <x14:conditionalFormat priority="3" id="{CD7AF3A7-7200-4B7F-8062-7CC225B14868}">
            <x14:pivotAreas count="1">
              <pivotArea type="data" outline="0" collapsedLevelsAreSubtotals="1" fieldPosition="0">
                <references count="1">
                  <reference field="4294967294" count="3" selected="0">
                    <x v="0"/>
                    <x v="1"/>
                    <x v="2"/>
                  </reference>
                </references>
              </pivotArea>
            </x14:pivotAreas>
          </x14:conditionalFormat>
        </x14:conditionalFormats>
      </x14:pivotTableDefinition>
    </ext>
    <ext xmlns:xpdl="http://schemas.microsoft.com/office/spreadsheetml/2016/pivotdefaultlayout" uri="{747A6164-185A-40DC-8AA5-F01512510D54}">
      <xpdl:pivotTableDefinition16/>
    </ext>
  </extLst>
</pivotTableDefinition>
</file>

<file path=xl/pivotTables/pivotTable15.xml><?xml version="1.0" encoding="utf-8"?>
<pivotTableDefinition xmlns="http://schemas.openxmlformats.org/spreadsheetml/2006/main" name="Latrine_shan" cacheId="0" dataOnRows="1" applyNumberFormats="0" applyBorderFormats="0" applyFontFormats="0" applyPatternFormats="0" applyAlignmentFormats="0" applyWidthHeightFormats="1" dataCaption="Values" updatedVersion="6" minRefreshableVersion="3" rowGrandTotals="0" colGrandTotals="0" itemPrintTitles="1" createdVersion="6" indent="0" outline="1" outlineData="1" multipleFieldFilters="0" chartFormat="19">
  <location ref="Z81:AB89" firstHeaderRow="1" firstDataRow="2" firstDataCol="1" rowPageCount="2" colPageCount="1"/>
  <pivotFields count="92">
    <pivotField axis="axisPage" subtotalTop="0" multipleItemSelectionAllowed="1" showAll="0">
      <items count="8">
        <item m="1" x="2"/>
        <item m="1" x="3"/>
        <item m="1" x="6"/>
        <item x="0"/>
        <item m="1" x="4"/>
        <item h="1" m="1" x="1"/>
        <item h="1" m="1" x="5"/>
        <item t="default"/>
      </items>
    </pivotField>
    <pivotField subtotalTop="0" showAll="0"/>
    <pivotField axis="axisPage" subtotalTop="0" multipleItemSelectionAllowed="1" showAll="0">
      <items count="5">
        <item h="1" x="0"/>
        <item h="1" x="1"/>
        <item x="2"/>
        <item m="1" x="3"/>
        <item t="default"/>
      </items>
    </pivotField>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dataField="1" subtotalTop="0" showAll="0"/>
    <pivotField dataField="1" subtotalTop="0" showAll="0"/>
    <pivotField dataField="1" subtotalTop="0" showAll="0"/>
    <pivotField dataField="1"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howAll="0" defaultSubtota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numFmtId="9" subtotalTop="0" showAll="0"/>
    <pivotField subtotalTop="0" showAll="0"/>
    <pivotField subtotalTop="0" showAll="0"/>
    <pivotField subtotalTop="0" showAll="0"/>
    <pivotField showAll="0" defaultSubtotal="0"/>
    <pivotField dataField="1" subtotalTop="0" showAll="0"/>
    <pivotField subtotalTop="0" showAll="0"/>
    <pivotField subtotalTop="0" showAll="0"/>
    <pivotField numFmtId="9" subtotalTop="0" showAll="0"/>
    <pivotField dataField="1" numFmtId="1" subtotalTop="0" showAll="0"/>
    <pivotField dataField="1" subtotalTop="0" showAll="0"/>
    <pivotField numFmtId="9" showAll="0" defaultSubtotal="0"/>
    <pivotField showAll="0" defaultSubtotal="0"/>
    <pivotField numFmtId="9" subtotalTop="0" showAll="0"/>
    <pivotField subtotalTop="0" showAll="0"/>
    <pivotField numFmtId="1" showAll="0" defaultSubtotal="0"/>
    <pivotField numFmtId="1" showAll="0" defaultSubtotal="0"/>
    <pivotField numFmtId="1" showAll="0" defaultSubtotal="0"/>
    <pivotField numFmtId="1" showAll="0" defaultSubtotal="0"/>
    <pivotField numFmtId="1" showAll="0" defaultSubtotal="0"/>
    <pivotField subtotalTop="0" showAll="0"/>
    <pivotField numFmtId="9" subtotalTop="0" showAll="0"/>
    <pivotField numFmtId="9" subtotalTop="0" showAll="0"/>
    <pivotField numFmtId="1" showAll="0" defaultSubtotal="0"/>
    <pivotField numFmtId="1" showAll="0" defaultSubtotal="0"/>
    <pivotField numFmtId="1" showAll="0" defaultSubtotal="0"/>
    <pivotField subtotalTop="0" showAll="0"/>
    <pivotField subtotalTop="0" showAll="0"/>
    <pivotField subtotalTop="0" showAll="0"/>
    <pivotField subtotalTop="0" showAll="0">
      <items count="6">
        <item h="1" m="1" x="4"/>
        <item x="0"/>
        <item h="1" x="1"/>
        <item x="3"/>
        <item h="1" x="2"/>
        <item t="default"/>
      </items>
    </pivotField>
    <pivotField subtotalTop="0" showAll="0"/>
    <pivotField subtotalTop="0" showAll="0"/>
    <pivotField axis="axisCol" subtotalTop="0" showAll="0">
      <items count="13">
        <item h="1" x="7"/>
        <item n="# in GCA (20:1)" x="0"/>
        <item h="1" x="11"/>
        <item h="1" x="5"/>
        <item n="# in NGCA (20:1)" x="1"/>
        <item h="1" x="3"/>
        <item h="1" x="10"/>
        <item h="1" x="9"/>
        <item h="1" x="4"/>
        <item h="1" x="8"/>
        <item h="1" x="6"/>
        <item h="1" x="2"/>
        <item t="default"/>
      </items>
    </pivotField>
    <pivotField subtotalTop="0" showAll="0"/>
    <pivotField subtotalTop="0" showAll="0"/>
    <pivotField subtotalTop="0" showAll="0"/>
    <pivotField subtotalTop="0" showAll="0"/>
    <pivotField subtotalTop="0" showAll="0"/>
  </pivotFields>
  <rowFields count="1">
    <field x="-2"/>
  </rowFields>
  <rowItems count="7">
    <i>
      <x/>
    </i>
    <i i="1">
      <x v="1"/>
    </i>
    <i i="2">
      <x v="2"/>
    </i>
    <i i="3">
      <x v="3"/>
    </i>
    <i i="4">
      <x v="4"/>
    </i>
    <i i="5">
      <x v="5"/>
    </i>
    <i i="6">
      <x v="6"/>
    </i>
  </rowItems>
  <colFields count="1">
    <field x="86"/>
  </colFields>
  <colItems count="2">
    <i>
      <x v="1"/>
    </i>
    <i>
      <x v="4"/>
    </i>
  </colItems>
  <pageFields count="2">
    <pageField fld="2" hier="-1"/>
    <pageField fld="0" hier="-1"/>
  </pageFields>
  <dataFields count="7">
    <dataField name="# latrines (target)" fld="64" baseField="0" baseItem="0"/>
    <dataField name="# latrines (gap)" fld="63" baseField="0" baseItem="0"/>
    <dataField name="#latrines dysfunctional" fld="26" baseField="87" baseItem="1"/>
    <dataField name="# latrines desludged." fld="27" baseField="87" baseItem="1"/>
    <dataField name="# handed over" fld="28" baseField="87" baseItem="1"/>
    <dataField name=" Total # of latrine" fld="59" baseField="86" baseItem="1"/>
    <dataField name="Sum of # Existing functional latrines" fld="25" baseField="86" baseItem="1"/>
  </dataFields>
  <formats count="17">
    <format dxfId="329">
      <pivotArea field="2" type="button" dataOnly="0" labelOnly="1" outline="0" axis="axisPage" fieldPosition="0"/>
    </format>
    <format dxfId="328">
      <pivotArea field="83" type="button" dataOnly="0" labelOnly="1" outline="0"/>
    </format>
    <format dxfId="327">
      <pivotArea dataOnly="0" labelOnly="1" outline="0" fieldPosition="0">
        <references count="1">
          <reference field="4294967294" count="4">
            <x v="1"/>
            <x v="2"/>
            <x v="3"/>
            <x v="4"/>
          </reference>
        </references>
      </pivotArea>
    </format>
    <format dxfId="326">
      <pivotArea type="all" dataOnly="0" outline="0" fieldPosition="0"/>
    </format>
    <format dxfId="325">
      <pivotArea outline="0" collapsedLevelsAreSubtotals="1" fieldPosition="0"/>
    </format>
    <format dxfId="324">
      <pivotArea type="origin" dataOnly="0" labelOnly="1" outline="0" fieldPosition="0"/>
    </format>
    <format dxfId="323">
      <pivotArea field="83" type="button" dataOnly="0" labelOnly="1" outline="0"/>
    </format>
    <format dxfId="322">
      <pivotArea type="topRight" dataOnly="0" labelOnly="1" outline="0" fieldPosition="0"/>
    </format>
    <format dxfId="321">
      <pivotArea field="-2" type="button" dataOnly="0" labelOnly="1" outline="0" axis="axisRow" fieldPosition="0"/>
    </format>
    <format dxfId="320">
      <pivotArea dataOnly="0" labelOnly="1" outline="0" fieldPosition="0">
        <references count="1">
          <reference field="4294967294" count="4">
            <x v="1"/>
            <x v="2"/>
            <x v="3"/>
            <x v="4"/>
          </reference>
        </references>
      </pivotArea>
    </format>
    <format dxfId="319">
      <pivotArea type="all" dataOnly="0" outline="0" fieldPosition="0"/>
    </format>
    <format dxfId="318">
      <pivotArea outline="0" collapsedLevelsAreSubtotals="1" fieldPosition="0"/>
    </format>
    <format dxfId="317">
      <pivotArea type="origin" dataOnly="0" labelOnly="1" outline="0" fieldPosition="0"/>
    </format>
    <format dxfId="316">
      <pivotArea field="83" type="button" dataOnly="0" labelOnly="1" outline="0"/>
    </format>
    <format dxfId="315">
      <pivotArea type="topRight" dataOnly="0" labelOnly="1" outline="0" fieldPosition="0"/>
    </format>
    <format dxfId="314">
      <pivotArea field="-2" type="button" dataOnly="0" labelOnly="1" outline="0" axis="axisRow" fieldPosition="0"/>
    </format>
    <format dxfId="313">
      <pivotArea dataOnly="0" labelOnly="1" outline="0" fieldPosition="0">
        <references count="1">
          <reference field="4294967294" count="4">
            <x v="1"/>
            <x v="2"/>
            <x v="3"/>
            <x v="4"/>
          </reference>
        </references>
      </pivotArea>
    </format>
  </formats>
  <chartFormats count="8">
    <chartFormat chart="5" format="2" series="1">
      <pivotArea type="data" outline="0" fieldPosition="0">
        <references count="1">
          <reference field="4294967294" count="1" selected="0">
            <x v="3"/>
          </reference>
        </references>
      </pivotArea>
    </chartFormat>
    <chartFormat chart="5" format="4" series="1">
      <pivotArea type="data" outline="0" fieldPosition="0">
        <references count="1">
          <reference field="4294967294" count="1" selected="0">
            <x v="4"/>
          </reference>
        </references>
      </pivotArea>
    </chartFormat>
    <chartFormat chart="5" format="5" series="1">
      <pivotArea type="data" outline="0" fieldPosition="0">
        <references count="1">
          <reference field="4294967294" count="1" selected="0">
            <x v="1"/>
          </reference>
        </references>
      </pivotArea>
    </chartFormat>
    <chartFormat chart="5" format="6" series="1">
      <pivotArea type="data" outline="0" fieldPosition="0">
        <references count="1">
          <reference field="4294967294" count="1" selected="0">
            <x v="2"/>
          </reference>
        </references>
      </pivotArea>
    </chartFormat>
    <chartFormat chart="7" format="0" series="1">
      <pivotArea type="data" outline="0" fieldPosition="0">
        <references count="1">
          <reference field="4294967294" count="1" selected="0">
            <x v="1"/>
          </reference>
        </references>
      </pivotArea>
    </chartFormat>
    <chartFormat chart="7" format="1" series="1">
      <pivotArea type="data" outline="0" fieldPosition="0">
        <references count="1">
          <reference field="4294967294" count="1" selected="0">
            <x v="2"/>
          </reference>
        </references>
      </pivotArea>
    </chartFormat>
    <chartFormat chart="7" format="2" series="1">
      <pivotArea type="data" outline="0" fieldPosition="0">
        <references count="1">
          <reference field="4294967294" count="1" selected="0">
            <x v="3"/>
          </reference>
        </references>
      </pivotArea>
    </chartFormat>
    <chartFormat chart="7" format="4" series="1">
      <pivotArea type="data" outline="0" fieldPosition="0">
        <references count="1">
          <reference field="4294967294" count="1" selected="0">
            <x v="4"/>
          </reference>
        </references>
      </pivotArea>
    </chartFormat>
  </chartFormats>
  <pivotTableStyleInfo name="PivotTable Style a"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6.xml><?xml version="1.0" encoding="utf-8"?>
<pivotTableDefinition xmlns="http://schemas.openxmlformats.org/spreadsheetml/2006/main" name="PivotTable4" cacheId="0" applyNumberFormats="0" applyBorderFormats="0" applyFontFormats="0" applyPatternFormats="0" applyAlignmentFormats="0" applyWidthHeightFormats="1" dataCaption="Values" updatedVersion="6" minRefreshableVersion="3" itemPrintTitles="1" createdVersion="6" indent="0" outline="1" outlineData="1" multipleFieldFilters="0" rowHeaderCaption="Township">
  <location ref="K10:O20" firstHeaderRow="0" firstDataRow="1" firstDataCol="1" rowPageCount="4" colPageCount="1"/>
  <pivotFields count="92">
    <pivotField axis="axisPage" subtotalTop="0" showAll="0">
      <items count="8">
        <item m="1" x="2"/>
        <item m="1" x="3"/>
        <item x="0"/>
        <item m="1" x="1"/>
        <item m="1" x="6"/>
        <item m="1" x="4"/>
        <item m="1" x="5"/>
        <item t="default"/>
      </items>
    </pivotField>
    <pivotField subtotalTop="0" showAll="0"/>
    <pivotField axis="axisPage" subtotalTop="0" showAll="0">
      <items count="5">
        <item x="0"/>
        <item x="1"/>
        <item x="2"/>
        <item m="1" x="3"/>
        <item t="default"/>
      </items>
    </pivotField>
    <pivotField axis="axisRow" subtotalTop="0" showAll="0" sortType="ascending">
      <items count="37">
        <item x="13"/>
        <item x="3"/>
        <item x="14"/>
        <item x="9"/>
        <item x="8"/>
        <item x="29"/>
        <item x="28"/>
        <item x="25"/>
        <item x="15"/>
        <item x="16"/>
        <item m="1" x="33"/>
        <item m="1" x="34"/>
        <item x="0"/>
        <item x="26"/>
        <item x="17"/>
        <item x="18"/>
        <item x="11"/>
        <item x="4"/>
        <item x="1"/>
        <item x="19"/>
        <item x="27"/>
        <item x="20"/>
        <item x="10"/>
        <item x="31"/>
        <item x="30"/>
        <item m="1" x="32"/>
        <item x="21"/>
        <item x="22"/>
        <item x="5"/>
        <item m="1" x="35"/>
        <item x="23"/>
        <item x="6"/>
        <item x="24"/>
        <item x="7"/>
        <item x="12"/>
        <item x="2"/>
        <item t="default"/>
      </items>
    </pivotField>
    <pivotField subtotalTop="0" showAll="0"/>
    <pivotField subtotalTop="0" showAll="0"/>
    <pivotField dataField="1"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numFmtId="1" subtotalTop="0" showAll="0"/>
    <pivotField subtotalTop="0" showAll="0"/>
    <pivotField subtotalTop="0" showAll="0"/>
    <pivotField subtotalTop="0" showAll="0"/>
    <pivotField subtotalTop="0" showAll="0"/>
    <pivotField numFmtId="1"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howAll="0" defaultSubtota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dataField="1" subtotalTop="0" showAll="0"/>
    <pivotField subtotalTop="0" showAll="0"/>
    <pivotField subtotalTop="0" showAll="0"/>
    <pivotField subtotalTop="0" showAll="0"/>
    <pivotField showAll="0" defaultSubtotal="0"/>
    <pivotField subtotalTop="0" showAll="0"/>
    <pivotField subtotalTop="0" showAll="0"/>
    <pivotField subtotalTop="0" showAll="0"/>
    <pivotField dataField="1" subtotalTop="0" showAll="0"/>
    <pivotField subtotalTop="0" showAll="0"/>
    <pivotField subtotalTop="0" showAll="0"/>
    <pivotField numFmtId="9" showAll="0" defaultSubtotal="0"/>
    <pivotField showAll="0" defaultSubtotal="0"/>
    <pivotField subtotalTop="0" showAll="0"/>
    <pivotField dataField="1" subtotalTop="0" showAll="0"/>
    <pivotField numFmtId="1" showAll="0" defaultSubtotal="0"/>
    <pivotField numFmtId="1" showAll="0" defaultSubtotal="0"/>
    <pivotField numFmtId="1" showAll="0" defaultSubtotal="0"/>
    <pivotField numFmtId="1" showAll="0" defaultSubtotal="0"/>
    <pivotField numFmtId="1" showAll="0" defaultSubtotal="0"/>
    <pivotField subtotalTop="0" showAll="0"/>
    <pivotField subtotalTop="0" showAll="0"/>
    <pivotField subtotalTop="0" showAll="0"/>
    <pivotField numFmtId="1" showAll="0" defaultSubtotal="0"/>
    <pivotField numFmtId="1" showAll="0" defaultSubtotal="0"/>
    <pivotField numFmtId="1" showAll="0" defaultSubtotal="0"/>
    <pivotField subtotalTop="0" showAll="0"/>
    <pivotField subtotalTop="0" showAll="0"/>
    <pivotField subtotalTop="0" showAll="0"/>
    <pivotField axis="axisPage" subtotalTop="0" multipleItemSelectionAllowed="1" showAll="0">
      <items count="6">
        <item m="1" x="4"/>
        <item x="0"/>
        <item x="1"/>
        <item x="3"/>
        <item x="2"/>
        <item t="default"/>
      </items>
    </pivotField>
    <pivotField subtotalTop="0" showAll="0"/>
    <pivotField subtotalTop="0" showAll="0"/>
    <pivotField subtotalTop="0" showAll="0"/>
    <pivotField subtotalTop="0" showAll="0"/>
    <pivotField subtotalTop="0" showAll="0"/>
    <pivotField subtotalTop="0" showAll="0"/>
    <pivotField axis="axisPage" subtotalTop="0" multipleItemSelectionAllowed="1" showAll="0">
      <items count="5">
        <item x="0"/>
        <item h="1" x="1"/>
        <item m="1" x="3"/>
        <item m="1" x="2"/>
        <item t="default"/>
      </items>
    </pivotField>
    <pivotField subtotalTop="0" showAll="0"/>
  </pivotFields>
  <rowFields count="1">
    <field x="3"/>
  </rowFields>
  <rowItems count="10">
    <i>
      <x/>
    </i>
    <i>
      <x v="2"/>
    </i>
    <i>
      <x v="8"/>
    </i>
    <i>
      <x v="9"/>
    </i>
    <i>
      <x v="14"/>
    </i>
    <i>
      <x v="21"/>
    </i>
    <i>
      <x v="26"/>
    </i>
    <i>
      <x v="30"/>
    </i>
    <i>
      <x v="32"/>
    </i>
    <i t="grand">
      <x/>
    </i>
  </rowItems>
  <colFields count="1">
    <field x="-2"/>
  </colFields>
  <colItems count="4">
    <i>
      <x/>
    </i>
    <i i="1">
      <x v="1"/>
    </i>
    <i i="2">
      <x v="2"/>
    </i>
    <i i="3">
      <x v="3"/>
    </i>
  </colItems>
  <pageFields count="4">
    <pageField fld="0" item="2" hier="-1"/>
    <pageField fld="90" hier="-1"/>
    <pageField fld="83" hier="-1"/>
    <pageField fld="2" item="1" hier="-1"/>
  </pageFields>
  <dataFields count="4">
    <dataField name="Water GAP" fld="54" subtotal="average" baseField="3" baseItem="0" numFmtId="9"/>
    <dataField name="Sanitation Gap " fld="62" subtotal="average" baseField="3" baseItem="11" numFmtId="9"/>
    <dataField name="Hygiene Gap" fld="68" subtotal="average" baseField="3" baseItem="14" numFmtId="9"/>
    <dataField name="PoP " fld="6" baseField="0" baseItem="0"/>
  </dataFields>
  <formats count="32">
    <format dxfId="361">
      <pivotArea type="all" dataOnly="0" outline="0" fieldPosition="0"/>
    </format>
    <format dxfId="360">
      <pivotArea outline="0" collapsedLevelsAreSubtotals="1" fieldPosition="0"/>
    </format>
    <format dxfId="359">
      <pivotArea field="3" type="button" dataOnly="0" labelOnly="1" outline="0" axis="axisRow" fieldPosition="0"/>
    </format>
    <format dxfId="358">
      <pivotArea dataOnly="0" labelOnly="1" outline="0" axis="axisValues" fieldPosition="0"/>
    </format>
    <format dxfId="357">
      <pivotArea dataOnly="0" labelOnly="1" fieldPosition="0">
        <references count="1">
          <reference field="3" count="0"/>
        </references>
      </pivotArea>
    </format>
    <format dxfId="356">
      <pivotArea dataOnly="0" labelOnly="1" grandRow="1" outline="0" fieldPosition="0"/>
    </format>
    <format dxfId="355">
      <pivotArea dataOnly="0" labelOnly="1" outline="0" axis="axisValues" fieldPosition="0"/>
    </format>
    <format dxfId="354">
      <pivotArea type="all" dataOnly="0" outline="0" fieldPosition="0"/>
    </format>
    <format dxfId="353">
      <pivotArea outline="0" collapsedLevelsAreSubtotals="1" fieldPosition="0"/>
    </format>
    <format dxfId="352">
      <pivotArea field="3" type="button" dataOnly="0" labelOnly="1" outline="0" axis="axisRow" fieldPosition="0"/>
    </format>
    <format dxfId="351">
      <pivotArea dataOnly="0" labelOnly="1" outline="0" axis="axisValues" fieldPosition="0"/>
    </format>
    <format dxfId="350">
      <pivotArea dataOnly="0" labelOnly="1" fieldPosition="0">
        <references count="1">
          <reference field="3" count="0"/>
        </references>
      </pivotArea>
    </format>
    <format dxfId="349">
      <pivotArea dataOnly="0" labelOnly="1" grandRow="1" outline="0" fieldPosition="0"/>
    </format>
    <format dxfId="348">
      <pivotArea dataOnly="0" labelOnly="1" outline="0" axis="axisValues" fieldPosition="0"/>
    </format>
    <format dxfId="347">
      <pivotArea outline="0" fieldPosition="0">
        <references count="1">
          <reference field="4294967294" count="1">
            <x v="1"/>
          </reference>
        </references>
      </pivotArea>
    </format>
    <format dxfId="346">
      <pivotArea field="3" type="button" dataOnly="0" labelOnly="1" outline="0" axis="axisRow" fieldPosition="0"/>
    </format>
    <format dxfId="345">
      <pivotArea dataOnly="0" labelOnly="1" outline="0" fieldPosition="0">
        <references count="1">
          <reference field="4294967294" count="2">
            <x v="0"/>
            <x v="1"/>
          </reference>
        </references>
      </pivotArea>
    </format>
    <format dxfId="344">
      <pivotArea outline="0" fieldPosition="0">
        <references count="1">
          <reference field="4294967294" count="1">
            <x v="0"/>
          </reference>
        </references>
      </pivotArea>
    </format>
    <format dxfId="343">
      <pivotArea outline="0" fieldPosition="0">
        <references count="1">
          <reference field="4294967294" count="1">
            <x v="0"/>
          </reference>
        </references>
      </pivotArea>
    </format>
    <format dxfId="342">
      <pivotArea outline="0" fieldPosition="0">
        <references count="1">
          <reference field="4294967294" count="1">
            <x v="2"/>
          </reference>
        </references>
      </pivotArea>
    </format>
    <format dxfId="341">
      <pivotArea type="all" dataOnly="0" outline="0" fieldPosition="0"/>
    </format>
    <format dxfId="340">
      <pivotArea outline="0" collapsedLevelsAreSubtotals="1" fieldPosition="0"/>
    </format>
    <format dxfId="339">
      <pivotArea field="3" type="button" dataOnly="0" labelOnly="1" outline="0" axis="axisRow" fieldPosition="0"/>
    </format>
    <format dxfId="338">
      <pivotArea dataOnly="0" labelOnly="1" fieldPosition="0">
        <references count="1">
          <reference field="3" count="2">
            <x v="26"/>
            <x v="32"/>
          </reference>
        </references>
      </pivotArea>
    </format>
    <format dxfId="337">
      <pivotArea dataOnly="0" labelOnly="1" outline="0" fieldPosition="0">
        <references count="1">
          <reference field="4294967294" count="4">
            <x v="0"/>
            <x v="1"/>
            <x v="2"/>
            <x v="3"/>
          </reference>
        </references>
      </pivotArea>
    </format>
    <format dxfId="336">
      <pivotArea type="all" dataOnly="0" outline="0" fieldPosition="0"/>
    </format>
    <format dxfId="335">
      <pivotArea outline="0" collapsedLevelsAreSubtotals="1" fieldPosition="0"/>
    </format>
    <format dxfId="334">
      <pivotArea field="3" type="button" dataOnly="0" labelOnly="1" outline="0" axis="axisRow" fieldPosition="0"/>
    </format>
    <format dxfId="333">
      <pivotArea dataOnly="0" labelOnly="1" fieldPosition="0">
        <references count="1">
          <reference field="3" count="2">
            <x v="26"/>
            <x v="32"/>
          </reference>
        </references>
      </pivotArea>
    </format>
    <format dxfId="332">
      <pivotArea dataOnly="0" labelOnly="1" outline="0" fieldPosition="0">
        <references count="1">
          <reference field="4294967294" count="4">
            <x v="0"/>
            <x v="1"/>
            <x v="2"/>
            <x v="3"/>
          </reference>
        </references>
      </pivotArea>
    </format>
    <format dxfId="331">
      <pivotArea field="3" type="button" dataOnly="0" labelOnly="1" outline="0" axis="axisRow" fieldPosition="0"/>
    </format>
    <format dxfId="330">
      <pivotArea dataOnly="0" labelOnly="1" outline="0" fieldPosition="0">
        <references count="1">
          <reference field="4294967294" count="4">
            <x v="0"/>
            <x v="1"/>
            <x v="2"/>
            <x v="3"/>
          </reference>
        </references>
      </pivotArea>
    </format>
  </formats>
  <pivotTableStyleInfo name="CUSTOM" showRowHeaders="1" showColHeaders="1" showRowStripes="1" showColStripes="0" showLastColumn="1"/>
  <extLst>
    <ext xmlns:x14="http://schemas.microsoft.com/office/spreadsheetml/2009/9/main" uri="{962EF5D1-5CA2-4c93-8EF4-DBF5C05439D2}">
      <x14:pivotTableDefinition xmlns:xm="http://schemas.microsoft.com/office/excel/2006/main" hideValuesRow="1">
        <x14:conditionalFormats count="1">
          <x14:conditionalFormat priority="2" id="{62FCEF5E-C4F1-43C9-9887-07FC91D69403}">
            <x14:pivotAreas count="1">
              <pivotArea type="data" outline="0" collapsedLevelsAreSubtotals="1" fieldPosition="0">
                <references count="1">
                  <reference field="4294967294" count="3" selected="0">
                    <x v="0"/>
                    <x v="1"/>
                    <x v="2"/>
                  </reference>
                </references>
              </pivotArea>
            </x14:pivotAreas>
          </x14:conditionalFormat>
        </x14:conditionalFormats>
      </x14:pivotTableDefinition>
    </ext>
    <ext xmlns:xpdl="http://schemas.microsoft.com/office/spreadsheetml/2016/pivotdefaultlayout" uri="{747A6164-185A-40DC-8AA5-F01512510D54}">
      <xpdl:pivotTableDefinition16/>
    </ext>
  </extLst>
</pivotTableDefinition>
</file>

<file path=xl/pivotTables/pivotTable17.xml><?xml version="1.0" encoding="utf-8"?>
<pivotTableDefinition xmlns="http://schemas.openxmlformats.org/spreadsheetml/2006/main" name="latrine_Rak" cacheId="0" dataOnRows="1" applyNumberFormats="0" applyBorderFormats="0" applyFontFormats="0" applyPatternFormats="0" applyAlignmentFormats="0" applyWidthHeightFormats="1" dataCaption="Values" updatedVersion="6" minRefreshableVersion="3" rowGrandTotals="0" colGrandTotals="0" itemPrintTitles="1" createdVersion="6" indent="0" outline="1" outlineData="1" multipleFieldFilters="0" chartFormat="16">
  <location ref="N81:P89" firstHeaderRow="1" firstDataRow="2" firstDataCol="1" rowPageCount="3" colPageCount="1"/>
  <pivotFields count="92">
    <pivotField axis="axisPage" subtotalTop="0" multipleItemSelectionAllowed="1" showAll="0">
      <items count="8">
        <item m="1" x="2"/>
        <item m="1" x="3"/>
        <item m="1" x="6"/>
        <item x="0"/>
        <item m="1" x="4"/>
        <item h="1" m="1" x="1"/>
        <item h="1" m="1" x="5"/>
        <item t="default"/>
      </items>
    </pivotField>
    <pivotField subtotalTop="0" showAll="0"/>
    <pivotField axis="axisPage" subtotalTop="0" showAll="0">
      <items count="5">
        <item x="0"/>
        <item x="1"/>
        <item x="2"/>
        <item m="1" x="3"/>
        <item t="default"/>
      </items>
    </pivotField>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dataField="1" subtotalTop="0" showAll="0"/>
    <pivotField dataField="1" subtotalTop="0" showAll="0"/>
    <pivotField dataField="1" subtotalTop="0" showAll="0"/>
    <pivotField dataField="1"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howAll="0" defaultSubtota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numFmtId="9" subtotalTop="0" showAll="0"/>
    <pivotField subtotalTop="0" showAll="0"/>
    <pivotField subtotalTop="0" showAll="0"/>
    <pivotField subtotalTop="0" showAll="0"/>
    <pivotField showAll="0" defaultSubtotal="0"/>
    <pivotField dataField="1" subtotalTop="0" showAll="0"/>
    <pivotField subtotalTop="0" showAll="0"/>
    <pivotField subtotalTop="0" showAll="0"/>
    <pivotField numFmtId="9" subtotalTop="0" showAll="0"/>
    <pivotField dataField="1" numFmtId="1" subtotalTop="0" showAll="0"/>
    <pivotField dataField="1" subtotalTop="0" showAll="0"/>
    <pivotField numFmtId="9" showAll="0" defaultSubtotal="0"/>
    <pivotField showAll="0" defaultSubtotal="0"/>
    <pivotField numFmtId="9" subtotalTop="0" showAll="0"/>
    <pivotField subtotalTop="0" showAll="0"/>
    <pivotField numFmtId="1" showAll="0" defaultSubtotal="0"/>
    <pivotField numFmtId="1" showAll="0" defaultSubtotal="0"/>
    <pivotField numFmtId="1" showAll="0" defaultSubtotal="0"/>
    <pivotField numFmtId="1" showAll="0" defaultSubtotal="0"/>
    <pivotField numFmtId="1" showAll="0" defaultSubtotal="0"/>
    <pivotField subtotalTop="0" showAll="0"/>
    <pivotField numFmtId="9" subtotalTop="0" showAll="0"/>
    <pivotField numFmtId="9" subtotalTop="0" showAll="0"/>
    <pivotField numFmtId="1" showAll="0" defaultSubtotal="0"/>
    <pivotField numFmtId="1" showAll="0" defaultSubtotal="0"/>
    <pivotField numFmtId="1" showAll="0" defaultSubtotal="0"/>
    <pivotField subtotalTop="0" showAll="0"/>
    <pivotField subtotalTop="0" showAll="0"/>
    <pivotField subtotalTop="0" showAll="0"/>
    <pivotField axis="axisCol" subtotalTop="0" showAll="0">
      <items count="6">
        <item h="1" m="1" x="4"/>
        <item n="# in active camps (20:1)" x="0"/>
        <item h="1" x="1"/>
        <item n="# in villages (6:1)" x="3"/>
        <item h="1" x="2"/>
        <item t="default"/>
      </items>
    </pivotField>
    <pivotField subtotalTop="0" showAll="0"/>
    <pivotField subtotalTop="0" showAll="0"/>
    <pivotField subtotalTop="0" showAll="0"/>
    <pivotField subtotalTop="0" showAll="0"/>
    <pivotField subtotalTop="0" showAll="0"/>
    <pivotField subtotalTop="0" showAll="0"/>
    <pivotField axis="axisPage" subtotalTop="0" showAll="0">
      <items count="5">
        <item x="0"/>
        <item x="1"/>
        <item m="1" x="3"/>
        <item m="1" x="2"/>
        <item t="default"/>
      </items>
    </pivotField>
    <pivotField subtotalTop="0" showAll="0"/>
  </pivotFields>
  <rowFields count="1">
    <field x="-2"/>
  </rowFields>
  <rowItems count="7">
    <i>
      <x/>
    </i>
    <i i="1">
      <x v="1"/>
    </i>
    <i i="2">
      <x v="2"/>
    </i>
    <i i="3">
      <x v="3"/>
    </i>
    <i i="4">
      <x v="4"/>
    </i>
    <i i="5">
      <x v="5"/>
    </i>
    <i i="6">
      <x v="6"/>
    </i>
  </rowItems>
  <colFields count="1">
    <field x="83"/>
  </colFields>
  <colItems count="2">
    <i>
      <x v="1"/>
    </i>
    <i>
      <x v="3"/>
    </i>
  </colItems>
  <pageFields count="3">
    <pageField fld="2" item="1" hier="-1"/>
    <pageField fld="0" hier="-1"/>
    <pageField fld="90" item="0" hier="-1"/>
  </pageFields>
  <dataFields count="7">
    <dataField name="# latrines (target)" fld="64" baseField="0" baseItem="0"/>
    <dataField name="# latrines (gap)" fld="63" baseField="0" baseItem="0"/>
    <dataField name="# latrines dysfunctional" fld="26" baseField="87" baseItem="1"/>
    <dataField name="# latrines desludged" fld="27" baseField="87" baseItem="1"/>
    <dataField name="# handed over" fld="28" baseField="87" baseItem="1"/>
    <dataField name=" Total # of latrine" fld="59" baseField="83" baseItem="1"/>
    <dataField name="Sum of # Existing functional latrines" fld="25" baseField="83" baseItem="1"/>
  </dataFields>
  <formats count="19">
    <format dxfId="380">
      <pivotArea field="2" type="button" dataOnly="0" labelOnly="1" outline="0" axis="axisPage" fieldPosition="0"/>
    </format>
    <format dxfId="379">
      <pivotArea field="83" type="button" dataOnly="0" labelOnly="1" outline="0" axis="axisCol" fieldPosition="0"/>
    </format>
    <format dxfId="378">
      <pivotArea dataOnly="0" labelOnly="1" outline="0" fieldPosition="0">
        <references count="1">
          <reference field="4294967294" count="4">
            <x v="1"/>
            <x v="2"/>
            <x v="3"/>
            <x v="4"/>
          </reference>
        </references>
      </pivotArea>
    </format>
    <format dxfId="377">
      <pivotArea type="all" dataOnly="0" outline="0" fieldPosition="0"/>
    </format>
    <format dxfId="376">
      <pivotArea outline="0" collapsedLevelsAreSubtotals="1" fieldPosition="0"/>
    </format>
    <format dxfId="375">
      <pivotArea type="origin" dataOnly="0" labelOnly="1" outline="0" fieldPosition="0"/>
    </format>
    <format dxfId="374">
      <pivotArea field="83" type="button" dataOnly="0" labelOnly="1" outline="0" axis="axisCol" fieldPosition="0"/>
    </format>
    <format dxfId="373">
      <pivotArea type="topRight" dataOnly="0" labelOnly="1" outline="0" fieldPosition="0"/>
    </format>
    <format dxfId="372">
      <pivotArea field="-2" type="button" dataOnly="0" labelOnly="1" outline="0" axis="axisRow" fieldPosition="0"/>
    </format>
    <format dxfId="371">
      <pivotArea dataOnly="0" labelOnly="1" outline="0" fieldPosition="0">
        <references count="1">
          <reference field="4294967294" count="4">
            <x v="1"/>
            <x v="2"/>
            <x v="3"/>
            <x v="4"/>
          </reference>
        </references>
      </pivotArea>
    </format>
    <format dxfId="370">
      <pivotArea dataOnly="0" labelOnly="1" fieldPosition="0">
        <references count="1">
          <reference field="83" count="0"/>
        </references>
      </pivotArea>
    </format>
    <format dxfId="369">
      <pivotArea type="all" dataOnly="0" outline="0" fieldPosition="0"/>
    </format>
    <format dxfId="368">
      <pivotArea outline="0" collapsedLevelsAreSubtotals="1" fieldPosition="0"/>
    </format>
    <format dxfId="367">
      <pivotArea type="origin" dataOnly="0" labelOnly="1" outline="0" fieldPosition="0"/>
    </format>
    <format dxfId="366">
      <pivotArea field="83" type="button" dataOnly="0" labelOnly="1" outline="0" axis="axisCol" fieldPosition="0"/>
    </format>
    <format dxfId="365">
      <pivotArea type="topRight" dataOnly="0" labelOnly="1" outline="0" fieldPosition="0"/>
    </format>
    <format dxfId="364">
      <pivotArea field="-2" type="button" dataOnly="0" labelOnly="1" outline="0" axis="axisRow" fieldPosition="0"/>
    </format>
    <format dxfId="363">
      <pivotArea dataOnly="0" labelOnly="1" outline="0" fieldPosition="0">
        <references count="1">
          <reference field="4294967294" count="4">
            <x v="1"/>
            <x v="2"/>
            <x v="3"/>
            <x v="4"/>
          </reference>
        </references>
      </pivotArea>
    </format>
    <format dxfId="362">
      <pivotArea dataOnly="0" labelOnly="1" fieldPosition="0">
        <references count="1">
          <reference field="83" count="0"/>
        </references>
      </pivotArea>
    </format>
  </formats>
  <chartFormats count="14">
    <chartFormat chart="5" format="0" series="1">
      <pivotArea type="data" outline="0" fieldPosition="0">
        <references count="2">
          <reference field="4294967294" count="1" selected="0">
            <x v="1"/>
          </reference>
          <reference field="83" count="1" selected="0">
            <x v="1"/>
          </reference>
        </references>
      </pivotArea>
    </chartFormat>
    <chartFormat chart="5" format="1" series="1">
      <pivotArea type="data" outline="0" fieldPosition="0">
        <references count="2">
          <reference field="4294967294" count="1" selected="0">
            <x v="1"/>
          </reference>
          <reference field="83" count="1" selected="0">
            <x v="3"/>
          </reference>
        </references>
      </pivotArea>
    </chartFormat>
    <chartFormat chart="5" format="2" series="1">
      <pivotArea type="data" outline="0" fieldPosition="0">
        <references count="1">
          <reference field="4294967294" count="1" selected="0">
            <x v="3"/>
          </reference>
        </references>
      </pivotArea>
    </chartFormat>
    <chartFormat chart="5" format="4" series="1">
      <pivotArea type="data" outline="0" fieldPosition="0">
        <references count="1">
          <reference field="4294967294" count="1" selected="0">
            <x v="4"/>
          </reference>
        </references>
      </pivotArea>
    </chartFormat>
    <chartFormat chart="5" format="5" series="1">
      <pivotArea type="data" outline="0" fieldPosition="0">
        <references count="1">
          <reference field="4294967294" count="1" selected="0">
            <x v="1"/>
          </reference>
        </references>
      </pivotArea>
    </chartFormat>
    <chartFormat chart="5" format="6" series="1">
      <pivotArea type="data" outline="0" fieldPosition="0">
        <references count="1">
          <reference field="4294967294" count="1" selected="0">
            <x v="2"/>
          </reference>
        </references>
      </pivotArea>
    </chartFormat>
    <chartFormat chart="7" format="0" series="1">
      <pivotArea type="data" outline="0" fieldPosition="0">
        <references count="1">
          <reference field="4294967294" count="1" selected="0">
            <x v="1"/>
          </reference>
        </references>
      </pivotArea>
    </chartFormat>
    <chartFormat chart="7" format="1" series="1">
      <pivotArea type="data" outline="0" fieldPosition="0">
        <references count="1">
          <reference field="4294967294" count="1" selected="0">
            <x v="2"/>
          </reference>
        </references>
      </pivotArea>
    </chartFormat>
    <chartFormat chart="7" format="2" series="1">
      <pivotArea type="data" outline="0" fieldPosition="0">
        <references count="1">
          <reference field="4294967294" count="1" selected="0">
            <x v="3"/>
          </reference>
        </references>
      </pivotArea>
    </chartFormat>
    <chartFormat chart="7" format="4" series="1">
      <pivotArea type="data" outline="0" fieldPosition="0">
        <references count="1">
          <reference field="4294967294" count="1" selected="0">
            <x v="4"/>
          </reference>
        </references>
      </pivotArea>
    </chartFormat>
    <chartFormat chart="7" format="5" series="1">
      <pivotArea type="data" outline="0" fieldPosition="0">
        <references count="2">
          <reference field="4294967294" count="1" selected="0">
            <x v="1"/>
          </reference>
          <reference field="83" count="1" selected="0">
            <x v="1"/>
          </reference>
        </references>
      </pivotArea>
    </chartFormat>
    <chartFormat chart="7" format="6" series="1">
      <pivotArea type="data" outline="0" fieldPosition="0">
        <references count="2">
          <reference field="4294967294" count="1" selected="0">
            <x v="1"/>
          </reference>
          <reference field="83" count="1" selected="0">
            <x v="3"/>
          </reference>
        </references>
      </pivotArea>
    </chartFormat>
    <chartFormat chart="9" format="9" series="1">
      <pivotArea type="data" outline="0" fieldPosition="0">
        <references count="2">
          <reference field="4294967294" count="1" selected="0">
            <x v="1"/>
          </reference>
          <reference field="83" count="1" selected="0">
            <x v="1"/>
          </reference>
        </references>
      </pivotArea>
    </chartFormat>
    <chartFormat chart="9" format="10" series="1">
      <pivotArea type="data" outline="0" fieldPosition="0">
        <references count="2">
          <reference field="4294967294" count="1" selected="0">
            <x v="1"/>
          </reference>
          <reference field="83" count="1" selected="0">
            <x v="3"/>
          </reference>
        </references>
      </pivotArea>
    </chartFormat>
  </chartFormats>
  <pivotTableStyleInfo name="PivotTable Style a"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8.xml><?xml version="1.0" encoding="utf-8"?>
<pivotTableDefinition xmlns="http://schemas.openxmlformats.org/spreadsheetml/2006/main" name="PivotTable9" cacheId="0" dataOnRows="1" applyNumberFormats="0" applyBorderFormats="0" applyFontFormats="0" applyPatternFormats="0" applyAlignmentFormats="0" applyWidthHeightFormats="1" dataCaption="Values" updatedVersion="6" minRefreshableVersion="3" rowGrandTotals="0" colGrandTotals="0" itemPrintTitles="1" createdVersion="6" indent="0" outline="1" outlineData="1" multipleFieldFilters="0" chartFormat="8">
  <location ref="H177:J181" firstHeaderRow="1" firstDataRow="2" firstDataCol="1" rowPageCount="2" colPageCount="1"/>
  <pivotFields count="92">
    <pivotField axis="axisPage" subtotalTop="0" showAll="0">
      <items count="8">
        <item m="1" x="2"/>
        <item m="1" x="3"/>
        <item m="1" x="6"/>
        <item x="0"/>
        <item m="1" x="4"/>
        <item m="1" x="1"/>
        <item m="1" x="5"/>
        <item t="default"/>
      </items>
    </pivotField>
    <pivotField subtotalTop="0" showAll="0"/>
    <pivotField axis="axisPage" subtotalTop="0" multipleItemSelectionAllowed="1" showAll="0">
      <items count="5">
        <item h="1" x="0"/>
        <item x="1"/>
        <item h="1" x="2"/>
        <item m="1" x="3"/>
        <item t="default"/>
      </items>
    </pivotField>
    <pivotField subtotalTop="0" showAll="0"/>
    <pivotField dataField="1"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numFmtId="1"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howAll="0" defaultSubtotal="0"/>
    <pivotField subtotalTop="0" showAll="0"/>
    <pivotField subtotalTop="0" showAll="0"/>
    <pivotField numFmtId="9" subtotalTop="0" showAll="0"/>
    <pivotField subtotalTop="0" showAll="0"/>
    <pivotField subtotalTop="0" showAll="0"/>
    <pivotField subtotalTop="0" showAll="0"/>
    <pivotField numFmtId="1" subtotalTop="0" showAll="0"/>
    <pivotField subtotalTop="0" showAll="0"/>
    <pivotField subtotalTop="0" showAll="0"/>
    <pivotField subtotalTop="0" showAll="0"/>
    <pivotField subtotalTop="0" showAll="0"/>
    <pivotField subtotalTop="0" showAll="0"/>
    <pivotField numFmtId="1" subtotalTop="0" showAll="0"/>
    <pivotField numFmtId="1" subtotalTop="0" showAll="0"/>
    <pivotField showAll="0" defaultSubtotal="0"/>
    <pivotField numFmtId="1" subtotalTop="0" showAll="0"/>
    <pivotField subtotalTop="0" showAll="0"/>
    <pivotField subtotalTop="0" showAll="0"/>
    <pivotField subtotalTop="0" showAll="0"/>
    <pivotField subtotalTop="0" showAll="0"/>
    <pivotField subtotalTop="0" showAll="0"/>
    <pivotField numFmtId="9" showAll="0" defaultSubtotal="0"/>
    <pivotField showAll="0" defaultSubtotal="0"/>
    <pivotField numFmtId="9" subtotalTop="0" showAll="0"/>
    <pivotField numFmtId="9" subtotalTop="0" showAll="0"/>
    <pivotField numFmtId="1" showAll="0" defaultSubtotal="0"/>
    <pivotField numFmtId="1" showAll="0" defaultSubtotal="0"/>
    <pivotField numFmtId="1" showAll="0" defaultSubtotal="0"/>
    <pivotField numFmtId="1" showAll="0" defaultSubtotal="0"/>
    <pivotField numFmtId="1" showAll="0" defaultSubtotal="0"/>
    <pivotField numFmtId="9" subtotalTop="0" showAll="0"/>
    <pivotField numFmtId="9" subtotalTop="0" showAll="0"/>
    <pivotField numFmtId="9" subtotalTop="0" showAll="0"/>
    <pivotField numFmtId="1" showAll="0" defaultSubtotal="0"/>
    <pivotField numFmtId="1" showAll="0" defaultSubtotal="0"/>
    <pivotField numFmtId="1" showAll="0" defaultSubtotal="0"/>
    <pivotField numFmtId="1" subtotalTop="0" showAll="0"/>
    <pivotField subtotalTop="0" showAll="0"/>
    <pivotField subtotalTop="0" showAll="0"/>
    <pivotField axis="axisRow" subtotalTop="0" showAll="0">
      <items count="6">
        <item h="1" m="1" x="4"/>
        <item x="0"/>
        <item x="1"/>
        <item x="3"/>
        <item x="2"/>
        <item t="default"/>
      </items>
    </pivotField>
    <pivotField subtotalTop="0" showAll="0"/>
    <pivotField subtotalTop="0" showAll="0"/>
    <pivotField subtotalTop="0" showAll="0"/>
    <pivotField subtotalTop="0" showAll="0"/>
    <pivotField subtotalTop="0" showAll="0"/>
    <pivotField subtotalTop="0" showAll="0"/>
    <pivotField axis="axisCol" subtotalTop="0" showAll="0">
      <items count="5">
        <item x="0"/>
        <item n="Gap" x="1"/>
        <item h="1" m="1" x="3"/>
        <item h="1" m="1" x="2"/>
        <item t="default"/>
      </items>
    </pivotField>
    <pivotField subtotalTop="0" showAll="0"/>
  </pivotFields>
  <rowFields count="1">
    <field x="83"/>
  </rowFields>
  <rowItems count="3">
    <i>
      <x v="1"/>
    </i>
    <i>
      <x v="3"/>
    </i>
    <i>
      <x v="4"/>
    </i>
  </rowItems>
  <colFields count="1">
    <field x="90"/>
  </colFields>
  <colItems count="2">
    <i>
      <x/>
    </i>
    <i>
      <x v="1"/>
    </i>
  </colItems>
  <pageFields count="2">
    <pageField fld="0" item="3" hier="-1"/>
    <pageField fld="2" hier="-1"/>
  </pageFields>
  <dataFields count="1">
    <dataField name="Count of Site Name" fld="4" subtotal="count" baseField="0" baseItem="0"/>
  </dataFields>
  <formats count="28">
    <format dxfId="408">
      <pivotArea type="all" dataOnly="0" outline="0" fieldPosition="0"/>
    </format>
    <format dxfId="407">
      <pivotArea outline="0" collapsedLevelsAreSubtotals="1" fieldPosition="0"/>
    </format>
    <format dxfId="406">
      <pivotArea field="2" type="button" dataOnly="0" labelOnly="1" outline="0" axis="axisPage" fieldPosition="1"/>
    </format>
    <format dxfId="405">
      <pivotArea dataOnly="0" labelOnly="1" fieldPosition="0">
        <references count="1">
          <reference field="2" count="0"/>
        </references>
      </pivotArea>
    </format>
    <format dxfId="404">
      <pivotArea dataOnly="0" labelOnly="1" grandRow="1" outline="0" fieldPosition="0"/>
    </format>
    <format dxfId="403">
      <pivotArea dataOnly="0" labelOnly="1" outline="0" fieldPosition="0">
        <references count="1">
          <reference field="4294967294" count="1">
            <x v="0"/>
          </reference>
        </references>
      </pivotArea>
    </format>
    <format dxfId="402">
      <pivotArea type="all" dataOnly="0" outline="0" fieldPosition="0"/>
    </format>
    <format dxfId="401">
      <pivotArea outline="0" collapsedLevelsAreSubtotals="1" fieldPosition="0"/>
    </format>
    <format dxfId="400">
      <pivotArea field="2" type="button" dataOnly="0" labelOnly="1" outline="0" axis="axisPage" fieldPosition="1"/>
    </format>
    <format dxfId="399">
      <pivotArea dataOnly="0" labelOnly="1" fieldPosition="0">
        <references count="1">
          <reference field="2" count="0"/>
        </references>
      </pivotArea>
    </format>
    <format dxfId="398">
      <pivotArea dataOnly="0" labelOnly="1" grandRow="1" outline="0" fieldPosition="0"/>
    </format>
    <format dxfId="397">
      <pivotArea dataOnly="0" labelOnly="1" outline="0" fieldPosition="0">
        <references count="1">
          <reference field="4294967294" count="1">
            <x v="0"/>
          </reference>
        </references>
      </pivotArea>
    </format>
    <format dxfId="396">
      <pivotArea type="all" dataOnly="0" outline="0" fieldPosition="0"/>
    </format>
    <format dxfId="395">
      <pivotArea outline="0" collapsedLevelsAreSubtotals="1" fieldPosition="0"/>
    </format>
    <format dxfId="394">
      <pivotArea type="origin" dataOnly="0" labelOnly="1" outline="0" fieldPosition="0"/>
    </format>
    <format dxfId="393">
      <pivotArea field="90" type="button" dataOnly="0" labelOnly="1" outline="0" axis="axisCol" fieldPosition="0"/>
    </format>
    <format dxfId="392">
      <pivotArea type="topRight" dataOnly="0" labelOnly="1" outline="0" fieldPosition="0"/>
    </format>
    <format dxfId="391">
      <pivotArea field="83" type="button" dataOnly="0" labelOnly="1" outline="0" axis="axisRow" fieldPosition="0"/>
    </format>
    <format dxfId="390">
      <pivotArea dataOnly="0" labelOnly="1" fieldPosition="0">
        <references count="1">
          <reference field="83" count="2">
            <x v="1"/>
            <x v="3"/>
          </reference>
        </references>
      </pivotArea>
    </format>
    <format dxfId="389">
      <pivotArea dataOnly="0" labelOnly="1" fieldPosition="0">
        <references count="1">
          <reference field="90" count="0"/>
        </references>
      </pivotArea>
    </format>
    <format dxfId="388">
      <pivotArea type="all" dataOnly="0" outline="0" fieldPosition="0"/>
    </format>
    <format dxfId="387">
      <pivotArea outline="0" collapsedLevelsAreSubtotals="1" fieldPosition="0"/>
    </format>
    <format dxfId="386">
      <pivotArea type="origin" dataOnly="0" labelOnly="1" outline="0" fieldPosition="0"/>
    </format>
    <format dxfId="385">
      <pivotArea field="90" type="button" dataOnly="0" labelOnly="1" outline="0" axis="axisCol" fieldPosition="0"/>
    </format>
    <format dxfId="384">
      <pivotArea type="topRight" dataOnly="0" labelOnly="1" outline="0" fieldPosition="0"/>
    </format>
    <format dxfId="383">
      <pivotArea field="83" type="button" dataOnly="0" labelOnly="1" outline="0" axis="axisRow" fieldPosition="0"/>
    </format>
    <format dxfId="382">
      <pivotArea dataOnly="0" labelOnly="1" fieldPosition="0">
        <references count="1">
          <reference field="83" count="2">
            <x v="1"/>
            <x v="3"/>
          </reference>
        </references>
      </pivotArea>
    </format>
    <format dxfId="381">
      <pivotArea dataOnly="0" labelOnly="1" fieldPosition="0">
        <references count="1">
          <reference field="90" count="0"/>
        </references>
      </pivotArea>
    </format>
  </formats>
  <chartFormats count="4">
    <chartFormat chart="1" format="0" series="1">
      <pivotArea type="data" outline="0" fieldPosition="0">
        <references count="2">
          <reference field="4294967294" count="1" selected="0">
            <x v="0"/>
          </reference>
          <reference field="90" count="1" selected="0">
            <x v="0"/>
          </reference>
        </references>
      </pivotArea>
    </chartFormat>
    <chartFormat chart="1" format="1" series="1">
      <pivotArea type="data" outline="0" fieldPosition="0">
        <references count="2">
          <reference field="4294967294" count="1" selected="0">
            <x v="0"/>
          </reference>
          <reference field="90" count="1" selected="0">
            <x v="1"/>
          </reference>
        </references>
      </pivotArea>
    </chartFormat>
    <chartFormat chart="4" format="4" series="1">
      <pivotArea type="data" outline="0" fieldPosition="0">
        <references count="2">
          <reference field="4294967294" count="1" selected="0">
            <x v="0"/>
          </reference>
          <reference field="90" count="1" selected="0">
            <x v="0"/>
          </reference>
        </references>
      </pivotArea>
    </chartFormat>
    <chartFormat chart="4" format="5" series="1">
      <pivotArea type="data" outline="0" fieldPosition="0">
        <references count="2">
          <reference field="4294967294" count="1" selected="0">
            <x v="0"/>
          </reference>
          <reference field="90" count="1" selected="0">
            <x v="1"/>
          </reference>
        </references>
      </pivotArea>
    </chartFormat>
  </chartFormats>
  <pivotTableStyleInfo name="CUSTOM"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9.xml><?xml version="1.0" encoding="utf-8"?>
<pivotTableDefinition xmlns="http://schemas.openxmlformats.org/spreadsheetml/2006/main" name="PivotTable14" cacheId="0" applyNumberFormats="0" applyBorderFormats="0" applyFontFormats="0" applyPatternFormats="0" applyAlignmentFormats="0" applyWidthHeightFormats="1" dataCaption="Values" updatedVersion="6" minRefreshableVersion="3" rowGrandTotals="0" colGrandTotals="0" itemPrintTitles="1" createdVersion="6" indent="0" outline="1" outlineData="1" multipleFieldFilters="0" chartFormat="8" rowHeaderCaption="State">
  <location ref="C287:G290" firstHeaderRow="0" firstDataRow="1" firstDataCol="1" rowPageCount="2" colPageCount="1"/>
  <pivotFields count="92">
    <pivotField axis="axisPage" subtotalTop="0" showAll="0">
      <items count="8">
        <item m="1" x="2"/>
        <item m="1" x="3"/>
        <item m="1" x="6"/>
        <item x="0"/>
        <item m="1" x="4"/>
        <item m="1" x="1"/>
        <item m="1" x="5"/>
        <item t="default"/>
      </items>
    </pivotField>
    <pivotField subtotalTop="0" showAll="0"/>
    <pivotField axis="axisRow" subtotalTop="0" multipleItemSelectionAllowed="1" showAll="0">
      <items count="5">
        <item x="0"/>
        <item x="1"/>
        <item x="2"/>
        <item h="1" m="1" x="3"/>
        <item t="default"/>
      </items>
    </pivotField>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dataField="1" subtotalTop="0" showAll="0"/>
    <pivotField subtotalTop="0" showAll="0"/>
    <pivotField subtotalTop="0" showAll="0"/>
    <pivotField subtotalTop="0" showAll="0"/>
    <pivotField subtotalTop="0" showAll="0"/>
    <pivotField numFmtId="1" subtotalTop="0" showAll="0"/>
    <pivotField subtotalTop="0" showAll="0"/>
    <pivotField subtotalTop="0" showAll="0"/>
    <pivotField dataField="1" subtotalTop="0" showAll="0"/>
    <pivotField dataField="1"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dataField="1" subtotalTop="0" showAll="0"/>
    <pivotField subtotalTop="0" showAll="0"/>
    <pivotField showAll="0" defaultSubtotal="0"/>
    <pivotField subtotalTop="0" showAll="0"/>
    <pivotField subtotalTop="0" showAll="0"/>
    <pivotField numFmtId="9" subtotalTop="0" showAll="0"/>
    <pivotField subtotalTop="0" showAll="0"/>
    <pivotField subtotalTop="0" showAll="0"/>
    <pivotField subtotalTop="0" showAll="0"/>
    <pivotField numFmtId="1" subtotalTop="0" showAll="0"/>
    <pivotField subtotalTop="0" showAll="0"/>
    <pivotField subtotalTop="0" showAll="0"/>
    <pivotField subtotalTop="0" showAll="0"/>
    <pivotField subtotalTop="0" showAll="0"/>
    <pivotField subtotalTop="0" showAll="0"/>
    <pivotField numFmtId="1" subtotalTop="0" showAll="0"/>
    <pivotField numFmtId="1" subtotalTop="0" showAll="0"/>
    <pivotField showAll="0" defaultSubtotal="0"/>
    <pivotField numFmtId="1" subtotalTop="0" showAll="0"/>
    <pivotField subtotalTop="0" showAll="0"/>
    <pivotField subtotalTop="0" showAll="0"/>
    <pivotField subtotalTop="0" showAll="0"/>
    <pivotField subtotalTop="0" showAll="0"/>
    <pivotField subtotalTop="0" showAll="0"/>
    <pivotField numFmtId="9" showAll="0" defaultSubtotal="0"/>
    <pivotField showAll="0" defaultSubtotal="0"/>
    <pivotField numFmtId="9" subtotalTop="0" showAll="0"/>
    <pivotField numFmtId="9" subtotalTop="0" showAll="0"/>
    <pivotField numFmtId="1" showAll="0" defaultSubtotal="0"/>
    <pivotField numFmtId="1" showAll="0" defaultSubtotal="0"/>
    <pivotField numFmtId="1" showAll="0" defaultSubtotal="0"/>
    <pivotField numFmtId="1" showAll="0" defaultSubtotal="0"/>
    <pivotField numFmtId="1" showAll="0" defaultSubtotal="0"/>
    <pivotField numFmtId="9" subtotalTop="0" showAll="0"/>
    <pivotField numFmtId="9" subtotalTop="0" showAll="0"/>
    <pivotField numFmtId="9" subtotalTop="0" showAll="0"/>
    <pivotField numFmtId="1" showAll="0" defaultSubtotal="0"/>
    <pivotField numFmtId="1" showAll="0" defaultSubtotal="0"/>
    <pivotField numFmtId="1" showAll="0" defaultSubtotal="0"/>
    <pivotField numFmtId="1" subtotalTop="0" showAll="0"/>
    <pivotField subtotalTop="0" showAll="0"/>
    <pivotField subtotalTop="0" showAll="0"/>
    <pivotField subtotalTop="0" showAll="0">
      <items count="6">
        <item h="1" m="1" x="4"/>
        <item x="0"/>
        <item x="1"/>
        <item x="3"/>
        <item h="1" x="2"/>
        <item t="default"/>
      </items>
    </pivotField>
    <pivotField subtotalTop="0" showAll="0"/>
    <pivotField subtotalTop="0" showAll="0"/>
    <pivotField subtotalTop="0" showAll="0"/>
    <pivotField subtotalTop="0" showAll="0"/>
    <pivotField subtotalTop="0" showAll="0"/>
    <pivotField subtotalTop="0" showAll="0"/>
    <pivotField axis="axisPage" subtotalTop="0" multipleItemSelectionAllowed="1" showAll="0">
      <items count="5">
        <item x="0"/>
        <item n="Gap" h="1" x="1"/>
        <item h="1" m="1" x="3"/>
        <item h="1" m="1" x="2"/>
        <item t="default"/>
      </items>
    </pivotField>
    <pivotField subtotalTop="0" showAll="0"/>
  </pivotFields>
  <rowFields count="1">
    <field x="2"/>
  </rowFields>
  <rowItems count="3">
    <i>
      <x/>
    </i>
    <i>
      <x v="1"/>
    </i>
    <i>
      <x v="2"/>
    </i>
  </rowItems>
  <colFields count="1">
    <field x="-2"/>
  </colFields>
  <colItems count="4">
    <i>
      <x/>
    </i>
    <i i="1">
      <x v="1"/>
    </i>
    <i i="2">
      <x v="2"/>
    </i>
    <i i="3">
      <x v="3"/>
    </i>
  </colItems>
  <pageFields count="2">
    <pageField fld="0" item="3" hier="-1"/>
    <pageField fld="90" hier="-1"/>
  </pageFields>
  <dataFields count="4">
    <dataField name=" # of hand washing stations for TLS" fld="23" baseField="2" baseItem="0"/>
    <dataField name=" # of children Latrine s" fld="31" baseField="2" baseItem="0"/>
    <dataField name=" # of latrines in TLS (schools)" fld="32" baseField="2" baseItem="0"/>
    <dataField name="Count of Is sufficient soap available for TLS?" fld="41" subtotal="count" baseField="0" baseItem="0"/>
  </dataFields>
  <formats count="22">
    <format dxfId="430">
      <pivotArea type="all" dataOnly="0" outline="0" fieldPosition="0"/>
    </format>
    <format dxfId="429">
      <pivotArea outline="0" collapsedLevelsAreSubtotals="1" fieldPosition="0"/>
    </format>
    <format dxfId="428">
      <pivotArea field="2" type="button" dataOnly="0" labelOnly="1" outline="0" axis="axisRow" fieldPosition="0"/>
    </format>
    <format dxfId="427">
      <pivotArea dataOnly="0" labelOnly="1" grandRow="1" outline="0" fieldPosition="0"/>
    </format>
    <format dxfId="426">
      <pivotArea type="all" dataOnly="0" outline="0" fieldPosition="0"/>
    </format>
    <format dxfId="425">
      <pivotArea outline="0" collapsedLevelsAreSubtotals="1" fieldPosition="0"/>
    </format>
    <format dxfId="424">
      <pivotArea field="2" type="button" dataOnly="0" labelOnly="1" outline="0" axis="axisRow" fieldPosition="0"/>
    </format>
    <format dxfId="423">
      <pivotArea dataOnly="0" labelOnly="1" grandRow="1" outline="0" fieldPosition="0"/>
    </format>
    <format dxfId="422">
      <pivotArea type="all" dataOnly="0" outline="0" fieldPosition="0"/>
    </format>
    <format dxfId="421">
      <pivotArea outline="0" collapsedLevelsAreSubtotals="1" fieldPosition="0"/>
    </format>
    <format dxfId="420">
      <pivotArea type="origin" dataOnly="0" labelOnly="1" outline="0" fieldPosition="0"/>
    </format>
    <format dxfId="419">
      <pivotArea field="90" type="button" dataOnly="0" labelOnly="1" outline="0" axis="axisPage" fieldPosition="1"/>
    </format>
    <format dxfId="418">
      <pivotArea type="topRight" dataOnly="0" labelOnly="1" outline="0" fieldPosition="0"/>
    </format>
    <format dxfId="417">
      <pivotArea field="83" type="button" dataOnly="0" labelOnly="1" outline="0"/>
    </format>
    <format dxfId="416">
      <pivotArea dataOnly="0" labelOnly="1" fieldPosition="0">
        <references count="1">
          <reference field="90" count="0"/>
        </references>
      </pivotArea>
    </format>
    <format dxfId="415">
      <pivotArea type="all" dataOnly="0" outline="0" fieldPosition="0"/>
    </format>
    <format dxfId="414">
      <pivotArea outline="0" collapsedLevelsAreSubtotals="1" fieldPosition="0"/>
    </format>
    <format dxfId="413">
      <pivotArea type="origin" dataOnly="0" labelOnly="1" outline="0" fieldPosition="0"/>
    </format>
    <format dxfId="412">
      <pivotArea field="90" type="button" dataOnly="0" labelOnly="1" outline="0" axis="axisPage" fieldPosition="1"/>
    </format>
    <format dxfId="411">
      <pivotArea type="topRight" dataOnly="0" labelOnly="1" outline="0" fieldPosition="0"/>
    </format>
    <format dxfId="410">
      <pivotArea field="83" type="button" dataOnly="0" labelOnly="1" outline="0"/>
    </format>
    <format dxfId="409">
      <pivotArea dataOnly="0" labelOnly="1" fieldPosition="0">
        <references count="1">
          <reference field="90" count="0"/>
        </references>
      </pivotArea>
    </format>
  </formats>
  <pivotTableStyleInfo name="CUSTOM"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name="PivotTable2" cacheId="0" dataOnRows="1" applyNumberFormats="0" applyBorderFormats="0" applyFontFormats="0" applyPatternFormats="0" applyAlignmentFormats="0" applyWidthHeightFormats="1" dataCaption="Values" updatedVersion="6" minRefreshableVersion="3" colGrandTotals="0" itemPrintTitles="1" createdVersion="6" indent="0" showHeaders="0" outline="1" outlineData="1" multipleFieldFilters="0">
  <location ref="C123:D129" firstHeaderRow="0" firstDataRow="0" firstDataCol="1" rowPageCount="3" colPageCount="1"/>
  <pivotFields count="92">
    <pivotField axis="axisPage" subtotalTop="0" showAll="0">
      <items count="8">
        <item m="1" x="2"/>
        <item x="0"/>
        <item m="1" x="1"/>
        <item m="1" x="3"/>
        <item m="1" x="6"/>
        <item m="1" x="4"/>
        <item m="1" x="5"/>
        <item t="default"/>
      </items>
    </pivotField>
    <pivotField subtotalTop="0" showAll="0"/>
    <pivotField subtotalTop="0" showAll="0">
      <items count="5">
        <item x="0"/>
        <item x="1"/>
        <item x="2"/>
        <item m="1" x="3"/>
        <item t="default"/>
      </items>
    </pivotField>
    <pivotField subtotalTop="0" showAll="0"/>
    <pivotField subtotalTop="0" showAll="0"/>
    <pivotField subtotalTop="0" showAll="0"/>
    <pivotField dataField="1"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howAll="0" defaultSubtotal="0"/>
    <pivotField subtotalTop="0" showAll="0"/>
    <pivotField subtotalTop="0" showAll="0"/>
    <pivotField numFmtId="9" subtotalTop="0" showAll="0"/>
    <pivotField subtotalTop="0" showAll="0"/>
    <pivotField dataField="1" subtotalTop="0" showAll="0"/>
    <pivotField subtotalTop="0" showAll="0"/>
    <pivotField subtotalTop="0" showAll="0"/>
    <pivotField subtotalTop="0" showAll="0"/>
    <pivotField dataField="1" subtotalTop="0" showAll="0"/>
    <pivotField subtotalTop="0" showAll="0"/>
    <pivotField subtotalTop="0" showAll="0"/>
    <pivotField subtotalTop="0" showAll="0"/>
    <pivotField subtotalTop="0" showAll="0"/>
    <pivotField numFmtId="1" subtotalTop="0" showAll="0"/>
    <pivotField showAll="0" defaultSubtotal="0"/>
    <pivotField numFmtId="1" subtotalTop="0" showAll="0"/>
    <pivotField numFmtId="9" subtotalTop="0" showAll="0"/>
    <pivotField dataField="1" numFmtId="164" subtotalTop="0" showAll="0"/>
    <pivotField subtotalTop="0" showAll="0"/>
    <pivotField subtotalTop="0" showAll="0"/>
    <pivotField subtotalTop="0" showAll="0"/>
    <pivotField numFmtId="9" showAll="0" defaultSubtotal="0"/>
    <pivotField dataField="1" showAll="0" defaultSubtotal="0"/>
    <pivotField subtotalTop="0" showAll="0"/>
    <pivotField subtotalTop="0" showAll="0"/>
    <pivotField dataField="1" numFmtId="1" showAll="0" defaultSubtotal="0"/>
    <pivotField numFmtId="1" showAll="0" defaultSubtotal="0"/>
    <pivotField numFmtId="1" showAll="0" defaultSubtotal="0"/>
    <pivotField numFmtId="1" showAll="0" defaultSubtotal="0"/>
    <pivotField numFmtId="1" showAll="0" defaultSubtotal="0"/>
    <pivotField subtotalTop="0" showAll="0"/>
    <pivotField subtotalTop="0" showAll="0"/>
    <pivotField subtotalTop="0" showAll="0"/>
    <pivotField numFmtId="1" showAll="0" defaultSubtotal="0"/>
    <pivotField numFmtId="1" showAll="0" defaultSubtotal="0"/>
    <pivotField dataField="1" numFmtId="1" showAll="0" defaultSubtotal="0"/>
    <pivotField numFmtId="1" subtotalTop="0" showAll="0"/>
    <pivotField subtotalTop="0" showAll="0"/>
    <pivotField subtotalTop="0" showAll="0"/>
    <pivotField axis="axisPage" subtotalTop="0" multipleItemSelectionAllowed="1" showAll="0">
      <items count="6">
        <item x="0"/>
        <item x="1"/>
        <item h="1" x="3"/>
        <item h="1" m="1" x="4"/>
        <item h="1" x="2"/>
        <item t="default"/>
      </items>
    </pivotField>
    <pivotField subtotalTop="0" showAll="0"/>
    <pivotField subtotalTop="0" showAll="0"/>
    <pivotField subtotalTop="0" showAll="0"/>
    <pivotField subtotalTop="0" showAll="0"/>
    <pivotField subtotalTop="0" showAll="0"/>
    <pivotField subtotalTop="0" showAll="0"/>
    <pivotField axis="axisPage" subtotalTop="0" showAll="0">
      <items count="5">
        <item x="0"/>
        <item x="1"/>
        <item m="1" x="2"/>
        <item m="1" x="3"/>
        <item t="default"/>
      </items>
    </pivotField>
    <pivotField subtotalTop="0" showAll="0"/>
  </pivotFields>
  <rowFields count="1">
    <field x="-2"/>
  </rowFields>
  <rowItems count="7">
    <i>
      <x/>
    </i>
    <i i="1">
      <x v="1"/>
    </i>
    <i i="2">
      <x v="2"/>
    </i>
    <i i="3">
      <x v="3"/>
    </i>
    <i i="4">
      <x v="4"/>
    </i>
    <i i="5">
      <x v="5"/>
    </i>
    <i i="6">
      <x v="6"/>
    </i>
  </rowItems>
  <colItems count="1">
    <i/>
  </colItems>
  <pageFields count="3">
    <pageField fld="0" item="1" hier="-1"/>
    <pageField fld="90" item="0" hier="-1"/>
    <pageField fld="83" hier="-1"/>
  </pageFields>
  <dataFields count="7">
    <dataField name="Total Population reached" fld="6" baseField="2" baseItem="0" numFmtId="3"/>
    <dataField name="Number of people with equitable and safe access to sufficient quantity of drinking water_1" fld="48" baseField="2" baseItem="1" numFmtId="3"/>
    <dataField name="Number of people with equitable and safe access to sufficient quantity of domestic water_2" fld="52" baseField="2" baseItem="1" numFmtId="3"/>
    <dataField name="Number of people with access to functional sanitation facilities_3" fld="61" baseField="2" baseItem="1" numFmtId="3"/>
    <dataField name="Number of people with access to continuous sanitation services_4" fld="66" baseField="2" baseItem="0" numFmtId="164"/>
    <dataField name="Number of people reached by regular dedicated hygiene promotion_5" fld="69" baseField="0" baseItem="0" numFmtId="164"/>
    <dataField name="Number of People received regular supply of hygiene items_6" fld="79" baseField="0" baseItem="0"/>
  </dataFields>
  <formats count="36">
    <format dxfId="928">
      <pivotArea field="2" type="button" dataOnly="0" labelOnly="1" outline="0"/>
    </format>
    <format dxfId="927">
      <pivotArea dataOnly="0" labelOnly="1" outline="0" fieldPosition="0">
        <references count="1">
          <reference field="4294967294" count="3">
            <x v="1"/>
            <x v="2"/>
            <x v="3"/>
          </reference>
        </references>
      </pivotArea>
    </format>
    <format dxfId="926">
      <pivotArea dataOnly="0" labelOnly="1" outline="0" fieldPosition="0">
        <references count="1">
          <reference field="4294967294" count="3">
            <x v="1"/>
            <x v="2"/>
            <x v="3"/>
          </reference>
        </references>
      </pivotArea>
    </format>
    <format dxfId="925">
      <pivotArea outline="0" fieldPosition="0">
        <references count="1">
          <reference field="4294967294" count="1">
            <x v="1"/>
          </reference>
        </references>
      </pivotArea>
    </format>
    <format dxfId="924">
      <pivotArea outline="0" fieldPosition="0">
        <references count="1">
          <reference field="4294967294" count="1">
            <x v="2"/>
          </reference>
        </references>
      </pivotArea>
    </format>
    <format dxfId="923">
      <pivotArea outline="0" fieldPosition="0">
        <references count="1">
          <reference field="4294967294" count="1">
            <x v="3"/>
          </reference>
        </references>
      </pivotArea>
    </format>
    <format dxfId="922">
      <pivotArea type="all" dataOnly="0" outline="0" fieldPosition="0"/>
    </format>
    <format dxfId="921">
      <pivotArea field="2" type="button" dataOnly="0" labelOnly="1" outline="0"/>
    </format>
    <format dxfId="920">
      <pivotArea dataOnly="0" labelOnly="1" outline="0" fieldPosition="0">
        <references count="1">
          <reference field="4294967294" count="3">
            <x v="1"/>
            <x v="2"/>
            <x v="3"/>
          </reference>
        </references>
      </pivotArea>
    </format>
    <format dxfId="919">
      <pivotArea outline="0" fieldPosition="0">
        <references count="1">
          <reference field="4294967294" count="1">
            <x v="0"/>
          </reference>
        </references>
      </pivotArea>
    </format>
    <format dxfId="918">
      <pivotArea dataOnly="0" labelOnly="1" outline="0" fieldPosition="0">
        <references count="1">
          <reference field="4294967294" count="1">
            <x v="0"/>
          </reference>
        </references>
      </pivotArea>
    </format>
    <format dxfId="917">
      <pivotArea outline="0" collapsedLevelsAreSubtotals="1" fieldPosition="0">
        <references count="1">
          <reference field="4294967294" count="2" selected="0">
            <x v="1"/>
            <x v="2"/>
          </reference>
        </references>
      </pivotArea>
    </format>
    <format dxfId="916">
      <pivotArea outline="0" collapsedLevelsAreSubtotals="1" fieldPosition="0">
        <references count="1">
          <reference field="4294967294" count="2" selected="0">
            <x v="1"/>
            <x v="2"/>
          </reference>
        </references>
      </pivotArea>
    </format>
    <format dxfId="915">
      <pivotArea dataOnly="0" labelOnly="1" outline="0" fieldPosition="0">
        <references count="1">
          <reference field="4294967294" count="2">
            <x v="1"/>
            <x v="2"/>
          </reference>
        </references>
      </pivotArea>
    </format>
    <format dxfId="914">
      <pivotArea outline="0" collapsedLevelsAreSubtotals="1" fieldPosition="0">
        <references count="1">
          <reference field="4294967294" count="2" selected="0">
            <x v="3"/>
            <x v="4"/>
          </reference>
        </references>
      </pivotArea>
    </format>
    <format dxfId="913">
      <pivotArea outline="0" collapsedLevelsAreSubtotals="1" fieldPosition="0">
        <references count="1">
          <reference field="4294967294" count="2" selected="0">
            <x v="3"/>
            <x v="4"/>
          </reference>
        </references>
      </pivotArea>
    </format>
    <format dxfId="912">
      <pivotArea dataOnly="0" labelOnly="1" outline="0" fieldPosition="0">
        <references count="1">
          <reference field="4294967294" count="2">
            <x v="3"/>
            <x v="4"/>
          </reference>
        </references>
      </pivotArea>
    </format>
    <format dxfId="911">
      <pivotArea outline="0" collapsedLevelsAreSubtotals="1" fieldPosition="0">
        <references count="1">
          <reference field="4294967294" count="1" selected="0">
            <x v="5"/>
          </reference>
        </references>
      </pivotArea>
    </format>
    <format dxfId="910">
      <pivotArea outline="0" collapsedLevelsAreSubtotals="1" fieldPosition="0">
        <references count="1">
          <reference field="4294967294" count="1" selected="0">
            <x v="5"/>
          </reference>
        </references>
      </pivotArea>
    </format>
    <format dxfId="909">
      <pivotArea dataOnly="0" labelOnly="1" outline="0" fieldPosition="0">
        <references count="1">
          <reference field="4294967294" count="1">
            <x v="5"/>
          </reference>
        </references>
      </pivotArea>
    </format>
    <format dxfId="908">
      <pivotArea outline="0" collapsedLevelsAreSubtotals="1" fieldPosition="0">
        <references count="1">
          <reference field="4294967294" count="5" selected="0">
            <x v="1"/>
            <x v="2"/>
            <x v="3"/>
            <x v="4"/>
            <x v="5"/>
          </reference>
        </references>
      </pivotArea>
    </format>
    <format dxfId="907">
      <pivotArea dataOnly="0" labelOnly="1" outline="0" fieldPosition="0">
        <references count="1">
          <reference field="4294967294" count="5">
            <x v="1"/>
            <x v="2"/>
            <x v="3"/>
            <x v="4"/>
            <x v="5"/>
          </reference>
        </references>
      </pivotArea>
    </format>
    <format dxfId="906">
      <pivotArea dataOnly="0" labelOnly="1" outline="0" fieldPosition="0">
        <references count="1">
          <reference field="4294967294" count="5">
            <x v="1"/>
            <x v="2"/>
            <x v="3"/>
            <x v="4"/>
            <x v="5"/>
          </reference>
        </references>
      </pivotArea>
    </format>
    <format dxfId="905">
      <pivotArea dataOnly="0" labelOnly="1" outline="0" fieldPosition="0">
        <references count="1">
          <reference field="4294967294" count="5">
            <x v="1"/>
            <x v="2"/>
            <x v="3"/>
            <x v="4"/>
            <x v="5"/>
          </reference>
        </references>
      </pivotArea>
    </format>
    <format dxfId="904">
      <pivotArea dataOnly="0" labelOnly="1" outline="0" fieldPosition="0">
        <references count="1">
          <reference field="4294967294" count="5">
            <x v="1"/>
            <x v="2"/>
            <x v="3"/>
            <x v="4"/>
            <x v="5"/>
          </reference>
        </references>
      </pivotArea>
    </format>
    <format dxfId="903">
      <pivotArea outline="0" collapsedLevelsAreSubtotals="1" fieldPosition="0">
        <references count="1">
          <reference field="4294967294" count="2" selected="0">
            <x v="4"/>
            <x v="5"/>
          </reference>
        </references>
      </pivotArea>
    </format>
    <format dxfId="902">
      <pivotArea type="all" dataOnly="0" outline="0" fieldPosition="0"/>
    </format>
    <format dxfId="901">
      <pivotArea outline="0" collapsedLevelsAreSubtotals="1" fieldPosition="0"/>
    </format>
    <format dxfId="900">
      <pivotArea dataOnly="0" labelOnly="1" grandRow="1" outline="0" fieldPosition="0"/>
    </format>
    <format dxfId="899">
      <pivotArea dataOnly="0" labelOnly="1" outline="0" fieldPosition="0">
        <references count="1">
          <reference field="4294967294" count="6">
            <x v="0"/>
            <x v="1"/>
            <x v="2"/>
            <x v="3"/>
            <x v="4"/>
            <x v="5"/>
          </reference>
        </references>
      </pivotArea>
    </format>
    <format dxfId="898">
      <pivotArea type="all" dataOnly="0" outline="0" fieldPosition="0"/>
    </format>
    <format dxfId="897">
      <pivotArea outline="0" collapsedLevelsAreSubtotals="1" fieldPosition="0"/>
    </format>
    <format dxfId="896">
      <pivotArea dataOnly="0" labelOnly="1" grandRow="1" outline="0" fieldPosition="0"/>
    </format>
    <format dxfId="895">
      <pivotArea dataOnly="0" labelOnly="1" outline="0" fieldPosition="0">
        <references count="1">
          <reference field="4294967294" count="6">
            <x v="0"/>
            <x v="1"/>
            <x v="2"/>
            <x v="3"/>
            <x v="4"/>
            <x v="5"/>
          </reference>
        </references>
      </pivotArea>
    </format>
    <format dxfId="894">
      <pivotArea outline="0" collapsedLevelsAreSubtotals="1" fieldPosition="0">
        <references count="1">
          <reference field="4294967294" count="1" selected="0">
            <x v="6"/>
          </reference>
        </references>
      </pivotArea>
    </format>
    <format dxfId="893">
      <pivotArea dataOnly="0" labelOnly="1" outline="0" fieldPosition="0">
        <references count="1">
          <reference field="4294967294" count="1">
            <x v="6"/>
          </reference>
        </references>
      </pivotArea>
    </format>
  </formats>
  <pivotTableStyleInfo name="PivotStyleLight2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0.xml><?xml version="1.0" encoding="utf-8"?>
<pivotTableDefinition xmlns="http://schemas.openxmlformats.org/spreadsheetml/2006/main" name="PivotTable6" cacheId="0" applyNumberFormats="0" applyBorderFormats="0" applyFontFormats="0" applyPatternFormats="0" applyAlignmentFormats="0" applyWidthHeightFormats="1" dataCaption="Values" updatedVersion="6" minRefreshableVersion="3" rowGrandTotals="0" colGrandTotals="0" itemPrintTitles="1" createdVersion="6" indent="0" outline="1" outlineData="1" multipleFieldFilters="0" chartFormat="12">
  <location ref="K40:M42" firstHeaderRow="0" firstDataRow="1" firstDataCol="1" rowPageCount="4" colPageCount="1"/>
  <pivotFields count="92">
    <pivotField axis="axisPage" subtotalTop="0" multipleItemSelectionAllowed="1" showAll="0">
      <items count="8">
        <item m="1" x="2"/>
        <item m="1" x="3"/>
        <item x="0"/>
        <item h="1" m="1" x="1"/>
        <item m="1" x="6"/>
        <item m="1" x="4"/>
        <item h="1" m="1" x="5"/>
        <item t="default"/>
      </items>
    </pivotField>
    <pivotField subtotalTop="0" showAll="0"/>
    <pivotField axis="axisPage" subtotalTop="0" showAll="0">
      <items count="5">
        <item x="0"/>
        <item x="1"/>
        <item x="2"/>
        <item m="1" x="3"/>
        <item t="default"/>
      </items>
    </pivotField>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howAll="0" defaultSubtota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dataField="1" subtotalTop="0" showAll="0"/>
    <pivotField numFmtId="9" subtotalTop="0" showAll="0"/>
    <pivotField subtotalTop="0" showAll="0"/>
    <pivotField dataField="1" subtotalTop="0" showAll="0"/>
    <pivotField subtotalTop="0" showAll="0"/>
    <pivotField showAll="0" defaultSubtotal="0"/>
    <pivotField subtotalTop="0" showAll="0"/>
    <pivotField subtotalTop="0" showAll="0"/>
    <pivotField subtotalTop="0" showAll="0"/>
    <pivotField numFmtId="9" subtotalTop="0" showAll="0"/>
    <pivotField numFmtId="1" subtotalTop="0" showAll="0"/>
    <pivotField subtotalTop="0" showAll="0"/>
    <pivotField numFmtId="9" showAll="0" defaultSubtotal="0"/>
    <pivotField showAll="0" defaultSubtotal="0"/>
    <pivotField numFmtId="9" subtotalTop="0" showAll="0"/>
    <pivotField subtotalTop="0" showAll="0"/>
    <pivotField numFmtId="1" showAll="0" defaultSubtotal="0"/>
    <pivotField numFmtId="1" showAll="0" defaultSubtotal="0"/>
    <pivotField numFmtId="1" showAll="0" defaultSubtotal="0"/>
    <pivotField numFmtId="1" showAll="0" defaultSubtotal="0"/>
    <pivotField numFmtId="1" showAll="0" defaultSubtotal="0"/>
    <pivotField subtotalTop="0" showAll="0"/>
    <pivotField numFmtId="9" subtotalTop="0" showAll="0"/>
    <pivotField numFmtId="9" subtotalTop="0" showAll="0"/>
    <pivotField numFmtId="1" showAll="0" defaultSubtotal="0"/>
    <pivotField numFmtId="1" showAll="0" defaultSubtotal="0"/>
    <pivotField numFmtId="1" showAll="0" defaultSubtotal="0"/>
    <pivotField subtotalTop="0" showAll="0"/>
    <pivotField subtotalTop="0" showAll="0"/>
    <pivotField subtotalTop="0" showAll="0"/>
    <pivotField axis="axisPage" subtotalTop="0" multipleItemSelectionAllowed="1" showAll="0">
      <items count="6">
        <item m="1" x="4"/>
        <item x="0"/>
        <item x="1"/>
        <item h="1" x="3"/>
        <item h="1" x="2"/>
        <item t="default"/>
      </items>
    </pivotField>
    <pivotField subtotalTop="0" showAll="0"/>
    <pivotField subtotalTop="0" showAll="0"/>
    <pivotField axis="axisRow" subtotalTop="0" showAll="0">
      <items count="13">
        <item h="1" x="7"/>
        <item n="# in GCA active camps (500:1)" x="0"/>
        <item h="1" x="11"/>
        <item h="1" x="5"/>
        <item n="# in NGCA active camps (500:1)" x="1"/>
        <item h="1" x="3"/>
        <item h="1" x="10"/>
        <item h="1" x="9"/>
        <item h="1" x="4"/>
        <item h="1" x="8"/>
        <item h="1" x="6"/>
        <item h="1" x="2"/>
        <item t="default"/>
      </items>
    </pivotField>
    <pivotField subtotalTop="0" showAll="0"/>
    <pivotField subtotalTop="0" showAll="0"/>
    <pivotField subtotalTop="0" showAll="0"/>
    <pivotField axis="axisPage" subtotalTop="0" showAll="0">
      <items count="5">
        <item x="0"/>
        <item x="1"/>
        <item m="1" x="3"/>
        <item m="1" x="2"/>
        <item t="default"/>
      </items>
    </pivotField>
    <pivotField subtotalTop="0" showAll="0"/>
  </pivotFields>
  <rowFields count="1">
    <field x="86"/>
  </rowFields>
  <rowItems count="2">
    <i>
      <x v="1"/>
    </i>
    <i>
      <x v="4"/>
    </i>
  </rowItems>
  <colFields count="1">
    <field x="-2"/>
  </colFields>
  <colItems count="2">
    <i>
      <x/>
    </i>
    <i i="1">
      <x v="1"/>
    </i>
  </colItems>
  <pageFields count="4">
    <pageField fld="0" hier="-1"/>
    <pageField fld="83" hier="-1"/>
    <pageField fld="2" item="2" hier="-1"/>
    <pageField fld="90" item="0" hier="-1"/>
  </pageFields>
  <dataFields count="2">
    <dataField name="Coverage" fld="53" baseField="80" baseItem="1" numFmtId="1"/>
    <dataField name="Gap" fld="56" baseField="80" baseItem="1" numFmtId="1"/>
  </dataFields>
  <formats count="12">
    <format dxfId="442">
      <pivotArea type="all" dataOnly="0" outline="0" fieldPosition="0"/>
    </format>
    <format dxfId="441">
      <pivotArea outline="0" collapsedLevelsAreSubtotals="1" fieldPosition="0"/>
    </format>
    <format dxfId="440">
      <pivotArea field="86" type="button" dataOnly="0" labelOnly="1" outline="0" axis="axisRow" fieldPosition="0"/>
    </format>
    <format dxfId="439">
      <pivotArea dataOnly="0" labelOnly="1" fieldPosition="0">
        <references count="1">
          <reference field="86" count="1">
            <x v="1"/>
          </reference>
        </references>
      </pivotArea>
    </format>
    <format dxfId="438">
      <pivotArea type="all" dataOnly="0" outline="0" fieldPosition="0"/>
    </format>
    <format dxfId="437">
      <pivotArea outline="0" collapsedLevelsAreSubtotals="1" fieldPosition="0"/>
    </format>
    <format dxfId="436">
      <pivotArea field="86" type="button" dataOnly="0" labelOnly="1" outline="0" axis="axisRow" fieldPosition="0"/>
    </format>
    <format dxfId="435">
      <pivotArea dataOnly="0" labelOnly="1" fieldPosition="0">
        <references count="1">
          <reference field="86" count="1">
            <x v="1"/>
          </reference>
        </references>
      </pivotArea>
    </format>
    <format dxfId="434">
      <pivotArea field="86" type="button" dataOnly="0" labelOnly="1" outline="0" axis="axisRow" fieldPosition="0"/>
    </format>
    <format dxfId="433">
      <pivotArea dataOnly="0" labelOnly="1" outline="0" fieldPosition="0">
        <references count="1">
          <reference field="4294967294" count="2">
            <x v="0"/>
            <x v="1"/>
          </reference>
        </references>
      </pivotArea>
    </format>
    <format dxfId="432">
      <pivotArea outline="0" fieldPosition="0">
        <references count="1">
          <reference field="4294967294" count="1">
            <x v="0"/>
          </reference>
        </references>
      </pivotArea>
    </format>
    <format dxfId="431">
      <pivotArea outline="0" fieldPosition="0">
        <references count="1">
          <reference field="4294967294" count="1">
            <x v="1"/>
          </reference>
        </references>
      </pivotArea>
    </format>
  </formats>
  <chartFormats count="8">
    <chartFormat chart="6" format="0" series="1">
      <pivotArea type="data" outline="0" fieldPosition="0">
        <references count="1">
          <reference field="4294967294" count="1" selected="0">
            <x v="0"/>
          </reference>
        </references>
      </pivotArea>
    </chartFormat>
    <chartFormat chart="6" format="1" series="1">
      <pivotArea type="data" outline="0" fieldPosition="0">
        <references count="1">
          <reference field="4294967294" count="1" selected="0">
            <x v="1"/>
          </reference>
        </references>
      </pivotArea>
    </chartFormat>
    <chartFormat chart="6" format="2">
      <pivotArea type="data" outline="0" fieldPosition="0">
        <references count="2">
          <reference field="4294967294" count="1" selected="0">
            <x v="1"/>
          </reference>
          <reference field="86" count="1" selected="0">
            <x v="4"/>
          </reference>
        </references>
      </pivotArea>
    </chartFormat>
    <chartFormat chart="6" format="3">
      <pivotArea type="data" outline="0" fieldPosition="0">
        <references count="2">
          <reference field="4294967294" count="1" selected="0">
            <x v="0"/>
          </reference>
          <reference field="86" count="1" selected="0">
            <x v="4"/>
          </reference>
        </references>
      </pivotArea>
    </chartFormat>
    <chartFormat chart="11" format="8" series="1">
      <pivotArea type="data" outline="0" fieldPosition="0">
        <references count="1">
          <reference field="4294967294" count="1" selected="0">
            <x v="0"/>
          </reference>
        </references>
      </pivotArea>
    </chartFormat>
    <chartFormat chart="11" format="9">
      <pivotArea type="data" outline="0" fieldPosition="0">
        <references count="2">
          <reference field="4294967294" count="1" selected="0">
            <x v="0"/>
          </reference>
          <reference field="86" count="1" selected="0">
            <x v="4"/>
          </reference>
        </references>
      </pivotArea>
    </chartFormat>
    <chartFormat chart="11" format="10" series="1">
      <pivotArea type="data" outline="0" fieldPosition="0">
        <references count="1">
          <reference field="4294967294" count="1" selected="0">
            <x v="1"/>
          </reference>
        </references>
      </pivotArea>
    </chartFormat>
    <chartFormat chart="11" format="11">
      <pivotArea type="data" outline="0" fieldPosition="0">
        <references count="2">
          <reference field="4294967294" count="1" selected="0">
            <x v="1"/>
          </reference>
          <reference field="86" count="1" selected="0">
            <x v="4"/>
          </reference>
        </references>
      </pivotArea>
    </chartFormat>
  </chartFormats>
  <pivotTableStyleInfo name="PivotTable Style a"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1.xml><?xml version="1.0" encoding="utf-8"?>
<pivotTableDefinition xmlns="http://schemas.openxmlformats.org/spreadsheetml/2006/main" name="PivotTable10" cacheId="0" applyNumberFormats="0" applyBorderFormats="0" applyFontFormats="0" applyPatternFormats="0" applyAlignmentFormats="0" applyWidthHeightFormats="1" dataCaption="Values" updatedVersion="6" minRefreshableVersion="3" rowGrandTotals="0" colGrandTotals="0" itemPrintTitles="1" createdVersion="6" indent="0" outline="1" outlineData="1" multipleFieldFilters="0" chartFormat="25">
  <location ref="B64:D68" firstHeaderRow="1" firstDataRow="2" firstDataCol="1" rowPageCount="3" colPageCount="1"/>
  <pivotFields count="92">
    <pivotField axis="axisPage" subtotalTop="0" multipleItemSelectionAllowed="1" showAll="0">
      <items count="8">
        <item m="1" x="2"/>
        <item m="1" x="3"/>
        <item x="0"/>
        <item h="1" m="1" x="1"/>
        <item m="1" x="6"/>
        <item m="1" x="4"/>
        <item h="1" m="1" x="5"/>
        <item t="default"/>
      </items>
    </pivotField>
    <pivotField subtotalTop="0" showAll="0"/>
    <pivotField axis="axisRow" subtotalTop="0" showAll="0">
      <items count="5">
        <item x="0"/>
        <item x="1"/>
        <item x="2"/>
        <item m="1" x="3"/>
        <item t="default"/>
      </items>
    </pivotField>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howAll="0" defaultSubtota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numFmtId="9" subtotalTop="0" showAll="0"/>
    <pivotField subtotalTop="0" showAll="0"/>
    <pivotField subtotalTop="0" showAll="0"/>
    <pivotField subtotalTop="0" showAll="0"/>
    <pivotField axis="axisCol" dataField="1" showAll="0" defaultSubtotal="0">
      <items count="2">
        <item x="0"/>
        <item x="1"/>
      </items>
    </pivotField>
    <pivotField subtotalTop="0" showAll="0"/>
    <pivotField subtotalTop="0" showAll="0"/>
    <pivotField subtotalTop="0" showAll="0"/>
    <pivotField numFmtId="9" subtotalTop="0" showAll="0"/>
    <pivotField numFmtId="1" subtotalTop="0" showAll="0"/>
    <pivotField subtotalTop="0" showAll="0"/>
    <pivotField numFmtId="9" showAll="0" defaultSubtotal="0"/>
    <pivotField showAll="0" defaultSubtotal="0"/>
    <pivotField numFmtId="9" subtotalTop="0" showAll="0"/>
    <pivotField subtotalTop="0" showAll="0"/>
    <pivotField numFmtId="1" showAll="0" defaultSubtotal="0"/>
    <pivotField numFmtId="1" showAll="0" defaultSubtotal="0"/>
    <pivotField numFmtId="1" showAll="0" defaultSubtotal="0"/>
    <pivotField numFmtId="1" showAll="0" defaultSubtotal="0"/>
    <pivotField numFmtId="1" showAll="0" defaultSubtotal="0"/>
    <pivotField subtotalTop="0" showAll="0"/>
    <pivotField numFmtId="9" subtotalTop="0" showAll="0"/>
    <pivotField numFmtId="9" subtotalTop="0" showAll="0"/>
    <pivotField numFmtId="1" showAll="0" defaultSubtotal="0"/>
    <pivotField numFmtId="1" showAll="0" defaultSubtotal="0"/>
    <pivotField numFmtId="1" showAll="0" defaultSubtotal="0"/>
    <pivotField subtotalTop="0" showAll="0"/>
    <pivotField subtotalTop="0" showAll="0"/>
    <pivotField subtotalTop="0" showAll="0"/>
    <pivotField axis="axisPage" subtotalTop="0" multipleItemSelectionAllowed="1" showAll="0">
      <items count="6">
        <item m="1" x="4"/>
        <item x="0"/>
        <item x="1"/>
        <item h="1" x="3"/>
        <item h="1" x="2"/>
        <item t="default"/>
      </items>
    </pivotField>
    <pivotField subtotalTop="0" showAll="0"/>
    <pivotField subtotalTop="0" showAll="0"/>
    <pivotField subtotalTop="0" showAll="0"/>
    <pivotField subtotalTop="0" showAll="0"/>
    <pivotField subtotalTop="0" showAll="0"/>
    <pivotField subtotalTop="0" showAll="0"/>
    <pivotField axis="axisPage" subtotalTop="0" showAll="0">
      <items count="5">
        <item x="0"/>
        <item x="1"/>
        <item m="1" x="3"/>
        <item m="1" x="2"/>
        <item t="default"/>
      </items>
    </pivotField>
    <pivotField subtotalTop="0" showAll="0"/>
  </pivotFields>
  <rowFields count="1">
    <field x="2"/>
  </rowFields>
  <rowItems count="3">
    <i>
      <x/>
    </i>
    <i>
      <x v="1"/>
    </i>
    <i>
      <x v="2"/>
    </i>
  </rowItems>
  <colFields count="1">
    <field x="58"/>
  </colFields>
  <colItems count="2">
    <i>
      <x/>
    </i>
    <i>
      <x v="1"/>
    </i>
  </colItems>
  <pageFields count="3">
    <pageField fld="0" hier="-1"/>
    <pageField fld="90" item="0" hier="-1"/>
    <pageField fld="83" hier="-1"/>
  </pageFields>
  <dataFields count="1">
    <dataField name="Count of Warter quality test made" fld="58" subtotal="count" baseField="0" baseItem="0"/>
  </dataFields>
  <formats count="9">
    <format dxfId="451">
      <pivotArea field="2" type="button" dataOnly="0" labelOnly="1" outline="0" axis="axisRow" fieldPosition="0"/>
    </format>
    <format dxfId="450">
      <pivotArea type="all" dataOnly="0" outline="0" fieldPosition="0"/>
    </format>
    <format dxfId="449">
      <pivotArea outline="0" collapsedLevelsAreSubtotals="1" fieldPosition="0"/>
    </format>
    <format dxfId="448">
      <pivotArea field="2" type="button" dataOnly="0" labelOnly="1" outline="0" axis="axisRow" fieldPosition="0"/>
    </format>
    <format dxfId="447">
      <pivotArea dataOnly="0" labelOnly="1" fieldPosition="0">
        <references count="1">
          <reference field="2" count="0"/>
        </references>
      </pivotArea>
    </format>
    <format dxfId="446">
      <pivotArea type="all" dataOnly="0" outline="0" fieldPosition="0"/>
    </format>
    <format dxfId="445">
      <pivotArea outline="0" collapsedLevelsAreSubtotals="1" fieldPosition="0"/>
    </format>
    <format dxfId="444">
      <pivotArea field="2" type="button" dataOnly="0" labelOnly="1" outline="0" axis="axisRow" fieldPosition="0"/>
    </format>
    <format dxfId="443">
      <pivotArea dataOnly="0" labelOnly="1" fieldPosition="0">
        <references count="1">
          <reference field="2" count="0"/>
        </references>
      </pivotArea>
    </format>
  </formats>
  <chartFormats count="6">
    <chartFormat chart="1" format="4" series="1">
      <pivotArea type="data" outline="0" fieldPosition="0">
        <references count="1">
          <reference field="58" count="1" selected="0">
            <x v="0"/>
          </reference>
        </references>
      </pivotArea>
    </chartFormat>
    <chartFormat chart="1" format="5" series="1">
      <pivotArea type="data" outline="0" fieldPosition="0">
        <references count="1">
          <reference field="58" count="1" selected="0">
            <x v="1"/>
          </reference>
        </references>
      </pivotArea>
    </chartFormat>
    <chartFormat chart="22" format="0" series="1">
      <pivotArea type="data" outline="0" fieldPosition="0">
        <references count="2">
          <reference field="4294967294" count="1" selected="0">
            <x v="0"/>
          </reference>
          <reference field="58" count="1" selected="0">
            <x v="0"/>
          </reference>
        </references>
      </pivotArea>
    </chartFormat>
    <chartFormat chart="22" format="1" series="1">
      <pivotArea type="data" outline="0" fieldPosition="0">
        <references count="2">
          <reference field="4294967294" count="1" selected="0">
            <x v="0"/>
          </reference>
          <reference field="58" count="1" selected="0">
            <x v="1"/>
          </reference>
        </references>
      </pivotArea>
    </chartFormat>
    <chartFormat chart="24" format="0" series="1">
      <pivotArea type="data" outline="0" fieldPosition="0">
        <references count="2">
          <reference field="4294967294" count="1" selected="0">
            <x v="0"/>
          </reference>
          <reference field="58" count="1" selected="0">
            <x v="0"/>
          </reference>
        </references>
      </pivotArea>
    </chartFormat>
    <chartFormat chart="24" format="1" series="1">
      <pivotArea type="data" outline="0" fieldPosition="0">
        <references count="2">
          <reference field="4294967294" count="1" selected="0">
            <x v="0"/>
          </reference>
          <reference field="58" count="1" selected="0">
            <x v="1"/>
          </reference>
        </references>
      </pivotArea>
    </chartFormat>
  </chartFormats>
  <pivotTableStyleInfo name="PivotStyleLight10 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2.xml><?xml version="1.0" encoding="utf-8"?>
<pivotTableDefinition xmlns="http://schemas.openxmlformats.org/spreadsheetml/2006/main" name="PivotTable3" cacheId="0" applyNumberFormats="0" applyBorderFormats="0" applyFontFormats="0" applyPatternFormats="0" applyAlignmentFormats="0" applyWidthHeightFormats="1" dataCaption="Values" updatedVersion="6" minRefreshableVersion="3" rowGrandTotals="0" colGrandTotals="0" itemPrintTitles="1" createdVersion="6" indent="0" outline="1" outlineData="1" multipleFieldFilters="0" chartFormat="12">
  <location ref="G40:I42" firstHeaderRow="0" firstDataRow="1" firstDataCol="1" rowPageCount="3" colPageCount="1"/>
  <pivotFields count="92">
    <pivotField axis="axisPage" subtotalTop="0" multipleItemSelectionAllowed="1" showAll="0">
      <items count="8">
        <item m="1" x="2"/>
        <item m="1" x="3"/>
        <item x="0"/>
        <item h="1" m="1" x="1"/>
        <item m="1" x="6"/>
        <item m="1" x="4"/>
        <item h="1" m="1" x="5"/>
        <item t="default"/>
      </items>
    </pivotField>
    <pivotField subtotalTop="0" showAll="0"/>
    <pivotField axis="axisPage" subtotalTop="0" showAll="0">
      <items count="5">
        <item x="0"/>
        <item x="1"/>
        <item x="2"/>
        <item m="1" x="3"/>
        <item t="default"/>
      </items>
    </pivotField>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howAll="0" defaultSubtota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dataField="1" subtotalTop="0" showAll="0"/>
    <pivotField numFmtId="9" subtotalTop="0" showAll="0"/>
    <pivotField subtotalTop="0" showAll="0"/>
    <pivotField dataField="1" subtotalTop="0" showAll="0"/>
    <pivotField subtotalTop="0" showAll="0"/>
    <pivotField showAll="0" defaultSubtotal="0"/>
    <pivotField subtotalTop="0" showAll="0"/>
    <pivotField subtotalTop="0" showAll="0"/>
    <pivotField subtotalTop="0" showAll="0"/>
    <pivotField numFmtId="9" subtotalTop="0" showAll="0"/>
    <pivotField numFmtId="1" subtotalTop="0" showAll="0"/>
    <pivotField subtotalTop="0" showAll="0"/>
    <pivotField numFmtId="9" showAll="0" defaultSubtotal="0"/>
    <pivotField showAll="0" defaultSubtotal="0"/>
    <pivotField numFmtId="9" subtotalTop="0" showAll="0"/>
    <pivotField subtotalTop="0" showAll="0"/>
    <pivotField numFmtId="1" showAll="0" defaultSubtotal="0"/>
    <pivotField numFmtId="1" showAll="0" defaultSubtotal="0"/>
    <pivotField numFmtId="1" showAll="0" defaultSubtotal="0"/>
    <pivotField numFmtId="1" showAll="0" defaultSubtotal="0"/>
    <pivotField numFmtId="1" showAll="0" defaultSubtotal="0"/>
    <pivotField subtotalTop="0" showAll="0"/>
    <pivotField numFmtId="9" subtotalTop="0" showAll="0"/>
    <pivotField numFmtId="9" subtotalTop="0" showAll="0"/>
    <pivotField numFmtId="1" showAll="0" defaultSubtotal="0"/>
    <pivotField numFmtId="1" showAll="0" defaultSubtotal="0"/>
    <pivotField numFmtId="1" showAll="0" defaultSubtotal="0"/>
    <pivotField subtotalTop="0" showAll="0"/>
    <pivotField subtotalTop="0" showAll="0"/>
    <pivotField subtotalTop="0" showAll="0"/>
    <pivotField axis="axisRow" subtotalTop="0" showAll="0">
      <items count="6">
        <item h="1" m="1" x="4"/>
        <item n="# in active camps (500:1)" x="0"/>
        <item h="1" x="1"/>
        <item n="# in villages (500:1)" x="3"/>
        <item h="1" x="2"/>
        <item t="default"/>
      </items>
    </pivotField>
    <pivotField subtotalTop="0" showAll="0"/>
    <pivotField subtotalTop="0" showAll="0"/>
    <pivotField subtotalTop="0" showAll="0"/>
    <pivotField subtotalTop="0" showAll="0"/>
    <pivotField subtotalTop="0" showAll="0"/>
    <pivotField subtotalTop="0" showAll="0"/>
    <pivotField axis="axisPage" subtotalTop="0" showAll="0">
      <items count="5">
        <item x="0"/>
        <item x="1"/>
        <item m="1" x="3"/>
        <item m="1" x="2"/>
        <item t="default"/>
      </items>
    </pivotField>
    <pivotField subtotalTop="0" showAll="0"/>
  </pivotFields>
  <rowFields count="1">
    <field x="83"/>
  </rowFields>
  <rowItems count="2">
    <i>
      <x v="1"/>
    </i>
    <i>
      <x v="3"/>
    </i>
  </rowItems>
  <colFields count="1">
    <field x="-2"/>
  </colFields>
  <colItems count="2">
    <i>
      <x/>
    </i>
    <i i="1">
      <x v="1"/>
    </i>
  </colItems>
  <pageFields count="3">
    <pageField fld="0" hier="-1"/>
    <pageField fld="2" item="1" hier="-1"/>
    <pageField fld="90" item="0" hier="-1"/>
  </pageFields>
  <dataFields count="2">
    <dataField name="Coverage" fld="53" baseField="77" baseItem="1" numFmtId="1"/>
    <dataField name="Gap" fld="56" baseField="77" baseItem="1" numFmtId="1"/>
  </dataFields>
  <formats count="12">
    <format dxfId="463">
      <pivotArea type="all" dataOnly="0" outline="0" fieldPosition="0"/>
    </format>
    <format dxfId="462">
      <pivotArea outline="0" collapsedLevelsAreSubtotals="1" fieldPosition="0"/>
    </format>
    <format dxfId="461">
      <pivotArea field="83" type="button" dataOnly="0" labelOnly="1" outline="0" axis="axisRow" fieldPosition="0"/>
    </format>
    <format dxfId="460">
      <pivotArea dataOnly="0" labelOnly="1" fieldPosition="0">
        <references count="1">
          <reference field="83" count="2">
            <x v="1"/>
            <x v="3"/>
          </reference>
        </references>
      </pivotArea>
    </format>
    <format dxfId="459">
      <pivotArea type="all" dataOnly="0" outline="0" fieldPosition="0"/>
    </format>
    <format dxfId="458">
      <pivotArea outline="0" collapsedLevelsAreSubtotals="1" fieldPosition="0"/>
    </format>
    <format dxfId="457">
      <pivotArea field="83" type="button" dataOnly="0" labelOnly="1" outline="0" axis="axisRow" fieldPosition="0"/>
    </format>
    <format dxfId="456">
      <pivotArea dataOnly="0" labelOnly="1" fieldPosition="0">
        <references count="1">
          <reference field="83" count="2">
            <x v="1"/>
            <x v="3"/>
          </reference>
        </references>
      </pivotArea>
    </format>
    <format dxfId="455">
      <pivotArea field="83" type="button" dataOnly="0" labelOnly="1" outline="0" axis="axisRow" fieldPosition="0"/>
    </format>
    <format dxfId="454">
      <pivotArea dataOnly="0" labelOnly="1" outline="0" fieldPosition="0">
        <references count="1">
          <reference field="4294967294" count="2">
            <x v="0"/>
            <x v="1"/>
          </reference>
        </references>
      </pivotArea>
    </format>
    <format dxfId="453">
      <pivotArea outline="0" fieldPosition="0">
        <references count="1">
          <reference field="4294967294" count="1">
            <x v="0"/>
          </reference>
        </references>
      </pivotArea>
    </format>
    <format dxfId="452">
      <pivotArea outline="0" fieldPosition="0">
        <references count="1">
          <reference field="4294967294" count="1">
            <x v="1"/>
          </reference>
        </references>
      </pivotArea>
    </format>
  </formats>
  <chartFormats count="4">
    <chartFormat chart="7" format="0" series="1">
      <pivotArea type="data" outline="0" fieldPosition="0">
        <references count="1">
          <reference field="4294967294" count="1" selected="0">
            <x v="0"/>
          </reference>
        </references>
      </pivotArea>
    </chartFormat>
    <chartFormat chart="7" format="1" series="1">
      <pivotArea type="data" outline="0" fieldPosition="0">
        <references count="1">
          <reference field="4294967294" count="1" selected="0">
            <x v="1"/>
          </reference>
        </references>
      </pivotArea>
    </chartFormat>
    <chartFormat chart="11" format="4" series="1">
      <pivotArea type="data" outline="0" fieldPosition="0">
        <references count="1">
          <reference field="4294967294" count="1" selected="0">
            <x v="0"/>
          </reference>
        </references>
      </pivotArea>
    </chartFormat>
    <chartFormat chart="11" format="5" series="1">
      <pivotArea type="data" outline="0" fieldPosition="0">
        <references count="1">
          <reference field="4294967294" count="1" selected="0">
            <x v="1"/>
          </reference>
        </references>
      </pivotArea>
    </chartFormat>
  </chartFormats>
  <pivotTableStyleInfo name="PivotTable Style a"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3.xml><?xml version="1.0" encoding="utf-8"?>
<pivotTableDefinition xmlns="http://schemas.openxmlformats.org/spreadsheetml/2006/main" name="PivotTable5" cacheId="0" applyNumberFormats="0" applyBorderFormats="0" applyFontFormats="0" applyPatternFormats="0" applyAlignmentFormats="0" applyWidthHeightFormats="1" dataCaption="Values" updatedVersion="6" minRefreshableVersion="3" itemPrintTitles="1" createdVersion="6" indent="0" outline="1" outlineData="1" multipleFieldFilters="0">
  <location ref="R10:V17" firstHeaderRow="0" firstDataRow="1" firstDataCol="1" rowPageCount="4" colPageCount="1"/>
  <pivotFields count="92">
    <pivotField axis="axisPage" subtotalTop="0" showAll="0">
      <items count="8">
        <item m="1" x="2"/>
        <item m="1" x="3"/>
        <item x="0"/>
        <item m="1" x="1"/>
        <item m="1" x="6"/>
        <item m="1" x="4"/>
        <item m="1" x="5"/>
        <item t="default"/>
      </items>
    </pivotField>
    <pivotField subtotalTop="0" showAll="0"/>
    <pivotField axis="axisPage" subtotalTop="0" showAll="0">
      <items count="5">
        <item x="0"/>
        <item x="1"/>
        <item x="2"/>
        <item m="1" x="3"/>
        <item t="default"/>
      </items>
    </pivotField>
    <pivotField axis="axisRow" subtotalTop="0" showAll="0">
      <items count="37">
        <item x="3"/>
        <item x="9"/>
        <item x="8"/>
        <item x="29"/>
        <item x="25"/>
        <item m="1" x="34"/>
        <item x="0"/>
        <item x="26"/>
        <item x="11"/>
        <item x="4"/>
        <item x="1"/>
        <item x="27"/>
        <item x="10"/>
        <item x="31"/>
        <item x="30"/>
        <item x="21"/>
        <item x="5"/>
        <item x="24"/>
        <item x="7"/>
        <item x="12"/>
        <item x="2"/>
        <item m="1" x="33"/>
        <item x="6"/>
        <item x="23"/>
        <item x="16"/>
        <item x="19"/>
        <item x="14"/>
        <item x="17"/>
        <item x="18"/>
        <item x="15"/>
        <item x="13"/>
        <item x="22"/>
        <item x="20"/>
        <item m="1" x="35"/>
        <item x="28"/>
        <item m="1" x="32"/>
        <item t="default"/>
      </items>
    </pivotField>
    <pivotField subtotalTop="0" showAll="0"/>
    <pivotField subtotalTop="0" showAll="0"/>
    <pivotField dataField="1"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numFmtId="1" subtotalTop="0" showAll="0"/>
    <pivotField subtotalTop="0" showAll="0"/>
    <pivotField subtotalTop="0" showAll="0"/>
    <pivotField subtotalTop="0" showAll="0"/>
    <pivotField subtotalTop="0" showAll="0"/>
    <pivotField numFmtId="1"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howAll="0" defaultSubtota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dataField="1" subtotalTop="0" showAll="0"/>
    <pivotField subtotalTop="0" showAll="0"/>
    <pivotField subtotalTop="0" showAll="0"/>
    <pivotField subtotalTop="0" showAll="0"/>
    <pivotField showAll="0" defaultSubtotal="0"/>
    <pivotField subtotalTop="0" showAll="0"/>
    <pivotField subtotalTop="0" showAll="0"/>
    <pivotField subtotalTop="0" showAll="0"/>
    <pivotField dataField="1" subtotalTop="0" showAll="0"/>
    <pivotField subtotalTop="0" showAll="0"/>
    <pivotField subtotalTop="0" showAll="0"/>
    <pivotField numFmtId="9" showAll="0" defaultSubtotal="0"/>
    <pivotField showAll="0" defaultSubtotal="0"/>
    <pivotField subtotalTop="0" showAll="0"/>
    <pivotField dataField="1" subtotalTop="0" showAll="0"/>
    <pivotField numFmtId="1" showAll="0" defaultSubtotal="0"/>
    <pivotField numFmtId="1" showAll="0" defaultSubtotal="0"/>
    <pivotField numFmtId="1" showAll="0" defaultSubtotal="0"/>
    <pivotField numFmtId="1" showAll="0" defaultSubtotal="0"/>
    <pivotField numFmtId="1" showAll="0" defaultSubtotal="0"/>
    <pivotField subtotalTop="0" showAll="0"/>
    <pivotField subtotalTop="0" showAll="0"/>
    <pivotField subtotalTop="0" showAll="0"/>
    <pivotField numFmtId="1" showAll="0" defaultSubtotal="0"/>
    <pivotField numFmtId="1" showAll="0" defaultSubtotal="0"/>
    <pivotField numFmtId="1" showAll="0" defaultSubtotal="0"/>
    <pivotField subtotalTop="0" showAll="0"/>
    <pivotField subtotalTop="0" showAll="0"/>
    <pivotField subtotalTop="0" showAll="0"/>
    <pivotField axis="axisPage" subtotalTop="0" multipleItemSelectionAllowed="1" showAll="0">
      <items count="6">
        <item m="1" x="4"/>
        <item x="0"/>
        <item x="1"/>
        <item x="3"/>
        <item x="2"/>
        <item t="default"/>
      </items>
    </pivotField>
    <pivotField subtotalTop="0" showAll="0"/>
    <pivotField subtotalTop="0" showAll="0"/>
    <pivotField subtotalTop="0" showAll="0"/>
    <pivotField subtotalTop="0" showAll="0"/>
    <pivotField subtotalTop="0" showAll="0"/>
    <pivotField subtotalTop="0" showAll="0"/>
    <pivotField axis="axisPage" subtotalTop="0" showAll="0">
      <items count="5">
        <item x="0"/>
        <item x="1"/>
        <item m="1" x="3"/>
        <item m="1" x="2"/>
        <item t="default"/>
      </items>
    </pivotField>
    <pivotField subtotalTop="0" showAll="0"/>
  </pivotFields>
  <rowFields count="1">
    <field x="3"/>
  </rowFields>
  <rowItems count="7">
    <i>
      <x v="3"/>
    </i>
    <i>
      <x v="4"/>
    </i>
    <i>
      <x v="7"/>
    </i>
    <i>
      <x v="11"/>
    </i>
    <i>
      <x v="13"/>
    </i>
    <i>
      <x v="14"/>
    </i>
    <i t="grand">
      <x/>
    </i>
  </rowItems>
  <colFields count="1">
    <field x="-2"/>
  </colFields>
  <colItems count="4">
    <i>
      <x/>
    </i>
    <i i="1">
      <x v="1"/>
    </i>
    <i i="2">
      <x v="2"/>
    </i>
    <i i="3">
      <x v="3"/>
    </i>
  </colItems>
  <pageFields count="4">
    <pageField fld="0" item="2" hier="-1"/>
    <pageField fld="90" item="0" hier="-1"/>
    <pageField fld="83" hier="-1"/>
    <pageField fld="2" item="2" hier="-1"/>
  </pageFields>
  <dataFields count="4">
    <dataField name="Water GAP " fld="54" subtotal="average" baseField="3" baseItem="0" numFmtId="9"/>
    <dataField name="sanitation Gap " fld="62" subtotal="average" baseField="3" baseItem="11" numFmtId="9"/>
    <dataField name="Hygiene Gap" fld="68" subtotal="average" baseField="3" baseItem="14" numFmtId="9"/>
    <dataField name="PoP " fld="6" baseField="0" baseItem="0"/>
  </dataFields>
  <formats count="32">
    <format dxfId="495">
      <pivotArea type="all" dataOnly="0" outline="0" fieldPosition="0"/>
    </format>
    <format dxfId="494">
      <pivotArea outline="0" collapsedLevelsAreSubtotals="1" fieldPosition="0"/>
    </format>
    <format dxfId="493">
      <pivotArea field="3" type="button" dataOnly="0" labelOnly="1" outline="0" axis="axisRow" fieldPosition="0"/>
    </format>
    <format dxfId="492">
      <pivotArea dataOnly="0" labelOnly="1" outline="0" axis="axisValues" fieldPosition="0"/>
    </format>
    <format dxfId="491">
      <pivotArea dataOnly="0" labelOnly="1" fieldPosition="0">
        <references count="1">
          <reference field="3" count="0"/>
        </references>
      </pivotArea>
    </format>
    <format dxfId="490">
      <pivotArea dataOnly="0" labelOnly="1" grandRow="1" outline="0" fieldPosition="0"/>
    </format>
    <format dxfId="489">
      <pivotArea dataOnly="0" labelOnly="1" outline="0" axis="axisValues" fieldPosition="0"/>
    </format>
    <format dxfId="488">
      <pivotArea type="all" dataOnly="0" outline="0" fieldPosition="0"/>
    </format>
    <format dxfId="487">
      <pivotArea outline="0" collapsedLevelsAreSubtotals="1" fieldPosition="0"/>
    </format>
    <format dxfId="486">
      <pivotArea field="3" type="button" dataOnly="0" labelOnly="1" outline="0" axis="axisRow" fieldPosition="0"/>
    </format>
    <format dxfId="485">
      <pivotArea dataOnly="0" labelOnly="1" outline="0" axis="axisValues" fieldPosition="0"/>
    </format>
    <format dxfId="484">
      <pivotArea dataOnly="0" labelOnly="1" fieldPosition="0">
        <references count="1">
          <reference field="3" count="0"/>
        </references>
      </pivotArea>
    </format>
    <format dxfId="483">
      <pivotArea dataOnly="0" labelOnly="1" grandRow="1" outline="0" fieldPosition="0"/>
    </format>
    <format dxfId="482">
      <pivotArea dataOnly="0" labelOnly="1" outline="0" axis="axisValues" fieldPosition="0"/>
    </format>
    <format dxfId="481">
      <pivotArea outline="0" fieldPosition="0">
        <references count="1">
          <reference field="4294967294" count="1">
            <x v="1"/>
          </reference>
        </references>
      </pivotArea>
    </format>
    <format dxfId="480">
      <pivotArea field="3" type="button" dataOnly="0" labelOnly="1" outline="0" axis="axisRow" fieldPosition="0"/>
    </format>
    <format dxfId="479">
      <pivotArea dataOnly="0" labelOnly="1" outline="0" fieldPosition="0">
        <references count="1">
          <reference field="4294967294" count="2">
            <x v="0"/>
            <x v="1"/>
          </reference>
        </references>
      </pivotArea>
    </format>
    <format dxfId="478">
      <pivotArea outline="0" fieldPosition="0">
        <references count="1">
          <reference field="4294967294" count="1">
            <x v="0"/>
          </reference>
        </references>
      </pivotArea>
    </format>
    <format dxfId="477">
      <pivotArea outline="0" fieldPosition="0">
        <references count="1">
          <reference field="4294967294" count="1">
            <x v="0"/>
          </reference>
        </references>
      </pivotArea>
    </format>
    <format dxfId="476">
      <pivotArea outline="0" fieldPosition="0">
        <references count="1">
          <reference field="4294967294" count="1">
            <x v="2"/>
          </reference>
        </references>
      </pivotArea>
    </format>
    <format dxfId="475">
      <pivotArea type="all" dataOnly="0" outline="0" fieldPosition="0"/>
    </format>
    <format dxfId="474">
      <pivotArea outline="0" collapsedLevelsAreSubtotals="1" fieldPosition="0"/>
    </format>
    <format dxfId="473">
      <pivotArea field="3" type="button" dataOnly="0" labelOnly="1" outline="0" axis="axisRow" fieldPosition="0"/>
    </format>
    <format dxfId="472">
      <pivotArea dataOnly="0" labelOnly="1" fieldPosition="0">
        <references count="1">
          <reference field="3" count="7">
            <x v="3"/>
            <x v="4"/>
            <x v="7"/>
            <x v="11"/>
            <x v="13"/>
            <x v="14"/>
            <x v="21"/>
          </reference>
        </references>
      </pivotArea>
    </format>
    <format dxfId="471">
      <pivotArea dataOnly="0" labelOnly="1" outline="0" fieldPosition="0">
        <references count="1">
          <reference field="4294967294" count="4">
            <x v="0"/>
            <x v="1"/>
            <x v="2"/>
            <x v="3"/>
          </reference>
        </references>
      </pivotArea>
    </format>
    <format dxfId="470">
      <pivotArea type="all" dataOnly="0" outline="0" fieldPosition="0"/>
    </format>
    <format dxfId="469">
      <pivotArea outline="0" collapsedLevelsAreSubtotals="1" fieldPosition="0"/>
    </format>
    <format dxfId="468">
      <pivotArea field="3" type="button" dataOnly="0" labelOnly="1" outline="0" axis="axisRow" fieldPosition="0"/>
    </format>
    <format dxfId="467">
      <pivotArea dataOnly="0" labelOnly="1" fieldPosition="0">
        <references count="1">
          <reference field="3" count="7">
            <x v="3"/>
            <x v="4"/>
            <x v="7"/>
            <x v="11"/>
            <x v="13"/>
            <x v="14"/>
            <x v="21"/>
          </reference>
        </references>
      </pivotArea>
    </format>
    <format dxfId="466">
      <pivotArea dataOnly="0" labelOnly="1" outline="0" fieldPosition="0">
        <references count="1">
          <reference field="4294967294" count="4">
            <x v="0"/>
            <x v="1"/>
            <x v="2"/>
            <x v="3"/>
          </reference>
        </references>
      </pivotArea>
    </format>
    <format dxfId="465">
      <pivotArea field="3" type="button" dataOnly="0" labelOnly="1" outline="0" axis="axisRow" fieldPosition="0"/>
    </format>
    <format dxfId="464">
      <pivotArea dataOnly="0" labelOnly="1" outline="0" fieldPosition="0">
        <references count="1">
          <reference field="4294967294" count="4">
            <x v="0"/>
            <x v="1"/>
            <x v="2"/>
            <x v="3"/>
          </reference>
        </references>
      </pivotArea>
    </format>
  </formats>
  <pivotTableStyleInfo name="CUSTOM" showRowHeaders="1" showColHeaders="1" showRowStripes="1" showColStripes="0" showLastColumn="1"/>
  <extLst>
    <ext xmlns:x14="http://schemas.microsoft.com/office/spreadsheetml/2009/9/main" uri="{962EF5D1-5CA2-4c93-8EF4-DBF5C05439D2}">
      <x14:pivotTableDefinition xmlns:xm="http://schemas.microsoft.com/office/excel/2006/main" hideValuesRow="1">
        <x14:conditionalFormats count="1">
          <x14:conditionalFormat priority="1" id="{27AA8C6B-5E0A-424B-B531-2098B9D4C445}">
            <x14:pivotAreas count="1">
              <pivotArea type="data" outline="0" collapsedLevelsAreSubtotals="1" fieldPosition="0">
                <references count="1">
                  <reference field="4294967294" count="3" selected="0">
                    <x v="0"/>
                    <x v="1"/>
                    <x v="2"/>
                  </reference>
                </references>
              </pivotArea>
            </x14:pivotAreas>
          </x14:conditionalFormat>
        </x14:conditionalFormats>
      </x14:pivotTableDefinition>
    </ext>
    <ext xmlns:xpdl="http://schemas.microsoft.com/office/spreadsheetml/2016/pivotdefaultlayout" uri="{747A6164-185A-40DC-8AA5-F01512510D54}">
      <xpdl:pivotTableDefinition16/>
    </ext>
  </extLst>
</pivotTableDefinition>
</file>

<file path=xl/pivotTables/pivotTable24.xml><?xml version="1.0" encoding="utf-8"?>
<pivotTableDefinition xmlns="http://schemas.openxmlformats.org/spreadsheetml/2006/main" name="PivotTable8" cacheId="0" dataOnRows="1" applyNumberFormats="0" applyBorderFormats="0" applyFontFormats="0" applyPatternFormats="0" applyAlignmentFormats="0" applyWidthHeightFormats="1" dataCaption="Values" updatedVersion="6" minRefreshableVersion="3" rowGrandTotals="0" colGrandTotals="0" itemPrintTitles="1" createdVersion="6" indent="0" outline="1" outlineData="1" multipleFieldFilters="0" chartFormat="8">
  <location ref="C177:E180" firstHeaderRow="1" firstDataRow="2" firstDataCol="1" rowPageCount="2" colPageCount="1"/>
  <pivotFields count="92">
    <pivotField axis="axisPage" subtotalTop="0" showAll="0">
      <items count="8">
        <item m="1" x="2"/>
        <item m="1" x="3"/>
        <item m="1" x="6"/>
        <item x="0"/>
        <item m="1" x="4"/>
        <item m="1" x="1"/>
        <item m="1" x="5"/>
        <item t="default"/>
      </items>
    </pivotField>
    <pivotField subtotalTop="0" showAll="0"/>
    <pivotField axis="axisPage" subtotalTop="0" multipleItemSelectionAllowed="1" showAll="0">
      <items count="5">
        <item x="0"/>
        <item h="1" x="1"/>
        <item h="1" x="2"/>
        <item m="1" x="3"/>
        <item t="default"/>
      </items>
    </pivotField>
    <pivotField subtotalTop="0" showAll="0"/>
    <pivotField dataField="1"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numFmtId="1"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howAll="0" defaultSubtotal="0"/>
    <pivotField subtotalTop="0" showAll="0"/>
    <pivotField subtotalTop="0" showAll="0"/>
    <pivotField numFmtId="9" subtotalTop="0" showAll="0"/>
    <pivotField subtotalTop="0" showAll="0"/>
    <pivotField subtotalTop="0" showAll="0"/>
    <pivotField subtotalTop="0" showAll="0"/>
    <pivotField numFmtId="1" subtotalTop="0" showAll="0"/>
    <pivotField subtotalTop="0" showAll="0"/>
    <pivotField subtotalTop="0" showAll="0"/>
    <pivotField subtotalTop="0" showAll="0"/>
    <pivotField subtotalTop="0" showAll="0"/>
    <pivotField subtotalTop="0" showAll="0"/>
    <pivotField numFmtId="1" subtotalTop="0" showAll="0"/>
    <pivotField numFmtId="1" subtotalTop="0" showAll="0"/>
    <pivotField showAll="0" defaultSubtotal="0"/>
    <pivotField numFmtId="1" subtotalTop="0" showAll="0"/>
    <pivotField subtotalTop="0" showAll="0"/>
    <pivotField subtotalTop="0" showAll="0"/>
    <pivotField subtotalTop="0" showAll="0"/>
    <pivotField subtotalTop="0" showAll="0"/>
    <pivotField subtotalTop="0" showAll="0"/>
    <pivotField numFmtId="9" showAll="0" defaultSubtotal="0"/>
    <pivotField showAll="0" defaultSubtotal="0"/>
    <pivotField numFmtId="9" subtotalTop="0" showAll="0"/>
    <pivotField numFmtId="9" subtotalTop="0" showAll="0"/>
    <pivotField numFmtId="1" showAll="0" defaultSubtotal="0"/>
    <pivotField numFmtId="1" showAll="0" defaultSubtotal="0"/>
    <pivotField numFmtId="1" showAll="0" defaultSubtotal="0"/>
    <pivotField numFmtId="1" showAll="0" defaultSubtotal="0"/>
    <pivotField numFmtId="1" showAll="0" defaultSubtotal="0"/>
    <pivotField numFmtId="9" subtotalTop="0" showAll="0"/>
    <pivotField numFmtId="9" subtotalTop="0" showAll="0"/>
    <pivotField numFmtId="9" subtotalTop="0" showAll="0"/>
    <pivotField numFmtId="1" showAll="0" defaultSubtotal="0"/>
    <pivotField numFmtId="1" showAll="0" defaultSubtotal="0"/>
    <pivotField numFmtId="1" showAll="0" defaultSubtotal="0"/>
    <pivotField numFmtId="1" subtotalTop="0" showAll="0"/>
    <pivotField subtotalTop="0" showAll="0"/>
    <pivotField subtotalTop="0" showAll="0"/>
    <pivotField axis="axisRow" subtotalTop="0" showAll="0">
      <items count="6">
        <item h="1" m="1" x="4"/>
        <item x="0"/>
        <item x="1"/>
        <item x="3"/>
        <item h="1" x="2"/>
        <item t="default"/>
      </items>
    </pivotField>
    <pivotField subtotalTop="0" showAll="0"/>
    <pivotField subtotalTop="0" showAll="0"/>
    <pivotField subtotalTop="0" showAll="0"/>
    <pivotField subtotalTop="0" showAll="0"/>
    <pivotField subtotalTop="0" showAll="0"/>
    <pivotField subtotalTop="0" showAll="0"/>
    <pivotField axis="axisCol" subtotalTop="0" showAll="0">
      <items count="5">
        <item x="0"/>
        <item n="Gap" x="1"/>
        <item h="1" m="1" x="3"/>
        <item h="1" m="1" x="2"/>
        <item t="default"/>
      </items>
    </pivotField>
    <pivotField subtotalTop="0" showAll="0"/>
  </pivotFields>
  <rowFields count="1">
    <field x="83"/>
  </rowFields>
  <rowItems count="2">
    <i>
      <x v="1"/>
    </i>
    <i>
      <x v="2"/>
    </i>
  </rowItems>
  <colFields count="1">
    <field x="90"/>
  </colFields>
  <colItems count="2">
    <i>
      <x/>
    </i>
    <i>
      <x v="1"/>
    </i>
  </colItems>
  <pageFields count="2">
    <pageField fld="0" item="3" hier="-1"/>
    <pageField fld="2" hier="-1"/>
  </pageFields>
  <dataFields count="1">
    <dataField name="Count of Site Name" fld="4" subtotal="count" baseField="0" baseItem="0"/>
  </dataFields>
  <formats count="28">
    <format dxfId="523">
      <pivotArea type="all" dataOnly="0" outline="0" fieldPosition="0"/>
    </format>
    <format dxfId="522">
      <pivotArea outline="0" collapsedLevelsAreSubtotals="1" fieldPosition="0"/>
    </format>
    <format dxfId="521">
      <pivotArea field="2" type="button" dataOnly="0" labelOnly="1" outline="0" axis="axisPage" fieldPosition="1"/>
    </format>
    <format dxfId="520">
      <pivotArea dataOnly="0" labelOnly="1" fieldPosition="0">
        <references count="1">
          <reference field="2" count="0"/>
        </references>
      </pivotArea>
    </format>
    <format dxfId="519">
      <pivotArea dataOnly="0" labelOnly="1" grandRow="1" outline="0" fieldPosition="0"/>
    </format>
    <format dxfId="518">
      <pivotArea dataOnly="0" labelOnly="1" outline="0" fieldPosition="0">
        <references count="1">
          <reference field="4294967294" count="1">
            <x v="0"/>
          </reference>
        </references>
      </pivotArea>
    </format>
    <format dxfId="517">
      <pivotArea type="all" dataOnly="0" outline="0" fieldPosition="0"/>
    </format>
    <format dxfId="516">
      <pivotArea outline="0" collapsedLevelsAreSubtotals="1" fieldPosition="0"/>
    </format>
    <format dxfId="515">
      <pivotArea field="2" type="button" dataOnly="0" labelOnly="1" outline="0" axis="axisPage" fieldPosition="1"/>
    </format>
    <format dxfId="514">
      <pivotArea dataOnly="0" labelOnly="1" fieldPosition="0">
        <references count="1">
          <reference field="2" count="0"/>
        </references>
      </pivotArea>
    </format>
    <format dxfId="513">
      <pivotArea dataOnly="0" labelOnly="1" grandRow="1" outline="0" fieldPosition="0"/>
    </format>
    <format dxfId="512">
      <pivotArea dataOnly="0" labelOnly="1" outline="0" fieldPosition="0">
        <references count="1">
          <reference field="4294967294" count="1">
            <x v="0"/>
          </reference>
        </references>
      </pivotArea>
    </format>
    <format dxfId="511">
      <pivotArea type="all" dataOnly="0" outline="0" fieldPosition="0"/>
    </format>
    <format dxfId="510">
      <pivotArea outline="0" collapsedLevelsAreSubtotals="1" fieldPosition="0"/>
    </format>
    <format dxfId="509">
      <pivotArea type="origin" dataOnly="0" labelOnly="1" outline="0" fieldPosition="0"/>
    </format>
    <format dxfId="508">
      <pivotArea field="90" type="button" dataOnly="0" labelOnly="1" outline="0" axis="axisCol" fieldPosition="0"/>
    </format>
    <format dxfId="507">
      <pivotArea type="topRight" dataOnly="0" labelOnly="1" outline="0" fieldPosition="0"/>
    </format>
    <format dxfId="506">
      <pivotArea field="83" type="button" dataOnly="0" labelOnly="1" outline="0" axis="axisRow" fieldPosition="0"/>
    </format>
    <format dxfId="505">
      <pivotArea dataOnly="0" labelOnly="1" fieldPosition="0">
        <references count="1">
          <reference field="83" count="2">
            <x v="1"/>
            <x v="2"/>
          </reference>
        </references>
      </pivotArea>
    </format>
    <format dxfId="504">
      <pivotArea dataOnly="0" labelOnly="1" fieldPosition="0">
        <references count="1">
          <reference field="90" count="0"/>
        </references>
      </pivotArea>
    </format>
    <format dxfId="503">
      <pivotArea type="all" dataOnly="0" outline="0" fieldPosition="0"/>
    </format>
    <format dxfId="502">
      <pivotArea outline="0" collapsedLevelsAreSubtotals="1" fieldPosition="0"/>
    </format>
    <format dxfId="501">
      <pivotArea type="origin" dataOnly="0" labelOnly="1" outline="0" fieldPosition="0"/>
    </format>
    <format dxfId="500">
      <pivotArea field="90" type="button" dataOnly="0" labelOnly="1" outline="0" axis="axisCol" fieldPosition="0"/>
    </format>
    <format dxfId="499">
      <pivotArea type="topRight" dataOnly="0" labelOnly="1" outline="0" fieldPosition="0"/>
    </format>
    <format dxfId="498">
      <pivotArea field="83" type="button" dataOnly="0" labelOnly="1" outline="0" axis="axisRow" fieldPosition="0"/>
    </format>
    <format dxfId="497">
      <pivotArea dataOnly="0" labelOnly="1" fieldPosition="0">
        <references count="1">
          <reference field="83" count="2">
            <x v="1"/>
            <x v="2"/>
          </reference>
        </references>
      </pivotArea>
    </format>
    <format dxfId="496">
      <pivotArea dataOnly="0" labelOnly="1" fieldPosition="0">
        <references count="1">
          <reference field="90" count="0"/>
        </references>
      </pivotArea>
    </format>
  </formats>
  <chartFormats count="4">
    <chartFormat chart="4" format="4" series="1">
      <pivotArea type="data" outline="0" fieldPosition="0">
        <references count="2">
          <reference field="4294967294" count="1" selected="0">
            <x v="0"/>
          </reference>
          <reference field="90" count="1" selected="0">
            <x v="0"/>
          </reference>
        </references>
      </pivotArea>
    </chartFormat>
    <chartFormat chart="4" format="5" series="1">
      <pivotArea type="data" outline="0" fieldPosition="0">
        <references count="2">
          <reference field="4294967294" count="1" selected="0">
            <x v="0"/>
          </reference>
          <reference field="90" count="1" selected="0">
            <x v="1"/>
          </reference>
        </references>
      </pivotArea>
    </chartFormat>
    <chartFormat chart="7" format="8" series="1">
      <pivotArea type="data" outline="0" fieldPosition="0">
        <references count="2">
          <reference field="4294967294" count="1" selected="0">
            <x v="0"/>
          </reference>
          <reference field="90" count="1" selected="0">
            <x v="0"/>
          </reference>
        </references>
      </pivotArea>
    </chartFormat>
    <chartFormat chart="7" format="9" series="1">
      <pivotArea type="data" outline="0" fieldPosition="0">
        <references count="2">
          <reference field="4294967294" count="1" selected="0">
            <x v="0"/>
          </reference>
          <reference field="90" count="1" selected="0">
            <x v="1"/>
          </reference>
        </references>
      </pivotArea>
    </chartFormat>
  </chartFormats>
  <pivotTableStyleInfo name="CUSTOM"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5.xml><?xml version="1.0" encoding="utf-8"?>
<pivotTableDefinition xmlns="http://schemas.openxmlformats.org/spreadsheetml/2006/main" name="PivotTable7" cacheId="0" applyNumberFormats="0" applyBorderFormats="0" applyFontFormats="0" applyPatternFormats="0" applyAlignmentFormats="0" applyWidthHeightFormats="1" dataCaption="Values" updatedVersion="6" minRefreshableVersion="3" itemPrintTitles="1" createdVersion="6" indent="0" outline="1" outlineData="1" multipleFieldFilters="0">
  <location ref="B156:G160" firstHeaderRow="0" firstDataRow="1" firstDataCol="1" rowPageCount="3" colPageCount="1"/>
  <pivotFields count="92">
    <pivotField axis="axisPage" subtotalTop="0" multipleItemSelectionAllowed="1" showAll="0">
      <items count="8">
        <item h="1" m="1" x="2"/>
        <item m="1" x="3"/>
        <item m="1" x="6"/>
        <item x="0"/>
        <item m="1" x="4"/>
        <item h="1" m="1" x="1"/>
        <item h="1" m="1" x="5"/>
        <item t="default"/>
      </items>
    </pivotField>
    <pivotField subtotalTop="0" showAll="0"/>
    <pivotField axis="axisRow" subtotalTop="0" showAll="0">
      <items count="5">
        <item x="0"/>
        <item x="1"/>
        <item x="2"/>
        <item m="1" x="3"/>
        <item t="default"/>
      </items>
    </pivotField>
    <pivotField subtotalTop="0" showAll="0"/>
    <pivotField subtotalTop="0" showAll="0"/>
    <pivotField dataField="1"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numFmtId="1"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dataField="1" subtotalTop="0" showAll="0"/>
    <pivotField dataField="1" subtotalTop="0" showAll="0"/>
    <pivotField subtotalTop="0" showAll="0"/>
    <pivotField subtotalTop="0" showAll="0"/>
    <pivotField showAll="0" defaultSubtotal="0"/>
    <pivotField subtotalTop="0" showAll="0"/>
    <pivotField subtotalTop="0" showAll="0"/>
    <pivotField numFmtId="9" subtotalTop="0" showAll="0"/>
    <pivotField subtotalTop="0" showAll="0"/>
    <pivotField subtotalTop="0" showAll="0"/>
    <pivotField subtotalTop="0" showAll="0"/>
    <pivotField numFmtId="1" subtotalTop="0" showAll="0"/>
    <pivotField subtotalTop="0" showAll="0"/>
    <pivotField subtotalTop="0" showAll="0"/>
    <pivotField subtotalTop="0" showAll="0"/>
    <pivotField subtotalTop="0" showAll="0"/>
    <pivotField subtotalTop="0" showAll="0"/>
    <pivotField numFmtId="1" subtotalTop="0" showAll="0"/>
    <pivotField numFmtId="1" subtotalTop="0" showAll="0"/>
    <pivotField showAll="0" defaultSubtotal="0"/>
    <pivotField numFmtId="1" subtotalTop="0" showAll="0"/>
    <pivotField subtotalTop="0" showAll="0"/>
    <pivotField subtotalTop="0" showAll="0"/>
    <pivotField subtotalTop="0" showAll="0"/>
    <pivotField subtotalTop="0" showAll="0"/>
    <pivotField subtotalTop="0" showAll="0"/>
    <pivotField numFmtId="9" showAll="0" defaultSubtotal="0"/>
    <pivotField showAll="0" defaultSubtotal="0"/>
    <pivotField numFmtId="9" subtotalTop="0" showAll="0"/>
    <pivotField numFmtId="9" subtotalTop="0" showAll="0"/>
    <pivotField dataField="1" numFmtId="1" showAll="0" defaultSubtotal="0"/>
    <pivotField numFmtId="1" showAll="0" defaultSubtotal="0"/>
    <pivotField numFmtId="1" showAll="0" defaultSubtotal="0"/>
    <pivotField numFmtId="1" showAll="0" defaultSubtotal="0"/>
    <pivotField numFmtId="1" showAll="0" defaultSubtotal="0"/>
    <pivotField numFmtId="9" subtotalTop="0" showAll="0"/>
    <pivotField numFmtId="9" subtotalTop="0" showAll="0"/>
    <pivotField numFmtId="9" subtotalTop="0" showAll="0"/>
    <pivotField numFmtId="1" showAll="0" defaultSubtotal="0"/>
    <pivotField numFmtId="1" showAll="0" defaultSubtotal="0"/>
    <pivotField numFmtId="1" showAll="0" defaultSubtotal="0"/>
    <pivotField dataField="1" numFmtId="1" subtotalTop="0" showAll="0"/>
    <pivotField subtotalTop="0" showAll="0"/>
    <pivotField subtotalTop="0" showAll="0"/>
    <pivotField axis="axisPage" subtotalTop="0" multipleItemSelectionAllowed="1" showAll="0">
      <items count="6">
        <item m="1" x="4"/>
        <item x="0"/>
        <item x="1"/>
        <item h="1" x="3"/>
        <item h="1" x="2"/>
        <item t="default"/>
      </items>
    </pivotField>
    <pivotField subtotalTop="0" showAll="0"/>
    <pivotField subtotalTop="0" showAll="0"/>
    <pivotField subtotalTop="0" showAll="0"/>
    <pivotField subtotalTop="0" showAll="0"/>
    <pivotField subtotalTop="0" showAll="0"/>
    <pivotField subtotalTop="0" showAll="0"/>
    <pivotField axis="axisPage" subtotalTop="0" showAll="0">
      <items count="5">
        <item x="0"/>
        <item x="1"/>
        <item m="1" x="3"/>
        <item m="1" x="2"/>
        <item t="default"/>
      </items>
    </pivotField>
    <pivotField subtotalTop="0" showAll="0"/>
  </pivotFields>
  <rowFields count="1">
    <field x="2"/>
  </rowFields>
  <rowItems count="4">
    <i>
      <x/>
    </i>
    <i>
      <x v="1"/>
    </i>
    <i>
      <x v="2"/>
    </i>
    <i t="grand">
      <x/>
    </i>
  </rowItems>
  <colFields count="1">
    <field x="-2"/>
  </colFields>
  <colItems count="5">
    <i>
      <x/>
    </i>
    <i i="1">
      <x v="1"/>
    </i>
    <i i="2">
      <x v="2"/>
    </i>
    <i i="3">
      <x v="3"/>
    </i>
    <i i="4">
      <x v="4"/>
    </i>
  </colItems>
  <pageFields count="3">
    <pageField fld="0" hier="-1"/>
    <pageField fld="90" item="0" hier="-1"/>
    <pageField fld="83" hier="-1"/>
  </pageFields>
  <dataFields count="5">
    <dataField name="Sum of Total HH" fld="5" baseField="2" baseItem="0" numFmtId="3"/>
    <dataField name="Sum of # people reached by regular dedicated hygiene promotion_5" fld="69" baseField="0" baseItem="0"/>
    <dataField name="Sum of #HH with access to Hand Washing Station" fld="80" baseField="2" baseItem="0" numFmtId="3"/>
    <dataField name="Sum of # HH received soaps" fld="39" baseField="2" baseItem="0" numFmtId="3"/>
    <dataField name="Sum of # HH received Sanitary Pads" fld="40" baseField="2" baseItem="0" numFmtId="3"/>
  </dataFields>
  <formats count="16">
    <format dxfId="539">
      <pivotArea type="all" dataOnly="0" outline="0" fieldPosition="0"/>
    </format>
    <format dxfId="538">
      <pivotArea outline="0" collapsedLevelsAreSubtotals="1" fieldPosition="0"/>
    </format>
    <format dxfId="537">
      <pivotArea field="2" type="button" dataOnly="0" labelOnly="1" outline="0" axis="axisRow" fieldPosition="0"/>
    </format>
    <format dxfId="536">
      <pivotArea dataOnly="0" labelOnly="1" fieldPosition="0">
        <references count="1">
          <reference field="2" count="0"/>
        </references>
      </pivotArea>
    </format>
    <format dxfId="535">
      <pivotArea dataOnly="0" labelOnly="1" grandRow="1" outline="0" fieldPosition="0"/>
    </format>
    <format dxfId="534">
      <pivotArea dataOnly="0" labelOnly="1" outline="0" fieldPosition="0">
        <references count="1">
          <reference field="4294967294" count="2">
            <x v="0"/>
            <x v="2"/>
          </reference>
        </references>
      </pivotArea>
    </format>
    <format dxfId="533">
      <pivotArea type="all" dataOnly="0" outline="0" fieldPosition="0"/>
    </format>
    <format dxfId="532">
      <pivotArea outline="0" collapsedLevelsAreSubtotals="1" fieldPosition="0"/>
    </format>
    <format dxfId="531">
      <pivotArea field="2" type="button" dataOnly="0" labelOnly="1" outline="0" axis="axisRow" fieldPosition="0"/>
    </format>
    <format dxfId="530">
      <pivotArea dataOnly="0" labelOnly="1" fieldPosition="0">
        <references count="1">
          <reference field="2" count="0"/>
        </references>
      </pivotArea>
    </format>
    <format dxfId="529">
      <pivotArea dataOnly="0" labelOnly="1" grandRow="1" outline="0" fieldPosition="0"/>
    </format>
    <format dxfId="528">
      <pivotArea dataOnly="0" labelOnly="1" outline="0" fieldPosition="0">
        <references count="1">
          <reference field="4294967294" count="2">
            <x v="0"/>
            <x v="2"/>
          </reference>
        </references>
      </pivotArea>
    </format>
    <format dxfId="527">
      <pivotArea outline="0" fieldPosition="0">
        <references count="1">
          <reference field="4294967294" count="1">
            <x v="0"/>
          </reference>
        </references>
      </pivotArea>
    </format>
    <format dxfId="526">
      <pivotArea outline="0" fieldPosition="0">
        <references count="1">
          <reference field="4294967294" count="1">
            <x v="2"/>
          </reference>
        </references>
      </pivotArea>
    </format>
    <format dxfId="525">
      <pivotArea outline="0" fieldPosition="0">
        <references count="1">
          <reference field="4294967294" count="1">
            <x v="3"/>
          </reference>
        </references>
      </pivotArea>
    </format>
    <format dxfId="524">
      <pivotArea outline="0" fieldPosition="0">
        <references count="1">
          <reference field="4294967294" count="1">
            <x v="4"/>
          </reference>
        </references>
      </pivotArea>
    </format>
  </formats>
  <pivotTableStyleInfo name="PivotStyleLight14 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6.xml><?xml version="1.0" encoding="utf-8"?>
<pivotTableDefinition xmlns="http://schemas.openxmlformats.org/spreadsheetml/2006/main" name="PivotTable11" cacheId="0" applyNumberFormats="0" applyBorderFormats="0" applyFontFormats="0" applyPatternFormats="0" applyAlignmentFormats="0" applyWidthHeightFormats="1" dataCaption="Values" updatedVersion="6" minRefreshableVersion="3" rowGrandTotals="0" colGrandTotals="0" itemPrintTitles="1" createdVersion="6" indent="0" outline="1" outlineData="1" multipleFieldFilters="0" chartFormat="5">
  <location ref="B116:F120" firstHeaderRow="1" firstDataRow="2" firstDataCol="1" rowPageCount="1" colPageCount="1"/>
  <pivotFields count="92">
    <pivotField axis="axisPage" subtotalTop="0" multipleItemSelectionAllowed="1" showAll="0">
      <items count="8">
        <item m="1" x="2"/>
        <item m="1" x="3"/>
        <item m="1" x="6"/>
        <item x="0"/>
        <item m="1" x="4"/>
        <item h="1" m="1" x="1"/>
        <item h="1" m="1" x="5"/>
        <item t="default"/>
      </items>
    </pivotField>
    <pivotField subtotalTop="0" showAll="0"/>
    <pivotField axis="axisRow" subtotalTop="0" showAll="0">
      <items count="5">
        <item x="0"/>
        <item x="1"/>
        <item x="2"/>
        <item h="1" m="1" x="3"/>
        <item t="default"/>
      </items>
    </pivotField>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Col" dataField="1" subtotalTop="0" multipleItemSelectionAllowed="1" showAll="0">
      <items count="6">
        <item x="0"/>
        <item x="1"/>
        <item x="2"/>
        <item x="3"/>
        <item h="1" m="1" x="4"/>
        <item t="default"/>
      </items>
    </pivotField>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howAll="0" defaultSubtotal="0"/>
    <pivotField subtotalTop="0" showAll="0"/>
    <pivotField subtotalTop="0" showAll="0"/>
    <pivotField numFmtId="9" subtotalTop="0" showAll="0"/>
    <pivotField numFmtId="9"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howAll="0" defaultSubtotal="0"/>
    <pivotField numFmtId="1" subtotalTop="0" showAll="0"/>
    <pivotField subtotalTop="0" showAll="0"/>
    <pivotField subtotalTop="0" showAll="0"/>
    <pivotField subtotalTop="0" showAll="0"/>
    <pivotField subtotalTop="0" showAll="0"/>
    <pivotField subtotalTop="0" showAll="0"/>
    <pivotField numFmtId="9" showAll="0" defaultSubtotal="0"/>
    <pivotField showAll="0" defaultSubtotal="0"/>
    <pivotField subtotalTop="0" showAll="0"/>
    <pivotField subtotalTop="0" showAll="0"/>
    <pivotField numFmtId="1" showAll="0" defaultSubtotal="0"/>
    <pivotField numFmtId="1" showAll="0" defaultSubtotal="0"/>
    <pivotField numFmtId="1" showAll="0" defaultSubtotal="0"/>
    <pivotField numFmtId="1" showAll="0" defaultSubtotal="0"/>
    <pivotField numFmtId="1" showAll="0" defaultSubtotal="0"/>
    <pivotField subtotalTop="0" showAll="0"/>
    <pivotField subtotalTop="0" showAll="0"/>
    <pivotField subtotalTop="0" showAll="0"/>
    <pivotField numFmtId="1" showAll="0" defaultSubtotal="0"/>
    <pivotField numFmtId="1" showAll="0" defaultSubtotal="0"/>
    <pivotField numFmtId="1" showAll="0" defaultSubtota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s>
  <rowFields count="1">
    <field x="2"/>
  </rowFields>
  <rowItems count="3">
    <i>
      <x/>
    </i>
    <i>
      <x v="1"/>
    </i>
    <i>
      <x v="2"/>
    </i>
  </rowItems>
  <colFields count="1">
    <field x="30"/>
  </colFields>
  <colItems count="4">
    <i>
      <x/>
    </i>
    <i>
      <x v="1"/>
    </i>
    <i>
      <x v="2"/>
    </i>
    <i>
      <x v="3"/>
    </i>
  </colItems>
  <pageFields count="1">
    <pageField fld="0" hier="-1"/>
  </pageFields>
  <dataFields count="1">
    <dataField name="Count of Does the camp have surface water drainage" fld="30" subtotal="count" baseField="0" baseItem="0"/>
  </dataFields>
  <formats count="16">
    <format dxfId="555">
      <pivotArea type="all" dataOnly="0" outline="0" fieldPosition="0"/>
    </format>
    <format dxfId="554">
      <pivotArea outline="0" collapsedLevelsAreSubtotals="1" fieldPosition="0"/>
    </format>
    <format dxfId="553">
      <pivotArea type="origin" dataOnly="0" labelOnly="1" outline="0" fieldPosition="0"/>
    </format>
    <format dxfId="552">
      <pivotArea field="30" type="button" dataOnly="0" labelOnly="1" outline="0" axis="axisCol" fieldPosition="0"/>
    </format>
    <format dxfId="551">
      <pivotArea type="topRight" dataOnly="0" labelOnly="1" outline="0" fieldPosition="0"/>
    </format>
    <format dxfId="550">
      <pivotArea field="2" type="button" dataOnly="0" labelOnly="1" outline="0" axis="axisRow" fieldPosition="0"/>
    </format>
    <format dxfId="549">
      <pivotArea dataOnly="0" labelOnly="1" fieldPosition="0">
        <references count="1">
          <reference field="2" count="0"/>
        </references>
      </pivotArea>
    </format>
    <format dxfId="548">
      <pivotArea dataOnly="0" labelOnly="1" fieldPosition="0">
        <references count="1">
          <reference field="30" count="0"/>
        </references>
      </pivotArea>
    </format>
    <format dxfId="547">
      <pivotArea type="all" dataOnly="0" outline="0" fieldPosition="0"/>
    </format>
    <format dxfId="546">
      <pivotArea outline="0" collapsedLevelsAreSubtotals="1" fieldPosition="0"/>
    </format>
    <format dxfId="545">
      <pivotArea type="origin" dataOnly="0" labelOnly="1" outline="0" fieldPosition="0"/>
    </format>
    <format dxfId="544">
      <pivotArea field="30" type="button" dataOnly="0" labelOnly="1" outline="0" axis="axisCol" fieldPosition="0"/>
    </format>
    <format dxfId="543">
      <pivotArea type="topRight" dataOnly="0" labelOnly="1" outline="0" fieldPosition="0"/>
    </format>
    <format dxfId="542">
      <pivotArea field="2" type="button" dataOnly="0" labelOnly="1" outline="0" axis="axisRow" fieldPosition="0"/>
    </format>
    <format dxfId="541">
      <pivotArea dataOnly="0" labelOnly="1" fieldPosition="0">
        <references count="1">
          <reference field="2" count="0"/>
        </references>
      </pivotArea>
    </format>
    <format dxfId="540">
      <pivotArea dataOnly="0" labelOnly="1" fieldPosition="0">
        <references count="1">
          <reference field="30" count="0"/>
        </references>
      </pivotArea>
    </format>
  </formats>
  <chartFormats count="4">
    <chartFormat chart="1" format="0" series="1">
      <pivotArea type="data" outline="0" fieldPosition="0">
        <references count="2">
          <reference field="4294967294" count="1" selected="0">
            <x v="0"/>
          </reference>
          <reference field="30" count="1" selected="0">
            <x v="0"/>
          </reference>
        </references>
      </pivotArea>
    </chartFormat>
    <chartFormat chart="1" format="1" series="1">
      <pivotArea type="data" outline="0" fieldPosition="0">
        <references count="2">
          <reference field="4294967294" count="1" selected="0">
            <x v="0"/>
          </reference>
          <reference field="30" count="1" selected="0">
            <x v="1"/>
          </reference>
        </references>
      </pivotArea>
    </chartFormat>
    <chartFormat chart="1" format="2" series="1">
      <pivotArea type="data" outline="0" fieldPosition="0">
        <references count="2">
          <reference field="4294967294" count="1" selected="0">
            <x v="0"/>
          </reference>
          <reference field="30" count="1" selected="0">
            <x v="2"/>
          </reference>
        </references>
      </pivotArea>
    </chartFormat>
    <chartFormat chart="1" format="3" series="1">
      <pivotArea type="data" outline="0" fieldPosition="0">
        <references count="2">
          <reference field="4294967294" count="1" selected="0">
            <x v="0"/>
          </reference>
          <reference field="30" count="1" selected="0">
            <x v="3"/>
          </reference>
        </references>
      </pivotArea>
    </chartFormat>
  </chartFormats>
  <pivotTableStyleInfo name="PivotTable Style a"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7.xml><?xml version="1.0" encoding="utf-8"?>
<pivotTableDefinition xmlns="http://schemas.openxmlformats.org/spreadsheetml/2006/main" name="Shan" cacheId="0" dataOnRows="1" applyNumberFormats="0" applyBorderFormats="0" applyFontFormats="0" applyPatternFormats="0" applyAlignmentFormats="0" applyWidthHeightFormats="1" dataCaption="Values" updatedVersion="6" minRefreshableVersion="3" rowGrandTotals="0" colGrandTotals="0" itemPrintTitles="1" createdVersion="6" indent="0" outline="1" outlineData="1" multipleFieldFilters="0" chartFormat="15">
  <location ref="N177:P180" firstHeaderRow="1" firstDataRow="2" firstDataCol="1" rowPageCount="2" colPageCount="1"/>
  <pivotFields count="92">
    <pivotField axis="axisPage" subtotalTop="0" showAll="0">
      <items count="8">
        <item m="1" x="2"/>
        <item m="1" x="3"/>
        <item m="1" x="6"/>
        <item x="0"/>
        <item m="1" x="4"/>
        <item m="1" x="1"/>
        <item m="1" x="5"/>
        <item t="default"/>
      </items>
    </pivotField>
    <pivotField subtotalTop="0" showAll="0"/>
    <pivotField axis="axisPage" subtotalTop="0" multipleItemSelectionAllowed="1" showAll="0">
      <items count="5">
        <item h="1" x="0"/>
        <item h="1" x="1"/>
        <item x="2"/>
        <item m="1" x="3"/>
        <item t="default"/>
      </items>
    </pivotField>
    <pivotField subtotalTop="0" showAll="0"/>
    <pivotField dataField="1"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numFmtId="1"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howAll="0" defaultSubtotal="0"/>
    <pivotField subtotalTop="0" showAll="0"/>
    <pivotField subtotalTop="0" showAll="0"/>
    <pivotField numFmtId="9" subtotalTop="0" showAll="0"/>
    <pivotField subtotalTop="0" showAll="0"/>
    <pivotField subtotalTop="0" showAll="0"/>
    <pivotField subtotalTop="0" showAll="0"/>
    <pivotField numFmtId="1" subtotalTop="0" showAll="0"/>
    <pivotField subtotalTop="0" showAll="0"/>
    <pivotField subtotalTop="0" showAll="0"/>
    <pivotField subtotalTop="0" showAll="0"/>
    <pivotField subtotalTop="0" showAll="0"/>
    <pivotField subtotalTop="0" showAll="0"/>
    <pivotField numFmtId="1" subtotalTop="0" showAll="0"/>
    <pivotField numFmtId="1" subtotalTop="0" showAll="0"/>
    <pivotField showAll="0" defaultSubtotal="0"/>
    <pivotField numFmtId="1" subtotalTop="0" showAll="0"/>
    <pivotField subtotalTop="0" showAll="0"/>
    <pivotField subtotalTop="0" showAll="0"/>
    <pivotField subtotalTop="0" showAll="0"/>
    <pivotField subtotalTop="0" showAll="0"/>
    <pivotField subtotalTop="0" showAll="0"/>
    <pivotField numFmtId="9" showAll="0" defaultSubtotal="0"/>
    <pivotField showAll="0" defaultSubtotal="0"/>
    <pivotField numFmtId="9" subtotalTop="0" showAll="0"/>
    <pivotField numFmtId="9" subtotalTop="0" showAll="0"/>
    <pivotField numFmtId="1" showAll="0" defaultSubtotal="0"/>
    <pivotField numFmtId="1" showAll="0" defaultSubtotal="0"/>
    <pivotField numFmtId="1" showAll="0" defaultSubtotal="0"/>
    <pivotField numFmtId="1" showAll="0" defaultSubtotal="0"/>
    <pivotField numFmtId="1" showAll="0" defaultSubtotal="0"/>
    <pivotField numFmtId="9" subtotalTop="0" showAll="0"/>
    <pivotField numFmtId="9" subtotalTop="0" showAll="0"/>
    <pivotField numFmtId="9" subtotalTop="0" showAll="0"/>
    <pivotField numFmtId="1" showAll="0" defaultSubtotal="0"/>
    <pivotField numFmtId="1" showAll="0" defaultSubtotal="0"/>
    <pivotField numFmtId="1" showAll="0" defaultSubtotal="0"/>
    <pivotField numFmtId="1" subtotalTop="0" showAll="0"/>
    <pivotField subtotalTop="0" showAll="0"/>
    <pivotField subtotalTop="0" showAll="0"/>
    <pivotField axis="axisRow" subtotalTop="0" showAll="0">
      <items count="6">
        <item h="1" m="1" x="4"/>
        <item x="0"/>
        <item x="1"/>
        <item x="3"/>
        <item h="1" x="2"/>
        <item t="default"/>
      </items>
    </pivotField>
    <pivotField subtotalTop="0" showAll="0"/>
    <pivotField subtotalTop="0" showAll="0"/>
    <pivotField subtotalTop="0" showAll="0"/>
    <pivotField subtotalTop="0" showAll="0"/>
    <pivotField subtotalTop="0" showAll="0"/>
    <pivotField subtotalTop="0" showAll="0"/>
    <pivotField axis="axisCol" subtotalTop="0" showAll="0">
      <items count="5">
        <item x="0"/>
        <item n="Gap" x="1"/>
        <item h="1" m="1" x="3"/>
        <item h="1" m="1" x="2"/>
        <item t="default"/>
      </items>
    </pivotField>
    <pivotField subtotalTop="0" showAll="0"/>
  </pivotFields>
  <rowFields count="1">
    <field x="83"/>
  </rowFields>
  <rowItems count="2">
    <i>
      <x v="1"/>
    </i>
    <i>
      <x v="2"/>
    </i>
  </rowItems>
  <colFields count="1">
    <field x="90"/>
  </colFields>
  <colItems count="2">
    <i>
      <x/>
    </i>
    <i>
      <x v="1"/>
    </i>
  </colItems>
  <pageFields count="2">
    <pageField fld="0" hier="-1"/>
    <pageField fld="2" hier="-1"/>
  </pageFields>
  <dataFields count="1">
    <dataField name="Count of Site Name" fld="4" subtotal="count" baseField="0" baseItem="0"/>
  </dataFields>
  <formats count="28">
    <format dxfId="583">
      <pivotArea type="all" dataOnly="0" outline="0" fieldPosition="0"/>
    </format>
    <format dxfId="582">
      <pivotArea outline="0" collapsedLevelsAreSubtotals="1" fieldPosition="0"/>
    </format>
    <format dxfId="581">
      <pivotArea field="2" type="button" dataOnly="0" labelOnly="1" outline="0" axis="axisPage" fieldPosition="1"/>
    </format>
    <format dxfId="580">
      <pivotArea dataOnly="0" labelOnly="1" fieldPosition="0">
        <references count="1">
          <reference field="2" count="0"/>
        </references>
      </pivotArea>
    </format>
    <format dxfId="579">
      <pivotArea dataOnly="0" labelOnly="1" grandRow="1" outline="0" fieldPosition="0"/>
    </format>
    <format dxfId="578">
      <pivotArea dataOnly="0" labelOnly="1" outline="0" fieldPosition="0">
        <references count="1">
          <reference field="4294967294" count="1">
            <x v="0"/>
          </reference>
        </references>
      </pivotArea>
    </format>
    <format dxfId="577">
      <pivotArea type="all" dataOnly="0" outline="0" fieldPosition="0"/>
    </format>
    <format dxfId="576">
      <pivotArea outline="0" collapsedLevelsAreSubtotals="1" fieldPosition="0"/>
    </format>
    <format dxfId="575">
      <pivotArea field="2" type="button" dataOnly="0" labelOnly="1" outline="0" axis="axisPage" fieldPosition="1"/>
    </format>
    <format dxfId="574">
      <pivotArea dataOnly="0" labelOnly="1" fieldPosition="0">
        <references count="1">
          <reference field="2" count="0"/>
        </references>
      </pivotArea>
    </format>
    <format dxfId="573">
      <pivotArea dataOnly="0" labelOnly="1" grandRow="1" outline="0" fieldPosition="0"/>
    </format>
    <format dxfId="572">
      <pivotArea dataOnly="0" labelOnly="1" outline="0" fieldPosition="0">
        <references count="1">
          <reference field="4294967294" count="1">
            <x v="0"/>
          </reference>
        </references>
      </pivotArea>
    </format>
    <format dxfId="571">
      <pivotArea type="all" dataOnly="0" outline="0" fieldPosition="0"/>
    </format>
    <format dxfId="570">
      <pivotArea outline="0" collapsedLevelsAreSubtotals="1" fieldPosition="0"/>
    </format>
    <format dxfId="569">
      <pivotArea type="origin" dataOnly="0" labelOnly="1" outline="0" fieldPosition="0"/>
    </format>
    <format dxfId="568">
      <pivotArea field="90" type="button" dataOnly="0" labelOnly="1" outline="0" axis="axisCol" fieldPosition="0"/>
    </format>
    <format dxfId="567">
      <pivotArea type="topRight" dataOnly="0" labelOnly="1" outline="0" fieldPosition="0"/>
    </format>
    <format dxfId="566">
      <pivotArea field="83" type="button" dataOnly="0" labelOnly="1" outline="0" axis="axisRow" fieldPosition="0"/>
    </format>
    <format dxfId="565">
      <pivotArea dataOnly="0" labelOnly="1" fieldPosition="0">
        <references count="1">
          <reference field="83" count="2">
            <x v="1"/>
            <x v="2"/>
          </reference>
        </references>
      </pivotArea>
    </format>
    <format dxfId="564">
      <pivotArea dataOnly="0" labelOnly="1" fieldPosition="0">
        <references count="1">
          <reference field="90" count="0"/>
        </references>
      </pivotArea>
    </format>
    <format dxfId="563">
      <pivotArea type="all" dataOnly="0" outline="0" fieldPosition="0"/>
    </format>
    <format dxfId="562">
      <pivotArea outline="0" collapsedLevelsAreSubtotals="1" fieldPosition="0"/>
    </format>
    <format dxfId="561">
      <pivotArea type="origin" dataOnly="0" labelOnly="1" outline="0" fieldPosition="0"/>
    </format>
    <format dxfId="560">
      <pivotArea field="90" type="button" dataOnly="0" labelOnly="1" outline="0" axis="axisCol" fieldPosition="0"/>
    </format>
    <format dxfId="559">
      <pivotArea type="topRight" dataOnly="0" labelOnly="1" outline="0" fieldPosition="0"/>
    </format>
    <format dxfId="558">
      <pivotArea field="83" type="button" dataOnly="0" labelOnly="1" outline="0" axis="axisRow" fieldPosition="0"/>
    </format>
    <format dxfId="557">
      <pivotArea dataOnly="0" labelOnly="1" fieldPosition="0">
        <references count="1">
          <reference field="83" count="2">
            <x v="1"/>
            <x v="2"/>
          </reference>
        </references>
      </pivotArea>
    </format>
    <format dxfId="556">
      <pivotArea dataOnly="0" labelOnly="1" fieldPosition="0">
        <references count="1">
          <reference field="90" count="0"/>
        </references>
      </pivotArea>
    </format>
  </formats>
  <chartFormats count="6">
    <chartFormat chart="1" format="0" series="1">
      <pivotArea type="data" outline="0" fieldPosition="0">
        <references count="2">
          <reference field="4294967294" count="1" selected="0">
            <x v="0"/>
          </reference>
          <reference field="90" count="1" selected="0">
            <x v="0"/>
          </reference>
        </references>
      </pivotArea>
    </chartFormat>
    <chartFormat chart="1" format="1" series="1">
      <pivotArea type="data" outline="0" fieldPosition="0">
        <references count="2">
          <reference field="4294967294" count="1" selected="0">
            <x v="0"/>
          </reference>
          <reference field="90" count="1" selected="0">
            <x v="1"/>
          </reference>
        </references>
      </pivotArea>
    </chartFormat>
    <chartFormat chart="6" format="4" series="1">
      <pivotArea type="data" outline="0" fieldPosition="0">
        <references count="2">
          <reference field="4294967294" count="1" selected="0">
            <x v="0"/>
          </reference>
          <reference field="90" count="1" selected="0">
            <x v="0"/>
          </reference>
        </references>
      </pivotArea>
    </chartFormat>
    <chartFormat chart="6" format="5" series="1">
      <pivotArea type="data" outline="0" fieldPosition="0">
        <references count="2">
          <reference field="4294967294" count="1" selected="0">
            <x v="0"/>
          </reference>
          <reference field="90" count="1" selected="0">
            <x v="1"/>
          </reference>
        </references>
      </pivotArea>
    </chartFormat>
    <chartFormat chart="10" format="4" series="1">
      <pivotArea type="data" outline="0" fieldPosition="0">
        <references count="2">
          <reference field="4294967294" count="1" selected="0">
            <x v="0"/>
          </reference>
          <reference field="90" count="1" selected="0">
            <x v="0"/>
          </reference>
        </references>
      </pivotArea>
    </chartFormat>
    <chartFormat chart="10" format="5" series="1">
      <pivotArea type="data" outline="0" fieldPosition="0">
        <references count="2">
          <reference field="4294967294" count="1" selected="0">
            <x v="0"/>
          </reference>
          <reference field="90" count="1" selected="0">
            <x v="1"/>
          </reference>
        </references>
      </pivotArea>
    </chartFormat>
  </chartFormats>
  <pivotTableStyleInfo name="PivotTable Style a"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8.xml><?xml version="1.0" encoding="utf-8"?>
<pivotTableDefinition xmlns="http://schemas.openxmlformats.org/spreadsheetml/2006/main" name="PivotTable12" cacheId="0" applyNumberFormats="0" applyBorderFormats="0" applyFontFormats="0" applyPatternFormats="0" applyAlignmentFormats="0" applyWidthHeightFormats="1" dataCaption="Values" updatedVersion="6" minRefreshableVersion="3" rowGrandTotals="0" colGrandTotals="0" itemPrintTitles="1" createdVersion="6" indent="0" outline="1" outlineData="1" multipleFieldFilters="0">
  <location ref="B130:F134" firstHeaderRow="1" firstDataRow="2" firstDataCol="1" rowPageCount="1" colPageCount="1"/>
  <pivotFields count="92">
    <pivotField axis="axisPage" subtotalTop="0" multipleItemSelectionAllowed="1" showAll="0">
      <items count="8">
        <item m="1" x="2"/>
        <item m="1" x="3"/>
        <item m="1" x="6"/>
        <item x="0"/>
        <item m="1" x="4"/>
        <item h="1" m="1" x="1"/>
        <item h="1" m="1" x="5"/>
        <item t="default"/>
      </items>
    </pivotField>
    <pivotField subtotalTop="0" showAll="0"/>
    <pivotField axis="axisRow" subtotalTop="0" showAll="0">
      <items count="5">
        <item x="0"/>
        <item x="1"/>
        <item x="2"/>
        <item h="1" m="1" x="3"/>
        <item t="default"/>
      </items>
    </pivotField>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axis="axisCol" dataField="1" subtotalTop="0" showAll="0">
      <items count="6">
        <item x="0"/>
        <item x="1"/>
        <item x="3"/>
        <item x="2"/>
        <item m="1" x="4"/>
        <item t="default"/>
      </items>
    </pivotField>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howAll="0" defaultSubtotal="0"/>
    <pivotField subtotalTop="0" showAll="0"/>
    <pivotField subtotalTop="0" showAll="0"/>
    <pivotField numFmtId="9" subtotalTop="0" showAll="0"/>
    <pivotField numFmtId="9"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howAll="0" defaultSubtotal="0"/>
    <pivotField numFmtId="1" subtotalTop="0" showAll="0"/>
    <pivotField subtotalTop="0" showAll="0"/>
    <pivotField subtotalTop="0" showAll="0"/>
    <pivotField subtotalTop="0" showAll="0"/>
    <pivotField subtotalTop="0" showAll="0"/>
    <pivotField subtotalTop="0" showAll="0"/>
    <pivotField numFmtId="9" showAll="0" defaultSubtotal="0"/>
    <pivotField showAll="0" defaultSubtotal="0"/>
    <pivotField subtotalTop="0" showAll="0"/>
    <pivotField subtotalTop="0" showAll="0"/>
    <pivotField numFmtId="1" showAll="0" defaultSubtotal="0"/>
    <pivotField numFmtId="1" showAll="0" defaultSubtotal="0"/>
    <pivotField numFmtId="1" showAll="0" defaultSubtotal="0"/>
    <pivotField numFmtId="1" showAll="0" defaultSubtotal="0"/>
    <pivotField numFmtId="1" showAll="0" defaultSubtotal="0"/>
    <pivotField subtotalTop="0" showAll="0"/>
    <pivotField subtotalTop="0" showAll="0"/>
    <pivotField subtotalTop="0" showAll="0"/>
    <pivotField numFmtId="1" showAll="0" defaultSubtotal="0"/>
    <pivotField numFmtId="1" showAll="0" defaultSubtotal="0"/>
    <pivotField numFmtId="1" showAll="0" defaultSubtota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s>
  <rowFields count="1">
    <field x="2"/>
  </rowFields>
  <rowItems count="3">
    <i>
      <x/>
    </i>
    <i>
      <x v="1"/>
    </i>
    <i>
      <x v="2"/>
    </i>
  </rowItems>
  <colFields count="1">
    <field x="29"/>
  </colFields>
  <colItems count="4">
    <i>
      <x/>
    </i>
    <i>
      <x v="1"/>
    </i>
    <i>
      <x v="2"/>
    </i>
    <i>
      <x v="3"/>
    </i>
  </colItems>
  <pageFields count="1">
    <pageField fld="0" hier="-1"/>
  </pageFields>
  <dataFields count="1">
    <dataField name="Count of effective solid waste management system" fld="29" subtotal="count" baseField="0" baseItem="0"/>
  </dataFields>
  <formats count="20">
    <format dxfId="603">
      <pivotArea type="all" dataOnly="0" outline="0" fieldPosition="0"/>
    </format>
    <format dxfId="602">
      <pivotArea outline="0" collapsedLevelsAreSubtotals="1" fieldPosition="0"/>
    </format>
    <format dxfId="601">
      <pivotArea type="origin" dataOnly="0" labelOnly="1" outline="0" fieldPosition="0"/>
    </format>
    <format dxfId="600">
      <pivotArea field="29" type="button" dataOnly="0" labelOnly="1" outline="0" axis="axisCol" fieldPosition="0"/>
    </format>
    <format dxfId="599">
      <pivotArea type="topRight" dataOnly="0" labelOnly="1" outline="0" fieldPosition="0"/>
    </format>
    <format dxfId="598">
      <pivotArea field="2" type="button" dataOnly="0" labelOnly="1" outline="0" axis="axisRow" fieldPosition="0"/>
    </format>
    <format dxfId="597">
      <pivotArea dataOnly="0" labelOnly="1" fieldPosition="0">
        <references count="1">
          <reference field="2" count="0"/>
        </references>
      </pivotArea>
    </format>
    <format dxfId="596">
      <pivotArea dataOnly="0" labelOnly="1" grandRow="1" outline="0" fieldPosition="0"/>
    </format>
    <format dxfId="595">
      <pivotArea dataOnly="0" labelOnly="1" fieldPosition="0">
        <references count="1">
          <reference field="29" count="0"/>
        </references>
      </pivotArea>
    </format>
    <format dxfId="594">
      <pivotArea dataOnly="0" labelOnly="1" grandCol="1" outline="0" fieldPosition="0"/>
    </format>
    <format dxfId="593">
      <pivotArea type="all" dataOnly="0" outline="0" fieldPosition="0"/>
    </format>
    <format dxfId="592">
      <pivotArea outline="0" collapsedLevelsAreSubtotals="1" fieldPosition="0"/>
    </format>
    <format dxfId="591">
      <pivotArea type="origin" dataOnly="0" labelOnly="1" outline="0" fieldPosition="0"/>
    </format>
    <format dxfId="590">
      <pivotArea field="29" type="button" dataOnly="0" labelOnly="1" outline="0" axis="axisCol" fieldPosition="0"/>
    </format>
    <format dxfId="589">
      <pivotArea type="topRight" dataOnly="0" labelOnly="1" outline="0" fieldPosition="0"/>
    </format>
    <format dxfId="588">
      <pivotArea field="2" type="button" dataOnly="0" labelOnly="1" outline="0" axis="axisRow" fieldPosition="0"/>
    </format>
    <format dxfId="587">
      <pivotArea dataOnly="0" labelOnly="1" fieldPosition="0">
        <references count="1">
          <reference field="2" count="0"/>
        </references>
      </pivotArea>
    </format>
    <format dxfId="586">
      <pivotArea dataOnly="0" labelOnly="1" grandRow="1" outline="0" fieldPosition="0"/>
    </format>
    <format dxfId="585">
      <pivotArea dataOnly="0" labelOnly="1" fieldPosition="0">
        <references count="1">
          <reference field="29" count="0"/>
        </references>
      </pivotArea>
    </format>
    <format dxfId="584">
      <pivotArea dataOnly="0" labelOnly="1" grandCol="1" outline="0" fieldPosition="0"/>
    </format>
  </formats>
  <pivotTableStyleInfo name="PivotStyleLight14 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9.xml><?xml version="1.0" encoding="utf-8"?>
<pivotTableDefinition xmlns="http://schemas.openxmlformats.org/spreadsheetml/2006/main" name="PivotTable2" cacheId="0" applyNumberFormats="0" applyBorderFormats="0" applyFontFormats="0" applyPatternFormats="0" applyAlignmentFormats="0" applyWidthHeightFormats="1" dataCaption="Values" updatedVersion="6" minRefreshableVersion="3" rowGrandTotals="0" colGrandTotals="0" itemPrintTitles="1" createdVersion="6" indent="0" outline="1" outlineData="1" multipleFieldFilters="0" chartFormat="17">
  <location ref="B40:D42" firstHeaderRow="0" firstDataRow="1" firstDataCol="1" rowPageCount="4" colPageCount="1"/>
  <pivotFields count="92">
    <pivotField axis="axisPage" subtotalTop="0" multipleItemSelectionAllowed="1" showAll="0">
      <items count="8">
        <item h="1" m="1" x="2"/>
        <item m="1" x="3"/>
        <item x="0"/>
        <item h="1" m="1" x="1"/>
        <item m="1" x="6"/>
        <item m="1" x="4"/>
        <item h="1" m="1" x="5"/>
        <item t="default"/>
      </items>
    </pivotField>
    <pivotField subtotalTop="0" showAll="0"/>
    <pivotField axis="axisPage" subtotalTop="0" multipleItemSelectionAllowed="1" showAll="0">
      <items count="5">
        <item x="0"/>
        <item h="1" x="1"/>
        <item h="1" x="2"/>
        <item h="1" m="1" x="3"/>
        <item t="default"/>
      </items>
    </pivotField>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howAll="0" defaultSubtota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dataField="1" subtotalTop="0" showAll="0"/>
    <pivotField numFmtId="9" subtotalTop="0" showAll="0"/>
    <pivotField subtotalTop="0" showAll="0"/>
    <pivotField dataField="1" subtotalTop="0" showAll="0"/>
    <pivotField subtotalTop="0" showAll="0"/>
    <pivotField showAll="0" defaultSubtotal="0"/>
    <pivotField subtotalTop="0" showAll="0"/>
    <pivotField subtotalTop="0" showAll="0"/>
    <pivotField subtotalTop="0" showAll="0"/>
    <pivotField numFmtId="9" subtotalTop="0" showAll="0"/>
    <pivotField numFmtId="1" subtotalTop="0" showAll="0"/>
    <pivotField subtotalTop="0" showAll="0"/>
    <pivotField numFmtId="9" showAll="0" defaultSubtotal="0"/>
    <pivotField showAll="0" defaultSubtotal="0"/>
    <pivotField numFmtId="9" subtotalTop="0" showAll="0"/>
    <pivotField subtotalTop="0" showAll="0"/>
    <pivotField numFmtId="1" showAll="0" defaultSubtotal="0"/>
    <pivotField numFmtId="1" showAll="0" defaultSubtotal="0"/>
    <pivotField numFmtId="1" showAll="0" defaultSubtotal="0"/>
    <pivotField numFmtId="1" showAll="0" defaultSubtotal="0"/>
    <pivotField numFmtId="1" showAll="0" defaultSubtotal="0"/>
    <pivotField subtotalTop="0" showAll="0"/>
    <pivotField numFmtId="9" subtotalTop="0" showAll="0"/>
    <pivotField numFmtId="9" subtotalTop="0" showAll="0"/>
    <pivotField numFmtId="1" showAll="0" defaultSubtotal="0"/>
    <pivotField numFmtId="1" showAll="0" defaultSubtotal="0"/>
    <pivotField numFmtId="1" showAll="0" defaultSubtotal="0"/>
    <pivotField subtotalTop="0" showAll="0"/>
    <pivotField subtotalTop="0" showAll="0"/>
    <pivotField subtotalTop="0" showAll="0"/>
    <pivotField axis="axisPage" subtotalTop="0" multipleItemSelectionAllowed="1" showAll="0">
      <items count="6">
        <item h="1" m="1" x="4"/>
        <item x="0"/>
        <item x="1"/>
        <item x="3"/>
        <item h="1" x="2"/>
        <item t="default"/>
      </items>
    </pivotField>
    <pivotField subtotalTop="0" showAll="0"/>
    <pivotField subtotalTop="0" showAll="0"/>
    <pivotField axis="axisRow" subtotalTop="0" showAll="0">
      <items count="13">
        <item h="1" x="7"/>
        <item n="# in GCA active camps (500:1)" x="0"/>
        <item h="1" x="11"/>
        <item h="1" x="5"/>
        <item n="# in NGCA active camps (500:1)" x="1"/>
        <item h="1" x="3"/>
        <item h="1" x="10"/>
        <item h="1" x="9"/>
        <item h="1" x="4"/>
        <item h="1" x="8"/>
        <item h="1" x="6"/>
        <item h="1" x="2"/>
        <item t="default"/>
      </items>
    </pivotField>
    <pivotField subtotalTop="0" showAll="0"/>
    <pivotField subtotalTop="0" showAll="0"/>
    <pivotField subtotalTop="0" showAll="0"/>
    <pivotField axis="axisPage" subtotalTop="0" showAll="0">
      <items count="5">
        <item x="0"/>
        <item x="1"/>
        <item m="1" x="3"/>
        <item m="1" x="2"/>
        <item t="default"/>
      </items>
    </pivotField>
    <pivotField subtotalTop="0" showAll="0"/>
  </pivotFields>
  <rowFields count="1">
    <field x="86"/>
  </rowFields>
  <rowItems count="2">
    <i>
      <x v="1"/>
    </i>
    <i>
      <x v="4"/>
    </i>
  </rowItems>
  <colFields count="1">
    <field x="-2"/>
  </colFields>
  <colItems count="2">
    <i>
      <x/>
    </i>
    <i i="1">
      <x v="1"/>
    </i>
  </colItems>
  <pageFields count="4">
    <pageField fld="0" hier="-1"/>
    <pageField fld="83" hier="-1"/>
    <pageField fld="2" hier="-1"/>
    <pageField fld="90" item="0" hier="-1"/>
  </pageFields>
  <dataFields count="2">
    <dataField name="Coverage" fld="53" baseField="80" baseItem="1" numFmtId="1"/>
    <dataField name="Gap" fld="56" baseField="80" baseItem="1" numFmtId="1"/>
  </dataFields>
  <formats count="12">
    <format dxfId="615">
      <pivotArea type="all" dataOnly="0" outline="0" fieldPosition="0"/>
    </format>
    <format dxfId="614">
      <pivotArea outline="0" collapsedLevelsAreSubtotals="1" fieldPosition="0"/>
    </format>
    <format dxfId="613">
      <pivotArea field="86" type="button" dataOnly="0" labelOnly="1" outline="0" axis="axisRow" fieldPosition="0"/>
    </format>
    <format dxfId="612">
      <pivotArea dataOnly="0" labelOnly="1" fieldPosition="0">
        <references count="1">
          <reference field="86" count="0"/>
        </references>
      </pivotArea>
    </format>
    <format dxfId="611">
      <pivotArea type="all" dataOnly="0" outline="0" fieldPosition="0"/>
    </format>
    <format dxfId="610">
      <pivotArea outline="0" collapsedLevelsAreSubtotals="1" fieldPosition="0"/>
    </format>
    <format dxfId="609">
      <pivotArea field="86" type="button" dataOnly="0" labelOnly="1" outline="0" axis="axisRow" fieldPosition="0"/>
    </format>
    <format dxfId="608">
      <pivotArea dataOnly="0" labelOnly="1" fieldPosition="0">
        <references count="1">
          <reference field="86" count="0"/>
        </references>
      </pivotArea>
    </format>
    <format dxfId="607">
      <pivotArea field="86" type="button" dataOnly="0" labelOnly="1" outline="0" axis="axisRow" fieldPosition="0"/>
    </format>
    <format dxfId="606">
      <pivotArea dataOnly="0" labelOnly="1" outline="0" fieldPosition="0">
        <references count="1">
          <reference field="4294967294" count="2">
            <x v="0"/>
            <x v="1"/>
          </reference>
        </references>
      </pivotArea>
    </format>
    <format dxfId="605">
      <pivotArea outline="0" fieldPosition="0">
        <references count="1">
          <reference field="4294967294" count="1">
            <x v="0"/>
          </reference>
        </references>
      </pivotArea>
    </format>
    <format dxfId="604">
      <pivotArea outline="0" fieldPosition="0">
        <references count="1">
          <reference field="4294967294" count="1">
            <x v="1"/>
          </reference>
        </references>
      </pivotArea>
    </format>
  </formats>
  <chartFormats count="4">
    <chartFormat chart="5" format="0" series="1">
      <pivotArea type="data" outline="0" fieldPosition="0">
        <references count="1">
          <reference field="4294967294" count="1" selected="0">
            <x v="0"/>
          </reference>
        </references>
      </pivotArea>
    </chartFormat>
    <chartFormat chart="5" format="1" series="1">
      <pivotArea type="data" outline="0" fieldPosition="0">
        <references count="1">
          <reference field="4294967294" count="1" selected="0">
            <x v="1"/>
          </reference>
        </references>
      </pivotArea>
    </chartFormat>
    <chartFormat chart="16" format="5" series="1">
      <pivotArea type="data" outline="0" fieldPosition="0">
        <references count="1">
          <reference field="4294967294" count="1" selected="0">
            <x v="0"/>
          </reference>
        </references>
      </pivotArea>
    </chartFormat>
    <chartFormat chart="16" format="6" series="1">
      <pivotArea type="data" outline="0" fieldPosition="0">
        <references count="1">
          <reference field="4294967294" count="1" selected="0">
            <x v="1"/>
          </reference>
        </references>
      </pivotArea>
    </chartFormat>
  </chartFormats>
  <pivotTableStyleInfo name="PivotTable Style a"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name="HRP_1" cacheId="0" applyNumberFormats="0" applyBorderFormats="0" applyFontFormats="0" applyPatternFormats="0" applyAlignmentFormats="0" applyWidthHeightFormats="1" dataCaption="Values" updatedVersion="6" minRefreshableVersion="3" colGrandTotals="0" itemPrintTitles="1" createdVersion="6" indent="0" showHeaders="0" outline="1" outlineData="1" multipleFieldFilters="0">
  <location ref="B6:I10" firstHeaderRow="0" firstDataRow="1" firstDataCol="1" rowPageCount="3" colPageCount="1"/>
  <pivotFields count="92">
    <pivotField axis="axisPage" subtotalTop="0" showAll="0">
      <items count="8">
        <item m="1" x="2"/>
        <item x="0"/>
        <item m="1" x="1"/>
        <item m="1" x="3"/>
        <item m="1" x="6"/>
        <item m="1" x="4"/>
        <item m="1" x="5"/>
        <item t="default"/>
      </items>
    </pivotField>
    <pivotField subtotalTop="0" showAll="0"/>
    <pivotField axis="axisRow" subtotalTop="0" showAll="0">
      <items count="5">
        <item x="0"/>
        <item x="1"/>
        <item x="2"/>
        <item m="1" x="3"/>
        <item t="default"/>
      </items>
    </pivotField>
    <pivotField subtotalTop="0" showAll="0"/>
    <pivotField subtotalTop="0" showAll="0"/>
    <pivotField subtotalTop="0" showAll="0"/>
    <pivotField dataField="1"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howAll="0" defaultSubtotal="0"/>
    <pivotField subtotalTop="0" showAll="0"/>
    <pivotField subtotalTop="0" showAll="0"/>
    <pivotField numFmtId="9" subtotalTop="0" showAll="0"/>
    <pivotField subtotalTop="0" showAll="0"/>
    <pivotField dataField="1" subtotalTop="0" showAll="0"/>
    <pivotField subtotalTop="0" showAll="0"/>
    <pivotField subtotalTop="0" showAll="0"/>
    <pivotField subtotalTop="0" showAll="0"/>
    <pivotField dataField="1" subtotalTop="0" showAll="0"/>
    <pivotField subtotalTop="0" showAll="0"/>
    <pivotField subtotalTop="0" showAll="0"/>
    <pivotField subtotalTop="0" showAll="0"/>
    <pivotField subtotalTop="0" showAll="0"/>
    <pivotField numFmtId="1" subtotalTop="0" showAll="0"/>
    <pivotField showAll="0" defaultSubtotal="0"/>
    <pivotField numFmtId="1" subtotalTop="0" showAll="0"/>
    <pivotField numFmtId="9" subtotalTop="0" showAll="0"/>
    <pivotField dataField="1" numFmtId="164" subtotalTop="0" showAll="0"/>
    <pivotField subtotalTop="0" showAll="0"/>
    <pivotField subtotalTop="0" showAll="0"/>
    <pivotField subtotalTop="0" showAll="0"/>
    <pivotField numFmtId="9" showAll="0" defaultSubtotal="0"/>
    <pivotField dataField="1" showAll="0" defaultSubtotal="0"/>
    <pivotField subtotalTop="0" showAll="0"/>
    <pivotField subtotalTop="0" showAll="0"/>
    <pivotField dataField="1" numFmtId="1" showAll="0" defaultSubtotal="0"/>
    <pivotField numFmtId="1" showAll="0" defaultSubtotal="0"/>
    <pivotField numFmtId="1" showAll="0" defaultSubtotal="0"/>
    <pivotField numFmtId="1" showAll="0" defaultSubtotal="0"/>
    <pivotField numFmtId="1" showAll="0" defaultSubtotal="0"/>
    <pivotField subtotalTop="0" showAll="0"/>
    <pivotField subtotalTop="0" showAll="0"/>
    <pivotField subtotalTop="0" showAll="0"/>
    <pivotField numFmtId="1" showAll="0" defaultSubtotal="0"/>
    <pivotField numFmtId="1" showAll="0" defaultSubtotal="0"/>
    <pivotField dataField="1" numFmtId="1" showAll="0" defaultSubtotal="0"/>
    <pivotField numFmtId="1" subtotalTop="0" showAll="0"/>
    <pivotField subtotalTop="0" showAll="0"/>
    <pivotField subtotalTop="0" showAll="0"/>
    <pivotField axis="axisPage" subtotalTop="0" multipleItemSelectionAllowed="1" showAll="0">
      <items count="6">
        <item x="0"/>
        <item x="1"/>
        <item h="1" x="3"/>
        <item h="1" m="1" x="4"/>
        <item h="1" x="2"/>
        <item t="default"/>
      </items>
    </pivotField>
    <pivotField subtotalTop="0" showAll="0"/>
    <pivotField subtotalTop="0" showAll="0"/>
    <pivotField subtotalTop="0" showAll="0"/>
    <pivotField subtotalTop="0" showAll="0"/>
    <pivotField subtotalTop="0" showAll="0"/>
    <pivotField subtotalTop="0" showAll="0"/>
    <pivotField axis="axisPage" subtotalTop="0" showAll="0">
      <items count="5">
        <item x="0"/>
        <item x="1"/>
        <item m="1" x="2"/>
        <item m="1" x="3"/>
        <item t="default"/>
      </items>
    </pivotField>
    <pivotField subtotalTop="0" showAll="0"/>
  </pivotFields>
  <rowFields count="1">
    <field x="2"/>
  </rowFields>
  <rowItems count="4">
    <i>
      <x/>
    </i>
    <i>
      <x v="1"/>
    </i>
    <i>
      <x v="2"/>
    </i>
    <i t="grand">
      <x/>
    </i>
  </rowItems>
  <colFields count="1">
    <field x="-2"/>
  </colFields>
  <colItems count="7">
    <i>
      <x/>
    </i>
    <i i="1">
      <x v="1"/>
    </i>
    <i i="2">
      <x v="2"/>
    </i>
    <i i="3">
      <x v="3"/>
    </i>
    <i i="4">
      <x v="4"/>
    </i>
    <i i="5">
      <x v="5"/>
    </i>
    <i i="6">
      <x v="6"/>
    </i>
  </colItems>
  <pageFields count="3">
    <pageField fld="0" item="1" hier="-1"/>
    <pageField fld="90" item="0" hier="-1"/>
    <pageField fld="83" hier="-1"/>
  </pageFields>
  <dataFields count="7">
    <dataField name="Total Population reached" fld="6" baseField="2" baseItem="0" numFmtId="3"/>
    <dataField name="Number of people with equitable and safe access to sufficient quantity of drinking water_1" fld="48" baseField="2" baseItem="1" numFmtId="3"/>
    <dataField name="Number of people with equitable and safe access to sufficient quantity of domestic water_2" fld="52" baseField="2" baseItem="1" numFmtId="3"/>
    <dataField name="Number of people with access to functional sanitation facilities_3" fld="61" baseField="2" baseItem="1" numFmtId="3"/>
    <dataField name="Number of people with access to continuous sanitation services_4" fld="66" baseField="2" baseItem="0" numFmtId="164"/>
    <dataField name="Number of people reached by regular dedicated hygiene promotion_5" fld="69" baseField="0" baseItem="0" numFmtId="164"/>
    <dataField name="Number of People received regular supply of hygiene items_6" fld="79" baseField="0" baseItem="0"/>
  </dataFields>
  <formats count="38">
    <format dxfId="966">
      <pivotArea field="2" type="button" dataOnly="0" labelOnly="1" outline="0" axis="axisRow" fieldPosition="0"/>
    </format>
    <format dxfId="965">
      <pivotArea dataOnly="0" labelOnly="1" outline="0" fieldPosition="0">
        <references count="1">
          <reference field="4294967294" count="3">
            <x v="1"/>
            <x v="2"/>
            <x v="3"/>
          </reference>
        </references>
      </pivotArea>
    </format>
    <format dxfId="964">
      <pivotArea dataOnly="0" labelOnly="1" outline="0" fieldPosition="0">
        <references count="1">
          <reference field="4294967294" count="3">
            <x v="1"/>
            <x v="2"/>
            <x v="3"/>
          </reference>
        </references>
      </pivotArea>
    </format>
    <format dxfId="963">
      <pivotArea outline="0" fieldPosition="0">
        <references count="1">
          <reference field="4294967294" count="1">
            <x v="1"/>
          </reference>
        </references>
      </pivotArea>
    </format>
    <format dxfId="962">
      <pivotArea outline="0" fieldPosition="0">
        <references count="1">
          <reference field="4294967294" count="1">
            <x v="2"/>
          </reference>
        </references>
      </pivotArea>
    </format>
    <format dxfId="961">
      <pivotArea outline="0" fieldPosition="0">
        <references count="1">
          <reference field="4294967294" count="1">
            <x v="3"/>
          </reference>
        </references>
      </pivotArea>
    </format>
    <format dxfId="960">
      <pivotArea type="all" dataOnly="0" outline="0" fieldPosition="0"/>
    </format>
    <format dxfId="959">
      <pivotArea field="2" type="button" dataOnly="0" labelOnly="1" outline="0" axis="axisRow" fieldPosition="0"/>
    </format>
    <format dxfId="958">
      <pivotArea dataOnly="0" labelOnly="1" outline="0" fieldPosition="0">
        <references count="1">
          <reference field="4294967294" count="3">
            <x v="1"/>
            <x v="2"/>
            <x v="3"/>
          </reference>
        </references>
      </pivotArea>
    </format>
    <format dxfId="957">
      <pivotArea outline="0" fieldPosition="0">
        <references count="1">
          <reference field="4294967294" count="1">
            <x v="0"/>
          </reference>
        </references>
      </pivotArea>
    </format>
    <format dxfId="956">
      <pivotArea dataOnly="0" labelOnly="1" outline="0" fieldPosition="0">
        <references count="1">
          <reference field="4294967294" count="1">
            <x v="0"/>
          </reference>
        </references>
      </pivotArea>
    </format>
    <format dxfId="955">
      <pivotArea outline="0" collapsedLevelsAreSubtotals="1" fieldPosition="0">
        <references count="1">
          <reference field="4294967294" count="2" selected="0">
            <x v="1"/>
            <x v="2"/>
          </reference>
        </references>
      </pivotArea>
    </format>
    <format dxfId="954">
      <pivotArea outline="0" collapsedLevelsAreSubtotals="1" fieldPosition="0">
        <references count="1">
          <reference field="4294967294" count="2" selected="0">
            <x v="1"/>
            <x v="2"/>
          </reference>
        </references>
      </pivotArea>
    </format>
    <format dxfId="953">
      <pivotArea dataOnly="0" labelOnly="1" outline="0" fieldPosition="0">
        <references count="1">
          <reference field="4294967294" count="2">
            <x v="1"/>
            <x v="2"/>
          </reference>
        </references>
      </pivotArea>
    </format>
    <format dxfId="952">
      <pivotArea outline="0" collapsedLevelsAreSubtotals="1" fieldPosition="0">
        <references count="1">
          <reference field="4294967294" count="2" selected="0">
            <x v="3"/>
            <x v="4"/>
          </reference>
        </references>
      </pivotArea>
    </format>
    <format dxfId="951">
      <pivotArea outline="0" collapsedLevelsAreSubtotals="1" fieldPosition="0">
        <references count="1">
          <reference field="4294967294" count="2" selected="0">
            <x v="3"/>
            <x v="4"/>
          </reference>
        </references>
      </pivotArea>
    </format>
    <format dxfId="950">
      <pivotArea dataOnly="0" labelOnly="1" outline="0" fieldPosition="0">
        <references count="1">
          <reference field="4294967294" count="2">
            <x v="3"/>
            <x v="4"/>
          </reference>
        </references>
      </pivotArea>
    </format>
    <format dxfId="949">
      <pivotArea outline="0" collapsedLevelsAreSubtotals="1" fieldPosition="0">
        <references count="1">
          <reference field="4294967294" count="1" selected="0">
            <x v="5"/>
          </reference>
        </references>
      </pivotArea>
    </format>
    <format dxfId="948">
      <pivotArea outline="0" collapsedLevelsAreSubtotals="1" fieldPosition="0">
        <references count="1">
          <reference field="4294967294" count="1" selected="0">
            <x v="5"/>
          </reference>
        </references>
      </pivotArea>
    </format>
    <format dxfId="947">
      <pivotArea dataOnly="0" labelOnly="1" outline="0" fieldPosition="0">
        <references count="1">
          <reference field="4294967294" count="1">
            <x v="5"/>
          </reference>
        </references>
      </pivotArea>
    </format>
    <format dxfId="946">
      <pivotArea outline="0" collapsedLevelsAreSubtotals="1" fieldPosition="0">
        <references count="1">
          <reference field="4294967294" count="5" selected="0">
            <x v="1"/>
            <x v="2"/>
            <x v="3"/>
            <x v="4"/>
            <x v="5"/>
          </reference>
        </references>
      </pivotArea>
    </format>
    <format dxfId="945">
      <pivotArea dataOnly="0" labelOnly="1" outline="0" fieldPosition="0">
        <references count="1">
          <reference field="4294967294" count="5">
            <x v="1"/>
            <x v="2"/>
            <x v="3"/>
            <x v="4"/>
            <x v="5"/>
          </reference>
        </references>
      </pivotArea>
    </format>
    <format dxfId="944">
      <pivotArea dataOnly="0" labelOnly="1" outline="0" fieldPosition="0">
        <references count="1">
          <reference field="4294967294" count="5">
            <x v="1"/>
            <x v="2"/>
            <x v="3"/>
            <x v="4"/>
            <x v="5"/>
          </reference>
        </references>
      </pivotArea>
    </format>
    <format dxfId="943">
      <pivotArea dataOnly="0" labelOnly="1" outline="0" fieldPosition="0">
        <references count="1">
          <reference field="4294967294" count="5">
            <x v="1"/>
            <x v="2"/>
            <x v="3"/>
            <x v="4"/>
            <x v="5"/>
          </reference>
        </references>
      </pivotArea>
    </format>
    <format dxfId="942">
      <pivotArea dataOnly="0" labelOnly="1" outline="0" fieldPosition="0">
        <references count="1">
          <reference field="4294967294" count="5">
            <x v="1"/>
            <x v="2"/>
            <x v="3"/>
            <x v="4"/>
            <x v="5"/>
          </reference>
        </references>
      </pivotArea>
    </format>
    <format dxfId="941">
      <pivotArea outline="0" collapsedLevelsAreSubtotals="1" fieldPosition="0">
        <references count="1">
          <reference field="4294967294" count="2" selected="0">
            <x v="4"/>
            <x v="5"/>
          </reference>
        </references>
      </pivotArea>
    </format>
    <format dxfId="940">
      <pivotArea type="all" dataOnly="0" outline="0" fieldPosition="0"/>
    </format>
    <format dxfId="939">
      <pivotArea outline="0" collapsedLevelsAreSubtotals="1" fieldPosition="0"/>
    </format>
    <format dxfId="938">
      <pivotArea dataOnly="0" labelOnly="1" fieldPosition="0">
        <references count="1">
          <reference field="2" count="0"/>
        </references>
      </pivotArea>
    </format>
    <format dxfId="937">
      <pivotArea dataOnly="0" labelOnly="1" grandRow="1" outline="0" fieldPosition="0"/>
    </format>
    <format dxfId="936">
      <pivotArea dataOnly="0" labelOnly="1" outline="0" fieldPosition="0">
        <references count="1">
          <reference field="4294967294" count="6">
            <x v="0"/>
            <x v="1"/>
            <x v="2"/>
            <x v="3"/>
            <x v="4"/>
            <x v="5"/>
          </reference>
        </references>
      </pivotArea>
    </format>
    <format dxfId="935">
      <pivotArea type="all" dataOnly="0" outline="0" fieldPosition="0"/>
    </format>
    <format dxfId="934">
      <pivotArea outline="0" collapsedLevelsAreSubtotals="1" fieldPosition="0"/>
    </format>
    <format dxfId="933">
      <pivotArea dataOnly="0" labelOnly="1" fieldPosition="0">
        <references count="1">
          <reference field="2" count="0"/>
        </references>
      </pivotArea>
    </format>
    <format dxfId="932">
      <pivotArea dataOnly="0" labelOnly="1" grandRow="1" outline="0" fieldPosition="0"/>
    </format>
    <format dxfId="931">
      <pivotArea dataOnly="0" labelOnly="1" outline="0" fieldPosition="0">
        <references count="1">
          <reference field="4294967294" count="6">
            <x v="0"/>
            <x v="1"/>
            <x v="2"/>
            <x v="3"/>
            <x v="4"/>
            <x v="5"/>
          </reference>
        </references>
      </pivotArea>
    </format>
    <format dxfId="930">
      <pivotArea outline="0" collapsedLevelsAreSubtotals="1" fieldPosition="0">
        <references count="1">
          <reference field="4294967294" count="1" selected="0">
            <x v="6"/>
          </reference>
        </references>
      </pivotArea>
    </format>
    <format dxfId="929">
      <pivotArea dataOnly="0" labelOnly="1" outline="0" fieldPosition="0">
        <references count="1">
          <reference field="4294967294" count="1">
            <x v="6"/>
          </reference>
        </references>
      </pivotArea>
    </format>
  </formats>
  <pivotTableStyleInfo name="PivotStyleLight2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0.xml><?xml version="1.0" encoding="utf-8"?>
<pivotTableDefinition xmlns="http://schemas.openxmlformats.org/spreadsheetml/2006/main" name="PivotTable1" cacheId="0" applyNumberFormats="0" applyBorderFormats="0" applyFontFormats="0" applyPatternFormats="0" applyAlignmentFormats="0" applyWidthHeightFormats="1" dataCaption="Values" updatedVersion="5" minRefreshableVersion="3" useAutoFormatting="1" itemPrintTitles="1" createdVersion="5" indent="0" compact="0" compactData="0" multipleFieldFilters="0" chartFormat="4">
  <location ref="A29:G162" firstHeaderRow="0" firstDataRow="1" firstDataCol="3" rowPageCount="1" colPageCount="1"/>
  <pivotFields count="92">
    <pivotField axis="axisPage" compact="0" outline="0" showAll="0">
      <items count="8">
        <item m="1" x="5"/>
        <item m="1" x="2"/>
        <item m="1" x="3"/>
        <item m="1" x="6"/>
        <item x="0"/>
        <item m="1" x="4"/>
        <item m="1" x="1"/>
        <item t="default"/>
      </items>
    </pivotField>
    <pivotField axis="axisRow" compact="0" outline="0" showAll="0">
      <items count="42">
        <item m="1" x="32"/>
        <item m="1" x="33"/>
        <item x="10"/>
        <item m="1" x="39"/>
        <item m="1" x="36"/>
        <item x="13"/>
        <item x="16"/>
        <item x="17"/>
        <item x="6"/>
        <item x="0"/>
        <item x="9"/>
        <item x="20"/>
        <item m="1" x="29"/>
        <item x="14"/>
        <item m="1" x="40"/>
        <item x="1"/>
        <item x="21"/>
        <item m="1" x="38"/>
        <item x="22"/>
        <item x="23"/>
        <item x="24"/>
        <item m="1" x="31"/>
        <item x="11"/>
        <item x="3"/>
        <item x="12"/>
        <item m="1" x="35"/>
        <item x="15"/>
        <item x="8"/>
        <item x="18"/>
        <item m="1" x="34"/>
        <item x="26"/>
        <item x="25"/>
        <item x="19"/>
        <item x="28"/>
        <item x="27"/>
        <item x="4"/>
        <item x="2"/>
        <item x="7"/>
        <item m="1" x="30"/>
        <item m="1" x="37"/>
        <item x="5"/>
        <item t="default"/>
      </items>
    </pivotField>
    <pivotField axis="axisRow" compact="0" outline="0" showAll="0">
      <items count="5">
        <item x="0"/>
        <item x="1"/>
        <item x="2"/>
        <item m="1" x="3"/>
        <item t="default"/>
      </items>
    </pivotField>
    <pivotField axis="axisRow" compact="0" outline="0" showAll="0">
      <items count="37">
        <item x="13"/>
        <item x="3"/>
        <item x="14"/>
        <item x="9"/>
        <item x="8"/>
        <item x="29"/>
        <item x="28"/>
        <item x="25"/>
        <item x="15"/>
        <item x="16"/>
        <item m="1" x="33"/>
        <item m="1" x="34"/>
        <item x="0"/>
        <item x="26"/>
        <item x="17"/>
        <item x="18"/>
        <item x="11"/>
        <item x="4"/>
        <item x="1"/>
        <item x="19"/>
        <item x="27"/>
        <item x="20"/>
        <item x="10"/>
        <item x="31"/>
        <item x="30"/>
        <item m="1" x="32"/>
        <item x="21"/>
        <item x="22"/>
        <item x="5"/>
        <item m="1" x="35"/>
        <item x="23"/>
        <item x="6"/>
        <item x="24"/>
        <item x="7"/>
        <item x="12"/>
        <item x="2"/>
        <item t="default"/>
      </items>
    </pivotField>
    <pivotField compact="0" outline="0" showAll="0"/>
    <pivotField compact="0" outline="0" showAll="0"/>
    <pivotField dataField="1" compact="0" numFmtId="1"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numFmtId="9" outline="0" showAll="0"/>
    <pivotField compact="0" numFmtId="9" outline="0" showAll="0"/>
    <pivotField compact="0" numFmtId="9" outline="0" showAll="0"/>
    <pivotField compact="0" numFmtId="1" outline="0" showAll="0"/>
    <pivotField compact="0" numFmtId="9" outline="0" showAll="0"/>
    <pivotField compact="0" numFmtId="1" outline="0" showAll="0"/>
    <pivotField compact="0" numFmtId="9" outline="0" showAll="0"/>
    <pivotField dataField="1" compact="0" numFmtId="1" outline="0" showAll="0"/>
    <pivotField compact="0" outline="0" showAll="0"/>
    <pivotField compact="0" numFmtId="9" outline="0" showAll="0"/>
    <pivotField compact="0" numFmtId="1" outline="0" showAll="0"/>
    <pivotField compact="0" numFmtId="1" outline="0" showAll="0"/>
    <pivotField compact="0" numFmtId="1" outline="0" showAll="0"/>
    <pivotField compact="0" outline="0" showAll="0"/>
    <pivotField compact="0" numFmtId="1" outline="0" showAll="0"/>
    <pivotField compact="0" numFmtId="9" outline="0" showAll="0"/>
    <pivotField dataField="1" compact="0" numFmtId="1" outline="0" showAll="0"/>
    <pivotField compact="0" numFmtId="9" outline="0" showAll="0"/>
    <pivotField compact="0" numFmtId="1" outline="0" showAll="0"/>
    <pivotField compact="0" numFmtId="1" outline="0" showAll="0"/>
    <pivotField compact="0" numFmtId="9" outline="0" showAll="0"/>
    <pivotField compact="0" outline="0" showAll="0"/>
    <pivotField compact="0" numFmtId="9" outline="0" showAll="0"/>
    <pivotField compact="0" numFmtId="9" outline="0" showAll="0"/>
    <pivotField compact="0" numFmtId="1" outline="0" showAll="0"/>
    <pivotField compact="0" numFmtId="1" outline="0" showAll="0"/>
    <pivotField compact="0" numFmtId="1" outline="0" showAll="0"/>
    <pivotField compact="0" numFmtId="1" outline="0" showAll="0"/>
    <pivotField dataField="1" compact="0" numFmtId="1" outline="0" showAll="0"/>
    <pivotField compact="0" numFmtId="9" outline="0" showAll="0"/>
    <pivotField compact="0" numFmtId="9" outline="0" showAll="0"/>
    <pivotField compact="0" numFmtId="9" outline="0" showAll="0"/>
    <pivotField compact="0" numFmtId="1" outline="0" showAll="0"/>
    <pivotField compact="0" numFmtId="1" outline="0" showAll="0"/>
    <pivotField compact="0" numFmtId="1" outline="0" showAll="0"/>
    <pivotField compact="0" numFmtId="1" outline="0" showAll="0"/>
    <pivotField compact="0" outline="0" showAll="0"/>
    <pivotField compact="0" outline="0" showAll="0"/>
    <pivotField compact="0" outline="0" showAll="0">
      <items count="6">
        <item m="1" x="4"/>
        <item x="0"/>
        <item x="1"/>
        <item x="3"/>
        <item x="2"/>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s>
  <rowFields count="3">
    <field x="2"/>
    <field x="3"/>
    <field x="1"/>
  </rowFields>
  <rowItems count="133">
    <i>
      <x/>
      <x v="1"/>
      <x v="15"/>
    </i>
    <i r="2">
      <x v="23"/>
    </i>
    <i r="2">
      <x v="36"/>
    </i>
    <i t="default" r="1">
      <x v="1"/>
    </i>
    <i r="1">
      <x v="3"/>
      <x v="8"/>
    </i>
    <i r="2">
      <x v="9"/>
    </i>
    <i r="2">
      <x v="35"/>
    </i>
    <i t="default" r="1">
      <x v="3"/>
    </i>
    <i r="1">
      <x v="4"/>
      <x v="8"/>
    </i>
    <i r="2">
      <x v="9"/>
    </i>
    <i r="2">
      <x v="10"/>
    </i>
    <i r="2">
      <x v="35"/>
    </i>
    <i t="default" r="1">
      <x v="4"/>
    </i>
    <i r="1">
      <x v="12"/>
      <x v="8"/>
    </i>
    <i r="2">
      <x v="9"/>
    </i>
    <i r="2">
      <x v="15"/>
    </i>
    <i r="2">
      <x v="23"/>
    </i>
    <i r="2">
      <x v="27"/>
    </i>
    <i r="2">
      <x v="40"/>
    </i>
    <i t="default" r="1">
      <x v="12"/>
    </i>
    <i r="1">
      <x v="16"/>
      <x v="8"/>
    </i>
    <i r="2">
      <x v="9"/>
    </i>
    <i t="default" r="1">
      <x v="16"/>
    </i>
    <i r="1">
      <x v="17"/>
      <x v="8"/>
    </i>
    <i r="2">
      <x v="9"/>
    </i>
    <i r="2">
      <x v="23"/>
    </i>
    <i t="default" r="1">
      <x v="17"/>
    </i>
    <i r="1">
      <x v="18"/>
      <x v="9"/>
    </i>
    <i r="2">
      <x v="15"/>
    </i>
    <i r="2">
      <x v="23"/>
    </i>
    <i r="2">
      <x v="36"/>
    </i>
    <i r="2">
      <x v="37"/>
    </i>
    <i r="2">
      <x v="40"/>
    </i>
    <i t="default" r="1">
      <x v="18"/>
    </i>
    <i r="1">
      <x v="22"/>
      <x v="8"/>
    </i>
    <i r="2">
      <x v="9"/>
    </i>
    <i r="2">
      <x v="35"/>
    </i>
    <i t="default" r="1">
      <x v="22"/>
    </i>
    <i r="1">
      <x v="28"/>
      <x v="8"/>
    </i>
    <i r="2">
      <x v="23"/>
    </i>
    <i t="default" r="1">
      <x v="28"/>
    </i>
    <i r="1">
      <x v="31"/>
      <x v="15"/>
    </i>
    <i r="2">
      <x v="23"/>
    </i>
    <i t="default" r="1">
      <x v="31"/>
    </i>
    <i r="1">
      <x v="33"/>
      <x v="8"/>
    </i>
    <i r="2">
      <x v="23"/>
    </i>
    <i t="default" r="1">
      <x v="33"/>
    </i>
    <i r="1">
      <x v="34"/>
      <x v="9"/>
    </i>
    <i t="default" r="1">
      <x v="34"/>
    </i>
    <i r="1">
      <x v="35"/>
      <x v="8"/>
    </i>
    <i r="2">
      <x v="9"/>
    </i>
    <i r="2">
      <x v="15"/>
    </i>
    <i r="2">
      <x v="23"/>
    </i>
    <i r="2">
      <x v="35"/>
    </i>
    <i t="default" r="1">
      <x v="35"/>
    </i>
    <i t="default">
      <x/>
    </i>
    <i>
      <x v="1"/>
      <x/>
      <x v="2"/>
    </i>
    <i t="default" r="1">
      <x/>
    </i>
    <i r="1">
      <x v="2"/>
      <x v="22"/>
    </i>
    <i t="default" r="1">
      <x v="2"/>
    </i>
    <i r="1">
      <x v="8"/>
      <x v="23"/>
    </i>
    <i r="2">
      <x v="24"/>
    </i>
    <i t="default" r="1">
      <x v="8"/>
    </i>
    <i r="1">
      <x v="9"/>
      <x v="5"/>
    </i>
    <i r="2">
      <x v="13"/>
    </i>
    <i r="2">
      <x v="23"/>
    </i>
    <i t="default" r="1">
      <x v="9"/>
    </i>
    <i r="1">
      <x v="14"/>
      <x v="22"/>
    </i>
    <i t="default" r="1">
      <x v="14"/>
    </i>
    <i r="1">
      <x v="15"/>
      <x v="23"/>
    </i>
    <i t="default" r="1">
      <x v="15"/>
    </i>
    <i r="1">
      <x v="19"/>
      <x v="23"/>
    </i>
    <i t="default" r="1">
      <x v="19"/>
    </i>
    <i r="1">
      <x v="21"/>
      <x v="26"/>
    </i>
    <i t="default" r="1">
      <x v="21"/>
    </i>
    <i r="1">
      <x v="26"/>
      <x v="7"/>
    </i>
    <i r="2">
      <x v="27"/>
    </i>
    <i r="2">
      <x v="36"/>
    </i>
    <i t="default" r="1">
      <x v="26"/>
    </i>
    <i r="1">
      <x v="27"/>
      <x v="23"/>
    </i>
    <i t="default" r="1">
      <x v="27"/>
    </i>
    <i r="1">
      <x v="30"/>
      <x v="22"/>
    </i>
    <i r="2">
      <x v="23"/>
    </i>
    <i t="default" r="1">
      <x v="30"/>
    </i>
    <i r="1">
      <x v="32"/>
      <x v="5"/>
    </i>
    <i r="2">
      <x v="6"/>
    </i>
    <i r="2">
      <x v="7"/>
    </i>
    <i r="2">
      <x v="13"/>
    </i>
    <i r="2">
      <x v="23"/>
    </i>
    <i r="2">
      <x v="24"/>
    </i>
    <i r="2">
      <x v="27"/>
    </i>
    <i r="2">
      <x v="36"/>
    </i>
    <i t="default" r="1">
      <x v="32"/>
    </i>
    <i t="default">
      <x v="1"/>
    </i>
    <i>
      <x v="2"/>
      <x v="5"/>
      <x v="8"/>
    </i>
    <i r="2">
      <x v="15"/>
    </i>
    <i r="2">
      <x v="23"/>
    </i>
    <i t="default" r="1">
      <x v="5"/>
    </i>
    <i r="1">
      <x v="6"/>
      <x v="23"/>
    </i>
    <i t="default" r="1">
      <x v="6"/>
    </i>
    <i r="1">
      <x v="7"/>
      <x v="8"/>
    </i>
    <i r="2">
      <x v="11"/>
    </i>
    <i r="2">
      <x v="15"/>
    </i>
    <i r="2">
      <x v="16"/>
    </i>
    <i r="2">
      <x v="19"/>
    </i>
    <i r="2">
      <x v="20"/>
    </i>
    <i r="2">
      <x v="23"/>
    </i>
    <i r="2">
      <x v="27"/>
    </i>
    <i r="2">
      <x v="28"/>
    </i>
    <i r="2">
      <x v="32"/>
    </i>
    <i t="default" r="1">
      <x v="7"/>
    </i>
    <i r="1">
      <x v="13"/>
      <x v="9"/>
    </i>
    <i r="2">
      <x v="18"/>
    </i>
    <i r="2">
      <x v="23"/>
    </i>
    <i t="default" r="1">
      <x v="13"/>
    </i>
    <i r="1">
      <x v="20"/>
      <x v="8"/>
    </i>
    <i r="2">
      <x v="9"/>
    </i>
    <i r="2">
      <x v="15"/>
    </i>
    <i r="2">
      <x v="16"/>
    </i>
    <i r="2">
      <x v="23"/>
    </i>
    <i t="default" r="1">
      <x v="20"/>
    </i>
    <i r="1">
      <x v="23"/>
      <x v="30"/>
    </i>
    <i r="2">
      <x v="31"/>
    </i>
    <i r="2">
      <x v="32"/>
    </i>
    <i r="2">
      <x v="34"/>
    </i>
    <i t="default" r="1">
      <x v="23"/>
    </i>
    <i r="1">
      <x v="24"/>
      <x v="15"/>
    </i>
    <i r="2">
      <x v="27"/>
    </i>
    <i r="2">
      <x v="32"/>
    </i>
    <i r="2">
      <x v="33"/>
    </i>
    <i t="default" r="1">
      <x v="24"/>
    </i>
    <i t="default">
      <x v="2"/>
    </i>
    <i t="grand">
      <x/>
    </i>
  </rowItems>
  <colFields count="1">
    <field x="-2"/>
  </colFields>
  <colItems count="4">
    <i>
      <x/>
    </i>
    <i i="1">
      <x v="1"/>
    </i>
    <i i="2">
      <x v="2"/>
    </i>
    <i i="3">
      <x v="3"/>
    </i>
  </colItems>
  <pageFields count="1">
    <pageField fld="0" item="4" hier="-1"/>
  </pageFields>
  <dataFields count="4">
    <dataField name="Total Population" fld="6" baseField="0" baseItem="0"/>
    <dataField name="Number of People adopt basic personal and community hygiene practices" fld="73" baseField="0" baseItem="0"/>
    <dataField name="Number of people with equitable and continuous access to safe sanitation facilities" fld="61" baseField="0" baseItem="0"/>
    <dataField name="Number of people with equitable and continuous access to sufficient quantity of domestic water" fld="52" baseField="0" baseItem="0"/>
  </dataFields>
  <formats count="67">
    <format dxfId="227">
      <pivotArea field="2" type="button" dataOnly="0" labelOnly="1" outline="0" axis="axisRow" fieldPosition="0"/>
    </format>
    <format dxfId="226">
      <pivotArea field="3" type="button" dataOnly="0" labelOnly="1" outline="0" axis="axisRow" fieldPosition="1"/>
    </format>
    <format dxfId="225">
      <pivotArea field="1" type="button" dataOnly="0" labelOnly="1" outline="0" axis="axisRow" fieldPosition="2"/>
    </format>
    <format dxfId="224">
      <pivotArea dataOnly="0" labelOnly="1" outline="0" fieldPosition="0">
        <references count="1">
          <reference field="4294967294" count="4">
            <x v="0"/>
            <x v="1"/>
            <x v="2"/>
            <x v="3"/>
          </reference>
        </references>
      </pivotArea>
    </format>
    <format dxfId="223">
      <pivotArea field="2" type="button" dataOnly="0" labelOnly="1" outline="0" axis="axisRow" fieldPosition="0"/>
    </format>
    <format dxfId="222">
      <pivotArea field="3" type="button" dataOnly="0" labelOnly="1" outline="0" axis="axisRow" fieldPosition="1"/>
    </format>
    <format dxfId="221">
      <pivotArea field="1" type="button" dataOnly="0" labelOnly="1" outline="0" axis="axisRow" fieldPosition="2"/>
    </format>
    <format dxfId="220">
      <pivotArea dataOnly="0" labelOnly="1" outline="0" fieldPosition="0">
        <references count="1">
          <reference field="4294967294" count="4">
            <x v="0"/>
            <x v="1"/>
            <x v="2"/>
            <x v="3"/>
          </reference>
        </references>
      </pivotArea>
    </format>
    <format dxfId="219">
      <pivotArea field="2" type="button" dataOnly="0" labelOnly="1" outline="0" axis="axisRow" fieldPosition="0"/>
    </format>
    <format dxfId="218">
      <pivotArea field="3" type="button" dataOnly="0" labelOnly="1" outline="0" axis="axisRow" fieldPosition="1"/>
    </format>
    <format dxfId="217">
      <pivotArea field="1" type="button" dataOnly="0" labelOnly="1" outline="0" axis="axisRow" fieldPosition="2"/>
    </format>
    <format dxfId="216">
      <pivotArea dataOnly="0" labelOnly="1" outline="0" fieldPosition="0">
        <references count="1">
          <reference field="4294967294" count="4">
            <x v="0"/>
            <x v="1"/>
            <x v="2"/>
            <x v="3"/>
          </reference>
        </references>
      </pivotArea>
    </format>
    <format dxfId="215">
      <pivotArea dataOnly="0" labelOnly="1" outline="0" fieldPosition="0">
        <references count="1">
          <reference field="4294967294" count="1">
            <x v="3"/>
          </reference>
        </references>
      </pivotArea>
    </format>
    <format dxfId="214">
      <pivotArea dataOnly="0" labelOnly="1" outline="0" fieldPosition="0">
        <references count="1">
          <reference field="4294967294" count="1">
            <x v="3"/>
          </reference>
        </references>
      </pivotArea>
    </format>
    <format dxfId="213">
      <pivotArea dataOnly="0" labelOnly="1" outline="0" fieldPosition="0">
        <references count="1">
          <reference field="4294967294" count="1">
            <x v="2"/>
          </reference>
        </references>
      </pivotArea>
    </format>
    <format dxfId="212">
      <pivotArea dataOnly="0" labelOnly="1" outline="0" fieldPosition="0">
        <references count="1">
          <reference field="4294967294" count="1">
            <x v="2"/>
          </reference>
        </references>
      </pivotArea>
    </format>
    <format dxfId="211">
      <pivotArea dataOnly="0" labelOnly="1" outline="0" fieldPosition="0">
        <references count="1">
          <reference field="4294967294" count="1">
            <x v="1"/>
          </reference>
        </references>
      </pivotArea>
    </format>
    <format dxfId="210">
      <pivotArea dataOnly="0" labelOnly="1" outline="0" fieldPosition="0">
        <references count="1">
          <reference field="4294967294" count="1">
            <x v="1"/>
          </reference>
        </references>
      </pivotArea>
    </format>
    <format dxfId="209">
      <pivotArea dataOnly="0" labelOnly="1" outline="0" fieldPosition="0">
        <references count="1">
          <reference field="4294967294" count="1">
            <x v="0"/>
          </reference>
        </references>
      </pivotArea>
    </format>
    <format dxfId="208">
      <pivotArea dataOnly="0" labelOnly="1" outline="0" fieldPosition="0">
        <references count="1">
          <reference field="4294967294" count="1">
            <x v="0"/>
          </reference>
        </references>
      </pivotArea>
    </format>
    <format dxfId="207">
      <pivotArea type="all" dataOnly="0" outline="0" fieldPosition="0"/>
    </format>
    <format dxfId="206">
      <pivotArea outline="0" collapsedLevelsAreSubtotals="1" fieldPosition="0"/>
    </format>
    <format dxfId="205">
      <pivotArea field="2" type="button" dataOnly="0" labelOnly="1" outline="0" axis="axisRow" fieldPosition="0"/>
    </format>
    <format dxfId="204">
      <pivotArea field="3" type="button" dataOnly="0" labelOnly="1" outline="0" axis="axisRow" fieldPosition="1"/>
    </format>
    <format dxfId="203">
      <pivotArea field="1" type="button" dataOnly="0" labelOnly="1" outline="0" axis="axisRow" fieldPosition="2"/>
    </format>
    <format dxfId="202">
      <pivotArea dataOnly="0" labelOnly="1" outline="0" fieldPosition="0">
        <references count="1">
          <reference field="2" count="0"/>
        </references>
      </pivotArea>
    </format>
    <format dxfId="201">
      <pivotArea dataOnly="0" labelOnly="1" outline="0" fieldPosition="0">
        <references count="1">
          <reference field="2" count="0" defaultSubtotal="1"/>
        </references>
      </pivotArea>
    </format>
    <format dxfId="200">
      <pivotArea dataOnly="0" labelOnly="1" grandRow="1" outline="0" fieldPosition="0"/>
    </format>
    <format dxfId="199">
      <pivotArea dataOnly="0" labelOnly="1" outline="0" fieldPosition="0">
        <references count="2">
          <reference field="2" count="1" selected="0">
            <x v="0"/>
          </reference>
          <reference field="3" count="13">
            <x v="1"/>
            <x v="3"/>
            <x v="4"/>
            <x v="12"/>
            <x v="16"/>
            <x v="17"/>
            <x v="18"/>
            <x v="22"/>
            <x v="28"/>
            <x v="31"/>
            <x v="33"/>
            <x v="34"/>
            <x v="35"/>
          </reference>
        </references>
      </pivotArea>
    </format>
    <format dxfId="198">
      <pivotArea dataOnly="0" labelOnly="1" outline="0" fieldPosition="0">
        <references count="2">
          <reference field="2" count="1" selected="0">
            <x v="0"/>
          </reference>
          <reference field="3" count="13" defaultSubtotal="1">
            <x v="1"/>
            <x v="3"/>
            <x v="4"/>
            <x v="12"/>
            <x v="16"/>
            <x v="17"/>
            <x v="18"/>
            <x v="22"/>
            <x v="28"/>
            <x v="31"/>
            <x v="33"/>
            <x v="34"/>
            <x v="35"/>
          </reference>
        </references>
      </pivotArea>
    </format>
    <format dxfId="197">
      <pivotArea dataOnly="0" labelOnly="1" outline="0" fieldPosition="0">
        <references count="2">
          <reference field="2" count="1" selected="0">
            <x v="1"/>
          </reference>
          <reference field="3" count="12">
            <x v="0"/>
            <x v="2"/>
            <x v="8"/>
            <x v="9"/>
            <x v="14"/>
            <x v="15"/>
            <x v="19"/>
            <x v="21"/>
            <x v="26"/>
            <x v="27"/>
            <x v="30"/>
            <x v="32"/>
          </reference>
        </references>
      </pivotArea>
    </format>
    <format dxfId="196">
      <pivotArea dataOnly="0" labelOnly="1" outline="0" fieldPosition="0">
        <references count="2">
          <reference field="2" count="1" selected="0">
            <x v="1"/>
          </reference>
          <reference field="3" count="12" defaultSubtotal="1">
            <x v="0"/>
            <x v="2"/>
            <x v="8"/>
            <x v="9"/>
            <x v="14"/>
            <x v="15"/>
            <x v="19"/>
            <x v="21"/>
            <x v="26"/>
            <x v="27"/>
            <x v="30"/>
            <x v="32"/>
          </reference>
        </references>
      </pivotArea>
    </format>
    <format dxfId="195">
      <pivotArea dataOnly="0" labelOnly="1" outline="0" fieldPosition="0">
        <references count="2">
          <reference field="2" count="1" selected="0">
            <x v="2"/>
          </reference>
          <reference field="3" count="7">
            <x v="5"/>
            <x v="6"/>
            <x v="7"/>
            <x v="13"/>
            <x v="20"/>
            <x v="23"/>
            <x v="24"/>
          </reference>
        </references>
      </pivotArea>
    </format>
    <format dxfId="194">
      <pivotArea dataOnly="0" labelOnly="1" outline="0" fieldPosition="0">
        <references count="2">
          <reference field="2" count="1" selected="0">
            <x v="2"/>
          </reference>
          <reference field="3" count="7" defaultSubtotal="1">
            <x v="5"/>
            <x v="6"/>
            <x v="7"/>
            <x v="13"/>
            <x v="20"/>
            <x v="23"/>
            <x v="24"/>
          </reference>
        </references>
      </pivotArea>
    </format>
    <format dxfId="193">
      <pivotArea dataOnly="0" labelOnly="1" outline="0" fieldPosition="0">
        <references count="3">
          <reference field="1" count="3">
            <x v="15"/>
            <x v="23"/>
            <x v="36"/>
          </reference>
          <reference field="2" count="1" selected="0">
            <x v="0"/>
          </reference>
          <reference field="3" count="1" selected="0">
            <x v="1"/>
          </reference>
        </references>
      </pivotArea>
    </format>
    <format dxfId="192">
      <pivotArea dataOnly="0" labelOnly="1" outline="0" fieldPosition="0">
        <references count="3">
          <reference field="1" count="3">
            <x v="8"/>
            <x v="9"/>
            <x v="35"/>
          </reference>
          <reference field="2" count="1" selected="0">
            <x v="0"/>
          </reference>
          <reference field="3" count="1" selected="0">
            <x v="3"/>
          </reference>
        </references>
      </pivotArea>
    </format>
    <format dxfId="191">
      <pivotArea dataOnly="0" labelOnly="1" outline="0" fieldPosition="0">
        <references count="3">
          <reference field="1" count="4">
            <x v="8"/>
            <x v="9"/>
            <x v="10"/>
            <x v="35"/>
          </reference>
          <reference field="2" count="1" selected="0">
            <x v="0"/>
          </reference>
          <reference field="3" count="1" selected="0">
            <x v="4"/>
          </reference>
        </references>
      </pivotArea>
    </format>
    <format dxfId="190">
      <pivotArea dataOnly="0" labelOnly="1" outline="0" fieldPosition="0">
        <references count="3">
          <reference field="1" count="6">
            <x v="8"/>
            <x v="9"/>
            <x v="15"/>
            <x v="23"/>
            <x v="27"/>
            <x v="40"/>
          </reference>
          <reference field="2" count="1" selected="0">
            <x v="0"/>
          </reference>
          <reference field="3" count="1" selected="0">
            <x v="12"/>
          </reference>
        </references>
      </pivotArea>
    </format>
    <format dxfId="189">
      <pivotArea dataOnly="0" labelOnly="1" outline="0" fieldPosition="0">
        <references count="3">
          <reference field="1" count="2">
            <x v="8"/>
            <x v="9"/>
          </reference>
          <reference field="2" count="1" selected="0">
            <x v="0"/>
          </reference>
          <reference field="3" count="1" selected="0">
            <x v="16"/>
          </reference>
        </references>
      </pivotArea>
    </format>
    <format dxfId="188">
      <pivotArea dataOnly="0" labelOnly="1" outline="0" fieldPosition="0">
        <references count="3">
          <reference field="1" count="3">
            <x v="8"/>
            <x v="9"/>
            <x v="23"/>
          </reference>
          <reference field="2" count="1" selected="0">
            <x v="0"/>
          </reference>
          <reference field="3" count="1" selected="0">
            <x v="17"/>
          </reference>
        </references>
      </pivotArea>
    </format>
    <format dxfId="187">
      <pivotArea dataOnly="0" labelOnly="1" outline="0" fieldPosition="0">
        <references count="3">
          <reference field="1" count="6">
            <x v="9"/>
            <x v="15"/>
            <x v="23"/>
            <x v="36"/>
            <x v="37"/>
            <x v="40"/>
          </reference>
          <reference field="2" count="1" selected="0">
            <x v="0"/>
          </reference>
          <reference field="3" count="1" selected="0">
            <x v="18"/>
          </reference>
        </references>
      </pivotArea>
    </format>
    <format dxfId="186">
      <pivotArea dataOnly="0" labelOnly="1" outline="0" fieldPosition="0">
        <references count="3">
          <reference field="1" count="3">
            <x v="8"/>
            <x v="9"/>
            <x v="35"/>
          </reference>
          <reference field="2" count="1" selected="0">
            <x v="0"/>
          </reference>
          <reference field="3" count="1" selected="0">
            <x v="22"/>
          </reference>
        </references>
      </pivotArea>
    </format>
    <format dxfId="185">
      <pivotArea dataOnly="0" labelOnly="1" outline="0" fieldPosition="0">
        <references count="3">
          <reference field="1" count="2">
            <x v="8"/>
            <x v="23"/>
          </reference>
          <reference field="2" count="1" selected="0">
            <x v="0"/>
          </reference>
          <reference field="3" count="1" selected="0">
            <x v="28"/>
          </reference>
        </references>
      </pivotArea>
    </format>
    <format dxfId="184">
      <pivotArea dataOnly="0" labelOnly="1" outline="0" fieldPosition="0">
        <references count="3">
          <reference field="1" count="2">
            <x v="15"/>
            <x v="23"/>
          </reference>
          <reference field="2" count="1" selected="0">
            <x v="0"/>
          </reference>
          <reference field="3" count="1" selected="0">
            <x v="31"/>
          </reference>
        </references>
      </pivotArea>
    </format>
    <format dxfId="183">
      <pivotArea dataOnly="0" labelOnly="1" outline="0" fieldPosition="0">
        <references count="3">
          <reference field="1" count="2">
            <x v="8"/>
            <x v="23"/>
          </reference>
          <reference field="2" count="1" selected="0">
            <x v="0"/>
          </reference>
          <reference field="3" count="1" selected="0">
            <x v="33"/>
          </reference>
        </references>
      </pivotArea>
    </format>
    <format dxfId="182">
      <pivotArea dataOnly="0" labelOnly="1" outline="0" fieldPosition="0">
        <references count="3">
          <reference field="1" count="1">
            <x v="9"/>
          </reference>
          <reference field="2" count="1" selected="0">
            <x v="0"/>
          </reference>
          <reference field="3" count="1" selected="0">
            <x v="34"/>
          </reference>
        </references>
      </pivotArea>
    </format>
    <format dxfId="181">
      <pivotArea dataOnly="0" labelOnly="1" outline="0" fieldPosition="0">
        <references count="3">
          <reference field="1" count="5">
            <x v="8"/>
            <x v="9"/>
            <x v="15"/>
            <x v="23"/>
            <x v="35"/>
          </reference>
          <reference field="2" count="1" selected="0">
            <x v="0"/>
          </reference>
          <reference field="3" count="1" selected="0">
            <x v="35"/>
          </reference>
        </references>
      </pivotArea>
    </format>
    <format dxfId="180">
      <pivotArea dataOnly="0" labelOnly="1" outline="0" fieldPosition="0">
        <references count="3">
          <reference field="1" count="1">
            <x v="2"/>
          </reference>
          <reference field="2" count="1" selected="0">
            <x v="1"/>
          </reference>
          <reference field="3" count="1" selected="0">
            <x v="0"/>
          </reference>
        </references>
      </pivotArea>
    </format>
    <format dxfId="179">
      <pivotArea dataOnly="0" labelOnly="1" outline="0" fieldPosition="0">
        <references count="3">
          <reference field="1" count="1">
            <x v="22"/>
          </reference>
          <reference field="2" count="1" selected="0">
            <x v="1"/>
          </reference>
          <reference field="3" count="1" selected="0">
            <x v="2"/>
          </reference>
        </references>
      </pivotArea>
    </format>
    <format dxfId="178">
      <pivotArea dataOnly="0" labelOnly="1" outline="0" fieldPosition="0">
        <references count="3">
          <reference field="1" count="2">
            <x v="23"/>
            <x v="24"/>
          </reference>
          <reference field="2" count="1" selected="0">
            <x v="1"/>
          </reference>
          <reference field="3" count="1" selected="0">
            <x v="8"/>
          </reference>
        </references>
      </pivotArea>
    </format>
    <format dxfId="177">
      <pivotArea dataOnly="0" labelOnly="1" outline="0" fieldPosition="0">
        <references count="3">
          <reference field="1" count="3">
            <x v="5"/>
            <x v="13"/>
            <x v="23"/>
          </reference>
          <reference field="2" count="1" selected="0">
            <x v="1"/>
          </reference>
          <reference field="3" count="1" selected="0">
            <x v="9"/>
          </reference>
        </references>
      </pivotArea>
    </format>
    <format dxfId="176">
      <pivotArea dataOnly="0" labelOnly="1" outline="0" fieldPosition="0">
        <references count="3">
          <reference field="1" count="1">
            <x v="22"/>
          </reference>
          <reference field="2" count="1" selected="0">
            <x v="1"/>
          </reference>
          <reference field="3" count="1" selected="0">
            <x v="14"/>
          </reference>
        </references>
      </pivotArea>
    </format>
    <format dxfId="175">
      <pivotArea dataOnly="0" labelOnly="1" outline="0" fieldPosition="0">
        <references count="3">
          <reference field="1" count="1">
            <x v="23"/>
          </reference>
          <reference field="2" count="1" selected="0">
            <x v="1"/>
          </reference>
          <reference field="3" count="1" selected="0">
            <x v="15"/>
          </reference>
        </references>
      </pivotArea>
    </format>
    <format dxfId="174">
      <pivotArea dataOnly="0" labelOnly="1" outline="0" fieldPosition="0">
        <references count="3">
          <reference field="1" count="1">
            <x v="23"/>
          </reference>
          <reference field="2" count="1" selected="0">
            <x v="1"/>
          </reference>
          <reference field="3" count="1" selected="0">
            <x v="19"/>
          </reference>
        </references>
      </pivotArea>
    </format>
    <format dxfId="173">
      <pivotArea dataOnly="0" labelOnly="1" outline="0" fieldPosition="0">
        <references count="3">
          <reference field="1" count="1">
            <x v="26"/>
          </reference>
          <reference field="2" count="1" selected="0">
            <x v="1"/>
          </reference>
          <reference field="3" count="1" selected="0">
            <x v="21"/>
          </reference>
        </references>
      </pivotArea>
    </format>
    <format dxfId="172">
      <pivotArea dataOnly="0" labelOnly="1" outline="0" fieldPosition="0">
        <references count="3">
          <reference field="1" count="3">
            <x v="7"/>
            <x v="27"/>
            <x v="36"/>
          </reference>
          <reference field="2" count="1" selected="0">
            <x v="1"/>
          </reference>
          <reference field="3" count="1" selected="0">
            <x v="26"/>
          </reference>
        </references>
      </pivotArea>
    </format>
    <format dxfId="171">
      <pivotArea dataOnly="0" labelOnly="1" outline="0" fieldPosition="0">
        <references count="3">
          <reference field="1" count="1">
            <x v="23"/>
          </reference>
          <reference field="2" count="1" selected="0">
            <x v="1"/>
          </reference>
          <reference field="3" count="1" selected="0">
            <x v="27"/>
          </reference>
        </references>
      </pivotArea>
    </format>
    <format dxfId="170">
      <pivotArea dataOnly="0" labelOnly="1" outline="0" fieldPosition="0">
        <references count="3">
          <reference field="1" count="2">
            <x v="22"/>
            <x v="23"/>
          </reference>
          <reference field="2" count="1" selected="0">
            <x v="1"/>
          </reference>
          <reference field="3" count="1" selected="0">
            <x v="30"/>
          </reference>
        </references>
      </pivotArea>
    </format>
    <format dxfId="169">
      <pivotArea dataOnly="0" labelOnly="1" outline="0" fieldPosition="0">
        <references count="3">
          <reference field="1" count="8">
            <x v="5"/>
            <x v="6"/>
            <x v="7"/>
            <x v="13"/>
            <x v="23"/>
            <x v="24"/>
            <x v="27"/>
            <x v="36"/>
          </reference>
          <reference field="2" count="1" selected="0">
            <x v="1"/>
          </reference>
          <reference field="3" count="1" selected="0">
            <x v="32"/>
          </reference>
        </references>
      </pivotArea>
    </format>
    <format dxfId="168">
      <pivotArea dataOnly="0" labelOnly="1" outline="0" fieldPosition="0">
        <references count="3">
          <reference field="1" count="3">
            <x v="8"/>
            <x v="15"/>
            <x v="23"/>
          </reference>
          <reference field="2" count="1" selected="0">
            <x v="2"/>
          </reference>
          <reference field="3" count="1" selected="0">
            <x v="5"/>
          </reference>
        </references>
      </pivotArea>
    </format>
    <format dxfId="167">
      <pivotArea dataOnly="0" labelOnly="1" outline="0" fieldPosition="0">
        <references count="3">
          <reference field="1" count="1">
            <x v="23"/>
          </reference>
          <reference field="2" count="1" selected="0">
            <x v="2"/>
          </reference>
          <reference field="3" count="1" selected="0">
            <x v="6"/>
          </reference>
        </references>
      </pivotArea>
    </format>
    <format dxfId="166">
      <pivotArea dataOnly="0" labelOnly="1" outline="0" fieldPosition="0">
        <references count="3">
          <reference field="1" count="10">
            <x v="8"/>
            <x v="11"/>
            <x v="15"/>
            <x v="16"/>
            <x v="19"/>
            <x v="20"/>
            <x v="23"/>
            <x v="27"/>
            <x v="28"/>
            <x v="32"/>
          </reference>
          <reference field="2" count="1" selected="0">
            <x v="2"/>
          </reference>
          <reference field="3" count="1" selected="0">
            <x v="7"/>
          </reference>
        </references>
      </pivotArea>
    </format>
    <format dxfId="165">
      <pivotArea dataOnly="0" labelOnly="1" outline="0" fieldPosition="0">
        <references count="3">
          <reference field="1" count="3">
            <x v="9"/>
            <x v="18"/>
            <x v="23"/>
          </reference>
          <reference field="2" count="1" selected="0">
            <x v="2"/>
          </reference>
          <reference field="3" count="1" selected="0">
            <x v="13"/>
          </reference>
        </references>
      </pivotArea>
    </format>
    <format dxfId="164">
      <pivotArea dataOnly="0" labelOnly="1" outline="0" fieldPosition="0">
        <references count="3">
          <reference field="1" count="5">
            <x v="8"/>
            <x v="9"/>
            <x v="15"/>
            <x v="16"/>
            <x v="23"/>
          </reference>
          <reference field="2" count="1" selected="0">
            <x v="2"/>
          </reference>
          <reference field="3" count="1" selected="0">
            <x v="20"/>
          </reference>
        </references>
      </pivotArea>
    </format>
    <format dxfId="163">
      <pivotArea dataOnly="0" labelOnly="1" outline="0" fieldPosition="0">
        <references count="3">
          <reference field="1" count="4">
            <x v="30"/>
            <x v="31"/>
            <x v="32"/>
            <x v="34"/>
          </reference>
          <reference field="2" count="1" selected="0">
            <x v="2"/>
          </reference>
          <reference field="3" count="1" selected="0">
            <x v="23"/>
          </reference>
        </references>
      </pivotArea>
    </format>
    <format dxfId="162">
      <pivotArea dataOnly="0" labelOnly="1" outline="0" fieldPosition="0">
        <references count="3">
          <reference field="1" count="4">
            <x v="15"/>
            <x v="27"/>
            <x v="32"/>
            <x v="33"/>
          </reference>
          <reference field="2" count="1" selected="0">
            <x v="2"/>
          </reference>
          <reference field="3" count="1" selected="0">
            <x v="24"/>
          </reference>
        </references>
      </pivotArea>
    </format>
    <format dxfId="161">
      <pivotArea dataOnly="0" labelOnly="1" outline="0" fieldPosition="0">
        <references count="1">
          <reference field="4294967294" count="4">
            <x v="0"/>
            <x v="1"/>
            <x v="2"/>
            <x v="3"/>
          </reference>
        </references>
      </pivotArea>
    </format>
  </formats>
  <chartFormats count="4">
    <chartFormat chart="1" format="0" series="1">
      <pivotArea type="data" outline="0" fieldPosition="0">
        <references count="1">
          <reference field="4294967294" count="1" selected="0">
            <x v="0"/>
          </reference>
        </references>
      </pivotArea>
    </chartFormat>
    <chartFormat chart="1" format="1" series="1">
      <pivotArea type="data" outline="0" fieldPosition="0">
        <references count="1">
          <reference field="4294967294" count="1" selected="0">
            <x v="3"/>
          </reference>
        </references>
      </pivotArea>
    </chartFormat>
    <chartFormat chart="1" format="2" series="1">
      <pivotArea type="data" outline="0" fieldPosition="0">
        <references count="1">
          <reference field="4294967294" count="1" selected="0">
            <x v="2"/>
          </reference>
        </references>
      </pivotArea>
    </chartFormat>
    <chartFormat chart="1" format="3" series="1">
      <pivotArea type="data" outline="0" fieldPosition="0">
        <references count="1">
          <reference field="4294967294"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1.xml><?xml version="1.0" encoding="utf-8"?>
<pivotTableDefinition xmlns="http://schemas.openxmlformats.org/spreadsheetml/2006/main" name="PivotTable1" cacheId="0" applyNumberFormats="0" applyBorderFormats="0" applyFontFormats="0" applyPatternFormats="0" applyAlignmentFormats="0" applyWidthHeightFormats="1" dataCaption="Values" updatedVersion="5" minRefreshableVersion="3" useAutoFormatting="1" itemPrintTitles="1" createdVersion="5" indent="0" compact="0" compactData="0" multipleFieldFilters="0" chartFormat="7">
  <location ref="A38:E421" firstHeaderRow="0" firstDataRow="1" firstDataCol="1" rowPageCount="4" colPageCount="1"/>
  <pivotFields count="92">
    <pivotField axis="axisPage" compact="0" outline="0" showAll="0">
      <items count="8">
        <item m="1" x="5"/>
        <item m="1" x="2"/>
        <item m="1" x="3"/>
        <item m="1" x="6"/>
        <item x="0"/>
        <item m="1" x="4"/>
        <item m="1" x="1"/>
        <item t="default"/>
      </items>
    </pivotField>
    <pivotField compact="0" outline="0" showAll="0">
      <items count="42">
        <item m="1" x="32"/>
        <item m="1" x="33"/>
        <item x="10"/>
        <item m="1" x="39"/>
        <item m="1" x="36"/>
        <item x="13"/>
        <item x="16"/>
        <item x="17"/>
        <item x="6"/>
        <item x="0"/>
        <item x="9"/>
        <item x="20"/>
        <item m="1" x="29"/>
        <item x="14"/>
        <item m="1" x="40"/>
        <item x="1"/>
        <item x="21"/>
        <item m="1" x="38"/>
        <item x="22"/>
        <item x="23"/>
        <item x="24"/>
        <item m="1" x="31"/>
        <item x="11"/>
        <item x="3"/>
        <item x="12"/>
        <item m="1" x="35"/>
        <item x="15"/>
        <item x="8"/>
        <item x="18"/>
        <item m="1" x="34"/>
        <item x="26"/>
        <item x="25"/>
        <item x="19"/>
        <item x="28"/>
        <item x="27"/>
        <item x="4"/>
        <item x="2"/>
        <item x="7"/>
        <item m="1" x="30"/>
        <item m="1" x="37"/>
        <item x="5"/>
        <item t="default"/>
      </items>
    </pivotField>
    <pivotField axis="axisPage" compact="0" outline="0" showAll="0">
      <items count="5">
        <item x="0"/>
        <item x="1"/>
        <item x="2"/>
        <item m="1" x="3"/>
        <item t="default"/>
      </items>
    </pivotField>
    <pivotField axis="axisPage" compact="0" outline="0" showAll="0">
      <items count="37">
        <item x="13"/>
        <item x="3"/>
        <item x="14"/>
        <item x="9"/>
        <item x="8"/>
        <item x="29"/>
        <item x="28"/>
        <item x="25"/>
        <item x="15"/>
        <item x="16"/>
        <item m="1" x="33"/>
        <item m="1" x="34"/>
        <item x="0"/>
        <item x="26"/>
        <item x="17"/>
        <item x="18"/>
        <item x="11"/>
        <item x="4"/>
        <item x="1"/>
        <item x="19"/>
        <item x="27"/>
        <item x="20"/>
        <item x="10"/>
        <item x="31"/>
        <item x="30"/>
        <item m="1" x="32"/>
        <item x="21"/>
        <item x="22"/>
        <item x="5"/>
        <item m="1" x="35"/>
        <item x="23"/>
        <item x="6"/>
        <item x="24"/>
        <item x="7"/>
        <item x="12"/>
        <item x="2"/>
        <item t="default"/>
      </items>
    </pivotField>
    <pivotField axis="axisRow" compact="0" outline="0" showAll="0">
      <items count="582">
        <item x="20"/>
        <item x="134"/>
        <item x="21"/>
        <item x="22"/>
        <item x="23"/>
        <item x="135"/>
        <item m="1" x="420"/>
        <item x="291"/>
        <item x="196"/>
        <item m="1" x="406"/>
        <item x="275"/>
        <item m="1" x="494"/>
        <item x="245"/>
        <item x="304"/>
        <item x="205"/>
        <item m="1" x="560"/>
        <item m="1" x="537"/>
        <item m="1" x="407"/>
        <item m="1" x="504"/>
        <item x="285"/>
        <item x="302"/>
        <item x="251"/>
        <item x="210"/>
        <item x="221"/>
        <item m="1" x="431"/>
        <item m="1" x="523"/>
        <item m="1" x="437"/>
        <item m="1" x="441"/>
        <item x="317"/>
        <item m="1" x="418"/>
        <item x="24"/>
        <item x="266"/>
        <item x="223"/>
        <item m="1" x="506"/>
        <item m="1" x="454"/>
        <item m="1" x="424"/>
        <item x="25"/>
        <item x="318"/>
        <item x="327"/>
        <item x="228"/>
        <item x="325"/>
        <item x="328"/>
        <item x="329"/>
        <item x="324"/>
        <item m="1" x="519"/>
        <item m="1" x="520"/>
        <item m="1" x="469"/>
        <item x="9"/>
        <item m="1" x="436"/>
        <item x="26"/>
        <item m="1" x="577"/>
        <item x="244"/>
        <item x="293"/>
        <item x="27"/>
        <item x="237"/>
        <item m="1" x="503"/>
        <item m="1" x="511"/>
        <item x="234"/>
        <item x="301"/>
        <item x="28"/>
        <item x="157"/>
        <item m="1" x="445"/>
        <item x="277"/>
        <item m="1" x="444"/>
        <item x="29"/>
        <item x="276"/>
        <item x="169"/>
        <item x="164"/>
        <item x="166"/>
        <item x="330"/>
        <item x="331"/>
        <item x="340"/>
        <item x="257"/>
        <item x="319"/>
        <item x="30"/>
        <item m="1" x="534"/>
        <item m="1" x="470"/>
        <item x="188"/>
        <item x="296"/>
        <item m="1" x="484"/>
        <item m="1" x="434"/>
        <item x="31"/>
        <item m="1" x="525"/>
        <item x="32"/>
        <item m="1" x="562"/>
        <item m="1" x="419"/>
        <item m="1" x="568"/>
        <item x="195"/>
        <item m="1" x="473"/>
        <item x="207"/>
        <item m="1" x="541"/>
        <item m="1" x="393"/>
        <item x="209"/>
        <item x="208"/>
        <item m="1" x="561"/>
        <item m="1" x="550"/>
        <item m="1" x="510"/>
        <item m="1" x="478"/>
        <item m="1" x="488"/>
        <item m="1" x="385"/>
        <item x="6"/>
        <item x="33"/>
        <item x="34"/>
        <item x="294"/>
        <item x="191"/>
        <item m="1" x="476"/>
        <item x="35"/>
        <item x="332"/>
        <item x="36"/>
        <item m="1" x="450"/>
        <item x="11"/>
        <item x="345"/>
        <item x="348"/>
        <item x="37"/>
        <item x="224"/>
        <item m="1" x="502"/>
        <item x="38"/>
        <item m="1" x="389"/>
        <item x="1"/>
        <item x="39"/>
        <item x="5"/>
        <item x="187"/>
        <item m="1" x="443"/>
        <item m="1" x="400"/>
        <item x="176"/>
        <item x="17"/>
        <item x="40"/>
        <item x="41"/>
        <item x="42"/>
        <item x="349"/>
        <item m="1" x="571"/>
        <item x="230"/>
        <item x="179"/>
        <item x="136"/>
        <item x="239"/>
        <item m="1" x="485"/>
        <item m="1" x="535"/>
        <item x="235"/>
        <item m="1" x="421"/>
        <item x="279"/>
        <item m="1" x="480"/>
        <item m="1" x="514"/>
        <item x="248"/>
        <item x="146"/>
        <item x="262"/>
        <item m="1" x="543"/>
        <item m="1" x="457"/>
        <item x="155"/>
        <item m="1" x="439"/>
        <item m="1" x="466"/>
        <item x="137"/>
        <item m="1" x="459"/>
        <item x="286"/>
        <item x="217"/>
        <item x="13"/>
        <item x="172"/>
        <item x="175"/>
        <item m="1" x="460"/>
        <item m="1" x="403"/>
        <item m="1" x="425"/>
        <item x="350"/>
        <item x="278"/>
        <item m="1" x="567"/>
        <item x="351"/>
        <item x="352"/>
        <item x="353"/>
        <item x="354"/>
        <item x="170"/>
        <item x="199"/>
        <item m="1" x="414"/>
        <item m="1" x="522"/>
        <item m="1" x="413"/>
        <item m="1" x="428"/>
        <item m="1" x="481"/>
        <item m="1" x="576"/>
        <item x="268"/>
        <item x="192"/>
        <item x="178"/>
        <item m="1" x="423"/>
        <item m="1" x="512"/>
        <item m="1" x="433"/>
        <item m="1" x="448"/>
        <item x="222"/>
        <item m="1" x="408"/>
        <item x="162"/>
        <item x="174"/>
        <item x="326"/>
        <item m="1" x="471"/>
        <item m="1" x="554"/>
        <item x="305"/>
        <item x="274"/>
        <item x="355"/>
        <item m="1" x="498"/>
        <item x="43"/>
        <item x="44"/>
        <item x="263"/>
        <item m="1" x="482"/>
        <item x="300"/>
        <item x="220"/>
        <item x="138"/>
        <item m="1" x="551"/>
        <item x="45"/>
        <item m="1" x="399"/>
        <item m="1" x="493"/>
        <item x="154"/>
        <item x="18"/>
        <item x="46"/>
        <item x="47"/>
        <item x="48"/>
        <item x="215"/>
        <item x="243"/>
        <item x="242"/>
        <item m="1" x="540"/>
        <item m="1" x="463"/>
        <item m="1" x="392"/>
        <item m="1" x="501"/>
        <item m="1" x="452"/>
        <item x="49"/>
        <item m="1" x="461"/>
        <item x="356"/>
        <item x="50"/>
        <item x="51"/>
        <item x="52"/>
        <item x="357"/>
        <item x="2"/>
        <item x="3"/>
        <item x="53"/>
        <item x="272"/>
        <item m="1" x="396"/>
        <item x="149"/>
        <item x="54"/>
        <item x="139"/>
        <item m="1" x="542"/>
        <item x="55"/>
        <item x="56"/>
        <item x="57"/>
        <item x="358"/>
        <item x="58"/>
        <item x="59"/>
        <item x="60"/>
        <item x="61"/>
        <item x="62"/>
        <item x="0"/>
        <item m="1" x="547"/>
        <item x="63"/>
        <item x="64"/>
        <item x="140"/>
        <item x="65"/>
        <item x="346"/>
        <item x="359"/>
        <item x="343"/>
        <item x="66"/>
        <item x="67"/>
        <item x="68"/>
        <item x="69"/>
        <item m="1" x="496"/>
        <item x="7"/>
        <item x="70"/>
        <item x="360"/>
        <item x="361"/>
        <item x="71"/>
        <item x="72"/>
        <item x="10"/>
        <item m="1" x="395"/>
        <item m="1" x="553"/>
        <item x="265"/>
        <item x="73"/>
        <item x="74"/>
        <item m="1" x="390"/>
        <item m="1" x="404"/>
        <item x="306"/>
        <item x="75"/>
        <item x="320"/>
        <item m="1" x="458"/>
        <item x="144"/>
        <item x="270"/>
        <item x="280"/>
        <item x="281"/>
        <item x="231"/>
        <item x="190"/>
        <item x="362"/>
        <item x="143"/>
        <item x="12"/>
        <item x="76"/>
        <item x="15"/>
        <item x="363"/>
        <item x="364"/>
        <item x="365"/>
        <item x="366"/>
        <item x="367"/>
        <item x="368"/>
        <item m="1" x="397"/>
        <item m="1" x="533"/>
        <item x="77"/>
        <item x="78"/>
        <item m="1" x="447"/>
        <item m="1" x="487"/>
        <item m="1" x="564"/>
        <item x="256"/>
        <item x="14"/>
        <item m="1" x="456"/>
        <item x="369"/>
        <item x="370"/>
        <item x="371"/>
        <item x="372"/>
        <item x="344"/>
        <item x="373"/>
        <item x="374"/>
        <item x="79"/>
        <item x="375"/>
        <item x="376"/>
        <item x="377"/>
        <item m="1" x="530"/>
        <item x="80"/>
        <item m="1" x="518"/>
        <item x="81"/>
        <item x="82"/>
        <item m="1" x="401"/>
        <item x="347"/>
        <item m="1" x="536"/>
        <item x="83"/>
        <item x="167"/>
        <item m="1" x="555"/>
        <item x="267"/>
        <item x="84"/>
        <item x="85"/>
        <item x="189"/>
        <item x="86"/>
        <item x="378"/>
        <item m="1" x="467"/>
        <item x="177"/>
        <item x="156"/>
        <item m="1" x="415"/>
        <item x="201"/>
        <item x="321"/>
        <item x="322"/>
        <item x="299"/>
        <item x="226"/>
        <item x="193"/>
        <item x="249"/>
        <item x="250"/>
        <item m="1" x="559"/>
        <item x="87"/>
        <item m="1" x="416"/>
        <item x="204"/>
        <item x="88"/>
        <item m="1" x="422"/>
        <item m="1" x="472"/>
        <item m="1" x="468"/>
        <item x="145"/>
        <item x="89"/>
        <item x="283"/>
        <item x="284"/>
        <item x="282"/>
        <item m="1" x="477"/>
        <item x="151"/>
        <item m="1" x="398"/>
        <item x="287"/>
        <item x="307"/>
        <item x="308"/>
        <item x="290"/>
        <item x="297"/>
        <item m="1" x="545"/>
        <item x="246"/>
        <item x="186"/>
        <item x="90"/>
        <item x="91"/>
        <item x="218"/>
        <item x="92"/>
        <item x="180"/>
        <item m="1" x="430"/>
        <item x="173"/>
        <item x="342"/>
        <item x="379"/>
        <item x="93"/>
        <item m="1" x="572"/>
        <item m="1" x="516"/>
        <item x="232"/>
        <item m="1" x="455"/>
        <item x="264"/>
        <item x="94"/>
        <item m="1" x="462"/>
        <item m="1" x="490"/>
        <item x="303"/>
        <item x="289"/>
        <item m="1" x="432"/>
        <item x="181"/>
        <item m="1" x="495"/>
        <item x="95"/>
        <item x="198"/>
        <item m="1" x="446"/>
        <item m="1" x="526"/>
        <item x="158"/>
        <item x="203"/>
        <item x="219"/>
        <item m="1" x="453"/>
        <item m="1" x="479"/>
        <item x="261"/>
        <item m="1" x="384"/>
        <item x="96"/>
        <item x="97"/>
        <item x="98"/>
        <item x="99"/>
        <item m="1" x="497"/>
        <item m="1" x="565"/>
        <item m="1" x="417"/>
        <item m="1" x="442"/>
        <item m="1" x="382"/>
        <item m="1" x="411"/>
        <item x="100"/>
        <item m="1" x="513"/>
        <item x="101"/>
        <item x="141"/>
        <item x="152"/>
        <item m="1" x="383"/>
        <item x="102"/>
        <item x="103"/>
        <item m="1" x="475"/>
        <item x="240"/>
        <item m="1" x="563"/>
        <item x="206"/>
        <item x="104"/>
        <item x="288"/>
        <item x="309"/>
        <item m="1" x="489"/>
        <item x="105"/>
        <item m="1" x="531"/>
        <item m="1" x="464"/>
        <item x="310"/>
        <item x="311"/>
        <item x="312"/>
        <item x="171"/>
        <item x="106"/>
        <item x="313"/>
        <item m="1" x="402"/>
        <item x="314"/>
        <item x="107"/>
        <item x="168"/>
        <item x="108"/>
        <item x="109"/>
        <item x="142"/>
        <item m="1" x="575"/>
        <item x="110"/>
        <item x="111"/>
        <item x="194"/>
        <item x="112"/>
        <item x="113"/>
        <item x="114"/>
        <item x="213"/>
        <item x="214"/>
        <item x="241"/>
        <item m="1" x="483"/>
        <item x="115"/>
        <item x="238"/>
        <item m="1" x="548"/>
        <item x="336"/>
        <item x="131"/>
        <item m="1" x="549"/>
        <item m="1" x="524"/>
        <item m="1" x="449"/>
        <item x="337"/>
        <item x="338"/>
        <item x="339"/>
        <item m="1" x="529"/>
        <item x="159"/>
        <item x="116"/>
        <item x="19"/>
        <item x="161"/>
        <item x="8"/>
        <item x="147"/>
        <item x="153"/>
        <item x="252"/>
        <item x="253"/>
        <item x="117"/>
        <item x="118"/>
        <item x="119"/>
        <item x="120"/>
        <item x="121"/>
        <item x="122"/>
        <item x="123"/>
        <item x="124"/>
        <item x="125"/>
        <item m="1" x="409"/>
        <item x="259"/>
        <item m="1" x="491"/>
        <item x="150"/>
        <item m="1" x="505"/>
        <item x="200"/>
        <item x="197"/>
        <item m="1" x="574"/>
        <item x="216"/>
        <item x="247"/>
        <item m="1" x="517"/>
        <item m="1" x="552"/>
        <item x="236"/>
        <item m="1" x="579"/>
        <item x="229"/>
        <item x="185"/>
        <item x="202"/>
        <item m="1" x="429"/>
        <item m="1" x="387"/>
        <item x="333"/>
        <item x="334"/>
        <item m="1" x="465"/>
        <item m="1" x="507"/>
        <item m="1" x="580"/>
        <item x="254"/>
        <item m="1" x="546"/>
        <item x="292"/>
        <item x="126"/>
        <item m="1" x="492"/>
        <item m="1" x="566"/>
        <item x="341"/>
        <item x="335"/>
        <item x="298"/>
        <item m="1" x="438"/>
        <item m="1" x="427"/>
        <item m="1" x="386"/>
        <item m="1" x="426"/>
        <item x="315"/>
        <item x="316"/>
        <item m="1" x="528"/>
        <item x="295"/>
        <item x="273"/>
        <item m="1" x="508"/>
        <item m="1" x="558"/>
        <item m="1" x="410"/>
        <item m="1" x="578"/>
        <item x="182"/>
        <item x="16"/>
        <item x="380"/>
        <item x="258"/>
        <item m="1" x="527"/>
        <item m="1" x="412"/>
        <item m="1" x="521"/>
        <item x="183"/>
        <item x="184"/>
        <item m="1" x="440"/>
        <item x="127"/>
        <item m="1" x="515"/>
        <item x="128"/>
        <item m="1" x="570"/>
        <item m="1" x="556"/>
        <item x="148"/>
        <item x="4"/>
        <item x="133"/>
        <item x="132"/>
        <item m="1" x="509"/>
        <item m="1" x="451"/>
        <item x="227"/>
        <item x="271"/>
        <item m="1" x="499"/>
        <item x="260"/>
        <item x="129"/>
        <item x="255"/>
        <item x="130"/>
        <item x="212"/>
        <item m="1" x="388"/>
        <item m="1" x="532"/>
        <item m="1" x="538"/>
        <item m="1" x="539"/>
        <item m="1" x="557"/>
        <item m="1" x="405"/>
        <item m="1" x="474"/>
        <item m="1" x="435"/>
        <item x="165"/>
        <item m="1" x="573"/>
        <item x="211"/>
        <item x="233"/>
        <item x="163"/>
        <item m="1" x="569"/>
        <item x="323"/>
        <item m="1" x="500"/>
        <item m="1" x="544"/>
        <item m="1" x="391"/>
        <item x="269"/>
        <item m="1" x="394"/>
        <item x="225"/>
        <item m="1" x="486"/>
        <item x="160"/>
        <item x="381"/>
        <item t="default"/>
      </items>
    </pivotField>
    <pivotField compact="0" outline="0" showAll="0"/>
    <pivotField dataField="1" compact="0" numFmtId="1"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numFmtId="9" outline="0" showAll="0"/>
    <pivotField compact="0" numFmtId="9" outline="0" showAll="0"/>
    <pivotField compact="0" numFmtId="9" outline="0" showAll="0"/>
    <pivotField compact="0" numFmtId="1" outline="0" showAll="0"/>
    <pivotField compact="0" numFmtId="9" outline="0" showAll="0"/>
    <pivotField compact="0" numFmtId="1" outline="0" showAll="0"/>
    <pivotField compact="0" numFmtId="9" outline="0" showAll="0"/>
    <pivotField dataField="1" compact="0" numFmtId="1" outline="0" showAll="0"/>
    <pivotField compact="0" outline="0" showAll="0"/>
    <pivotField compact="0" numFmtId="9" outline="0" showAll="0"/>
    <pivotField compact="0" numFmtId="1" outline="0" showAll="0"/>
    <pivotField compact="0" numFmtId="1" outline="0" showAll="0"/>
    <pivotField compact="0" numFmtId="1" outline="0" showAll="0"/>
    <pivotField compact="0" outline="0" showAll="0"/>
    <pivotField compact="0" numFmtId="1" outline="0" showAll="0"/>
    <pivotField compact="0" numFmtId="9" outline="0" showAll="0"/>
    <pivotField dataField="1" compact="0" numFmtId="1" outline="0" showAll="0"/>
    <pivotField compact="0" numFmtId="9" outline="0" showAll="0"/>
    <pivotField compact="0" numFmtId="1" outline="0" showAll="0"/>
    <pivotField compact="0" numFmtId="1" outline="0" showAll="0"/>
    <pivotField compact="0" numFmtId="9" outline="0" showAll="0"/>
    <pivotField compact="0" outline="0" showAll="0"/>
    <pivotField compact="0" numFmtId="9" outline="0" showAll="0"/>
    <pivotField compact="0" numFmtId="9" outline="0" showAll="0"/>
    <pivotField compact="0" numFmtId="1" outline="0" showAll="0"/>
    <pivotField compact="0" numFmtId="1" outline="0" showAll="0"/>
    <pivotField compact="0" numFmtId="1" outline="0" showAll="0"/>
    <pivotField compact="0" numFmtId="1" outline="0" showAll="0"/>
    <pivotField dataField="1" compact="0" numFmtId="1" outline="0" showAll="0"/>
    <pivotField compact="0" numFmtId="9" outline="0" showAll="0"/>
    <pivotField compact="0" numFmtId="9" outline="0" showAll="0"/>
    <pivotField compact="0" numFmtId="9" outline="0" showAll="0"/>
    <pivotField compact="0" numFmtId="1" outline="0" showAll="0"/>
    <pivotField compact="0" numFmtId="1" outline="0" showAll="0"/>
    <pivotField compact="0" numFmtId="1" outline="0" showAll="0"/>
    <pivotField compact="0" numFmtId="1" outline="0" showAll="0"/>
    <pivotField compact="0" outline="0" showAll="0"/>
    <pivotField compact="0" outline="0" showAll="0"/>
    <pivotField axis="axisPage" compact="0" outline="0" multipleItemSelectionAllowed="1" showAll="0">
      <items count="6">
        <item m="1" x="4"/>
        <item x="0"/>
        <item x="1"/>
        <item x="3"/>
        <item x="2"/>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s>
  <rowFields count="1">
    <field x="4"/>
  </rowFields>
  <rowItems count="383">
    <i>
      <x/>
    </i>
    <i>
      <x v="1"/>
    </i>
    <i>
      <x v="2"/>
    </i>
    <i>
      <x v="3"/>
    </i>
    <i>
      <x v="4"/>
    </i>
    <i>
      <x v="5"/>
    </i>
    <i>
      <x v="7"/>
    </i>
    <i>
      <x v="8"/>
    </i>
    <i>
      <x v="10"/>
    </i>
    <i>
      <x v="12"/>
    </i>
    <i>
      <x v="13"/>
    </i>
    <i>
      <x v="14"/>
    </i>
    <i>
      <x v="19"/>
    </i>
    <i>
      <x v="20"/>
    </i>
    <i>
      <x v="21"/>
    </i>
    <i>
      <x v="22"/>
    </i>
    <i>
      <x v="23"/>
    </i>
    <i>
      <x v="28"/>
    </i>
    <i>
      <x v="30"/>
    </i>
    <i>
      <x v="31"/>
    </i>
    <i>
      <x v="32"/>
    </i>
    <i>
      <x v="36"/>
    </i>
    <i>
      <x v="37"/>
    </i>
    <i>
      <x v="38"/>
    </i>
    <i>
      <x v="39"/>
    </i>
    <i>
      <x v="40"/>
    </i>
    <i>
      <x v="41"/>
    </i>
    <i>
      <x v="42"/>
    </i>
    <i>
      <x v="43"/>
    </i>
    <i>
      <x v="47"/>
    </i>
    <i>
      <x v="49"/>
    </i>
    <i>
      <x v="51"/>
    </i>
    <i>
      <x v="52"/>
    </i>
    <i>
      <x v="53"/>
    </i>
    <i>
      <x v="54"/>
    </i>
    <i>
      <x v="57"/>
    </i>
    <i>
      <x v="58"/>
    </i>
    <i>
      <x v="59"/>
    </i>
    <i>
      <x v="60"/>
    </i>
    <i>
      <x v="62"/>
    </i>
    <i>
      <x v="64"/>
    </i>
    <i>
      <x v="65"/>
    </i>
    <i>
      <x v="66"/>
    </i>
    <i>
      <x v="67"/>
    </i>
    <i>
      <x v="68"/>
    </i>
    <i>
      <x v="69"/>
    </i>
    <i>
      <x v="70"/>
    </i>
    <i>
      <x v="71"/>
    </i>
    <i>
      <x v="72"/>
    </i>
    <i>
      <x v="73"/>
    </i>
    <i>
      <x v="74"/>
    </i>
    <i>
      <x v="77"/>
    </i>
    <i>
      <x v="78"/>
    </i>
    <i>
      <x v="81"/>
    </i>
    <i>
      <x v="83"/>
    </i>
    <i>
      <x v="87"/>
    </i>
    <i>
      <x v="89"/>
    </i>
    <i>
      <x v="92"/>
    </i>
    <i>
      <x v="93"/>
    </i>
    <i>
      <x v="100"/>
    </i>
    <i>
      <x v="101"/>
    </i>
    <i>
      <x v="102"/>
    </i>
    <i>
      <x v="103"/>
    </i>
    <i>
      <x v="104"/>
    </i>
    <i>
      <x v="106"/>
    </i>
    <i>
      <x v="107"/>
    </i>
    <i>
      <x v="108"/>
    </i>
    <i>
      <x v="110"/>
    </i>
    <i>
      <x v="111"/>
    </i>
    <i>
      <x v="112"/>
    </i>
    <i>
      <x v="113"/>
    </i>
    <i>
      <x v="114"/>
    </i>
    <i>
      <x v="116"/>
    </i>
    <i>
      <x v="118"/>
    </i>
    <i>
      <x v="119"/>
    </i>
    <i>
      <x v="120"/>
    </i>
    <i>
      <x v="121"/>
    </i>
    <i>
      <x v="124"/>
    </i>
    <i>
      <x v="125"/>
    </i>
    <i>
      <x v="126"/>
    </i>
    <i>
      <x v="127"/>
    </i>
    <i>
      <x v="128"/>
    </i>
    <i>
      <x v="129"/>
    </i>
    <i>
      <x v="131"/>
    </i>
    <i>
      <x v="132"/>
    </i>
    <i>
      <x v="133"/>
    </i>
    <i>
      <x v="134"/>
    </i>
    <i>
      <x v="137"/>
    </i>
    <i>
      <x v="139"/>
    </i>
    <i>
      <x v="142"/>
    </i>
    <i>
      <x v="143"/>
    </i>
    <i>
      <x v="144"/>
    </i>
    <i>
      <x v="147"/>
    </i>
    <i>
      <x v="150"/>
    </i>
    <i>
      <x v="152"/>
    </i>
    <i>
      <x v="153"/>
    </i>
    <i>
      <x v="154"/>
    </i>
    <i>
      <x v="155"/>
    </i>
    <i>
      <x v="156"/>
    </i>
    <i>
      <x v="160"/>
    </i>
    <i>
      <x v="161"/>
    </i>
    <i>
      <x v="163"/>
    </i>
    <i>
      <x v="164"/>
    </i>
    <i>
      <x v="165"/>
    </i>
    <i>
      <x v="166"/>
    </i>
    <i>
      <x v="167"/>
    </i>
    <i>
      <x v="168"/>
    </i>
    <i>
      <x v="175"/>
    </i>
    <i>
      <x v="176"/>
    </i>
    <i>
      <x v="177"/>
    </i>
    <i>
      <x v="182"/>
    </i>
    <i>
      <x v="184"/>
    </i>
    <i>
      <x v="185"/>
    </i>
    <i>
      <x v="186"/>
    </i>
    <i>
      <x v="189"/>
    </i>
    <i>
      <x v="190"/>
    </i>
    <i>
      <x v="191"/>
    </i>
    <i>
      <x v="193"/>
    </i>
    <i>
      <x v="194"/>
    </i>
    <i>
      <x v="195"/>
    </i>
    <i>
      <x v="197"/>
    </i>
    <i>
      <x v="198"/>
    </i>
    <i>
      <x v="199"/>
    </i>
    <i>
      <x v="201"/>
    </i>
    <i>
      <x v="204"/>
    </i>
    <i>
      <x v="205"/>
    </i>
    <i>
      <x v="206"/>
    </i>
    <i>
      <x v="207"/>
    </i>
    <i>
      <x v="208"/>
    </i>
    <i>
      <x v="209"/>
    </i>
    <i>
      <x v="210"/>
    </i>
    <i>
      <x v="211"/>
    </i>
    <i>
      <x v="217"/>
    </i>
    <i>
      <x v="219"/>
    </i>
    <i>
      <x v="220"/>
    </i>
    <i>
      <x v="221"/>
    </i>
    <i>
      <x v="222"/>
    </i>
    <i>
      <x v="223"/>
    </i>
    <i>
      <x v="224"/>
    </i>
    <i>
      <x v="225"/>
    </i>
    <i>
      <x v="226"/>
    </i>
    <i>
      <x v="227"/>
    </i>
    <i>
      <x v="229"/>
    </i>
    <i>
      <x v="230"/>
    </i>
    <i>
      <x v="231"/>
    </i>
    <i>
      <x v="233"/>
    </i>
    <i>
      <x v="234"/>
    </i>
    <i>
      <x v="235"/>
    </i>
    <i>
      <x v="236"/>
    </i>
    <i>
      <x v="237"/>
    </i>
    <i>
      <x v="238"/>
    </i>
    <i>
      <x v="239"/>
    </i>
    <i>
      <x v="240"/>
    </i>
    <i>
      <x v="241"/>
    </i>
    <i>
      <x v="242"/>
    </i>
    <i>
      <x v="244"/>
    </i>
    <i>
      <x v="245"/>
    </i>
    <i>
      <x v="246"/>
    </i>
    <i>
      <x v="247"/>
    </i>
    <i>
      <x v="248"/>
    </i>
    <i>
      <x v="249"/>
    </i>
    <i>
      <x v="250"/>
    </i>
    <i>
      <x v="251"/>
    </i>
    <i>
      <x v="252"/>
    </i>
    <i>
      <x v="253"/>
    </i>
    <i>
      <x v="254"/>
    </i>
    <i>
      <x v="256"/>
    </i>
    <i>
      <x v="257"/>
    </i>
    <i>
      <x v="258"/>
    </i>
    <i>
      <x v="259"/>
    </i>
    <i>
      <x v="260"/>
    </i>
    <i>
      <x v="261"/>
    </i>
    <i>
      <x v="262"/>
    </i>
    <i>
      <x v="265"/>
    </i>
    <i>
      <x v="266"/>
    </i>
    <i>
      <x v="267"/>
    </i>
    <i>
      <x v="270"/>
    </i>
    <i>
      <x v="271"/>
    </i>
    <i>
      <x v="272"/>
    </i>
    <i>
      <x v="274"/>
    </i>
    <i>
      <x v="275"/>
    </i>
    <i>
      <x v="276"/>
    </i>
    <i>
      <x v="277"/>
    </i>
    <i>
      <x v="278"/>
    </i>
    <i>
      <x v="279"/>
    </i>
    <i>
      <x v="280"/>
    </i>
    <i>
      <x v="281"/>
    </i>
    <i>
      <x v="282"/>
    </i>
    <i>
      <x v="283"/>
    </i>
    <i>
      <x v="284"/>
    </i>
    <i>
      <x v="285"/>
    </i>
    <i>
      <x v="286"/>
    </i>
    <i>
      <x v="287"/>
    </i>
    <i>
      <x v="288"/>
    </i>
    <i>
      <x v="289"/>
    </i>
    <i>
      <x v="290"/>
    </i>
    <i>
      <x v="293"/>
    </i>
    <i>
      <x v="294"/>
    </i>
    <i>
      <x v="298"/>
    </i>
    <i>
      <x v="299"/>
    </i>
    <i>
      <x v="301"/>
    </i>
    <i>
      <x v="302"/>
    </i>
    <i>
      <x v="303"/>
    </i>
    <i>
      <x v="304"/>
    </i>
    <i>
      <x v="305"/>
    </i>
    <i>
      <x v="306"/>
    </i>
    <i>
      <x v="307"/>
    </i>
    <i>
      <x v="308"/>
    </i>
    <i>
      <x v="309"/>
    </i>
    <i>
      <x v="310"/>
    </i>
    <i>
      <x v="311"/>
    </i>
    <i>
      <x v="313"/>
    </i>
    <i>
      <x v="315"/>
    </i>
    <i>
      <x v="316"/>
    </i>
    <i>
      <x v="318"/>
    </i>
    <i>
      <x v="320"/>
    </i>
    <i>
      <x v="321"/>
    </i>
    <i>
      <x v="323"/>
    </i>
    <i>
      <x v="324"/>
    </i>
    <i>
      <x v="325"/>
    </i>
    <i>
      <x v="326"/>
    </i>
    <i>
      <x v="327"/>
    </i>
    <i>
      <x v="328"/>
    </i>
    <i>
      <x v="330"/>
    </i>
    <i>
      <x v="331"/>
    </i>
    <i>
      <x v="333"/>
    </i>
    <i>
      <x v="334"/>
    </i>
    <i>
      <x v="335"/>
    </i>
    <i>
      <x v="336"/>
    </i>
    <i>
      <x v="337"/>
    </i>
    <i>
      <x v="338"/>
    </i>
    <i>
      <x v="339"/>
    </i>
    <i>
      <x v="340"/>
    </i>
    <i>
      <x v="342"/>
    </i>
    <i>
      <x v="344"/>
    </i>
    <i>
      <x v="345"/>
    </i>
    <i>
      <x v="349"/>
    </i>
    <i>
      <x v="350"/>
    </i>
    <i>
      <x v="351"/>
    </i>
    <i>
      <x v="352"/>
    </i>
    <i>
      <x v="353"/>
    </i>
    <i>
      <x v="355"/>
    </i>
    <i>
      <x v="357"/>
    </i>
    <i>
      <x v="358"/>
    </i>
    <i>
      <x v="359"/>
    </i>
    <i>
      <x v="360"/>
    </i>
    <i>
      <x v="361"/>
    </i>
    <i>
      <x v="363"/>
    </i>
    <i>
      <x v="364"/>
    </i>
    <i>
      <x v="365"/>
    </i>
    <i>
      <x v="366"/>
    </i>
    <i>
      <x v="367"/>
    </i>
    <i>
      <x v="368"/>
    </i>
    <i>
      <x v="369"/>
    </i>
    <i>
      <x v="371"/>
    </i>
    <i>
      <x v="372"/>
    </i>
    <i>
      <x v="373"/>
    </i>
    <i>
      <x v="374"/>
    </i>
    <i>
      <x v="377"/>
    </i>
    <i>
      <x v="379"/>
    </i>
    <i>
      <x v="380"/>
    </i>
    <i>
      <x v="383"/>
    </i>
    <i>
      <x v="384"/>
    </i>
    <i>
      <x v="386"/>
    </i>
    <i>
      <x v="388"/>
    </i>
    <i>
      <x v="389"/>
    </i>
    <i>
      <x v="392"/>
    </i>
    <i>
      <x v="393"/>
    </i>
    <i>
      <x v="394"/>
    </i>
    <i>
      <x v="397"/>
    </i>
    <i>
      <x v="399"/>
    </i>
    <i>
      <x v="400"/>
    </i>
    <i>
      <x v="401"/>
    </i>
    <i>
      <x v="402"/>
    </i>
    <i>
      <x v="409"/>
    </i>
    <i>
      <x v="411"/>
    </i>
    <i>
      <x v="412"/>
    </i>
    <i>
      <x v="413"/>
    </i>
    <i>
      <x v="415"/>
    </i>
    <i>
      <x v="416"/>
    </i>
    <i>
      <x v="418"/>
    </i>
    <i>
      <x v="420"/>
    </i>
    <i>
      <x v="421"/>
    </i>
    <i>
      <x v="422"/>
    </i>
    <i>
      <x v="423"/>
    </i>
    <i>
      <x v="425"/>
    </i>
    <i>
      <x v="428"/>
    </i>
    <i>
      <x v="429"/>
    </i>
    <i>
      <x v="430"/>
    </i>
    <i>
      <x v="431"/>
    </i>
    <i>
      <x v="432"/>
    </i>
    <i>
      <x v="433"/>
    </i>
    <i>
      <x v="435"/>
    </i>
    <i>
      <x v="436"/>
    </i>
    <i>
      <x v="437"/>
    </i>
    <i>
      <x v="438"/>
    </i>
    <i>
      <x v="439"/>
    </i>
    <i>
      <x v="440"/>
    </i>
    <i>
      <x v="442"/>
    </i>
    <i>
      <x v="443"/>
    </i>
    <i>
      <x v="444"/>
    </i>
    <i>
      <x v="445"/>
    </i>
    <i>
      <x v="446"/>
    </i>
    <i>
      <x v="447"/>
    </i>
    <i>
      <x v="448"/>
    </i>
    <i>
      <x v="449"/>
    </i>
    <i>
      <x v="450"/>
    </i>
    <i>
      <x v="452"/>
    </i>
    <i>
      <x v="453"/>
    </i>
    <i>
      <x v="455"/>
    </i>
    <i>
      <x v="456"/>
    </i>
    <i>
      <x v="460"/>
    </i>
    <i>
      <x v="461"/>
    </i>
    <i>
      <x v="462"/>
    </i>
    <i>
      <x v="464"/>
    </i>
    <i>
      <x v="465"/>
    </i>
    <i>
      <x v="466"/>
    </i>
    <i>
      <x v="467"/>
    </i>
    <i>
      <x v="468"/>
    </i>
    <i>
      <x v="469"/>
    </i>
    <i>
      <x v="470"/>
    </i>
    <i>
      <x v="471"/>
    </i>
    <i>
      <x v="472"/>
    </i>
    <i>
      <x v="473"/>
    </i>
    <i>
      <x v="474"/>
    </i>
    <i>
      <x v="475"/>
    </i>
    <i>
      <x v="476"/>
    </i>
    <i>
      <x v="477"/>
    </i>
    <i>
      <x v="478"/>
    </i>
    <i>
      <x v="479"/>
    </i>
    <i>
      <x v="480"/>
    </i>
    <i>
      <x v="481"/>
    </i>
    <i>
      <x v="483"/>
    </i>
    <i>
      <x v="485"/>
    </i>
    <i>
      <x v="487"/>
    </i>
    <i>
      <x v="488"/>
    </i>
    <i>
      <x v="490"/>
    </i>
    <i>
      <x v="491"/>
    </i>
    <i>
      <x v="494"/>
    </i>
    <i>
      <x v="496"/>
    </i>
    <i>
      <x v="497"/>
    </i>
    <i>
      <x v="498"/>
    </i>
    <i>
      <x v="501"/>
    </i>
    <i>
      <x v="502"/>
    </i>
    <i>
      <x v="506"/>
    </i>
    <i>
      <x v="508"/>
    </i>
    <i>
      <x v="509"/>
    </i>
    <i>
      <x v="512"/>
    </i>
    <i>
      <x v="513"/>
    </i>
    <i>
      <x v="514"/>
    </i>
    <i>
      <x v="519"/>
    </i>
    <i>
      <x v="520"/>
    </i>
    <i>
      <x v="522"/>
    </i>
    <i>
      <x v="523"/>
    </i>
    <i>
      <x v="528"/>
    </i>
    <i>
      <x v="529"/>
    </i>
    <i>
      <x v="530"/>
    </i>
    <i>
      <x v="531"/>
    </i>
    <i>
      <x v="535"/>
    </i>
    <i>
      <x v="536"/>
    </i>
    <i>
      <x v="538"/>
    </i>
    <i>
      <x v="540"/>
    </i>
    <i>
      <x v="543"/>
    </i>
    <i>
      <x v="544"/>
    </i>
    <i>
      <x v="545"/>
    </i>
    <i>
      <x v="546"/>
    </i>
    <i>
      <x v="549"/>
    </i>
    <i>
      <x v="550"/>
    </i>
    <i>
      <x v="552"/>
    </i>
    <i>
      <x v="553"/>
    </i>
    <i>
      <x v="554"/>
    </i>
    <i>
      <x v="555"/>
    </i>
    <i>
      <x v="556"/>
    </i>
    <i>
      <x v="565"/>
    </i>
    <i>
      <x v="567"/>
    </i>
    <i>
      <x v="568"/>
    </i>
    <i>
      <x v="569"/>
    </i>
    <i>
      <x v="571"/>
    </i>
    <i>
      <x v="575"/>
    </i>
    <i>
      <x v="577"/>
    </i>
    <i>
      <x v="579"/>
    </i>
    <i>
      <x v="580"/>
    </i>
    <i t="grand">
      <x/>
    </i>
  </rowItems>
  <colFields count="1">
    <field x="-2"/>
  </colFields>
  <colItems count="4">
    <i>
      <x/>
    </i>
    <i i="1">
      <x v="1"/>
    </i>
    <i i="2">
      <x v="2"/>
    </i>
    <i i="3">
      <x v="3"/>
    </i>
  </colItems>
  <pageFields count="4">
    <pageField fld="0" item="4" hier="-1"/>
    <pageField fld="3" hier="-1"/>
    <pageField fld="2" hier="-1"/>
    <pageField fld="83" hier="-1"/>
  </pageFields>
  <dataFields count="4">
    <dataField name="Total Population" fld="6" baseField="0" baseItem="0"/>
    <dataField name="Number of People adopt basic personal and community hygiene practices" fld="73" baseField="0" baseItem="0"/>
    <dataField name="Number of people with equitable and continuous access to safe sanitation facilities" fld="61" baseField="0" baseItem="0"/>
    <dataField name="Number of people with equitable and continuous access to sufficient quantity of domestic water" fld="52" baseField="0" baseItem="0"/>
  </dataFields>
  <formats count="35">
    <format dxfId="117">
      <pivotArea field="2" type="button" dataOnly="0" labelOnly="1" outline="0" axis="axisPage" fieldPosition="2"/>
    </format>
    <format dxfId="116">
      <pivotArea field="3" type="button" dataOnly="0" labelOnly="1" outline="0" axis="axisPage" fieldPosition="1"/>
    </format>
    <format dxfId="115">
      <pivotArea field="1" type="button" dataOnly="0" labelOnly="1" outline="0"/>
    </format>
    <format dxfId="114">
      <pivotArea dataOnly="0" labelOnly="1" outline="0" fieldPosition="0">
        <references count="1">
          <reference field="4294967294" count="4">
            <x v="0"/>
            <x v="1"/>
            <x v="2"/>
            <x v="3"/>
          </reference>
        </references>
      </pivotArea>
    </format>
    <format dxfId="113">
      <pivotArea field="2" type="button" dataOnly="0" labelOnly="1" outline="0" axis="axisPage" fieldPosition="2"/>
    </format>
    <format dxfId="112">
      <pivotArea field="3" type="button" dataOnly="0" labelOnly="1" outline="0" axis="axisPage" fieldPosition="1"/>
    </format>
    <format dxfId="111">
      <pivotArea field="1" type="button" dataOnly="0" labelOnly="1" outline="0"/>
    </format>
    <format dxfId="110">
      <pivotArea dataOnly="0" labelOnly="1" outline="0" fieldPosition="0">
        <references count="1">
          <reference field="4294967294" count="4">
            <x v="0"/>
            <x v="1"/>
            <x v="2"/>
            <x v="3"/>
          </reference>
        </references>
      </pivotArea>
    </format>
    <format dxfId="109">
      <pivotArea field="2" type="button" dataOnly="0" labelOnly="1" outline="0" axis="axisPage" fieldPosition="2"/>
    </format>
    <format dxfId="108">
      <pivotArea field="3" type="button" dataOnly="0" labelOnly="1" outline="0" axis="axisPage" fieldPosition="1"/>
    </format>
    <format dxfId="107">
      <pivotArea field="1" type="button" dataOnly="0" labelOnly="1" outline="0"/>
    </format>
    <format dxfId="106">
      <pivotArea dataOnly="0" labelOnly="1" outline="0" fieldPosition="0">
        <references count="1">
          <reference field="4294967294" count="4">
            <x v="0"/>
            <x v="1"/>
            <x v="2"/>
            <x v="3"/>
          </reference>
        </references>
      </pivotArea>
    </format>
    <format dxfId="105">
      <pivotArea dataOnly="0" labelOnly="1" outline="0" fieldPosition="0">
        <references count="1">
          <reference field="4294967294" count="1">
            <x v="3"/>
          </reference>
        </references>
      </pivotArea>
    </format>
    <format dxfId="104">
      <pivotArea dataOnly="0" labelOnly="1" outline="0" fieldPosition="0">
        <references count="1">
          <reference field="4294967294" count="1">
            <x v="3"/>
          </reference>
        </references>
      </pivotArea>
    </format>
    <format dxfId="103">
      <pivotArea dataOnly="0" labelOnly="1" outline="0" fieldPosition="0">
        <references count="1">
          <reference field="4294967294" count="1">
            <x v="2"/>
          </reference>
        </references>
      </pivotArea>
    </format>
    <format dxfId="102">
      <pivotArea dataOnly="0" labelOnly="1" outline="0" fieldPosition="0">
        <references count="1">
          <reference field="4294967294" count="1">
            <x v="2"/>
          </reference>
        </references>
      </pivotArea>
    </format>
    <format dxfId="101">
      <pivotArea dataOnly="0" labelOnly="1" outline="0" fieldPosition="0">
        <references count="1">
          <reference field="4294967294" count="1">
            <x v="1"/>
          </reference>
        </references>
      </pivotArea>
    </format>
    <format dxfId="100">
      <pivotArea dataOnly="0" labelOnly="1" outline="0" fieldPosition="0">
        <references count="1">
          <reference field="4294967294" count="1">
            <x v="1"/>
          </reference>
        </references>
      </pivotArea>
    </format>
    <format dxfId="99">
      <pivotArea dataOnly="0" labelOnly="1" outline="0" fieldPosition="0">
        <references count="1">
          <reference field="4294967294" count="1">
            <x v="0"/>
          </reference>
        </references>
      </pivotArea>
    </format>
    <format dxfId="98">
      <pivotArea dataOnly="0" labelOnly="1" outline="0" fieldPosition="0">
        <references count="1">
          <reference field="4294967294" count="1">
            <x v="0"/>
          </reference>
        </references>
      </pivotArea>
    </format>
    <format dxfId="97">
      <pivotArea type="all" dataOnly="0" outline="0" fieldPosition="0"/>
    </format>
    <format dxfId="96">
      <pivotArea outline="0" collapsedLevelsAreSubtotals="1" fieldPosition="0"/>
    </format>
    <format dxfId="95">
      <pivotArea field="2" type="button" dataOnly="0" labelOnly="1" outline="0" axis="axisPage" fieldPosition="2"/>
    </format>
    <format dxfId="94">
      <pivotArea field="3" type="button" dataOnly="0" labelOnly="1" outline="0" axis="axisPage" fieldPosition="1"/>
    </format>
    <format dxfId="93">
      <pivotArea field="1" type="button" dataOnly="0" labelOnly="1" outline="0"/>
    </format>
    <format dxfId="92">
      <pivotArea dataOnly="0" labelOnly="1" outline="0" fieldPosition="0">
        <references count="1">
          <reference field="2" count="0"/>
        </references>
      </pivotArea>
    </format>
    <format dxfId="91">
      <pivotArea dataOnly="0" labelOnly="1" outline="0" fieldPosition="0">
        <references count="1">
          <reference field="2" count="0" defaultSubtotal="1"/>
        </references>
      </pivotArea>
    </format>
    <format dxfId="90">
      <pivotArea dataOnly="0" labelOnly="1" grandRow="1" outline="0" fieldPosition="0"/>
    </format>
    <format dxfId="89">
      <pivotArea dataOnly="0" labelOnly="1" outline="0" fieldPosition="0">
        <references count="2">
          <reference field="2" count="1" selected="0">
            <x v="0"/>
          </reference>
          <reference field="3" count="13">
            <x v="1"/>
            <x v="3"/>
            <x v="4"/>
            <x v="12"/>
            <x v="16"/>
            <x v="17"/>
            <x v="18"/>
            <x v="22"/>
            <x v="28"/>
            <x v="31"/>
            <x v="33"/>
            <x v="34"/>
            <x v="35"/>
          </reference>
        </references>
      </pivotArea>
    </format>
    <format dxfId="88">
      <pivotArea dataOnly="0" labelOnly="1" outline="0" fieldPosition="0">
        <references count="2">
          <reference field="2" count="1" selected="0">
            <x v="0"/>
          </reference>
          <reference field="3" count="13" defaultSubtotal="1">
            <x v="1"/>
            <x v="3"/>
            <x v="4"/>
            <x v="12"/>
            <x v="16"/>
            <x v="17"/>
            <x v="18"/>
            <x v="22"/>
            <x v="28"/>
            <x v="31"/>
            <x v="33"/>
            <x v="34"/>
            <x v="35"/>
          </reference>
        </references>
      </pivotArea>
    </format>
    <format dxfId="87">
      <pivotArea dataOnly="0" labelOnly="1" outline="0" fieldPosition="0">
        <references count="2">
          <reference field="2" count="1" selected="0">
            <x v="1"/>
          </reference>
          <reference field="3" count="12">
            <x v="0"/>
            <x v="2"/>
            <x v="8"/>
            <x v="9"/>
            <x v="14"/>
            <x v="15"/>
            <x v="19"/>
            <x v="21"/>
            <x v="26"/>
            <x v="27"/>
            <x v="30"/>
            <x v="32"/>
          </reference>
        </references>
      </pivotArea>
    </format>
    <format dxfId="86">
      <pivotArea dataOnly="0" labelOnly="1" outline="0" fieldPosition="0">
        <references count="2">
          <reference field="2" count="1" selected="0">
            <x v="1"/>
          </reference>
          <reference field="3" count="12" defaultSubtotal="1">
            <x v="0"/>
            <x v="2"/>
            <x v="8"/>
            <x v="9"/>
            <x v="14"/>
            <x v="15"/>
            <x v="19"/>
            <x v="21"/>
            <x v="26"/>
            <x v="27"/>
            <x v="30"/>
            <x v="32"/>
          </reference>
        </references>
      </pivotArea>
    </format>
    <format dxfId="85">
      <pivotArea dataOnly="0" labelOnly="1" outline="0" fieldPosition="0">
        <references count="2">
          <reference field="2" count="1" selected="0">
            <x v="2"/>
          </reference>
          <reference field="3" count="7">
            <x v="5"/>
            <x v="6"/>
            <x v="7"/>
            <x v="13"/>
            <x v="20"/>
            <x v="23"/>
            <x v="24"/>
          </reference>
        </references>
      </pivotArea>
    </format>
    <format dxfId="84">
      <pivotArea dataOnly="0" labelOnly="1" outline="0" fieldPosition="0">
        <references count="2">
          <reference field="2" count="1" selected="0">
            <x v="2"/>
          </reference>
          <reference field="3" count="7" defaultSubtotal="1">
            <x v="5"/>
            <x v="6"/>
            <x v="7"/>
            <x v="13"/>
            <x v="20"/>
            <x v="23"/>
            <x v="24"/>
          </reference>
        </references>
      </pivotArea>
    </format>
    <format dxfId="83">
      <pivotArea dataOnly="0" labelOnly="1" outline="0" fieldPosition="0">
        <references count="1">
          <reference field="4294967294" count="4">
            <x v="0"/>
            <x v="1"/>
            <x v="2"/>
            <x v="3"/>
          </reference>
        </references>
      </pivotArea>
    </format>
  </formats>
  <chartFormats count="8">
    <chartFormat chart="1" format="0" series="1">
      <pivotArea type="data" outline="0" fieldPosition="0">
        <references count="1">
          <reference field="4294967294" count="1" selected="0">
            <x v="0"/>
          </reference>
        </references>
      </pivotArea>
    </chartFormat>
    <chartFormat chart="1" format="1" series="1">
      <pivotArea type="data" outline="0" fieldPosition="0">
        <references count="1">
          <reference field="4294967294" count="1" selected="0">
            <x v="3"/>
          </reference>
        </references>
      </pivotArea>
    </chartFormat>
    <chartFormat chart="1" format="2" series="1">
      <pivotArea type="data" outline="0" fieldPosition="0">
        <references count="1">
          <reference field="4294967294" count="1" selected="0">
            <x v="2"/>
          </reference>
        </references>
      </pivotArea>
    </chartFormat>
    <chartFormat chart="1" format="3" series="1">
      <pivotArea type="data" outline="0" fieldPosition="0">
        <references count="1">
          <reference field="4294967294" count="1" selected="0">
            <x v="1"/>
          </reference>
        </references>
      </pivotArea>
    </chartFormat>
    <chartFormat chart="4" format="2" series="1">
      <pivotArea type="data" outline="0" fieldPosition="0">
        <references count="1">
          <reference field="4294967294" count="1" selected="0">
            <x v="0"/>
          </reference>
        </references>
      </pivotArea>
    </chartFormat>
    <chartFormat chart="4" format="3" series="1">
      <pivotArea type="data" outline="0" fieldPosition="0">
        <references count="1">
          <reference field="4294967294" count="1" selected="0">
            <x v="1"/>
          </reference>
        </references>
      </pivotArea>
    </chartFormat>
    <chartFormat chart="4" format="4" series="1">
      <pivotArea type="data" outline="0" fieldPosition="0">
        <references count="1">
          <reference field="4294967294" count="1" selected="0">
            <x v="2"/>
          </reference>
        </references>
      </pivotArea>
    </chartFormat>
    <chartFormat chart="4" format="5" series="1">
      <pivotArea type="data" outline="0" fieldPosition="0">
        <references count="1">
          <reference field="4294967294" count="1" selected="0">
            <x v="3"/>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xml><?xml version="1.0" encoding="utf-8"?>
<pivotTableDefinition xmlns="http://schemas.openxmlformats.org/spreadsheetml/2006/main" name="PivotTable10" cacheId="0" dataOnRows="1" applyNumberFormats="0" applyBorderFormats="0" applyFontFormats="0" applyPatternFormats="0" applyAlignmentFormats="0" applyWidthHeightFormats="1" dataCaption="Values" updatedVersion="6" minRefreshableVersion="3" colGrandTotals="0" itemPrintTitles="1" createdVersion="6" indent="0" showHeaders="0" outline="1" outlineData="1" multipleFieldFilters="0">
  <location ref="V155:W161" firstHeaderRow="0" firstDataRow="0" firstDataCol="1" rowPageCount="4" colPageCount="1"/>
  <pivotFields count="92">
    <pivotField axis="axisPage" subtotalTop="0" showAll="0">
      <items count="8">
        <item m="1" x="2"/>
        <item x="0"/>
        <item m="1" x="1"/>
        <item m="1" x="3"/>
        <item m="1" x="6"/>
        <item m="1" x="4"/>
        <item m="1" x="5"/>
        <item t="default"/>
      </items>
    </pivotField>
    <pivotField subtotalTop="0" showAll="0"/>
    <pivotField axis="axisPage" subtotalTop="0" showAll="0">
      <items count="5">
        <item x="0"/>
        <item x="1"/>
        <item x="2"/>
        <item m="1" x="3"/>
        <item t="default"/>
      </items>
    </pivotField>
    <pivotField subtotalTop="0" showAll="0"/>
    <pivotField subtotalTop="0" showAll="0"/>
    <pivotField subtotalTop="0" showAll="0"/>
    <pivotField dataField="1"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howAll="0" defaultSubtotal="0"/>
    <pivotField subtotalTop="0" showAll="0"/>
    <pivotField subtotalTop="0" showAll="0"/>
    <pivotField numFmtId="9" subtotalTop="0" showAll="0"/>
    <pivotField subtotalTop="0" showAll="0"/>
    <pivotField dataField="1" subtotalTop="0" showAll="0"/>
    <pivotField subtotalTop="0" showAll="0"/>
    <pivotField subtotalTop="0" showAll="0"/>
    <pivotField subtotalTop="0" showAll="0"/>
    <pivotField dataField="1" subtotalTop="0" showAll="0"/>
    <pivotField subtotalTop="0" showAll="0"/>
    <pivotField subtotalTop="0" showAll="0"/>
    <pivotField subtotalTop="0" showAll="0"/>
    <pivotField subtotalTop="0" showAll="0"/>
    <pivotField numFmtId="1" subtotalTop="0" showAll="0"/>
    <pivotField showAll="0" defaultSubtotal="0"/>
    <pivotField numFmtId="1" subtotalTop="0" showAll="0"/>
    <pivotField numFmtId="9" subtotalTop="0" showAll="0"/>
    <pivotField dataField="1" numFmtId="164" subtotalTop="0" showAll="0"/>
    <pivotField subtotalTop="0" showAll="0"/>
    <pivotField subtotalTop="0" showAll="0"/>
    <pivotField subtotalTop="0" showAll="0"/>
    <pivotField numFmtId="9" showAll="0" defaultSubtotal="0"/>
    <pivotField dataField="1" showAll="0" defaultSubtotal="0"/>
    <pivotField subtotalTop="0" showAll="0"/>
    <pivotField subtotalTop="0" showAll="0"/>
    <pivotField dataField="1" numFmtId="1" showAll="0" defaultSubtotal="0"/>
    <pivotField numFmtId="1" showAll="0" defaultSubtotal="0"/>
    <pivotField numFmtId="1" showAll="0" defaultSubtotal="0"/>
    <pivotField numFmtId="1" showAll="0" defaultSubtotal="0"/>
    <pivotField numFmtId="1" showAll="0" defaultSubtotal="0"/>
    <pivotField subtotalTop="0" showAll="0"/>
    <pivotField subtotalTop="0" showAll="0"/>
    <pivotField subtotalTop="0" showAll="0"/>
    <pivotField numFmtId="1" showAll="0" defaultSubtotal="0"/>
    <pivotField numFmtId="1" showAll="0" defaultSubtotal="0"/>
    <pivotField dataField="1" numFmtId="1" showAll="0" defaultSubtotal="0"/>
    <pivotField numFmtId="1" subtotalTop="0" showAll="0"/>
    <pivotField subtotalTop="0" showAll="0"/>
    <pivotField subtotalTop="0" showAll="0"/>
    <pivotField axis="axisPage" subtotalTop="0" multipleItemSelectionAllowed="1" showAll="0">
      <items count="6">
        <item h="1" x="0"/>
        <item h="1" x="1"/>
        <item x="3"/>
        <item h="1" m="1" x="4"/>
        <item h="1" x="2"/>
        <item t="default"/>
      </items>
    </pivotField>
    <pivotField subtotalTop="0" showAll="0"/>
    <pivotField subtotalTop="0" showAll="0"/>
    <pivotField subtotalTop="0" showAll="0"/>
    <pivotField subtotalTop="0" showAll="0"/>
    <pivotField subtotalTop="0" showAll="0"/>
    <pivotField subtotalTop="0" showAll="0"/>
    <pivotField axis="axisPage" subtotalTop="0" showAll="0">
      <items count="5">
        <item x="0"/>
        <item x="1"/>
        <item m="1" x="2"/>
        <item m="1" x="3"/>
        <item t="default"/>
      </items>
    </pivotField>
    <pivotField subtotalTop="0" showAll="0"/>
  </pivotFields>
  <rowFields count="1">
    <field x="-2"/>
  </rowFields>
  <rowItems count="7">
    <i>
      <x/>
    </i>
    <i i="1">
      <x v="1"/>
    </i>
    <i i="2">
      <x v="2"/>
    </i>
    <i i="3">
      <x v="3"/>
    </i>
    <i i="4">
      <x v="4"/>
    </i>
    <i i="5">
      <x v="5"/>
    </i>
    <i i="6">
      <x v="6"/>
    </i>
  </rowItems>
  <colItems count="1">
    <i/>
  </colItems>
  <pageFields count="4">
    <pageField fld="0" item="1" hier="-1"/>
    <pageField fld="90" item="0" hier="-1"/>
    <pageField fld="83" hier="-1"/>
    <pageField fld="2" item="1" hier="-1"/>
  </pageFields>
  <dataFields count="7">
    <dataField name="Total Population reached" fld="6" baseField="2" baseItem="0" numFmtId="3"/>
    <dataField name="Number of people with equitable and safe access to sufficient quantity of drinking water_1" fld="48" baseField="2" baseItem="1" numFmtId="3"/>
    <dataField name="Number of people with equitable and safe access to sufficient quantity of domestic water_2" fld="52" baseField="2" baseItem="1" numFmtId="3"/>
    <dataField name="Number of people with access to functional sanitation facilities_3" fld="61" baseField="2" baseItem="1" numFmtId="3"/>
    <dataField name="Number of people with access to continuous sanitation services_4" fld="66" baseField="2" baseItem="0" numFmtId="164"/>
    <dataField name="Number of people reached by regular dedicated hygiene promotion_5" fld="69" baseField="0" baseItem="0" numFmtId="164"/>
    <dataField name="Number of People received regular supply of hygiene items_6" fld="79" baseField="0" baseItem="0"/>
  </dataFields>
  <formats count="37">
    <format dxfId="1003">
      <pivotArea field="2" type="button" dataOnly="0" labelOnly="1" outline="0" axis="axisPage" fieldPosition="3"/>
    </format>
    <format dxfId="1002">
      <pivotArea dataOnly="0" labelOnly="1" outline="0" fieldPosition="0">
        <references count="1">
          <reference field="4294967294" count="3">
            <x v="1"/>
            <x v="2"/>
            <x v="3"/>
          </reference>
        </references>
      </pivotArea>
    </format>
    <format dxfId="1001">
      <pivotArea dataOnly="0" labelOnly="1" outline="0" fieldPosition="0">
        <references count="1">
          <reference field="4294967294" count="3">
            <x v="1"/>
            <x v="2"/>
            <x v="3"/>
          </reference>
        </references>
      </pivotArea>
    </format>
    <format dxfId="1000">
      <pivotArea outline="0" fieldPosition="0">
        <references count="1">
          <reference field="4294967294" count="1">
            <x v="1"/>
          </reference>
        </references>
      </pivotArea>
    </format>
    <format dxfId="999">
      <pivotArea outline="0" fieldPosition="0">
        <references count="1">
          <reference field="4294967294" count="1">
            <x v="2"/>
          </reference>
        </references>
      </pivotArea>
    </format>
    <format dxfId="998">
      <pivotArea outline="0" fieldPosition="0">
        <references count="1">
          <reference field="4294967294" count="1">
            <x v="3"/>
          </reference>
        </references>
      </pivotArea>
    </format>
    <format dxfId="997">
      <pivotArea type="all" dataOnly="0" outline="0" fieldPosition="0"/>
    </format>
    <format dxfId="996">
      <pivotArea field="2" type="button" dataOnly="0" labelOnly="1" outline="0" axis="axisPage" fieldPosition="3"/>
    </format>
    <format dxfId="995">
      <pivotArea dataOnly="0" labelOnly="1" outline="0" fieldPosition="0">
        <references count="1">
          <reference field="4294967294" count="3">
            <x v="1"/>
            <x v="2"/>
            <x v="3"/>
          </reference>
        </references>
      </pivotArea>
    </format>
    <format dxfId="994">
      <pivotArea outline="0" fieldPosition="0">
        <references count="1">
          <reference field="4294967294" count="1">
            <x v="0"/>
          </reference>
        </references>
      </pivotArea>
    </format>
    <format dxfId="993">
      <pivotArea dataOnly="0" labelOnly="1" outline="0" fieldPosition="0">
        <references count="1">
          <reference field="4294967294" count="1">
            <x v="0"/>
          </reference>
        </references>
      </pivotArea>
    </format>
    <format dxfId="992">
      <pivotArea outline="0" collapsedLevelsAreSubtotals="1" fieldPosition="0">
        <references count="1">
          <reference field="4294967294" count="2" selected="0">
            <x v="1"/>
            <x v="2"/>
          </reference>
        </references>
      </pivotArea>
    </format>
    <format dxfId="991">
      <pivotArea outline="0" collapsedLevelsAreSubtotals="1" fieldPosition="0">
        <references count="1">
          <reference field="4294967294" count="2" selected="0">
            <x v="1"/>
            <x v="2"/>
          </reference>
        </references>
      </pivotArea>
    </format>
    <format dxfId="990">
      <pivotArea dataOnly="0" labelOnly="1" outline="0" fieldPosition="0">
        <references count="1">
          <reference field="4294967294" count="2">
            <x v="1"/>
            <x v="2"/>
          </reference>
        </references>
      </pivotArea>
    </format>
    <format dxfId="989">
      <pivotArea outline="0" collapsedLevelsAreSubtotals="1" fieldPosition="0">
        <references count="1">
          <reference field="4294967294" count="2" selected="0">
            <x v="3"/>
            <x v="4"/>
          </reference>
        </references>
      </pivotArea>
    </format>
    <format dxfId="988">
      <pivotArea outline="0" collapsedLevelsAreSubtotals="1" fieldPosition="0">
        <references count="1">
          <reference field="4294967294" count="2" selected="0">
            <x v="3"/>
            <x v="4"/>
          </reference>
        </references>
      </pivotArea>
    </format>
    <format dxfId="987">
      <pivotArea dataOnly="0" labelOnly="1" outline="0" fieldPosition="0">
        <references count="1">
          <reference field="4294967294" count="2">
            <x v="3"/>
            <x v="4"/>
          </reference>
        </references>
      </pivotArea>
    </format>
    <format dxfId="986">
      <pivotArea outline="0" collapsedLevelsAreSubtotals="1" fieldPosition="0">
        <references count="1">
          <reference field="4294967294" count="1" selected="0">
            <x v="5"/>
          </reference>
        </references>
      </pivotArea>
    </format>
    <format dxfId="985">
      <pivotArea outline="0" collapsedLevelsAreSubtotals="1" fieldPosition="0">
        <references count="1">
          <reference field="4294967294" count="1" selected="0">
            <x v="5"/>
          </reference>
        </references>
      </pivotArea>
    </format>
    <format dxfId="984">
      <pivotArea dataOnly="0" labelOnly="1" outline="0" fieldPosition="0">
        <references count="1">
          <reference field="4294967294" count="1">
            <x v="5"/>
          </reference>
        </references>
      </pivotArea>
    </format>
    <format dxfId="983">
      <pivotArea outline="0" collapsedLevelsAreSubtotals="1" fieldPosition="0">
        <references count="1">
          <reference field="4294967294" count="5" selected="0">
            <x v="1"/>
            <x v="2"/>
            <x v="3"/>
            <x v="4"/>
            <x v="5"/>
          </reference>
        </references>
      </pivotArea>
    </format>
    <format dxfId="982">
      <pivotArea dataOnly="0" labelOnly="1" outline="0" fieldPosition="0">
        <references count="1">
          <reference field="4294967294" count="5">
            <x v="1"/>
            <x v="2"/>
            <x v="3"/>
            <x v="4"/>
            <x v="5"/>
          </reference>
        </references>
      </pivotArea>
    </format>
    <format dxfId="981">
      <pivotArea dataOnly="0" labelOnly="1" outline="0" fieldPosition="0">
        <references count="1">
          <reference field="4294967294" count="5">
            <x v="1"/>
            <x v="2"/>
            <x v="3"/>
            <x v="4"/>
            <x v="5"/>
          </reference>
        </references>
      </pivotArea>
    </format>
    <format dxfId="980">
      <pivotArea dataOnly="0" labelOnly="1" outline="0" fieldPosition="0">
        <references count="1">
          <reference field="4294967294" count="5">
            <x v="1"/>
            <x v="2"/>
            <x v="3"/>
            <x v="4"/>
            <x v="5"/>
          </reference>
        </references>
      </pivotArea>
    </format>
    <format dxfId="979">
      <pivotArea dataOnly="0" labelOnly="1" outline="0" fieldPosition="0">
        <references count="1">
          <reference field="4294967294" count="5">
            <x v="1"/>
            <x v="2"/>
            <x v="3"/>
            <x v="4"/>
            <x v="5"/>
          </reference>
        </references>
      </pivotArea>
    </format>
    <format dxfId="978">
      <pivotArea outline="0" collapsedLevelsAreSubtotals="1" fieldPosition="0">
        <references count="1">
          <reference field="4294967294" count="2" selected="0">
            <x v="4"/>
            <x v="5"/>
          </reference>
        </references>
      </pivotArea>
    </format>
    <format dxfId="977">
      <pivotArea type="all" dataOnly="0" outline="0" fieldPosition="0"/>
    </format>
    <format dxfId="976">
      <pivotArea outline="0" collapsedLevelsAreSubtotals="1" fieldPosition="0"/>
    </format>
    <format dxfId="975">
      <pivotArea dataOnly="0" labelOnly="1" grandRow="1" outline="0" fieldPosition="0"/>
    </format>
    <format dxfId="974">
      <pivotArea dataOnly="0" labelOnly="1" outline="0" fieldPosition="0">
        <references count="1">
          <reference field="4294967294" count="6">
            <x v="0"/>
            <x v="1"/>
            <x v="2"/>
            <x v="3"/>
            <x v="4"/>
            <x v="5"/>
          </reference>
        </references>
      </pivotArea>
    </format>
    <format dxfId="973">
      <pivotArea type="all" dataOnly="0" outline="0" fieldPosition="0"/>
    </format>
    <format dxfId="972">
      <pivotArea outline="0" collapsedLevelsAreSubtotals="1" fieldPosition="0"/>
    </format>
    <format dxfId="971">
      <pivotArea dataOnly="0" labelOnly="1" grandRow="1" outline="0" fieldPosition="0"/>
    </format>
    <format dxfId="970">
      <pivotArea dataOnly="0" labelOnly="1" outline="0" fieldPosition="0">
        <references count="1">
          <reference field="4294967294" count="6">
            <x v="0"/>
            <x v="1"/>
            <x v="2"/>
            <x v="3"/>
            <x v="4"/>
            <x v="5"/>
          </reference>
        </references>
      </pivotArea>
    </format>
    <format dxfId="969">
      <pivotArea outline="0" collapsedLevelsAreSubtotals="1" fieldPosition="0">
        <references count="1">
          <reference field="4294967294" count="1" selected="0">
            <x v="6"/>
          </reference>
        </references>
      </pivotArea>
    </format>
    <format dxfId="968">
      <pivotArea dataOnly="0" labelOnly="1" outline="0" fieldPosition="0">
        <references count="1">
          <reference field="4294967294" count="1">
            <x v="6"/>
          </reference>
        </references>
      </pivotArea>
    </format>
    <format dxfId="967">
      <pivotArea collapsedLevelsAreSubtotals="1" fieldPosition="0">
        <references count="1">
          <reference field="4294967294" count="6">
            <x v="1"/>
            <x v="2"/>
            <x v="3"/>
            <x v="4"/>
            <x v="5"/>
            <x v="6"/>
          </reference>
        </references>
      </pivotArea>
    </format>
  </formats>
  <pivotTableStyleInfo name="PivotStyleLight2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name="PivotTable11" cacheId="0" dataOnRows="1" applyNumberFormats="0" applyBorderFormats="0" applyFontFormats="0" applyPatternFormats="0" applyAlignmentFormats="0" applyWidthHeightFormats="1" dataCaption="Values" updatedVersion="5" minRefreshableVersion="3" colGrandTotals="0" itemPrintTitles="1" createdVersion="6" indent="0" showHeaders="0" outline="1" outlineData="1" multipleFieldFilters="0">
  <location ref="AP122:AQ128" firstHeaderRow="0" firstDataRow="0" firstDataCol="1" rowPageCount="3" colPageCount="1"/>
  <pivotFields count="92">
    <pivotField axis="axisPage" subtotalTop="0" showAll="0">
      <items count="8">
        <item m="1" x="2"/>
        <item x="0"/>
        <item m="1" x="1"/>
        <item m="1" x="3"/>
        <item m="1" x="6"/>
        <item m="1" x="4"/>
        <item m="1" x="5"/>
        <item t="default"/>
      </items>
    </pivotField>
    <pivotField subtotalTop="0" showAll="0"/>
    <pivotField subtotalTop="0" showAll="0">
      <items count="5">
        <item x="0"/>
        <item x="1"/>
        <item x="2"/>
        <item m="1" x="3"/>
        <item t="default"/>
      </items>
    </pivotField>
    <pivotField subtotalTop="0" showAll="0"/>
    <pivotField subtotalTop="0" showAll="0"/>
    <pivotField subtotalTop="0" showAll="0"/>
    <pivotField dataField="1"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howAll="0" defaultSubtotal="0"/>
    <pivotField subtotalTop="0" showAll="0"/>
    <pivotField subtotalTop="0" showAll="0"/>
    <pivotField numFmtId="9" subtotalTop="0" showAll="0"/>
    <pivotField subtotalTop="0" showAll="0"/>
    <pivotField dataField="1" subtotalTop="0" showAll="0"/>
    <pivotField subtotalTop="0" showAll="0"/>
    <pivotField subtotalTop="0" showAll="0"/>
    <pivotField subtotalTop="0" showAll="0"/>
    <pivotField dataField="1" subtotalTop="0" showAll="0"/>
    <pivotField subtotalTop="0" showAll="0"/>
    <pivotField subtotalTop="0" showAll="0"/>
    <pivotField subtotalTop="0" showAll="0"/>
    <pivotField subtotalTop="0" showAll="0"/>
    <pivotField numFmtId="1" subtotalTop="0" showAll="0"/>
    <pivotField showAll="0" defaultSubtotal="0"/>
    <pivotField numFmtId="1" subtotalTop="0" showAll="0"/>
    <pivotField numFmtId="9" subtotalTop="0" showAll="0"/>
    <pivotField dataField="1" numFmtId="164" subtotalTop="0" showAll="0"/>
    <pivotField subtotalTop="0" showAll="0"/>
    <pivotField subtotalTop="0" showAll="0"/>
    <pivotField subtotalTop="0" showAll="0"/>
    <pivotField numFmtId="9" showAll="0" defaultSubtotal="0"/>
    <pivotField dataField="1" showAll="0" defaultSubtotal="0"/>
    <pivotField subtotalTop="0" showAll="0"/>
    <pivotField subtotalTop="0" showAll="0"/>
    <pivotField dataField="1" numFmtId="1" showAll="0" defaultSubtotal="0"/>
    <pivotField numFmtId="1" showAll="0" defaultSubtotal="0"/>
    <pivotField numFmtId="1" showAll="0" defaultSubtotal="0"/>
    <pivotField numFmtId="1" showAll="0" defaultSubtotal="0"/>
    <pivotField numFmtId="1" showAll="0" defaultSubtotal="0"/>
    <pivotField subtotalTop="0" showAll="0"/>
    <pivotField subtotalTop="0" showAll="0"/>
    <pivotField subtotalTop="0" showAll="0"/>
    <pivotField numFmtId="1" showAll="0" defaultSubtotal="0"/>
    <pivotField numFmtId="1" showAll="0" defaultSubtotal="0"/>
    <pivotField dataField="1" numFmtId="1" showAll="0" defaultSubtotal="0"/>
    <pivotField numFmtId="1" subtotalTop="0" showAll="0"/>
    <pivotField subtotalTop="0" showAll="0"/>
    <pivotField subtotalTop="0" showAll="0"/>
    <pivotField axis="axisPage" subtotalTop="0" multipleItemSelectionAllowed="1" showAll="0">
      <items count="6">
        <item x="0"/>
        <item x="1"/>
        <item x="3"/>
        <item h="1" m="1" x="4"/>
        <item h="1" x="2"/>
        <item t="default"/>
      </items>
    </pivotField>
    <pivotField subtotalTop="0" showAll="0"/>
    <pivotField subtotalTop="0" showAll="0"/>
    <pivotField subtotalTop="0" showAll="0"/>
    <pivotField subtotalTop="0" showAll="0"/>
    <pivotField subtotalTop="0" showAll="0"/>
    <pivotField subtotalTop="0" showAll="0"/>
    <pivotField axis="axisPage" subtotalTop="0" showAll="0">
      <items count="5">
        <item x="0"/>
        <item x="1"/>
        <item m="1" x="2"/>
        <item m="1" x="3"/>
        <item t="default"/>
      </items>
    </pivotField>
    <pivotField subtotalTop="0" showAll="0"/>
  </pivotFields>
  <rowFields count="1">
    <field x="-2"/>
  </rowFields>
  <rowItems count="7">
    <i>
      <x/>
    </i>
    <i i="1">
      <x v="1"/>
    </i>
    <i i="2">
      <x v="2"/>
    </i>
    <i i="3">
      <x v="3"/>
    </i>
    <i i="4">
      <x v="4"/>
    </i>
    <i i="5">
      <x v="5"/>
    </i>
    <i i="6">
      <x v="6"/>
    </i>
  </rowItems>
  <colItems count="1">
    <i/>
  </colItems>
  <pageFields count="3">
    <pageField fld="0" item="1" hier="-1"/>
    <pageField fld="90" item="0" hier="-1"/>
    <pageField fld="83" hier="-1"/>
  </pageFields>
  <dataFields count="7">
    <dataField name="Total Population reached" fld="6" baseField="2" baseItem="0" numFmtId="3"/>
    <dataField name="Number of people with equitable and safe access to sufficient quantity of drinking water_1" fld="48" baseField="2" baseItem="1" numFmtId="3"/>
    <dataField name="Number of people with equitable and safe access to sufficient quantity of domestic water_2" fld="52" baseField="2" baseItem="1" numFmtId="3"/>
    <dataField name="Number of people with access to functional sanitation facilities_3" fld="61" baseField="2" baseItem="1" numFmtId="3"/>
    <dataField name="Number of people with access to continuous sanitation services_4" fld="66" baseField="2" baseItem="0" numFmtId="164"/>
    <dataField name="Number of people reached by regular dedicated hygiene promotion_5" fld="69" baseField="0" baseItem="0" numFmtId="164"/>
    <dataField name="Number of People received regular supply of hygiene items_6" fld="79" baseField="0" baseItem="0"/>
  </dataFields>
  <formats count="36">
    <format dxfId="1039">
      <pivotArea field="2" type="button" dataOnly="0" labelOnly="1" outline="0"/>
    </format>
    <format dxfId="1038">
      <pivotArea dataOnly="0" labelOnly="1" outline="0" fieldPosition="0">
        <references count="1">
          <reference field="4294967294" count="3">
            <x v="1"/>
            <x v="2"/>
            <x v="3"/>
          </reference>
        </references>
      </pivotArea>
    </format>
    <format dxfId="1037">
      <pivotArea dataOnly="0" labelOnly="1" outline="0" fieldPosition="0">
        <references count="1">
          <reference field="4294967294" count="3">
            <x v="1"/>
            <x v="2"/>
            <x v="3"/>
          </reference>
        </references>
      </pivotArea>
    </format>
    <format dxfId="1036">
      <pivotArea outline="0" fieldPosition="0">
        <references count="1">
          <reference field="4294967294" count="1">
            <x v="1"/>
          </reference>
        </references>
      </pivotArea>
    </format>
    <format dxfId="1035">
      <pivotArea outline="0" fieldPosition="0">
        <references count="1">
          <reference field="4294967294" count="1">
            <x v="2"/>
          </reference>
        </references>
      </pivotArea>
    </format>
    <format dxfId="1034">
      <pivotArea outline="0" fieldPosition="0">
        <references count="1">
          <reference field="4294967294" count="1">
            <x v="3"/>
          </reference>
        </references>
      </pivotArea>
    </format>
    <format dxfId="1033">
      <pivotArea type="all" dataOnly="0" outline="0" fieldPosition="0"/>
    </format>
    <format dxfId="1032">
      <pivotArea field="2" type="button" dataOnly="0" labelOnly="1" outline="0"/>
    </format>
    <format dxfId="1031">
      <pivotArea dataOnly="0" labelOnly="1" outline="0" fieldPosition="0">
        <references count="1">
          <reference field="4294967294" count="3">
            <x v="1"/>
            <x v="2"/>
            <x v="3"/>
          </reference>
        </references>
      </pivotArea>
    </format>
    <format dxfId="1030">
      <pivotArea outline="0" fieldPosition="0">
        <references count="1">
          <reference field="4294967294" count="1">
            <x v="0"/>
          </reference>
        </references>
      </pivotArea>
    </format>
    <format dxfId="1029">
      <pivotArea dataOnly="0" labelOnly="1" outline="0" fieldPosition="0">
        <references count="1">
          <reference field="4294967294" count="1">
            <x v="0"/>
          </reference>
        </references>
      </pivotArea>
    </format>
    <format dxfId="1028">
      <pivotArea outline="0" collapsedLevelsAreSubtotals="1" fieldPosition="0">
        <references count="1">
          <reference field="4294967294" count="2" selected="0">
            <x v="1"/>
            <x v="2"/>
          </reference>
        </references>
      </pivotArea>
    </format>
    <format dxfId="1027">
      <pivotArea outline="0" collapsedLevelsAreSubtotals="1" fieldPosition="0">
        <references count="1">
          <reference field="4294967294" count="2" selected="0">
            <x v="1"/>
            <x v="2"/>
          </reference>
        </references>
      </pivotArea>
    </format>
    <format dxfId="1026">
      <pivotArea dataOnly="0" labelOnly="1" outline="0" fieldPosition="0">
        <references count="1">
          <reference field="4294967294" count="2">
            <x v="1"/>
            <x v="2"/>
          </reference>
        </references>
      </pivotArea>
    </format>
    <format dxfId="1025">
      <pivotArea outline="0" collapsedLevelsAreSubtotals="1" fieldPosition="0">
        <references count="1">
          <reference field="4294967294" count="2" selected="0">
            <x v="3"/>
            <x v="4"/>
          </reference>
        </references>
      </pivotArea>
    </format>
    <format dxfId="1024">
      <pivotArea outline="0" collapsedLevelsAreSubtotals="1" fieldPosition="0">
        <references count="1">
          <reference field="4294967294" count="2" selected="0">
            <x v="3"/>
            <x v="4"/>
          </reference>
        </references>
      </pivotArea>
    </format>
    <format dxfId="1023">
      <pivotArea dataOnly="0" labelOnly="1" outline="0" fieldPosition="0">
        <references count="1">
          <reference field="4294967294" count="2">
            <x v="3"/>
            <x v="4"/>
          </reference>
        </references>
      </pivotArea>
    </format>
    <format dxfId="1022">
      <pivotArea outline="0" collapsedLevelsAreSubtotals="1" fieldPosition="0">
        <references count="1">
          <reference field="4294967294" count="1" selected="0">
            <x v="5"/>
          </reference>
        </references>
      </pivotArea>
    </format>
    <format dxfId="1021">
      <pivotArea outline="0" collapsedLevelsAreSubtotals="1" fieldPosition="0">
        <references count="1">
          <reference field="4294967294" count="1" selected="0">
            <x v="5"/>
          </reference>
        </references>
      </pivotArea>
    </format>
    <format dxfId="1020">
      <pivotArea dataOnly="0" labelOnly="1" outline="0" fieldPosition="0">
        <references count="1">
          <reference field="4294967294" count="1">
            <x v="5"/>
          </reference>
        </references>
      </pivotArea>
    </format>
    <format dxfId="1019">
      <pivotArea outline="0" collapsedLevelsAreSubtotals="1" fieldPosition="0">
        <references count="1">
          <reference field="4294967294" count="5" selected="0">
            <x v="1"/>
            <x v="2"/>
            <x v="3"/>
            <x v="4"/>
            <x v="5"/>
          </reference>
        </references>
      </pivotArea>
    </format>
    <format dxfId="1018">
      <pivotArea dataOnly="0" labelOnly="1" outline="0" fieldPosition="0">
        <references count="1">
          <reference field="4294967294" count="5">
            <x v="1"/>
            <x v="2"/>
            <x v="3"/>
            <x v="4"/>
            <x v="5"/>
          </reference>
        </references>
      </pivotArea>
    </format>
    <format dxfId="1017">
      <pivotArea dataOnly="0" labelOnly="1" outline="0" fieldPosition="0">
        <references count="1">
          <reference field="4294967294" count="5">
            <x v="1"/>
            <x v="2"/>
            <x v="3"/>
            <x v="4"/>
            <x v="5"/>
          </reference>
        </references>
      </pivotArea>
    </format>
    <format dxfId="1016">
      <pivotArea dataOnly="0" labelOnly="1" outline="0" fieldPosition="0">
        <references count="1">
          <reference field="4294967294" count="5">
            <x v="1"/>
            <x v="2"/>
            <x v="3"/>
            <x v="4"/>
            <x v="5"/>
          </reference>
        </references>
      </pivotArea>
    </format>
    <format dxfId="1015">
      <pivotArea dataOnly="0" labelOnly="1" outline="0" fieldPosition="0">
        <references count="1">
          <reference field="4294967294" count="5">
            <x v="1"/>
            <x v="2"/>
            <x v="3"/>
            <x v="4"/>
            <x v="5"/>
          </reference>
        </references>
      </pivotArea>
    </format>
    <format dxfId="1014">
      <pivotArea outline="0" collapsedLevelsAreSubtotals="1" fieldPosition="0">
        <references count="1">
          <reference field="4294967294" count="2" selected="0">
            <x v="4"/>
            <x v="5"/>
          </reference>
        </references>
      </pivotArea>
    </format>
    <format dxfId="1013">
      <pivotArea type="all" dataOnly="0" outline="0" fieldPosition="0"/>
    </format>
    <format dxfId="1012">
      <pivotArea outline="0" collapsedLevelsAreSubtotals="1" fieldPosition="0"/>
    </format>
    <format dxfId="1011">
      <pivotArea dataOnly="0" labelOnly="1" grandRow="1" outline="0" fieldPosition="0"/>
    </format>
    <format dxfId="1010">
      <pivotArea dataOnly="0" labelOnly="1" outline="0" fieldPosition="0">
        <references count="1">
          <reference field="4294967294" count="6">
            <x v="0"/>
            <x v="1"/>
            <x v="2"/>
            <x v="3"/>
            <x v="4"/>
            <x v="5"/>
          </reference>
        </references>
      </pivotArea>
    </format>
    <format dxfId="1009">
      <pivotArea type="all" dataOnly="0" outline="0" fieldPosition="0"/>
    </format>
    <format dxfId="1008">
      <pivotArea outline="0" collapsedLevelsAreSubtotals="1" fieldPosition="0"/>
    </format>
    <format dxfId="1007">
      <pivotArea dataOnly="0" labelOnly="1" grandRow="1" outline="0" fieldPosition="0"/>
    </format>
    <format dxfId="1006">
      <pivotArea dataOnly="0" labelOnly="1" outline="0" fieldPosition="0">
        <references count="1">
          <reference field="4294967294" count="6">
            <x v="0"/>
            <x v="1"/>
            <x v="2"/>
            <x v="3"/>
            <x v="4"/>
            <x v="5"/>
          </reference>
        </references>
      </pivotArea>
    </format>
    <format dxfId="1005">
      <pivotArea outline="0" collapsedLevelsAreSubtotals="1" fieldPosition="0">
        <references count="1">
          <reference field="4294967294" count="1" selected="0">
            <x v="6"/>
          </reference>
        </references>
      </pivotArea>
    </format>
    <format dxfId="1004">
      <pivotArea dataOnly="0" labelOnly="1" outline="0" fieldPosition="0">
        <references count="1">
          <reference field="4294967294" count="1">
            <x v="6"/>
          </reference>
        </references>
      </pivotArea>
    </format>
  </formats>
  <pivotTableStyleInfo name="PivotStyleLight2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name="HRP_2" cacheId="0" applyNumberFormats="0" applyBorderFormats="0" applyFontFormats="0" applyPatternFormats="0" applyAlignmentFormats="0" applyWidthHeightFormats="1" dataCaption="Values" updatedVersion="6" minRefreshableVersion="3" colGrandTotals="0" itemPrintTitles="1" createdVersion="6" indent="0" outline="1" outlineData="1" multipleFieldFilters="0">
  <location ref="B17:I19" firstHeaderRow="0" firstDataRow="1" firstDataCol="1" rowPageCount="3" colPageCount="1"/>
  <pivotFields count="92">
    <pivotField axis="axisPage" subtotalTop="0" showAll="0">
      <items count="8">
        <item m="1" x="2"/>
        <item x="0"/>
        <item m="1" x="1"/>
        <item m="1" x="3"/>
        <item m="1" x="6"/>
        <item m="1" x="4"/>
        <item m="1" x="5"/>
        <item t="default"/>
      </items>
    </pivotField>
    <pivotField subtotalTop="0" showAll="0"/>
    <pivotField axis="axisRow" subtotalTop="0" showAll="0">
      <items count="5">
        <item x="0"/>
        <item x="1"/>
        <item x="2"/>
        <item m="1" x="3"/>
        <item t="default"/>
      </items>
    </pivotField>
    <pivotField subtotalTop="0" showAll="0"/>
    <pivotField subtotalTop="0" showAll="0"/>
    <pivotField subtotalTop="0" showAll="0"/>
    <pivotField dataField="1"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howAll="0" defaultSubtotal="0"/>
    <pivotField subtotalTop="0" showAll="0"/>
    <pivotField subtotalTop="0" showAll="0"/>
    <pivotField numFmtId="9" subtotalTop="0" showAll="0"/>
    <pivotField subtotalTop="0" showAll="0"/>
    <pivotField dataField="1" subtotalTop="0" showAll="0"/>
    <pivotField subtotalTop="0" showAll="0"/>
    <pivotField subtotalTop="0" showAll="0"/>
    <pivotField subtotalTop="0" showAll="0"/>
    <pivotField dataField="1" subtotalTop="0" showAll="0"/>
    <pivotField subtotalTop="0" showAll="0"/>
    <pivotField subtotalTop="0" showAll="0"/>
    <pivotField subtotalTop="0" showAll="0"/>
    <pivotField subtotalTop="0" showAll="0"/>
    <pivotField numFmtId="1" subtotalTop="0" showAll="0"/>
    <pivotField showAll="0" defaultSubtotal="0"/>
    <pivotField numFmtId="1" subtotalTop="0" showAll="0"/>
    <pivotField numFmtId="9" subtotalTop="0" showAll="0"/>
    <pivotField dataField="1" numFmtId="164" subtotalTop="0" showAll="0"/>
    <pivotField subtotalTop="0" showAll="0"/>
    <pivotField subtotalTop="0" showAll="0"/>
    <pivotField subtotalTop="0" showAll="0"/>
    <pivotField numFmtId="9" showAll="0" defaultSubtotal="0"/>
    <pivotField dataField="1" showAll="0" defaultSubtotal="0"/>
    <pivotField subtotalTop="0" showAll="0"/>
    <pivotField subtotalTop="0" showAll="0"/>
    <pivotField dataField="1" numFmtId="1" showAll="0" defaultSubtotal="0"/>
    <pivotField numFmtId="1" showAll="0" defaultSubtotal="0"/>
    <pivotField numFmtId="1" showAll="0" defaultSubtotal="0"/>
    <pivotField numFmtId="1" showAll="0" defaultSubtotal="0"/>
    <pivotField numFmtId="1" showAll="0" defaultSubtotal="0"/>
    <pivotField subtotalTop="0" showAll="0"/>
    <pivotField subtotalTop="0" showAll="0"/>
    <pivotField subtotalTop="0" showAll="0"/>
    <pivotField numFmtId="1" showAll="0" defaultSubtotal="0"/>
    <pivotField numFmtId="1" showAll="0" defaultSubtotal="0"/>
    <pivotField dataField="1" numFmtId="1" showAll="0" defaultSubtotal="0"/>
    <pivotField numFmtId="1" subtotalTop="0" showAll="0"/>
    <pivotField subtotalTop="0" showAll="0"/>
    <pivotField subtotalTop="0" showAll="0"/>
    <pivotField axis="axisPage" subtotalTop="0" multipleItemSelectionAllowed="1" showAll="0">
      <items count="6">
        <item h="1" x="0"/>
        <item h="1" x="1"/>
        <item x="3"/>
        <item h="1" m="1" x="4"/>
        <item h="1" x="2"/>
        <item t="default"/>
      </items>
    </pivotField>
    <pivotField subtotalTop="0" showAll="0"/>
    <pivotField subtotalTop="0" showAll="0"/>
    <pivotField subtotalTop="0" showAll="0"/>
    <pivotField subtotalTop="0" showAll="0"/>
    <pivotField subtotalTop="0" showAll="0"/>
    <pivotField subtotalTop="0" showAll="0"/>
    <pivotField axis="axisPage" subtotalTop="0" showAll="0">
      <items count="5">
        <item x="0"/>
        <item x="1"/>
        <item m="1" x="2"/>
        <item m="1" x="3"/>
        <item t="default"/>
      </items>
    </pivotField>
    <pivotField subtotalTop="0" showAll="0"/>
  </pivotFields>
  <rowFields count="1">
    <field x="2"/>
  </rowFields>
  <rowItems count="2">
    <i>
      <x v="1"/>
    </i>
    <i t="grand">
      <x/>
    </i>
  </rowItems>
  <colFields count="1">
    <field x="-2"/>
  </colFields>
  <colItems count="7">
    <i>
      <x/>
    </i>
    <i i="1">
      <x v="1"/>
    </i>
    <i i="2">
      <x v="2"/>
    </i>
    <i i="3">
      <x v="3"/>
    </i>
    <i i="4">
      <x v="4"/>
    </i>
    <i i="5">
      <x v="5"/>
    </i>
    <i i="6">
      <x v="6"/>
    </i>
  </colItems>
  <pageFields count="3">
    <pageField fld="0" item="1" hier="-1"/>
    <pageField fld="90" item="0" hier="-1"/>
    <pageField fld="83" hier="-1"/>
  </pageFields>
  <dataFields count="7">
    <dataField name="Total Population reached" fld="6" baseField="2" baseItem="0" numFmtId="3"/>
    <dataField name="Number of people with equitable and safe access to sufficient quantity of drinking water_1" fld="48" baseField="2" baseItem="1" numFmtId="3"/>
    <dataField name="Number of people with equitable and safe access to sufficient quantity of domestic water_2" fld="52" baseField="2" baseItem="1" numFmtId="3"/>
    <dataField name="Number of people with access to functional sanitation facilities_3" fld="61" baseField="2" baseItem="1" numFmtId="3"/>
    <dataField name="Number of people with access to continuous sanitation services_4" fld="66" baseField="2" baseItem="1" numFmtId="164"/>
    <dataField name="Number of people reached by regular dedicated hygiene promotion_5" fld="69" baseField="0" baseItem="0" numFmtId="164"/>
    <dataField name="Number of People received regular supply of hygiene items_6" fld="79" baseField="0" baseItem="0"/>
  </dataFields>
  <formats count="39">
    <format dxfId="1078">
      <pivotArea field="2" type="button" dataOnly="0" labelOnly="1" outline="0" axis="axisRow" fieldPosition="0"/>
    </format>
    <format dxfId="1077">
      <pivotArea dataOnly="0" labelOnly="1" outline="0" fieldPosition="0">
        <references count="1">
          <reference field="4294967294" count="3">
            <x v="1"/>
            <x v="2"/>
            <x v="3"/>
          </reference>
        </references>
      </pivotArea>
    </format>
    <format dxfId="1076">
      <pivotArea dataOnly="0" labelOnly="1" outline="0" fieldPosition="0">
        <references count="1">
          <reference field="4294967294" count="3">
            <x v="1"/>
            <x v="2"/>
            <x v="3"/>
          </reference>
        </references>
      </pivotArea>
    </format>
    <format dxfId="1075">
      <pivotArea outline="0" fieldPosition="0">
        <references count="1">
          <reference field="4294967294" count="1">
            <x v="1"/>
          </reference>
        </references>
      </pivotArea>
    </format>
    <format dxfId="1074">
      <pivotArea outline="0" fieldPosition="0">
        <references count="1">
          <reference field="4294967294" count="1">
            <x v="2"/>
          </reference>
        </references>
      </pivotArea>
    </format>
    <format dxfId="1073">
      <pivotArea outline="0" fieldPosition="0">
        <references count="1">
          <reference field="4294967294" count="1">
            <x v="3"/>
          </reference>
        </references>
      </pivotArea>
    </format>
    <format dxfId="1072">
      <pivotArea type="all" dataOnly="0" outline="0" fieldPosition="0"/>
    </format>
    <format dxfId="1071">
      <pivotArea dataOnly="0" labelOnly="1" outline="0" fieldPosition="0">
        <references count="1">
          <reference field="4294967294" count="3">
            <x v="1"/>
            <x v="2"/>
            <x v="3"/>
          </reference>
        </references>
      </pivotArea>
    </format>
    <format dxfId="1070">
      <pivotArea outline="0" fieldPosition="0">
        <references count="1">
          <reference field="4294967294" count="1">
            <x v="0"/>
          </reference>
        </references>
      </pivotArea>
    </format>
    <format dxfId="1069">
      <pivotArea dataOnly="0" labelOnly="1" outline="0" fieldPosition="0">
        <references count="1">
          <reference field="4294967294" count="1">
            <x v="0"/>
          </reference>
        </references>
      </pivotArea>
    </format>
    <format dxfId="1068">
      <pivotArea outline="0" collapsedLevelsAreSubtotals="1" fieldPosition="0">
        <references count="1">
          <reference field="4294967294" count="2" selected="0">
            <x v="1"/>
            <x v="2"/>
          </reference>
        </references>
      </pivotArea>
    </format>
    <format dxfId="1067">
      <pivotArea outline="0" collapsedLevelsAreSubtotals="1" fieldPosition="0">
        <references count="1">
          <reference field="4294967294" count="2" selected="0">
            <x v="1"/>
            <x v="2"/>
          </reference>
        </references>
      </pivotArea>
    </format>
    <format dxfId="1066">
      <pivotArea dataOnly="0" labelOnly="1" outline="0" fieldPosition="0">
        <references count="1">
          <reference field="4294967294" count="2">
            <x v="1"/>
            <x v="2"/>
          </reference>
        </references>
      </pivotArea>
    </format>
    <format dxfId="1065">
      <pivotArea outline="0" collapsedLevelsAreSubtotals="1" fieldPosition="0">
        <references count="1">
          <reference field="4294967294" count="2" selected="0">
            <x v="3"/>
            <x v="4"/>
          </reference>
        </references>
      </pivotArea>
    </format>
    <format dxfId="1064">
      <pivotArea outline="0" collapsedLevelsAreSubtotals="1" fieldPosition="0">
        <references count="1">
          <reference field="4294967294" count="2" selected="0">
            <x v="3"/>
            <x v="4"/>
          </reference>
        </references>
      </pivotArea>
    </format>
    <format dxfId="1063">
      <pivotArea dataOnly="0" labelOnly="1" outline="0" fieldPosition="0">
        <references count="1">
          <reference field="4294967294" count="2">
            <x v="3"/>
            <x v="4"/>
          </reference>
        </references>
      </pivotArea>
    </format>
    <format dxfId="1062">
      <pivotArea outline="0" collapsedLevelsAreSubtotals="1" fieldPosition="0">
        <references count="1">
          <reference field="4294967294" count="1" selected="0">
            <x v="5"/>
          </reference>
        </references>
      </pivotArea>
    </format>
    <format dxfId="1061">
      <pivotArea outline="0" collapsedLevelsAreSubtotals="1" fieldPosition="0">
        <references count="1">
          <reference field="4294967294" count="1" selected="0">
            <x v="5"/>
          </reference>
        </references>
      </pivotArea>
    </format>
    <format dxfId="1060">
      <pivotArea dataOnly="0" labelOnly="1" outline="0" fieldPosition="0">
        <references count="1">
          <reference field="4294967294" count="1">
            <x v="5"/>
          </reference>
        </references>
      </pivotArea>
    </format>
    <format dxfId="1059">
      <pivotArea outline="0" collapsedLevelsAreSubtotals="1" fieldPosition="0">
        <references count="1">
          <reference field="4294967294" count="5" selected="0">
            <x v="1"/>
            <x v="2"/>
            <x v="3"/>
            <x v="4"/>
            <x v="5"/>
          </reference>
        </references>
      </pivotArea>
    </format>
    <format dxfId="1058">
      <pivotArea dataOnly="0" labelOnly="1" outline="0" fieldPosition="0">
        <references count="1">
          <reference field="4294967294" count="5">
            <x v="1"/>
            <x v="2"/>
            <x v="3"/>
            <x v="4"/>
            <x v="5"/>
          </reference>
        </references>
      </pivotArea>
    </format>
    <format dxfId="1057">
      <pivotArea dataOnly="0" labelOnly="1" outline="0" fieldPosition="0">
        <references count="1">
          <reference field="4294967294" count="5">
            <x v="1"/>
            <x v="2"/>
            <x v="3"/>
            <x v="4"/>
            <x v="5"/>
          </reference>
        </references>
      </pivotArea>
    </format>
    <format dxfId="1056">
      <pivotArea dataOnly="0" labelOnly="1" outline="0" fieldPosition="0">
        <references count="1">
          <reference field="4294967294" count="5">
            <x v="1"/>
            <x v="2"/>
            <x v="3"/>
            <x v="4"/>
            <x v="5"/>
          </reference>
        </references>
      </pivotArea>
    </format>
    <format dxfId="1055">
      <pivotArea dataOnly="0" labelOnly="1" outline="0" fieldPosition="0">
        <references count="1">
          <reference field="4294967294" count="5">
            <x v="1"/>
            <x v="2"/>
            <x v="3"/>
            <x v="4"/>
            <x v="5"/>
          </reference>
        </references>
      </pivotArea>
    </format>
    <format dxfId="1054">
      <pivotArea outline="0" collapsedLevelsAreSubtotals="1" fieldPosition="0">
        <references count="1">
          <reference field="4294967294" count="2" selected="0">
            <x v="4"/>
            <x v="5"/>
          </reference>
        </references>
      </pivotArea>
    </format>
    <format dxfId="1053">
      <pivotArea type="all" dataOnly="0" outline="0" fieldPosition="0"/>
    </format>
    <format dxfId="1052">
      <pivotArea outline="0" collapsedLevelsAreSubtotals="1" fieldPosition="0"/>
    </format>
    <format dxfId="1051">
      <pivotArea field="2" type="button" dataOnly="0" labelOnly="1" outline="0" axis="axisRow" fieldPosition="0"/>
    </format>
    <format dxfId="1050">
      <pivotArea dataOnly="0" labelOnly="1" fieldPosition="0">
        <references count="1">
          <reference field="2" count="1">
            <x v="1"/>
          </reference>
        </references>
      </pivotArea>
    </format>
    <format dxfId="1049">
      <pivotArea dataOnly="0" labelOnly="1" grandRow="1" outline="0" fieldPosition="0"/>
    </format>
    <format dxfId="1048">
      <pivotArea dataOnly="0" labelOnly="1" outline="0" fieldPosition="0">
        <references count="1">
          <reference field="4294967294" count="6">
            <x v="0"/>
            <x v="1"/>
            <x v="2"/>
            <x v="3"/>
            <x v="4"/>
            <x v="5"/>
          </reference>
        </references>
      </pivotArea>
    </format>
    <format dxfId="1047">
      <pivotArea type="all" dataOnly="0" outline="0" fieldPosition="0"/>
    </format>
    <format dxfId="1046">
      <pivotArea outline="0" collapsedLevelsAreSubtotals="1" fieldPosition="0"/>
    </format>
    <format dxfId="1045">
      <pivotArea field="2" type="button" dataOnly="0" labelOnly="1" outline="0" axis="axisRow" fieldPosition="0"/>
    </format>
    <format dxfId="1044">
      <pivotArea dataOnly="0" labelOnly="1" fieldPosition="0">
        <references count="1">
          <reference field="2" count="1">
            <x v="1"/>
          </reference>
        </references>
      </pivotArea>
    </format>
    <format dxfId="1043">
      <pivotArea dataOnly="0" labelOnly="1" grandRow="1" outline="0" fieldPosition="0"/>
    </format>
    <format dxfId="1042">
      <pivotArea dataOnly="0" labelOnly="1" outline="0" fieldPosition="0">
        <references count="1">
          <reference field="4294967294" count="6">
            <x v="0"/>
            <x v="1"/>
            <x v="2"/>
            <x v="3"/>
            <x v="4"/>
            <x v="5"/>
          </reference>
        </references>
      </pivotArea>
    </format>
    <format dxfId="1041">
      <pivotArea outline="0" collapsedLevelsAreSubtotals="1" fieldPosition="0">
        <references count="1">
          <reference field="4294967294" count="1" selected="0">
            <x v="6"/>
          </reference>
        </references>
      </pivotArea>
    </format>
    <format dxfId="1040">
      <pivotArea dataOnly="0" labelOnly="1" outline="0" fieldPosition="0">
        <references count="1">
          <reference field="4294967294" count="1">
            <x v="6"/>
          </reference>
        </references>
      </pivotArea>
    </format>
  </formats>
  <pivotTableStyleInfo name="PivotStyleLight2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name="PivotTable4" cacheId="0" dataOnRows="1" applyNumberFormats="0" applyBorderFormats="0" applyFontFormats="0" applyPatternFormats="0" applyAlignmentFormats="0" applyWidthHeightFormats="1" dataCaption="Values" updatedVersion="6" minRefreshableVersion="3" colGrandTotals="0" itemPrintTitles="1" createdVersion="6" indent="0" showHeaders="0" outline="1" outlineData="1" multipleFieldFilters="0">
  <location ref="C155:D161" firstHeaderRow="0" firstDataRow="0" firstDataCol="1" rowPageCount="4" colPageCount="1"/>
  <pivotFields count="92">
    <pivotField axis="axisPage" subtotalTop="0" showAll="0">
      <items count="8">
        <item m="1" x="2"/>
        <item x="0"/>
        <item m="1" x="1"/>
        <item m="1" x="3"/>
        <item m="1" x="6"/>
        <item m="1" x="4"/>
        <item m="1" x="5"/>
        <item t="default"/>
      </items>
    </pivotField>
    <pivotField subtotalTop="0" showAll="0"/>
    <pivotField axis="axisPage" subtotalTop="0" showAll="0">
      <items count="5">
        <item x="0"/>
        <item x="1"/>
        <item x="2"/>
        <item m="1" x="3"/>
        <item t="default"/>
      </items>
    </pivotField>
    <pivotField subtotalTop="0" showAll="0"/>
    <pivotField subtotalTop="0" showAll="0"/>
    <pivotField subtotalTop="0" showAll="0"/>
    <pivotField dataField="1"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howAll="0" defaultSubtotal="0"/>
    <pivotField subtotalTop="0" showAll="0"/>
    <pivotField subtotalTop="0" showAll="0"/>
    <pivotField numFmtId="9" subtotalTop="0" showAll="0"/>
    <pivotField subtotalTop="0" showAll="0"/>
    <pivotField dataField="1" subtotalTop="0" showAll="0"/>
    <pivotField subtotalTop="0" showAll="0"/>
    <pivotField subtotalTop="0" showAll="0"/>
    <pivotField subtotalTop="0" showAll="0"/>
    <pivotField dataField="1" subtotalTop="0" showAll="0"/>
    <pivotField subtotalTop="0" showAll="0"/>
    <pivotField subtotalTop="0" showAll="0"/>
    <pivotField subtotalTop="0" showAll="0"/>
    <pivotField subtotalTop="0" showAll="0"/>
    <pivotField numFmtId="1" subtotalTop="0" showAll="0"/>
    <pivotField showAll="0" defaultSubtotal="0"/>
    <pivotField numFmtId="1" subtotalTop="0" showAll="0"/>
    <pivotField numFmtId="9" subtotalTop="0" showAll="0"/>
    <pivotField dataField="1" numFmtId="164" subtotalTop="0" showAll="0"/>
    <pivotField subtotalTop="0" showAll="0"/>
    <pivotField subtotalTop="0" showAll="0"/>
    <pivotField subtotalTop="0" showAll="0"/>
    <pivotField numFmtId="9" showAll="0" defaultSubtotal="0"/>
    <pivotField dataField="1" showAll="0" defaultSubtotal="0"/>
    <pivotField subtotalTop="0" showAll="0"/>
    <pivotField subtotalTop="0" showAll="0"/>
    <pivotField dataField="1" numFmtId="1" showAll="0" defaultSubtotal="0"/>
    <pivotField numFmtId="1" showAll="0" defaultSubtotal="0"/>
    <pivotField numFmtId="1" showAll="0" defaultSubtotal="0"/>
    <pivotField numFmtId="1" showAll="0" defaultSubtotal="0"/>
    <pivotField numFmtId="1" showAll="0" defaultSubtotal="0"/>
    <pivotField subtotalTop="0" showAll="0"/>
    <pivotField subtotalTop="0" showAll="0"/>
    <pivotField subtotalTop="0" showAll="0"/>
    <pivotField numFmtId="1" showAll="0" defaultSubtotal="0"/>
    <pivotField numFmtId="1" showAll="0" defaultSubtotal="0"/>
    <pivotField dataField="1" numFmtId="1" showAll="0" defaultSubtotal="0"/>
    <pivotField numFmtId="1" subtotalTop="0" showAll="0"/>
    <pivotField subtotalTop="0" showAll="0"/>
    <pivotField subtotalTop="0" showAll="0"/>
    <pivotField axis="axisPage" subtotalTop="0" multipleItemSelectionAllowed="1" showAll="0">
      <items count="6">
        <item x="0"/>
        <item x="1"/>
        <item h="1" x="3"/>
        <item h="1" m="1" x="4"/>
        <item h="1" x="2"/>
        <item t="default"/>
      </items>
    </pivotField>
    <pivotField subtotalTop="0" showAll="0"/>
    <pivotField subtotalTop="0" showAll="0"/>
    <pivotField subtotalTop="0" showAll="0"/>
    <pivotField subtotalTop="0" showAll="0"/>
    <pivotField subtotalTop="0" showAll="0"/>
    <pivotField subtotalTop="0" showAll="0"/>
    <pivotField axis="axisPage" subtotalTop="0" showAll="0">
      <items count="5">
        <item x="0"/>
        <item x="1"/>
        <item m="1" x="2"/>
        <item m="1" x="3"/>
        <item t="default"/>
      </items>
    </pivotField>
    <pivotField subtotalTop="0" showAll="0"/>
  </pivotFields>
  <rowFields count="1">
    <field x="-2"/>
  </rowFields>
  <rowItems count="7">
    <i>
      <x/>
    </i>
    <i i="1">
      <x v="1"/>
    </i>
    <i i="2">
      <x v="2"/>
    </i>
    <i i="3">
      <x v="3"/>
    </i>
    <i i="4">
      <x v="4"/>
    </i>
    <i i="5">
      <x v="5"/>
    </i>
    <i i="6">
      <x v="6"/>
    </i>
  </rowItems>
  <colItems count="1">
    <i/>
  </colItems>
  <pageFields count="4">
    <pageField fld="0" item="1" hier="-1"/>
    <pageField fld="90" item="0" hier="-1"/>
    <pageField fld="83" hier="-1"/>
    <pageField fld="2" item="1" hier="-1"/>
  </pageFields>
  <dataFields count="7">
    <dataField name="Total Population reached" fld="6" baseField="2" baseItem="0" numFmtId="3"/>
    <dataField name="Number of people with equitable and safe access to sufficient quantity of drinking water_1" fld="48" baseField="2" baseItem="1" numFmtId="3"/>
    <dataField name="Number of people with equitable and safe access to sufficient quantity of domestic water_2" fld="52" baseField="2" baseItem="1" numFmtId="3"/>
    <dataField name="Number of people with access to functional sanitation facilities_3" fld="61" baseField="2" baseItem="1" numFmtId="3"/>
    <dataField name="Number of people with access to continuous sanitation services_4" fld="66" baseField="2" baseItem="0" numFmtId="164"/>
    <dataField name="Number of people reached by regular dedicated hygiene promotion_5" fld="69" baseField="0" baseItem="0" numFmtId="164"/>
    <dataField name="Number of People received regular supply of hygiene items_6" fld="79" baseField="0" baseItem="0"/>
  </dataFields>
  <formats count="37">
    <format dxfId="1115">
      <pivotArea field="2" type="button" dataOnly="0" labelOnly="1" outline="0" axis="axisPage" fieldPosition="3"/>
    </format>
    <format dxfId="1114">
      <pivotArea dataOnly="0" labelOnly="1" outline="0" fieldPosition="0">
        <references count="1">
          <reference field="4294967294" count="3">
            <x v="1"/>
            <x v="2"/>
            <x v="3"/>
          </reference>
        </references>
      </pivotArea>
    </format>
    <format dxfId="1113">
      <pivotArea dataOnly="0" labelOnly="1" outline="0" fieldPosition="0">
        <references count="1">
          <reference field="4294967294" count="3">
            <x v="1"/>
            <x v="2"/>
            <x v="3"/>
          </reference>
        </references>
      </pivotArea>
    </format>
    <format dxfId="1112">
      <pivotArea outline="0" fieldPosition="0">
        <references count="1">
          <reference field="4294967294" count="1">
            <x v="1"/>
          </reference>
        </references>
      </pivotArea>
    </format>
    <format dxfId="1111">
      <pivotArea outline="0" fieldPosition="0">
        <references count="1">
          <reference field="4294967294" count="1">
            <x v="2"/>
          </reference>
        </references>
      </pivotArea>
    </format>
    <format dxfId="1110">
      <pivotArea outline="0" fieldPosition="0">
        <references count="1">
          <reference field="4294967294" count="1">
            <x v="3"/>
          </reference>
        </references>
      </pivotArea>
    </format>
    <format dxfId="1109">
      <pivotArea type="all" dataOnly="0" outline="0" fieldPosition="0"/>
    </format>
    <format dxfId="1108">
      <pivotArea field="2" type="button" dataOnly="0" labelOnly="1" outline="0" axis="axisPage" fieldPosition="3"/>
    </format>
    <format dxfId="1107">
      <pivotArea dataOnly="0" labelOnly="1" outline="0" fieldPosition="0">
        <references count="1">
          <reference field="4294967294" count="3">
            <x v="1"/>
            <x v="2"/>
            <x v="3"/>
          </reference>
        </references>
      </pivotArea>
    </format>
    <format dxfId="1106">
      <pivotArea outline="0" fieldPosition="0">
        <references count="1">
          <reference field="4294967294" count="1">
            <x v="0"/>
          </reference>
        </references>
      </pivotArea>
    </format>
    <format dxfId="1105">
      <pivotArea dataOnly="0" labelOnly="1" outline="0" fieldPosition="0">
        <references count="1">
          <reference field="4294967294" count="1">
            <x v="0"/>
          </reference>
        </references>
      </pivotArea>
    </format>
    <format dxfId="1104">
      <pivotArea outline="0" collapsedLevelsAreSubtotals="1" fieldPosition="0">
        <references count="1">
          <reference field="4294967294" count="2" selected="0">
            <x v="1"/>
            <x v="2"/>
          </reference>
        </references>
      </pivotArea>
    </format>
    <format dxfId="1103">
      <pivotArea outline="0" collapsedLevelsAreSubtotals="1" fieldPosition="0">
        <references count="1">
          <reference field="4294967294" count="2" selected="0">
            <x v="1"/>
            <x v="2"/>
          </reference>
        </references>
      </pivotArea>
    </format>
    <format dxfId="1102">
      <pivotArea dataOnly="0" labelOnly="1" outline="0" fieldPosition="0">
        <references count="1">
          <reference field="4294967294" count="2">
            <x v="1"/>
            <x v="2"/>
          </reference>
        </references>
      </pivotArea>
    </format>
    <format dxfId="1101">
      <pivotArea outline="0" collapsedLevelsAreSubtotals="1" fieldPosition="0">
        <references count="1">
          <reference field="4294967294" count="2" selected="0">
            <x v="3"/>
            <x v="4"/>
          </reference>
        </references>
      </pivotArea>
    </format>
    <format dxfId="1100">
      <pivotArea outline="0" collapsedLevelsAreSubtotals="1" fieldPosition="0">
        <references count="1">
          <reference field="4294967294" count="2" selected="0">
            <x v="3"/>
            <x v="4"/>
          </reference>
        </references>
      </pivotArea>
    </format>
    <format dxfId="1099">
      <pivotArea dataOnly="0" labelOnly="1" outline="0" fieldPosition="0">
        <references count="1">
          <reference field="4294967294" count="2">
            <x v="3"/>
            <x v="4"/>
          </reference>
        </references>
      </pivotArea>
    </format>
    <format dxfId="1098">
      <pivotArea outline="0" collapsedLevelsAreSubtotals="1" fieldPosition="0">
        <references count="1">
          <reference field="4294967294" count="1" selected="0">
            <x v="5"/>
          </reference>
        </references>
      </pivotArea>
    </format>
    <format dxfId="1097">
      <pivotArea outline="0" collapsedLevelsAreSubtotals="1" fieldPosition="0">
        <references count="1">
          <reference field="4294967294" count="1" selected="0">
            <x v="5"/>
          </reference>
        </references>
      </pivotArea>
    </format>
    <format dxfId="1096">
      <pivotArea dataOnly="0" labelOnly="1" outline="0" fieldPosition="0">
        <references count="1">
          <reference field="4294967294" count="1">
            <x v="5"/>
          </reference>
        </references>
      </pivotArea>
    </format>
    <format dxfId="1095">
      <pivotArea outline="0" collapsedLevelsAreSubtotals="1" fieldPosition="0">
        <references count="1">
          <reference field="4294967294" count="5" selected="0">
            <x v="1"/>
            <x v="2"/>
            <x v="3"/>
            <x v="4"/>
            <x v="5"/>
          </reference>
        </references>
      </pivotArea>
    </format>
    <format dxfId="1094">
      <pivotArea dataOnly="0" labelOnly="1" outline="0" fieldPosition="0">
        <references count="1">
          <reference field="4294967294" count="5">
            <x v="1"/>
            <x v="2"/>
            <x v="3"/>
            <x v="4"/>
            <x v="5"/>
          </reference>
        </references>
      </pivotArea>
    </format>
    <format dxfId="1093">
      <pivotArea dataOnly="0" labelOnly="1" outline="0" fieldPosition="0">
        <references count="1">
          <reference field="4294967294" count="5">
            <x v="1"/>
            <x v="2"/>
            <x v="3"/>
            <x v="4"/>
            <x v="5"/>
          </reference>
        </references>
      </pivotArea>
    </format>
    <format dxfId="1092">
      <pivotArea dataOnly="0" labelOnly="1" outline="0" fieldPosition="0">
        <references count="1">
          <reference field="4294967294" count="5">
            <x v="1"/>
            <x v="2"/>
            <x v="3"/>
            <x v="4"/>
            <x v="5"/>
          </reference>
        </references>
      </pivotArea>
    </format>
    <format dxfId="1091">
      <pivotArea dataOnly="0" labelOnly="1" outline="0" fieldPosition="0">
        <references count="1">
          <reference field="4294967294" count="5">
            <x v="1"/>
            <x v="2"/>
            <x v="3"/>
            <x v="4"/>
            <x v="5"/>
          </reference>
        </references>
      </pivotArea>
    </format>
    <format dxfId="1090">
      <pivotArea outline="0" collapsedLevelsAreSubtotals="1" fieldPosition="0">
        <references count="1">
          <reference field="4294967294" count="2" selected="0">
            <x v="4"/>
            <x v="5"/>
          </reference>
        </references>
      </pivotArea>
    </format>
    <format dxfId="1089">
      <pivotArea type="all" dataOnly="0" outline="0" fieldPosition="0"/>
    </format>
    <format dxfId="1088">
      <pivotArea outline="0" collapsedLevelsAreSubtotals="1" fieldPosition="0"/>
    </format>
    <format dxfId="1087">
      <pivotArea dataOnly="0" labelOnly="1" grandRow="1" outline="0" fieldPosition="0"/>
    </format>
    <format dxfId="1086">
      <pivotArea dataOnly="0" labelOnly="1" outline="0" fieldPosition="0">
        <references count="1">
          <reference field="4294967294" count="6">
            <x v="0"/>
            <x v="1"/>
            <x v="2"/>
            <x v="3"/>
            <x v="4"/>
            <x v="5"/>
          </reference>
        </references>
      </pivotArea>
    </format>
    <format dxfId="1085">
      <pivotArea type="all" dataOnly="0" outline="0" fieldPosition="0"/>
    </format>
    <format dxfId="1084">
      <pivotArea outline="0" collapsedLevelsAreSubtotals="1" fieldPosition="0"/>
    </format>
    <format dxfId="1083">
      <pivotArea dataOnly="0" labelOnly="1" grandRow="1" outline="0" fieldPosition="0"/>
    </format>
    <format dxfId="1082">
      <pivotArea dataOnly="0" labelOnly="1" outline="0" fieldPosition="0">
        <references count="1">
          <reference field="4294967294" count="6">
            <x v="0"/>
            <x v="1"/>
            <x v="2"/>
            <x v="3"/>
            <x v="4"/>
            <x v="5"/>
          </reference>
        </references>
      </pivotArea>
    </format>
    <format dxfId="1081">
      <pivotArea outline="0" collapsedLevelsAreSubtotals="1" fieldPosition="0">
        <references count="1">
          <reference field="4294967294" count="1" selected="0">
            <x v="6"/>
          </reference>
        </references>
      </pivotArea>
    </format>
    <format dxfId="1080">
      <pivotArea dataOnly="0" labelOnly="1" outline="0" fieldPosition="0">
        <references count="1">
          <reference field="4294967294" count="1">
            <x v="6"/>
          </reference>
        </references>
      </pivotArea>
    </format>
    <format dxfId="1079">
      <pivotArea collapsedLevelsAreSubtotals="1" fieldPosition="0">
        <references count="1">
          <reference field="4294967294" count="6">
            <x v="1"/>
            <x v="2"/>
            <x v="3"/>
            <x v="4"/>
            <x v="5"/>
            <x v="6"/>
          </reference>
        </references>
      </pivotArea>
    </format>
  </formats>
  <pivotTableStyleInfo name="PivotStyleLight2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name="PivotTable3" cacheId="0" dataOnRows="1" applyNumberFormats="0" applyBorderFormats="0" applyFontFormats="0" applyPatternFormats="0" applyAlignmentFormats="0" applyWidthHeightFormats="1" dataCaption="Values" updatedVersion="6" minRefreshableVersion="3" colGrandTotals="0" itemPrintTitles="1" createdVersion="6" indent="0" showHeaders="0" outline="1" outlineData="1" multipleFieldFilters="0">
  <location ref="C137:D143" firstHeaderRow="0" firstDataRow="0" firstDataCol="1" rowPageCount="4" colPageCount="1"/>
  <pivotFields count="92">
    <pivotField axis="axisPage" subtotalTop="0" showAll="0">
      <items count="8">
        <item m="1" x="2"/>
        <item x="0"/>
        <item m="1" x="1"/>
        <item m="1" x="3"/>
        <item m="1" x="6"/>
        <item m="1" x="4"/>
        <item m="1" x="5"/>
        <item t="default"/>
      </items>
    </pivotField>
    <pivotField subtotalTop="0" showAll="0"/>
    <pivotField axis="axisPage" subtotalTop="0" showAll="0">
      <items count="5">
        <item x="0"/>
        <item x="1"/>
        <item x="2"/>
        <item m="1" x="3"/>
        <item t="default"/>
      </items>
    </pivotField>
    <pivotField subtotalTop="0" showAll="0"/>
    <pivotField subtotalTop="0" showAll="0"/>
    <pivotField subtotalTop="0" showAll="0"/>
    <pivotField dataField="1"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howAll="0" defaultSubtotal="0"/>
    <pivotField subtotalTop="0" showAll="0"/>
    <pivotField subtotalTop="0" showAll="0"/>
    <pivotField numFmtId="9" subtotalTop="0" showAll="0"/>
    <pivotField subtotalTop="0" showAll="0"/>
    <pivotField dataField="1" subtotalTop="0" showAll="0"/>
    <pivotField subtotalTop="0" showAll="0"/>
    <pivotField subtotalTop="0" showAll="0"/>
    <pivotField subtotalTop="0" showAll="0"/>
    <pivotField dataField="1" subtotalTop="0" showAll="0"/>
    <pivotField subtotalTop="0" showAll="0"/>
    <pivotField subtotalTop="0" showAll="0"/>
    <pivotField subtotalTop="0" showAll="0"/>
    <pivotField subtotalTop="0" showAll="0"/>
    <pivotField numFmtId="1" subtotalTop="0" showAll="0"/>
    <pivotField showAll="0" defaultSubtotal="0"/>
    <pivotField numFmtId="1" subtotalTop="0" showAll="0"/>
    <pivotField numFmtId="9" subtotalTop="0" showAll="0"/>
    <pivotField dataField="1" numFmtId="164" subtotalTop="0" showAll="0"/>
    <pivotField subtotalTop="0" showAll="0"/>
    <pivotField subtotalTop="0" showAll="0"/>
    <pivotField subtotalTop="0" showAll="0"/>
    <pivotField numFmtId="9" showAll="0" defaultSubtotal="0"/>
    <pivotField dataField="1" showAll="0" defaultSubtotal="0"/>
    <pivotField subtotalTop="0" showAll="0"/>
    <pivotField subtotalTop="0" showAll="0"/>
    <pivotField dataField="1" numFmtId="1" showAll="0" defaultSubtotal="0"/>
    <pivotField numFmtId="1" showAll="0" defaultSubtotal="0"/>
    <pivotField numFmtId="1" showAll="0" defaultSubtotal="0"/>
    <pivotField numFmtId="1" showAll="0" defaultSubtotal="0"/>
    <pivotField numFmtId="1" showAll="0" defaultSubtotal="0"/>
    <pivotField subtotalTop="0" showAll="0"/>
    <pivotField subtotalTop="0" showAll="0"/>
    <pivotField subtotalTop="0" showAll="0"/>
    <pivotField numFmtId="1" showAll="0" defaultSubtotal="0"/>
    <pivotField numFmtId="1" showAll="0" defaultSubtotal="0"/>
    <pivotField dataField="1" numFmtId="1" showAll="0" defaultSubtotal="0"/>
    <pivotField numFmtId="1" subtotalTop="0" showAll="0"/>
    <pivotField subtotalTop="0" showAll="0"/>
    <pivotField subtotalTop="0" showAll="0"/>
    <pivotField axis="axisPage" subtotalTop="0" multipleItemSelectionAllowed="1" showAll="0">
      <items count="6">
        <item x="0"/>
        <item x="1"/>
        <item h="1" x="3"/>
        <item h="1" m="1" x="4"/>
        <item h="1" x="2"/>
        <item t="default"/>
      </items>
    </pivotField>
    <pivotField subtotalTop="0" showAll="0"/>
    <pivotField subtotalTop="0" showAll="0"/>
    <pivotField subtotalTop="0" showAll="0"/>
    <pivotField subtotalTop="0" showAll="0"/>
    <pivotField subtotalTop="0" showAll="0"/>
    <pivotField subtotalTop="0" showAll="0"/>
    <pivotField axis="axisPage" subtotalTop="0" showAll="0">
      <items count="5">
        <item x="0"/>
        <item x="1"/>
        <item m="1" x="2"/>
        <item m="1" x="3"/>
        <item t="default"/>
      </items>
    </pivotField>
    <pivotField subtotalTop="0" showAll="0"/>
  </pivotFields>
  <rowFields count="1">
    <field x="-2"/>
  </rowFields>
  <rowItems count="7">
    <i>
      <x/>
    </i>
    <i i="1">
      <x v="1"/>
    </i>
    <i i="2">
      <x v="2"/>
    </i>
    <i i="3">
      <x v="3"/>
    </i>
    <i i="4">
      <x v="4"/>
    </i>
    <i i="5">
      <x v="5"/>
    </i>
    <i i="6">
      <x v="6"/>
    </i>
  </rowItems>
  <colItems count="1">
    <i/>
  </colItems>
  <pageFields count="4">
    <pageField fld="0" item="1" hier="-1"/>
    <pageField fld="90" item="0" hier="-1"/>
    <pageField fld="83" hier="-1"/>
    <pageField fld="2" item="0" hier="-1"/>
  </pageFields>
  <dataFields count="7">
    <dataField name="Total Population reached" fld="6" baseField="2" baseItem="0" numFmtId="3"/>
    <dataField name="Number of people with equitable and safe access to sufficient quantity of drinking water_1" fld="48" baseField="2" baseItem="1" numFmtId="3"/>
    <dataField name="Number of people with equitable and safe access to sufficient quantity of domestic water_2" fld="52" baseField="2" baseItem="1" numFmtId="3"/>
    <dataField name="Number of people with access to functional sanitation facilities_3" fld="61" baseField="2" baseItem="1" numFmtId="3"/>
    <dataField name="Number of people with access to continuous sanitation services_4" fld="66" baseField="2" baseItem="0" numFmtId="164"/>
    <dataField name="Number of people reached by regular dedicated hygiene promotion_5" fld="69" baseField="0" baseItem="0" numFmtId="164"/>
    <dataField name="Number of People received regular supply of hygiene items_6" fld="79" baseField="0" baseItem="0"/>
  </dataFields>
  <formats count="36">
    <format dxfId="1151">
      <pivotArea field="2" type="button" dataOnly="0" labelOnly="1" outline="0" axis="axisPage" fieldPosition="3"/>
    </format>
    <format dxfId="1150">
      <pivotArea dataOnly="0" labelOnly="1" outline="0" fieldPosition="0">
        <references count="1">
          <reference field="4294967294" count="3">
            <x v="1"/>
            <x v="2"/>
            <x v="3"/>
          </reference>
        </references>
      </pivotArea>
    </format>
    <format dxfId="1149">
      <pivotArea dataOnly="0" labelOnly="1" outline="0" fieldPosition="0">
        <references count="1">
          <reference field="4294967294" count="3">
            <x v="1"/>
            <x v="2"/>
            <x v="3"/>
          </reference>
        </references>
      </pivotArea>
    </format>
    <format dxfId="1148">
      <pivotArea outline="0" fieldPosition="0">
        <references count="1">
          <reference field="4294967294" count="1">
            <x v="1"/>
          </reference>
        </references>
      </pivotArea>
    </format>
    <format dxfId="1147">
      <pivotArea outline="0" fieldPosition="0">
        <references count="1">
          <reference field="4294967294" count="1">
            <x v="2"/>
          </reference>
        </references>
      </pivotArea>
    </format>
    <format dxfId="1146">
      <pivotArea outline="0" fieldPosition="0">
        <references count="1">
          <reference field="4294967294" count="1">
            <x v="3"/>
          </reference>
        </references>
      </pivotArea>
    </format>
    <format dxfId="1145">
      <pivotArea type="all" dataOnly="0" outline="0" fieldPosition="0"/>
    </format>
    <format dxfId="1144">
      <pivotArea field="2" type="button" dataOnly="0" labelOnly="1" outline="0" axis="axisPage" fieldPosition="3"/>
    </format>
    <format dxfId="1143">
      <pivotArea dataOnly="0" labelOnly="1" outline="0" fieldPosition="0">
        <references count="1">
          <reference field="4294967294" count="3">
            <x v="1"/>
            <x v="2"/>
            <x v="3"/>
          </reference>
        </references>
      </pivotArea>
    </format>
    <format dxfId="1142">
      <pivotArea outline="0" fieldPosition="0">
        <references count="1">
          <reference field="4294967294" count="1">
            <x v="0"/>
          </reference>
        </references>
      </pivotArea>
    </format>
    <format dxfId="1141">
      <pivotArea dataOnly="0" labelOnly="1" outline="0" fieldPosition="0">
        <references count="1">
          <reference field="4294967294" count="1">
            <x v="0"/>
          </reference>
        </references>
      </pivotArea>
    </format>
    <format dxfId="1140">
      <pivotArea outline="0" collapsedLevelsAreSubtotals="1" fieldPosition="0">
        <references count="1">
          <reference field="4294967294" count="2" selected="0">
            <x v="1"/>
            <x v="2"/>
          </reference>
        </references>
      </pivotArea>
    </format>
    <format dxfId="1139">
      <pivotArea outline="0" collapsedLevelsAreSubtotals="1" fieldPosition="0">
        <references count="1">
          <reference field="4294967294" count="2" selected="0">
            <x v="1"/>
            <x v="2"/>
          </reference>
        </references>
      </pivotArea>
    </format>
    <format dxfId="1138">
      <pivotArea dataOnly="0" labelOnly="1" outline="0" fieldPosition="0">
        <references count="1">
          <reference field="4294967294" count="2">
            <x v="1"/>
            <x v="2"/>
          </reference>
        </references>
      </pivotArea>
    </format>
    <format dxfId="1137">
      <pivotArea outline="0" collapsedLevelsAreSubtotals="1" fieldPosition="0">
        <references count="1">
          <reference field="4294967294" count="2" selected="0">
            <x v="3"/>
            <x v="4"/>
          </reference>
        </references>
      </pivotArea>
    </format>
    <format dxfId="1136">
      <pivotArea outline="0" collapsedLevelsAreSubtotals="1" fieldPosition="0">
        <references count="1">
          <reference field="4294967294" count="2" selected="0">
            <x v="3"/>
            <x v="4"/>
          </reference>
        </references>
      </pivotArea>
    </format>
    <format dxfId="1135">
      <pivotArea dataOnly="0" labelOnly="1" outline="0" fieldPosition="0">
        <references count="1">
          <reference field="4294967294" count="2">
            <x v="3"/>
            <x v="4"/>
          </reference>
        </references>
      </pivotArea>
    </format>
    <format dxfId="1134">
      <pivotArea outline="0" collapsedLevelsAreSubtotals="1" fieldPosition="0">
        <references count="1">
          <reference field="4294967294" count="1" selected="0">
            <x v="5"/>
          </reference>
        </references>
      </pivotArea>
    </format>
    <format dxfId="1133">
      <pivotArea outline="0" collapsedLevelsAreSubtotals="1" fieldPosition="0">
        <references count="1">
          <reference field="4294967294" count="1" selected="0">
            <x v="5"/>
          </reference>
        </references>
      </pivotArea>
    </format>
    <format dxfId="1132">
      <pivotArea dataOnly="0" labelOnly="1" outline="0" fieldPosition="0">
        <references count="1">
          <reference field="4294967294" count="1">
            <x v="5"/>
          </reference>
        </references>
      </pivotArea>
    </format>
    <format dxfId="1131">
      <pivotArea outline="0" collapsedLevelsAreSubtotals="1" fieldPosition="0">
        <references count="1">
          <reference field="4294967294" count="5" selected="0">
            <x v="1"/>
            <x v="2"/>
            <x v="3"/>
            <x v="4"/>
            <x v="5"/>
          </reference>
        </references>
      </pivotArea>
    </format>
    <format dxfId="1130">
      <pivotArea dataOnly="0" labelOnly="1" outline="0" fieldPosition="0">
        <references count="1">
          <reference field="4294967294" count="5">
            <x v="1"/>
            <x v="2"/>
            <x v="3"/>
            <x v="4"/>
            <x v="5"/>
          </reference>
        </references>
      </pivotArea>
    </format>
    <format dxfId="1129">
      <pivotArea dataOnly="0" labelOnly="1" outline="0" fieldPosition="0">
        <references count="1">
          <reference field="4294967294" count="5">
            <x v="1"/>
            <x v="2"/>
            <x v="3"/>
            <x v="4"/>
            <x v="5"/>
          </reference>
        </references>
      </pivotArea>
    </format>
    <format dxfId="1128">
      <pivotArea dataOnly="0" labelOnly="1" outline="0" fieldPosition="0">
        <references count="1">
          <reference field="4294967294" count="5">
            <x v="1"/>
            <x v="2"/>
            <x v="3"/>
            <x v="4"/>
            <x v="5"/>
          </reference>
        </references>
      </pivotArea>
    </format>
    <format dxfId="1127">
      <pivotArea dataOnly="0" labelOnly="1" outline="0" fieldPosition="0">
        <references count="1">
          <reference field="4294967294" count="5">
            <x v="1"/>
            <x v="2"/>
            <x v="3"/>
            <x v="4"/>
            <x v="5"/>
          </reference>
        </references>
      </pivotArea>
    </format>
    <format dxfId="1126">
      <pivotArea outline="0" collapsedLevelsAreSubtotals="1" fieldPosition="0">
        <references count="1">
          <reference field="4294967294" count="2" selected="0">
            <x v="4"/>
            <x v="5"/>
          </reference>
        </references>
      </pivotArea>
    </format>
    <format dxfId="1125">
      <pivotArea type="all" dataOnly="0" outline="0" fieldPosition="0"/>
    </format>
    <format dxfId="1124">
      <pivotArea outline="0" collapsedLevelsAreSubtotals="1" fieldPosition="0"/>
    </format>
    <format dxfId="1123">
      <pivotArea dataOnly="0" labelOnly="1" grandRow="1" outline="0" fieldPosition="0"/>
    </format>
    <format dxfId="1122">
      <pivotArea dataOnly="0" labelOnly="1" outline="0" fieldPosition="0">
        <references count="1">
          <reference field="4294967294" count="6">
            <x v="0"/>
            <x v="1"/>
            <x v="2"/>
            <x v="3"/>
            <x v="4"/>
            <x v="5"/>
          </reference>
        </references>
      </pivotArea>
    </format>
    <format dxfId="1121">
      <pivotArea type="all" dataOnly="0" outline="0" fieldPosition="0"/>
    </format>
    <format dxfId="1120">
      <pivotArea outline="0" collapsedLevelsAreSubtotals="1" fieldPosition="0"/>
    </format>
    <format dxfId="1119">
      <pivotArea dataOnly="0" labelOnly="1" grandRow="1" outline="0" fieldPosition="0"/>
    </format>
    <format dxfId="1118">
      <pivotArea dataOnly="0" labelOnly="1" outline="0" fieldPosition="0">
        <references count="1">
          <reference field="4294967294" count="6">
            <x v="0"/>
            <x v="1"/>
            <x v="2"/>
            <x v="3"/>
            <x v="4"/>
            <x v="5"/>
          </reference>
        </references>
      </pivotArea>
    </format>
    <format dxfId="1117">
      <pivotArea outline="0" collapsedLevelsAreSubtotals="1" fieldPosition="0">
        <references count="1">
          <reference field="4294967294" count="1" selected="0">
            <x v="6"/>
          </reference>
        </references>
      </pivotArea>
    </format>
    <format dxfId="1116">
      <pivotArea dataOnly="0" labelOnly="1" outline="0" fieldPosition="0">
        <references count="1">
          <reference field="4294967294" count="1">
            <x v="6"/>
          </reference>
        </references>
      </pivotArea>
    </format>
  </formats>
  <pivotTableStyleInfo name="PivotStyleLight2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xml><?xml version="1.0" encoding="utf-8"?>
<pivotTableDefinition xmlns="http://schemas.openxmlformats.org/spreadsheetml/2006/main" name="PivotTable6" cacheId="0" dataOnRows="1" applyNumberFormats="0" applyBorderFormats="0" applyFontFormats="0" applyPatternFormats="0" applyAlignmentFormats="0" applyWidthHeightFormats="1" dataCaption="Values" updatedVersion="6" minRefreshableVersion="3" colGrandTotals="0" itemPrintTitles="1" createdVersion="6" indent="0" showHeaders="0" outline="1" outlineData="1" multipleFieldFilters="0">
  <location ref="V123:W129" firstHeaderRow="0" firstDataRow="0" firstDataCol="1" rowPageCount="3" colPageCount="1"/>
  <pivotFields count="92">
    <pivotField axis="axisPage" subtotalTop="0" showAll="0">
      <items count="8">
        <item m="1" x="2"/>
        <item x="0"/>
        <item m="1" x="1"/>
        <item m="1" x="3"/>
        <item m="1" x="6"/>
        <item m="1" x="4"/>
        <item m="1" x="5"/>
        <item t="default"/>
      </items>
    </pivotField>
    <pivotField subtotalTop="0" showAll="0"/>
    <pivotField subtotalTop="0" showAll="0">
      <items count="5">
        <item x="0"/>
        <item x="1"/>
        <item x="2"/>
        <item m="1" x="3"/>
        <item t="default"/>
      </items>
    </pivotField>
    <pivotField subtotalTop="0" showAll="0"/>
    <pivotField subtotalTop="0" showAll="0"/>
    <pivotField subtotalTop="0" showAll="0"/>
    <pivotField dataField="1"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howAll="0" defaultSubtotal="0"/>
    <pivotField subtotalTop="0" showAll="0"/>
    <pivotField subtotalTop="0" showAll="0"/>
    <pivotField numFmtId="9" subtotalTop="0" showAll="0"/>
    <pivotField subtotalTop="0" showAll="0"/>
    <pivotField dataField="1" subtotalTop="0" showAll="0"/>
    <pivotField subtotalTop="0" showAll="0"/>
    <pivotField subtotalTop="0" showAll="0"/>
    <pivotField subtotalTop="0" showAll="0"/>
    <pivotField dataField="1" subtotalTop="0" showAll="0"/>
    <pivotField subtotalTop="0" showAll="0"/>
    <pivotField subtotalTop="0" showAll="0"/>
    <pivotField subtotalTop="0" showAll="0"/>
    <pivotField subtotalTop="0" showAll="0"/>
    <pivotField numFmtId="1" subtotalTop="0" showAll="0"/>
    <pivotField showAll="0" defaultSubtotal="0"/>
    <pivotField numFmtId="1" subtotalTop="0" showAll="0"/>
    <pivotField numFmtId="9" subtotalTop="0" showAll="0"/>
    <pivotField dataField="1" numFmtId="164" subtotalTop="0" showAll="0"/>
    <pivotField subtotalTop="0" showAll="0"/>
    <pivotField subtotalTop="0" showAll="0"/>
    <pivotField subtotalTop="0" showAll="0"/>
    <pivotField numFmtId="9" showAll="0" defaultSubtotal="0"/>
    <pivotField dataField="1" showAll="0" defaultSubtotal="0"/>
    <pivotField subtotalTop="0" showAll="0"/>
    <pivotField subtotalTop="0" showAll="0"/>
    <pivotField dataField="1" numFmtId="1" showAll="0" defaultSubtotal="0"/>
    <pivotField numFmtId="1" showAll="0" defaultSubtotal="0"/>
    <pivotField numFmtId="1" showAll="0" defaultSubtotal="0"/>
    <pivotField numFmtId="1" showAll="0" defaultSubtotal="0"/>
    <pivotField numFmtId="1" showAll="0" defaultSubtotal="0"/>
    <pivotField subtotalTop="0" showAll="0"/>
    <pivotField subtotalTop="0" showAll="0"/>
    <pivotField subtotalTop="0" showAll="0"/>
    <pivotField numFmtId="1" showAll="0" defaultSubtotal="0"/>
    <pivotField numFmtId="1" showAll="0" defaultSubtotal="0"/>
    <pivotField dataField="1" numFmtId="1" showAll="0" defaultSubtotal="0"/>
    <pivotField numFmtId="1" subtotalTop="0" showAll="0"/>
    <pivotField subtotalTop="0" showAll="0"/>
    <pivotField subtotalTop="0" showAll="0"/>
    <pivotField axis="axisPage" subtotalTop="0" multipleItemSelectionAllowed="1" showAll="0">
      <items count="6">
        <item h="1" x="0"/>
        <item h="1" x="1"/>
        <item x="3"/>
        <item h="1" m="1" x="4"/>
        <item h="1" x="2"/>
        <item t="default"/>
      </items>
    </pivotField>
    <pivotField subtotalTop="0" showAll="0"/>
    <pivotField subtotalTop="0" showAll="0"/>
    <pivotField subtotalTop="0" showAll="0"/>
    <pivotField subtotalTop="0" showAll="0"/>
    <pivotField subtotalTop="0" showAll="0"/>
    <pivotField subtotalTop="0" showAll="0"/>
    <pivotField axis="axisPage" subtotalTop="0" showAll="0">
      <items count="5">
        <item x="0"/>
        <item x="1"/>
        <item m="1" x="2"/>
        <item m="1" x="3"/>
        <item t="default"/>
      </items>
    </pivotField>
    <pivotField subtotalTop="0" showAll="0"/>
  </pivotFields>
  <rowFields count="1">
    <field x="-2"/>
  </rowFields>
  <rowItems count="7">
    <i>
      <x/>
    </i>
    <i i="1">
      <x v="1"/>
    </i>
    <i i="2">
      <x v="2"/>
    </i>
    <i i="3">
      <x v="3"/>
    </i>
    <i i="4">
      <x v="4"/>
    </i>
    <i i="5">
      <x v="5"/>
    </i>
    <i i="6">
      <x v="6"/>
    </i>
  </rowItems>
  <colItems count="1">
    <i/>
  </colItems>
  <pageFields count="3">
    <pageField fld="0" item="1" hier="-1"/>
    <pageField fld="90" item="0" hier="-1"/>
    <pageField fld="83" hier="-1"/>
  </pageFields>
  <dataFields count="7">
    <dataField name="Total Population reached" fld="6" baseField="2" baseItem="0" numFmtId="3"/>
    <dataField name="Number of people with equitable and safe access to sufficient quantity of drinking water_1" fld="48" baseField="2" baseItem="1" numFmtId="3"/>
    <dataField name="Number of people with equitable and safe access to sufficient quantity of domestic water_2" fld="52" baseField="2" baseItem="1" numFmtId="3"/>
    <dataField name="Number of people with access to functional sanitation facilities_3" fld="61" baseField="2" baseItem="1" numFmtId="3"/>
    <dataField name="Number of people with access to continuous sanitation services_4" fld="66" baseField="2" baseItem="0" numFmtId="164"/>
    <dataField name="Number of people reached by regular dedicated hygiene promotion_5" fld="69" baseField="0" baseItem="0" numFmtId="164"/>
    <dataField name="Number of People received regular supply of hygiene items_6" fld="79" baseField="0" baseItem="0"/>
  </dataFields>
  <formats count="37">
    <format dxfId="1188">
      <pivotArea field="2" type="button" dataOnly="0" labelOnly="1" outline="0"/>
    </format>
    <format dxfId="1187">
      <pivotArea dataOnly="0" labelOnly="1" outline="0" fieldPosition="0">
        <references count="1">
          <reference field="4294967294" count="3">
            <x v="1"/>
            <x v="2"/>
            <x v="3"/>
          </reference>
        </references>
      </pivotArea>
    </format>
    <format dxfId="1186">
      <pivotArea dataOnly="0" labelOnly="1" outline="0" fieldPosition="0">
        <references count="1">
          <reference field="4294967294" count="3">
            <x v="1"/>
            <x v="2"/>
            <x v="3"/>
          </reference>
        </references>
      </pivotArea>
    </format>
    <format dxfId="1185">
      <pivotArea outline="0" fieldPosition="0">
        <references count="1">
          <reference field="4294967294" count="1">
            <x v="1"/>
          </reference>
        </references>
      </pivotArea>
    </format>
    <format dxfId="1184">
      <pivotArea outline="0" fieldPosition="0">
        <references count="1">
          <reference field="4294967294" count="1">
            <x v="2"/>
          </reference>
        </references>
      </pivotArea>
    </format>
    <format dxfId="1183">
      <pivotArea outline="0" fieldPosition="0">
        <references count="1">
          <reference field="4294967294" count="1">
            <x v="3"/>
          </reference>
        </references>
      </pivotArea>
    </format>
    <format dxfId="1182">
      <pivotArea type="all" dataOnly="0" outline="0" fieldPosition="0"/>
    </format>
    <format dxfId="1181">
      <pivotArea field="2" type="button" dataOnly="0" labelOnly="1" outline="0"/>
    </format>
    <format dxfId="1180">
      <pivotArea dataOnly="0" labelOnly="1" outline="0" fieldPosition="0">
        <references count="1">
          <reference field="4294967294" count="3">
            <x v="1"/>
            <x v="2"/>
            <x v="3"/>
          </reference>
        </references>
      </pivotArea>
    </format>
    <format dxfId="1179">
      <pivotArea outline="0" fieldPosition="0">
        <references count="1">
          <reference field="4294967294" count="1">
            <x v="0"/>
          </reference>
        </references>
      </pivotArea>
    </format>
    <format dxfId="1178">
      <pivotArea dataOnly="0" labelOnly="1" outline="0" fieldPosition="0">
        <references count="1">
          <reference field="4294967294" count="1">
            <x v="0"/>
          </reference>
        </references>
      </pivotArea>
    </format>
    <format dxfId="1177">
      <pivotArea outline="0" collapsedLevelsAreSubtotals="1" fieldPosition="0">
        <references count="1">
          <reference field="4294967294" count="2" selected="0">
            <x v="1"/>
            <x v="2"/>
          </reference>
        </references>
      </pivotArea>
    </format>
    <format dxfId="1176">
      <pivotArea outline="0" collapsedLevelsAreSubtotals="1" fieldPosition="0">
        <references count="1">
          <reference field="4294967294" count="2" selected="0">
            <x v="1"/>
            <x v="2"/>
          </reference>
        </references>
      </pivotArea>
    </format>
    <format dxfId="1175">
      <pivotArea dataOnly="0" labelOnly="1" outline="0" fieldPosition="0">
        <references count="1">
          <reference field="4294967294" count="2">
            <x v="1"/>
            <x v="2"/>
          </reference>
        </references>
      </pivotArea>
    </format>
    <format dxfId="1174">
      <pivotArea outline="0" collapsedLevelsAreSubtotals="1" fieldPosition="0">
        <references count="1">
          <reference field="4294967294" count="2" selected="0">
            <x v="3"/>
            <x v="4"/>
          </reference>
        </references>
      </pivotArea>
    </format>
    <format dxfId="1173">
      <pivotArea outline="0" collapsedLevelsAreSubtotals="1" fieldPosition="0">
        <references count="1">
          <reference field="4294967294" count="2" selected="0">
            <x v="3"/>
            <x v="4"/>
          </reference>
        </references>
      </pivotArea>
    </format>
    <format dxfId="1172">
      <pivotArea dataOnly="0" labelOnly="1" outline="0" fieldPosition="0">
        <references count="1">
          <reference field="4294967294" count="2">
            <x v="3"/>
            <x v="4"/>
          </reference>
        </references>
      </pivotArea>
    </format>
    <format dxfId="1171">
      <pivotArea outline="0" collapsedLevelsAreSubtotals="1" fieldPosition="0">
        <references count="1">
          <reference field="4294967294" count="1" selected="0">
            <x v="5"/>
          </reference>
        </references>
      </pivotArea>
    </format>
    <format dxfId="1170">
      <pivotArea outline="0" collapsedLevelsAreSubtotals="1" fieldPosition="0">
        <references count="1">
          <reference field="4294967294" count="1" selected="0">
            <x v="5"/>
          </reference>
        </references>
      </pivotArea>
    </format>
    <format dxfId="1169">
      <pivotArea dataOnly="0" labelOnly="1" outline="0" fieldPosition="0">
        <references count="1">
          <reference field="4294967294" count="1">
            <x v="5"/>
          </reference>
        </references>
      </pivotArea>
    </format>
    <format dxfId="1168">
      <pivotArea outline="0" collapsedLevelsAreSubtotals="1" fieldPosition="0">
        <references count="1">
          <reference field="4294967294" count="5" selected="0">
            <x v="1"/>
            <x v="2"/>
            <x v="3"/>
            <x v="4"/>
            <x v="5"/>
          </reference>
        </references>
      </pivotArea>
    </format>
    <format dxfId="1167">
      <pivotArea dataOnly="0" labelOnly="1" outline="0" fieldPosition="0">
        <references count="1">
          <reference field="4294967294" count="5">
            <x v="1"/>
            <x v="2"/>
            <x v="3"/>
            <x v="4"/>
            <x v="5"/>
          </reference>
        </references>
      </pivotArea>
    </format>
    <format dxfId="1166">
      <pivotArea dataOnly="0" labelOnly="1" outline="0" fieldPosition="0">
        <references count="1">
          <reference field="4294967294" count="5">
            <x v="1"/>
            <x v="2"/>
            <x v="3"/>
            <x v="4"/>
            <x v="5"/>
          </reference>
        </references>
      </pivotArea>
    </format>
    <format dxfId="1165">
      <pivotArea dataOnly="0" labelOnly="1" outline="0" fieldPosition="0">
        <references count="1">
          <reference field="4294967294" count="5">
            <x v="1"/>
            <x v="2"/>
            <x v="3"/>
            <x v="4"/>
            <x v="5"/>
          </reference>
        </references>
      </pivotArea>
    </format>
    <format dxfId="1164">
      <pivotArea dataOnly="0" labelOnly="1" outline="0" fieldPosition="0">
        <references count="1">
          <reference field="4294967294" count="5">
            <x v="1"/>
            <x v="2"/>
            <x v="3"/>
            <x v="4"/>
            <x v="5"/>
          </reference>
        </references>
      </pivotArea>
    </format>
    <format dxfId="1163">
      <pivotArea outline="0" collapsedLevelsAreSubtotals="1" fieldPosition="0">
        <references count="1">
          <reference field="4294967294" count="2" selected="0">
            <x v="4"/>
            <x v="5"/>
          </reference>
        </references>
      </pivotArea>
    </format>
    <format dxfId="1162">
      <pivotArea type="all" dataOnly="0" outline="0" fieldPosition="0"/>
    </format>
    <format dxfId="1161">
      <pivotArea outline="0" collapsedLevelsAreSubtotals="1" fieldPosition="0"/>
    </format>
    <format dxfId="1160">
      <pivotArea dataOnly="0" labelOnly="1" grandRow="1" outline="0" fieldPosition="0"/>
    </format>
    <format dxfId="1159">
      <pivotArea dataOnly="0" labelOnly="1" outline="0" fieldPosition="0">
        <references count="1">
          <reference field="4294967294" count="6">
            <x v="0"/>
            <x v="1"/>
            <x v="2"/>
            <x v="3"/>
            <x v="4"/>
            <x v="5"/>
          </reference>
        </references>
      </pivotArea>
    </format>
    <format dxfId="1158">
      <pivotArea type="all" dataOnly="0" outline="0" fieldPosition="0"/>
    </format>
    <format dxfId="1157">
      <pivotArea outline="0" collapsedLevelsAreSubtotals="1" fieldPosition="0"/>
    </format>
    <format dxfId="1156">
      <pivotArea dataOnly="0" labelOnly="1" grandRow="1" outline="0" fieldPosition="0"/>
    </format>
    <format dxfId="1155">
      <pivotArea dataOnly="0" labelOnly="1" outline="0" fieldPosition="0">
        <references count="1">
          <reference field="4294967294" count="6">
            <x v="0"/>
            <x v="1"/>
            <x v="2"/>
            <x v="3"/>
            <x v="4"/>
            <x v="5"/>
          </reference>
        </references>
      </pivotArea>
    </format>
    <format dxfId="1154">
      <pivotArea outline="0" collapsedLevelsAreSubtotals="1" fieldPosition="0">
        <references count="1">
          <reference field="4294967294" count="1" selected="0">
            <x v="6"/>
          </reference>
        </references>
      </pivotArea>
    </format>
    <format dxfId="1153">
      <pivotArea dataOnly="0" labelOnly="1" outline="0" fieldPosition="0">
        <references count="1">
          <reference field="4294967294" count="1">
            <x v="6"/>
          </reference>
        </references>
      </pivotArea>
    </format>
    <format dxfId="1152">
      <pivotArea collapsedLevelsAreSubtotals="1" fieldPosition="0">
        <references count="1">
          <reference field="4294967294" count="6">
            <x v="1"/>
            <x v="2"/>
            <x v="3"/>
            <x v="4"/>
            <x v="5"/>
            <x v="6"/>
          </reference>
        </references>
      </pivotArea>
    </format>
  </formats>
  <pivotTableStyleInfo name="PivotStyleLight2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mc:Ignorable="x" name="Slicer_State" sourceName="State">
  <pivotTables>
    <pivotTable tabId="92" name="PivotTable13"/>
  </pivotTables>
  <data>
    <tabular pivotCacheId="1">
      <items count="4">
        <i x="0" s="1"/>
        <i x="1" s="1"/>
        <i x="2" s="1"/>
        <i x="3" s="1" nd="1"/>
      </items>
    </tabular>
  </data>
  <extLst>
    <x:ext xmlns:x15="http://schemas.microsoft.com/office/spreadsheetml/2010/11/main" uri="{470722E0-AACD-4C17-9CDC-17EF765DBC7E}">
      <x15:slicerCacheHideItemsWithNoData/>
    </x:ext>
  </extLst>
</slicerCacheDefinition>
</file>

<file path=xl/slicerCaches/slicerCache10.xml><?xml version="1.0" encoding="utf-8"?>
<slicerCacheDefinition xmlns="http://schemas.microsoft.com/office/spreadsheetml/2009/9/main" xmlns:mc="http://schemas.openxmlformats.org/markup-compatibility/2006" xmlns:x="http://schemas.openxmlformats.org/spreadsheetml/2006/main" mc:Ignorable="x" name="Slicer_Location_Type11" sourceName="Location Type">
  <pivotTables>
    <pivotTable tabId="102" name="PivotTable1"/>
  </pivotTables>
  <data>
    <tabular pivotCacheId="1">
      <items count="5">
        <i x="0" s="1"/>
        <i x="1" s="1"/>
        <i x="3" s="1"/>
        <i x="2" s="1"/>
        <i x="4" s="1" nd="1"/>
      </items>
    </tabular>
  </data>
  <extLst>
    <x:ext xmlns:x15="http://schemas.microsoft.com/office/spreadsheetml/2010/11/main" uri="{470722E0-AACD-4C17-9CDC-17EF765DBC7E}">
      <x15:slicerCacheHideItemsWithNoData/>
    </x:ext>
  </extLst>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mc:Ignorable="x" name="Slicer_Location_Type" sourceName="Location Type">
  <pivotTables>
    <pivotTable tabId="92" name="PivotTable13"/>
  </pivotTables>
  <data>
    <tabular pivotCacheId="1">
      <items count="5">
        <i x="0" s="1"/>
        <i x="3" s="1"/>
        <i x="4" s="1" nd="1"/>
        <i x="1" s="1" nd="1"/>
        <i x="2" s="1" nd="1"/>
      </items>
    </tabular>
  </data>
  <extLst>
    <x:ext xmlns:x15="http://schemas.microsoft.com/office/spreadsheetml/2010/11/main" uri="{470722E0-AACD-4C17-9CDC-17EF765DBC7E}">
      <x15:slicerCacheHideItemsWithNoData/>
    </x:ext>
  </extLst>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mc:Ignorable="x" name="Slicer_WASH_focal_Agency" sourceName="WASH focal Agency">
  <pivotTables>
    <pivotTable tabId="100" name="PivotTable1"/>
  </pivotTables>
  <data>
    <tabular pivotCacheId="1">
      <items count="41">
        <i x="10" s="1"/>
        <i x="13" s="1"/>
        <i x="16" s="1"/>
        <i x="17" s="1"/>
        <i x="6" s="1"/>
        <i x="0" s="1"/>
        <i x="9" s="1"/>
        <i x="20" s="1"/>
        <i x="14" s="1"/>
        <i x="1" s="1"/>
        <i x="21" s="1"/>
        <i x="22" s="1"/>
        <i x="23" s="1"/>
        <i x="24" s="1"/>
        <i x="11" s="1"/>
        <i x="3" s="1"/>
        <i x="12" s="1"/>
        <i x="15" s="1"/>
        <i x="8" s="1"/>
        <i x="18" s="1"/>
        <i x="26" s="1"/>
        <i x="25" s="1"/>
        <i x="19" s="1"/>
        <i x="28" s="1"/>
        <i x="27" s="1"/>
        <i x="4" s="1"/>
        <i x="2" s="1"/>
        <i x="7" s="1"/>
        <i x="5" s="1"/>
        <i x="32" s="1" nd="1"/>
        <i x="33" s="1" nd="1"/>
        <i x="39" s="1" nd="1"/>
        <i x="36" s="1" nd="1"/>
        <i x="29" s="1" nd="1"/>
        <i x="40" s="1" nd="1"/>
        <i x="38" s="1" nd="1"/>
        <i x="31" s="1" nd="1"/>
        <i x="35" s="1" nd="1"/>
        <i x="34" s="1" nd="1"/>
        <i x="30" s="1" nd="1"/>
        <i x="37" s="1" nd="1"/>
      </items>
    </tabular>
  </data>
  <extLst>
    <x:ext xmlns:x15="http://schemas.microsoft.com/office/spreadsheetml/2010/11/main" uri="{470722E0-AACD-4C17-9CDC-17EF765DBC7E}">
      <x15:slicerCacheHideItemsWithNoData/>
    </x:ext>
  </extLst>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mc:Ignorable="x" name="Slicer_State1" sourceName="State">
  <pivotTables>
    <pivotTable tabId="100" name="PivotTable1"/>
  </pivotTables>
  <data>
    <tabular pivotCacheId="1">
      <items count="4">
        <i x="0" s="1"/>
        <i x="1" s="1"/>
        <i x="2" s="1"/>
        <i x="3" s="1" nd="1"/>
      </items>
    </tabular>
  </data>
  <extLst>
    <x:ext xmlns:x15="http://schemas.microsoft.com/office/spreadsheetml/2010/11/main" uri="{470722E0-AACD-4C17-9CDC-17EF765DBC7E}">
      <x15:slicerCacheHideItemsWithNoData/>
    </x:ext>
  </extLst>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mc:Ignorable="x" name="Slicer_Township" sourceName="Township">
  <pivotTables>
    <pivotTable tabId="100" name="PivotTable1"/>
  </pivotTables>
  <data>
    <tabular pivotCacheId="1">
      <items count="36">
        <i x="13" s="1"/>
        <i x="3" s="1"/>
        <i x="14" s="1"/>
        <i x="9" s="1"/>
        <i x="8" s="1"/>
        <i x="29" s="1"/>
        <i x="28" s="1"/>
        <i x="25" s="1"/>
        <i x="15" s="1"/>
        <i x="16" s="1"/>
        <i x="0" s="1"/>
        <i x="26" s="1"/>
        <i x="17" s="1"/>
        <i x="18" s="1"/>
        <i x="11" s="1"/>
        <i x="4" s="1"/>
        <i x="1" s="1"/>
        <i x="19" s="1"/>
        <i x="27" s="1"/>
        <i x="20" s="1"/>
        <i x="10" s="1"/>
        <i x="31" s="1"/>
        <i x="30" s="1"/>
        <i x="21" s="1"/>
        <i x="22" s="1"/>
        <i x="5" s="1"/>
        <i x="23" s="1"/>
        <i x="6" s="1"/>
        <i x="24" s="1"/>
        <i x="7" s="1"/>
        <i x="12" s="1"/>
        <i x="2" s="1"/>
        <i x="33" s="1" nd="1"/>
        <i x="34" s="1" nd="1"/>
        <i x="32" s="1" nd="1"/>
        <i x="35" s="1" nd="1"/>
      </items>
    </tabular>
  </data>
  <extLst>
    <x:ext xmlns:x15="http://schemas.microsoft.com/office/spreadsheetml/2010/11/main" uri="{470722E0-AACD-4C17-9CDC-17EF765DBC7E}">
      <x15:slicerCacheHideItemsWithNoData/>
    </x:ext>
  </extLst>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mc:Ignorable="x" name="Slicer_Location_Type1" sourceName="Location Type">
  <pivotTables>
    <pivotTable tabId="100" name="PivotTable1"/>
  </pivotTables>
  <data>
    <tabular pivotCacheId="1">
      <items count="5">
        <i x="0" s="1"/>
        <i x="1" s="1"/>
        <i x="3" s="1"/>
        <i x="2" s="1"/>
        <i x="4" s="1" nd="1"/>
      </items>
    </tabular>
  </data>
  <extLst>
    <x:ext xmlns:x15="http://schemas.microsoft.com/office/spreadsheetml/2010/11/main" uri="{470722E0-AACD-4C17-9CDC-17EF765DBC7E}">
      <x15:slicerCacheHideItemsWithNoData/>
    </x:ext>
  </extLst>
</slicerCacheDefinition>
</file>

<file path=xl/slicerCaches/slicerCache7.xml><?xml version="1.0" encoding="utf-8"?>
<slicerCacheDefinition xmlns="http://schemas.microsoft.com/office/spreadsheetml/2009/9/main" xmlns:mc="http://schemas.openxmlformats.org/markup-compatibility/2006" xmlns:x="http://schemas.openxmlformats.org/spreadsheetml/2006/main" mc:Ignorable="x" name="Slicer_WASH_focal_Agency1" sourceName="WASH focal Agency">
  <pivotTables>
    <pivotTable tabId="102" name="PivotTable1"/>
  </pivotTables>
  <data>
    <tabular pivotCacheId="1">
      <items count="41">
        <i x="10" s="1"/>
        <i x="13" s="1"/>
        <i x="16" s="1"/>
        <i x="17" s="1"/>
        <i x="6" s="1"/>
        <i x="0" s="1"/>
        <i x="9" s="1"/>
        <i x="20" s="1"/>
        <i x="14" s="1"/>
        <i x="1" s="1"/>
        <i x="21" s="1"/>
        <i x="22" s="1"/>
        <i x="23" s="1"/>
        <i x="24" s="1"/>
        <i x="11" s="1"/>
        <i x="3" s="1"/>
        <i x="12" s="1"/>
        <i x="15" s="1"/>
        <i x="8" s="1"/>
        <i x="18" s="1"/>
        <i x="26" s="1"/>
        <i x="25" s="1"/>
        <i x="19" s="1"/>
        <i x="28" s="1"/>
        <i x="27" s="1"/>
        <i x="4" s="1"/>
        <i x="2" s="1"/>
        <i x="7" s="1"/>
        <i x="5" s="1"/>
        <i x="32" s="1" nd="1"/>
        <i x="33" s="1" nd="1"/>
        <i x="39" s="1" nd="1"/>
        <i x="36" s="1" nd="1"/>
        <i x="29" s="1" nd="1"/>
        <i x="40" s="1" nd="1"/>
        <i x="38" s="1" nd="1"/>
        <i x="31" s="1" nd="1"/>
        <i x="35" s="1" nd="1"/>
        <i x="34" s="1" nd="1"/>
        <i x="30" s="1" nd="1"/>
        <i x="37" s="1" nd="1"/>
      </items>
    </tabular>
  </data>
  <extLst>
    <x:ext xmlns:x15="http://schemas.microsoft.com/office/spreadsheetml/2010/11/main" uri="{470722E0-AACD-4C17-9CDC-17EF765DBC7E}">
      <x15:slicerCacheHideItemsWithNoData/>
    </x:ext>
  </extLst>
</slicerCacheDefinition>
</file>

<file path=xl/slicerCaches/slicerCache8.xml><?xml version="1.0" encoding="utf-8"?>
<slicerCacheDefinition xmlns="http://schemas.microsoft.com/office/spreadsheetml/2009/9/main" xmlns:mc="http://schemas.openxmlformats.org/markup-compatibility/2006" xmlns:x="http://schemas.openxmlformats.org/spreadsheetml/2006/main" mc:Ignorable="x" name="Slicer_State11" sourceName="State">
  <pivotTables>
    <pivotTable tabId="102" name="PivotTable1"/>
  </pivotTables>
  <data>
    <tabular pivotCacheId="1">
      <items count="4">
        <i x="0" s="1"/>
        <i x="1" s="1"/>
        <i x="2" s="1"/>
        <i x="3" s="1" nd="1"/>
      </items>
    </tabular>
  </data>
  <extLst>
    <x:ext xmlns:x15="http://schemas.microsoft.com/office/spreadsheetml/2010/11/main" uri="{470722E0-AACD-4C17-9CDC-17EF765DBC7E}">
      <x15:slicerCacheHideItemsWithNoData/>
    </x:ext>
  </extLst>
</slicerCacheDefinition>
</file>

<file path=xl/slicerCaches/slicerCache9.xml><?xml version="1.0" encoding="utf-8"?>
<slicerCacheDefinition xmlns="http://schemas.microsoft.com/office/spreadsheetml/2009/9/main" xmlns:mc="http://schemas.openxmlformats.org/markup-compatibility/2006" xmlns:x="http://schemas.openxmlformats.org/spreadsheetml/2006/main" mc:Ignorable="x" name="Slicer_Township1" sourceName="Township">
  <pivotTables>
    <pivotTable tabId="102" name="PivotTable1"/>
  </pivotTables>
  <data>
    <tabular pivotCacheId="1">
      <items count="36">
        <i x="13" s="1"/>
        <i x="3" s="1"/>
        <i x="14" s="1"/>
        <i x="9" s="1"/>
        <i x="8" s="1"/>
        <i x="29" s="1"/>
        <i x="28" s="1"/>
        <i x="25" s="1"/>
        <i x="15" s="1"/>
        <i x="16" s="1"/>
        <i x="0" s="1"/>
        <i x="26" s="1"/>
        <i x="17" s="1"/>
        <i x="18" s="1"/>
        <i x="11" s="1"/>
        <i x="4" s="1"/>
        <i x="1" s="1"/>
        <i x="19" s="1"/>
        <i x="27" s="1"/>
        <i x="20" s="1"/>
        <i x="10" s="1"/>
        <i x="31" s="1"/>
        <i x="30" s="1"/>
        <i x="21" s="1"/>
        <i x="22" s="1"/>
        <i x="5" s="1"/>
        <i x="23" s="1"/>
        <i x="6" s="1"/>
        <i x="24" s="1"/>
        <i x="7" s="1"/>
        <i x="12" s="1"/>
        <i x="2" s="1"/>
        <i x="33" s="1" nd="1"/>
        <i x="34" s="1" nd="1"/>
        <i x="32" s="1" nd="1"/>
        <i x="35" s="1" nd="1"/>
      </items>
    </tabular>
  </data>
  <extLst>
    <x:ext xmlns:x15="http://schemas.microsoft.com/office/spreadsheetml/2010/11/main" uri="{470722E0-AACD-4C17-9CDC-17EF765DBC7E}">
      <x15:slicerCacheHideItemsWithNoData/>
    </x:ext>
  </extLst>
</slicerCacheDefinition>
</file>

<file path=xl/slicers/slicer1.xml><?xml version="1.0" encoding="utf-8"?>
<slicers xmlns="http://schemas.microsoft.com/office/spreadsheetml/2009/9/main" xmlns:mc="http://schemas.openxmlformats.org/markup-compatibility/2006" xmlns:x="http://schemas.openxmlformats.org/spreadsheetml/2006/main" mc:Ignorable="x">
  <slicer name="State" cache="Slicer_State" caption="State" rowHeight="304800"/>
  <slicer name="Location Type" cache="Slicer_Location_Type" caption="Location Type" rowHeight="304800"/>
</slicers>
</file>

<file path=xl/slicers/slicer2.xml><?xml version="1.0" encoding="utf-8"?>
<slicers xmlns="http://schemas.microsoft.com/office/spreadsheetml/2009/9/main" xmlns:mc="http://schemas.openxmlformats.org/markup-compatibility/2006" xmlns:x="http://schemas.openxmlformats.org/spreadsheetml/2006/main" mc:Ignorable="x">
  <slicer name="WASH focal Agency" cache="Slicer_WASH_focal_Agency" caption="WASH focal Agency" columnCount="3" rowHeight="304800"/>
  <slicer name="State 1" cache="Slicer_State1" caption="State" rowHeight="304800"/>
  <slicer name="Township" cache="Slicer_Township" caption="Township" rowHeight="304800"/>
  <slicer name="Location Type 1" cache="Slicer_Location_Type1" caption="Location Type" rowHeight="304800"/>
</slicers>
</file>

<file path=xl/slicers/slicer3.xml><?xml version="1.0" encoding="utf-8"?>
<slicers xmlns="http://schemas.microsoft.com/office/spreadsheetml/2009/9/main" xmlns:mc="http://schemas.openxmlformats.org/markup-compatibility/2006" xmlns:x="http://schemas.openxmlformats.org/spreadsheetml/2006/main" mc:Ignorable="x">
  <slicer name="WASH focal Agency 1" cache="Slicer_WASH_focal_Agency1" caption="WASH focal Agency" columnCount="3" style="SlicerStyleDark6" rowHeight="304800"/>
  <slicer name="State 2" cache="Slicer_State11" caption="State" style="SlicerStyleDark6" rowHeight="304800"/>
  <slicer name="Township 1" cache="Slicer_Township1" caption="Township" style="SlicerStyleLight1" rowHeight="304800"/>
  <slicer name="Location Type 2" cache="Slicer_Location_Type11" caption="Location Type" style="SlicerStyleLight6" rowHeight="304800"/>
</slicers>
</file>

<file path=xl/tables/table1.xml><?xml version="1.0" encoding="utf-8"?>
<table xmlns="http://schemas.openxmlformats.org/spreadsheetml/2006/main" id="2" name="WWWW" displayName="WWWW" ref="A6:CN389" totalsRowShown="0" headerRowDxfId="830" dataDxfId="828" headerRowBorderDxfId="829" tableBorderDxfId="827">
  <autoFilter ref="A6:CN389">
    <filterColumn colId="83">
      <filters>
        <filter val="Camp"/>
        <filter val="Camp_not registered"/>
      </filters>
    </filterColumn>
    <filterColumn colId="90">
      <filters>
        <filter val="Covered"/>
      </filters>
    </filterColumn>
  </autoFilter>
  <sortState ref="A7:CN389">
    <sortCondition ref="C6:C389"/>
  </sortState>
  <tableColumns count="92">
    <tableColumn id="1" name="Reporting Period" dataDxfId="826" totalsRowDxfId="825"/>
    <tableColumn id="2" name="WASH focal Agency" dataDxfId="824" totalsRowDxfId="823"/>
    <tableColumn id="3" name="State" dataDxfId="822" totalsRowDxfId="821"/>
    <tableColumn id="4" name="Township" dataDxfId="820" totalsRowDxfId="819"/>
    <tableColumn id="5" name="Site Name" dataDxfId="818" totalsRowDxfId="817"/>
    <tableColumn id="6" name="Total HH" dataDxfId="816" totalsRowDxfId="815"/>
    <tableColumn id="7" name="Total PoP " dataDxfId="814" totalsRowDxfId="813"/>
    <tableColumn id="104" name="#of students at TLS" dataDxfId="812" totalsRowDxfId="811"/>
    <tableColumn id="8" name="Primary Donor covering WASH activities at site " dataDxfId="810" totalsRowDxfId="809"/>
    <tableColumn id="9" name="Expected end of funding for WASH activties at site" dataDxfId="808" totalsRowDxfId="807"/>
    <tableColumn id="10" name="# Work days (approx) lost in this site due to access restrictions" dataDxfId="806" totalsRowDxfId="805"/>
    <tableColumn id="11" name="WASH Committee part of camp management structures " dataDxfId="804" totalsRowDxfId="803"/>
    <tableColumn id="12" name="% Women on camp WASH committee" dataDxfId="802" totalsRowDxfId="801"/>
    <tableColumn id="13" name="%Women in leadership positions in wash committees" dataDxfId="800" totalsRowDxfId="799"/>
    <tableColumn id="14" name="# Functioning protected hand dug well" dataDxfId="798" totalsRowDxfId="797"/>
    <tableColumn id="15" name="# Functioning Tube wells/boreholes " dataDxfId="796" totalsRowDxfId="795"/>
    <tableColumn id="17" name="# Litres/Day provided" dataDxfId="794" totalsRowDxfId="793"/>
    <tableColumn id="18" name="# Existing protected/fenced ponds " dataDxfId="792" totalsRowDxfId="791" dataCellStyle="Percent"/>
    <tableColumn id="20" name="# Water points fully handed over" dataDxfId="790" totalsRowDxfId="789" dataCellStyle="Percent"/>
    <tableColumn id="93" name="# of Water tested at source" dataDxfId="788" totalsRowDxfId="787" dataCellStyle="Percent"/>
    <tableColumn id="92" name="# of Water passed at source" dataDxfId="786" totalsRowDxfId="785" dataCellStyle="Percent"/>
    <tableColumn id="91" name="# of Water tested at HH" dataDxfId="784" totalsRowDxfId="783" dataCellStyle="Percent"/>
    <tableColumn id="90" name="# of Water passed at HH" dataDxfId="782" totalsRowDxfId="781" dataCellStyle="Percent"/>
    <tableColumn id="94" name="# of hand washing station for TLS" dataDxfId="780" totalsRowDxfId="779" dataCellStyle="Percent"/>
    <tableColumn id="67" name="WATER Comments" dataDxfId="778" totalsRowDxfId="777" dataCellStyle="Percent"/>
    <tableColumn id="59" name="# Existing functional latrines" dataDxfId="776" totalsRowDxfId="775"/>
    <tableColumn id="87" name="# Existing latrines dysfunctional" dataDxfId="774" totalsRowDxfId="773"/>
    <tableColumn id="65" name="# of latrines desludged" dataDxfId="772" totalsRowDxfId="771"/>
    <tableColumn id="23" name="# Latrines fully handed over" dataDxfId="770" totalsRowDxfId="769"/>
    <tableColumn id="24" name="effective solid waste management system" dataDxfId="768" totalsRowDxfId="767"/>
    <tableColumn id="25" name="Does the camp have surface water drainage" dataDxfId="766" totalsRowDxfId="765" dataCellStyle="Percent"/>
    <tableColumn id="105" name="# of children Latrine " dataDxfId="764" totalsRowDxfId="763"/>
    <tableColumn id="100" name="# of latrines in TLS (schools)" dataDxfId="762" totalsRowDxfId="761"/>
    <tableColumn id="26" name="Sanitation Comments" dataDxfId="760" totalsRowDxfId="759"/>
    <tableColumn id="27" name="%HHs with access to functional hand washing stations" dataDxfId="758" totalsRowDxfId="757" dataCellStyle="Percent"/>
    <tableColumn id="28" name="Type of handwashing approach" dataDxfId="756" totalsRowDxfId="755"/>
    <tableColumn id="88" name="# Individual functioning bathing spaces " dataDxfId="754" totalsRowDxfId="753"/>
    <tableColumn id="29" name="# Communal functioning bathing spaces " dataDxfId="752" totalsRowDxfId="751"/>
    <tableColumn id="30" name="# Hygiene Promoters " dataDxfId="750" totalsRowDxfId="749" dataCellStyle="Percent"/>
    <tableColumn id="84" name="# HH received soaps" dataDxfId="748" totalsRowDxfId="747"/>
    <tableColumn id="69" name="# HH received Sanitary Pads" dataDxfId="746" totalsRowDxfId="745"/>
    <tableColumn id="99" name="Is sufficient soap available for TLS?" dataDxfId="744" totalsRowDxfId="743"/>
    <tableColumn id="33" name="Hygiene Comments" dataDxfId="742" totalsRowDxfId="741"/>
    <tableColumn id="97" name="%of Water samples which passed at water source" dataDxfId="740" totalsRowDxfId="739">
      <calculatedColumnFormula>IFERROR(WWWW[[#This Row],['# of Water passed at source]]/WWWW[[#This Row],['# of Water tested at source]],"no test")</calculatedColumnFormula>
    </tableColumn>
    <tableColumn id="98" name="%Water samples which passed at HH" dataDxfId="738" totalsRowDxfId="737" dataCellStyle="Percent">
      <calculatedColumnFormula>IFERROR(WWWW[[#This Row],['# of Water passed at HH]]/WWWW[[#This Row],['# of Water tested at HH]],"no test")</calculatedColumnFormula>
    </tableColumn>
    <tableColumn id="34" name="Access to safe drinking water for Camp" dataDxfId="736" totalsRowDxfId="735" dataCellStyle="Percent">
      <calculatedColumnFormula>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calculatedColumnFormula>
    </tableColumn>
    <tableColumn id="35" name="Access to safe drinking water for Village" dataDxfId="734" totalsRowDxfId="733" dataCellStyle="Percent">
      <calculatedColumnFormula>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calculatedColumnFormula>
    </tableColumn>
    <tableColumn id="36" name="%Equitable and continuous access to sufficient quantity of safe drinking water" dataDxfId="732" totalsRowDxfId="731" dataCellStyle="Percent">
      <calculatedColumnFormula>IF(WWWW[[#This Row],[Location Type 1]]="Village",WWWW[[#This Row],[Access to safe drinking water for Village]],WWWW[[#This Row],[Access to safe drinking water for Camp]])</calculatedColumnFormula>
    </tableColumn>
    <tableColumn id="89" name="#ppl Equitable and continuous access to sufficient quantity of safe drinking water_1" dataDxfId="730" totalsRowDxfId="729">
      <calculatedColumnFormula>WWWW[[#This Row],[%Equitable and continuous access to sufficient quantity of safe drinking water]]*WWWW[[#This Row],[Total PoP ]]</calculatedColumnFormula>
    </tableColumn>
    <tableColumn id="37" name="Access to unimproved water points" dataDxfId="728" totalsRowDxfId="727" dataCellStyle="Percent">
      <calculatedColumnFormula>IF((WWWW[[#This Row],['# Existing protected/fenced ponds ]]*250)/WWWW[[#This Row],[Total PoP ]]&gt;1,1,WWWW[[#This Row],['# Existing protected/fenced ponds ]]*250/WWWW[[#This Row],[Total PoP ]])</calculatedColumnFormula>
    </tableColumn>
    <tableColumn id="16" name="#People access to unimproved water sources" dataDxfId="726" totalsRowDxfId="725">
      <calculatedColumnFormula>WWWW[[#This Row],[Access to unimproved water points]]*WWWW[[#This Row],[Total PoP ]]</calculatedColumnFormula>
    </tableColumn>
    <tableColumn id="41" name="%Equitable and continuous access to sufficient quantity of domestic water borehole n ponds" dataDxfId="724" totalsRowDxfId="723" dataCellStyle="Percent">
      <calculatedColumnFormula>IF(WWWW[[#This Row],[Access to unimproved water points]]+WWWW[[#This Row],[%Equitable and continuous access to sufficient quantity of safe drinking water]]&gt;1,1,WWWW[[#This Row],[Access to unimproved water points]]+WWWW[[#This Row],[%Equitable and continuous access to sufficient quantity of safe drinking water]])</calculatedColumnFormula>
    </tableColumn>
    <tableColumn id="42" name="#people Equitable and continuous access to sufficient quantity of domestic water borehole n ponds_2" dataDxfId="722" totalsRowDxfId="721">
      <calculatedColumnFormula>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calculatedColumnFormula>
    </tableColumn>
    <tableColumn id="86" name="#Water points coverage" dataDxfId="720" totalsRowDxfId="719">
      <calculatedColumnFormula>WWWW[[#This Row],['#people Equitable and continuous access to sufficient quantity of domestic water borehole n ponds_2]]/500</calculatedColumnFormula>
    </tableColumn>
    <tableColumn id="85" name="%equitable and continuous access to sufficient quantity of safe drinking and domestic water's GAP" dataDxfId="718" totalsRowDxfId="717">
      <calculatedColumnFormula>1-WWWW[[#This Row],[%Equitable and continuous access to sufficient quantity of domestic water borehole n ponds]]</calculatedColumnFormula>
    </tableColumn>
    <tableColumn id="43" name="#people needs equitable and continuous access to sufficient quantity of safe drinking and domestic water GAP" dataDxfId="716" totalsRowDxfId="715">
      <calculatedColumnFormula>WWWW[[#This Row],[%equitable and continuous access to sufficient quantity of safe drinking and domestic water''s GAP]]*WWWW[[#This Row],[Total PoP ]]</calculatedColumnFormula>
    </tableColumn>
    <tableColumn id="44" name="#Potential required new water points" dataDxfId="714" totalsRowDxfId="713" dataCellStyle="Percent">
      <calculatedColumnFormula>IF(WWWW[[#This Row],[Total required water points]]-WWWW[[#This Row],['#Water points coverage]]&lt;0,0,WWWW[[#This Row],[Total required water points]]-WWWW[[#This Row],['#Water points coverage]])</calculatedColumnFormula>
    </tableColumn>
    <tableColumn id="78" name="Total required water points" dataDxfId="712" totalsRowDxfId="711" dataCellStyle="Percent">
      <calculatedColumnFormula>ROUND(IF(WWWW[[#This Row],[Total PoP ]]&lt;500,1,WWWW[[#This Row],[Total PoP ]]/500),0)</calculatedColumnFormula>
    </tableColumn>
    <tableColumn id="19" name="Warter quality test made" dataDxfId="710" totalsRowDxfId="709" dataCellStyle="Percent">
      <calculatedColumnFormula>IF(AND(WWWW[[#This Row],[%of Water samples which passed at water source]]="no test",WWWW[[#This Row],[%Water samples which passed at HH]]="no test"),"No Test","Tested")</calculatedColumnFormula>
    </tableColumn>
    <tableColumn id="66" name="Total # of latrine" dataDxfId="708" totalsRowDxfId="707" dataCellStyle="Percent">
      <calculatedColumnFormula>WWWW[[#This Row],['# Existing functional latrines]]+WWWW[[#This Row],['# Existing latrines dysfunctional]]</calculatedColumnFormula>
    </tableColumn>
    <tableColumn id="79" name="% people access to functioning Latrine" dataDxfId="706" totalsRowDxfId="705">
      <calculatedColumnFormula>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calculatedColumnFormula>
    </tableColumn>
    <tableColumn id="68" name="#people access to functioning Latrine_3" dataDxfId="704" totalsRowDxfId="703" dataCellStyle="Comma">
      <calculatedColumnFormula>WWWW[[#This Row],[% people access to functioning Latrine]]*WWWW[[#This Row],[Total PoP ]]</calculatedColumnFormula>
    </tableColumn>
    <tableColumn id="48" name="% of Latrine Gap" dataDxfId="702" totalsRowDxfId="701">
      <calculatedColumnFormula>IF(WWWW[[#This Row],[Location Type 1]]="camp",WWWW[[#This Row],['# potential required new latrines]]/(WWWW[[#This Row],[Total PoP ]]/20),WWWW[[#This Row],['# potential required new latrines]]/(WWWW[[#This Row],[Total PoP ]]/6))</calculatedColumnFormula>
    </tableColumn>
    <tableColumn id="49" name="# potential required new latrines" dataDxfId="700" totalsRowDxfId="699">
      <calculatedColumnFormula>IF(WWWW[[#This Row],[Total required Latrines]]-WWWW[[#This Row],[Total '# of latrine]]&lt;0,0,WWWW[[#This Row],[Total required Latrines]]-WWWW[[#This Row],[Total '# of latrine]])</calculatedColumnFormula>
    </tableColumn>
    <tableColumn id="73" name="Total required Latrines" dataDxfId="698" totalsRowDxfId="697" dataCellStyle="Percent">
      <calculatedColumnFormula>ROUND(IF(WWWW[[#This Row],[Location Type 1]]="camp",WWWW[[#This Row],[Total PoP ]]/20,WWWW[[#This Row],[Total PoP ]]/6),0)</calculatedColumnFormula>
    </tableColumn>
    <tableColumn id="76" name="% Latrines requiring  repairs" dataDxfId="696" totalsRowDxfId="695" dataCellStyle="Percent">
      <calculatedColumnFormula>IF(OR(WWWW[[#This Row],['# Existing latrines dysfunctional]]="",WWWW[[#This Row],['# Existing latrines dysfunctional]]=0),0,WWWW[[#This Row],['# Existing latrines dysfunctional]]/WWWW[[#This Row],[Total '# of latrine]])</calculatedColumnFormula>
    </tableColumn>
    <tableColumn id="70" name="# people with access to continuous sanitation services desluding_4" dataDxfId="694" totalsRowDxfId="693" dataCellStyle="Comma">
      <calculatedColumnFormula>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calculatedColumnFormula>
    </tableColumn>
    <tableColumn id="53" name="Hygiene Coverage%" dataDxfId="692" totalsRowDxfId="691">
      <calculatedColumnFormula>WWWW[[#This Row],[People adopt basic personal and community hygiene practices]]/WWWW[[#This Row],[Total PoP ]]</calculatedColumnFormula>
    </tableColumn>
    <tableColumn id="72" name="Hygiene Gap%" dataDxfId="690" totalsRowDxfId="689" dataCellStyle="Percent">
      <calculatedColumnFormula>1-WWWW[[#This Row],[Hygiene Coverage%]]</calculatedColumnFormula>
    </tableColumn>
    <tableColumn id="54" name="# people reached by regular dedicated hygiene promotion_5" dataDxfId="688" totalsRowDxfId="687">
      <calculatedColumnFormula>IF(500*WWWW[[#This Row],['# Hygiene Promoters ]]&gt;WWWW[[#This Row],[Total PoP ]],WWWW[[#This Row],[Total PoP ]],500*WWWW[[#This Row],['# Hygiene Promoters ]])</calculatedColumnFormula>
    </tableColumn>
    <tableColumn id="21" name="% of HHs with access to Sanitary pad more than #%" dataDxfId="686" totalsRowDxfId="685">
      <calculatedColumnFormula>IF(WWWW[[#This Row],[% of HH with access to Sanitary Pad]]&gt;=100%,1,0)</calculatedColumnFormula>
    </tableColumn>
    <tableColumn id="22" name="Ratio of Hyiene promoters to people less than #" dataDxfId="684" totalsRowDxfId="683">
      <calculatedColumnFormula>IF(WWWW[[#This Row],[Total PoP ]]=0,0,IF(WWWW[[#This Row],['# Hygiene Promoters ]]=0,0,IF(WWWW[[#This Row],[Location Type 1]]="Village",IF(WWWW[[#This Row],[Total PoP ]]/WWWW[[#This Row],['# Hygiene Promoters ]]&lt;1000,1,0),IF(WWWW[[#This Row],[Total PoP ]]/WWWW[[#This Row],['# Hygiene Promoters ]]&lt;600,1,0))))</calculatedColumnFormula>
    </tableColumn>
    <tableColumn id="31" name="% of HHs with access to soap more than #%" dataDxfId="682" totalsRowDxfId="681">
      <calculatedColumnFormula>IF(WWWW[[#This Row],[%HH with access to soap]]&gt;=100%,1,0)</calculatedColumnFormula>
    </tableColumn>
    <tableColumn id="32" name="People adopt basic personal and community hygiene practices" dataDxfId="680" totalsRowDxfId="679">
      <calculatedColumnFormula>IF(WWWW[[#This Row],[% of HHs with access to Sanitary pad more than '#%]]+WWWW[[#This Row],[Ratio of Hyiene promoters to people less than '#]]+WWWW[[#This Row],[% of HHs with access to soap more than '#%]]&gt;=2,WWWW[[#This Row],[Total PoP ]],0)</calculatedColumnFormula>
    </tableColumn>
    <tableColumn id="96" name="%people reached by regular dedicated hygiene promotion" dataDxfId="678" totalsRowDxfId="677" dataCellStyle="Percent">
      <calculatedColumnFormula>WWWW[[#This Row],['# people reached by regular dedicated hygiene promotion_5]]/WWWW[[#This Row],[Total PoP ]]</calculatedColumnFormula>
    </tableColumn>
    <tableColumn id="55" name="%HH with access to soap" dataDxfId="676" totalsRowDxfId="675" dataCellStyle="Percent">
      <calculatedColumnFormula>IF(WWWW[[#This Row],['# HH received soaps]]/WWWW[[#This Row],[Total HH]]&gt;1,1,WWWW[[#This Row],['# HH received soaps]]/WWWW[[#This Row],[Total HH]])</calculatedColumnFormula>
    </tableColumn>
    <tableColumn id="56" name="% of HH with access to Sanitary Pad" dataDxfId="674" totalsRowDxfId="673" dataCellStyle="Percent">
      <calculatedColumnFormula>IF(WWWW[[#This Row],['# HH received Sanitary Pads]]/WWWW[[#This Row],[Total HH]]&gt;1,1,WWWW[[#This Row],['# HH received Sanitary Pads]]/WWWW[[#This Row],[Total HH]])</calculatedColumnFormula>
    </tableColumn>
    <tableColumn id="40" name="# People with access to soap" dataDxfId="672" totalsRowDxfId="671" dataCellStyle="Percent">
      <calculatedColumnFormula>WWWW[[#This Row],['# HH received soaps]]*5</calculatedColumnFormula>
    </tableColumn>
    <tableColumn id="47" name="# People with access to Sanity Pads" dataDxfId="670" totalsRowDxfId="669" dataCellStyle="Percent">
      <calculatedColumnFormula>WWWW[[#This Row],['# HH received Sanitary Pads]]*5</calculatedColumnFormula>
    </tableColumn>
    <tableColumn id="95" name="# People received regular supply of hygiene items_6" dataDxfId="668" totalsRowDxfId="667" dataCellStyle="Percent">
      <calculatedColumnFormula>IF(WWWW[[#This Row],['# People with access to soap]]&gt;WWWW[[#This Row],['# People with access to Sanity Pads]],WWWW[[#This Row],['# People with access to soap]],WWWW[[#This Row],['# People with access to Sanity Pads]])</calculatedColumnFormula>
    </tableColumn>
    <tableColumn id="57" name="#HH with access to Hand Washing Station" dataDxfId="666" totalsRowDxfId="665">
      <calculatedColumnFormula>WWWW[[#This Row],[Total HH]]*WWWW[[#This Row],[%HHs with access to functional hand washing stations]]</calculatedColumnFormula>
    </tableColumn>
    <tableColumn id="58" name="CCCM Management" dataDxfId="664" totalsRowDxfId="663" dataCellStyle="Percent">
      <calculatedColumnFormula>VLOOKUP(WWWW[[#This Row],[Site Name]],SiteDB6[],8,FALSE)</calculatedColumnFormula>
    </tableColumn>
    <tableColumn id="81" name="CCCM Focal Agency" dataDxfId="662" totalsRowDxfId="661" dataCellStyle="Percent">
      <calculatedColumnFormula>VLOOKUP(WWWW[[#This Row],[Site Name]],SiteDB6[],9,FALSE)</calculatedColumnFormula>
    </tableColumn>
    <tableColumn id="82" name="Location Type" dataDxfId="660" totalsRowDxfId="659" dataCellStyle="Percent">
      <calculatedColumnFormula>VLOOKUP(WWWW[[#This Row],[Site Name]],SiteDB6[],10,FALSE)</calculatedColumnFormula>
    </tableColumn>
    <tableColumn id="80" name="Location Type 1" dataDxfId="658" totalsRowDxfId="657" dataCellStyle="Percent">
      <calculatedColumnFormula>VLOOKUP(WWWW[[#This Row],[Site Name]],SiteDB6[],11,FALSE)</calculatedColumnFormula>
    </tableColumn>
    <tableColumn id="45" name="Type of accommodation" dataDxfId="656" totalsRowDxfId="655" dataCellStyle="Percent">
      <calculatedColumnFormula>VLOOKUP(WWWW[[#This Row],[Site Name]],SiteDB6[],12,FALSE)</calculatedColumnFormula>
    </tableColumn>
    <tableColumn id="46" name="Ethnic or GCA/NGCA" dataDxfId="654" totalsRowDxfId="653" dataCellStyle="Percent">
      <calculatedColumnFormula>VLOOKUP(WWWW[[#This Row],[Site Name]],SiteDB6[],13,FALSE)</calculatedColumnFormula>
    </tableColumn>
    <tableColumn id="60" name="Lat" dataDxfId="652" totalsRowDxfId="651" dataCellStyle="Percent">
      <calculatedColumnFormula>VLOOKUP(WWWW[[#This Row],[Site Name]],SiteDB6[],14,FALSE)</calculatedColumnFormula>
    </tableColumn>
    <tableColumn id="61" name="Long" dataDxfId="650" totalsRowDxfId="649" dataCellStyle="Percent">
      <calculatedColumnFormula>VLOOKUP(WWWW[[#This Row],[Site Name]],SiteDB6[],15,FALSE)</calculatedColumnFormula>
    </tableColumn>
    <tableColumn id="62" name="Pcode" dataDxfId="648" totalsRowDxfId="647" dataCellStyle="Percent">
      <calculatedColumnFormula>VLOOKUP(WWWW[[#This Row],[Site Name]],SiteDB6[],4,FALSE)</calculatedColumnFormula>
    </tableColumn>
    <tableColumn id="63" name="Covered" dataDxfId="646" totalsRowDxfId="645">
      <calculatedColumnFormula>IF(B7="none","Notcovered","Covered")</calculatedColumnFormula>
    </tableColumn>
    <tableColumn id="64" name="Remark" dataDxfId="644" totalsRowDxfId="643"/>
  </tableColumns>
  <tableStyleInfo name="TableStyleMedium27" showFirstColumn="1" showLastColumn="0" showRowStripes="1" showColumnStripes="0"/>
</table>
</file>

<file path=xl/tables/table2.xml><?xml version="1.0" encoding="utf-8"?>
<table xmlns="http://schemas.openxmlformats.org/spreadsheetml/2006/main" id="5" name="SiteDB6" displayName="SiteDB6" ref="A1:X774" totalsRowShown="0" headerRowDxfId="641">
  <autoFilter ref="A1:X774"/>
  <sortState ref="A2:X773">
    <sortCondition sortBy="cellColor" ref="B1:B773" dxfId="640"/>
  </sortState>
  <tableColumns count="24">
    <tableColumn id="1" name="Site Name" dataDxfId="639"/>
    <tableColumn id="27" name="2017Q4_used" dataDxfId="638"/>
    <tableColumn id="26" name="open in cccm?" dataDxfId="637"/>
    <tableColumn id="2" name="Pcode" dataDxfId="636"/>
    <tableColumn id="20" name="Vtract" dataDxfId="635"/>
    <tableColumn id="21" name="VillageWard" dataDxfId="634"/>
    <tableColumn id="23" name="VW_pcode" dataDxfId="633"/>
    <tableColumn id="3" name="CCCM Management" dataDxfId="632"/>
    <tableColumn id="4" name="CCCM Focal Agency" dataDxfId="631"/>
    <tableColumn id="5" name="Location Type" dataDxfId="630"/>
    <tableColumn id="6" name="Location Type 1" dataDxfId="629"/>
    <tableColumn id="7" name="Type of Accommodation" dataDxfId="628"/>
    <tableColumn id="8" name="Ethnic or GCA/NGCA" dataDxfId="627"/>
    <tableColumn id="10" name="Lat" dataDxfId="626"/>
    <tableColumn id="9" name="Long" dataDxfId="625"/>
    <tableColumn id="11" name="HRP categories" dataDxfId="624"/>
    <tableColumn id="12" name="Township" dataDxfId="623"/>
    <tableColumn id="13" name="State" dataDxfId="622"/>
    <tableColumn id="14" name="Current 4 W reported list" dataDxfId="621"/>
    <tableColumn id="15" name="HH_x000a_(Rakhine-CCCM as of 1st May 2017)_x000a_" dataDxfId="620"/>
    <tableColumn id="16" name="Pop_x000a_(Rakhine-CCCM as of 1st May 2017)" dataDxfId="619"/>
    <tableColumn id="17" name="Updated Date" dataDxfId="618"/>
    <tableColumn id="18" name="Remark" dataDxfId="617"/>
    <tableColumn id="19" name="Site Name_(Old)" dataDxfId="616"/>
  </tableColumns>
  <tableStyleInfo name="TableStyleMedium2" showFirstColumn="0" showLastColumn="0" showRowStripes="1" showColumnStripes="0"/>
</table>
</file>

<file path=xl/tables/table3.xml><?xml version="1.0" encoding="utf-8"?>
<table xmlns="http://schemas.openxmlformats.org/spreadsheetml/2006/main" id="7" name="Table7" displayName="Table7" ref="B48:G62" totalsRowCount="1" headerRowDxfId="160" dataDxfId="159" totalsRowDxfId="158">
  <autoFilter ref="B48:G61">
    <filterColumn colId="0" hiddenButton="1"/>
    <filterColumn colId="1" hiddenButton="1"/>
    <filterColumn colId="2" hiddenButton="1"/>
    <filterColumn colId="3" hiddenButton="1"/>
    <filterColumn colId="4" hiddenButton="1"/>
    <filterColumn colId="5" hiddenButton="1"/>
  </autoFilter>
  <tableColumns count="6">
    <tableColumn id="1" name="Gap in active camps / township" totalsRowLabel="Total" dataDxfId="157" totalsRowDxfId="156"/>
    <tableColumn id="2" name="Partners " totalsRowLabel="(in active camps)" dataDxfId="155" totalsRowDxfId="154"/>
    <tableColumn id="3" name="Total population" totalsRowFunction="sum" dataDxfId="153" totalsRowDxfId="152" dataCellStyle="Comma"/>
    <tableColumn id="4" name=" % _x000a_Water Gap" totalsRowLabel="11%" dataDxfId="151" totalsRowDxfId="150"/>
    <tableColumn id="5" name=" %_x000a_ Sanitation Gap" totalsRowLabel="21%" dataDxfId="149" totalsRowDxfId="148"/>
    <tableColumn id="6" name="%  _x000a_Hygiene Gap" totalsRowLabel="87%" dataDxfId="147" totalsRowDxfId="146"/>
  </tableColumns>
  <tableStyleInfo name="TableStyleLight20" showFirstColumn="0" showLastColumn="0" showRowStripes="1" showColumnStripes="0"/>
</table>
</file>

<file path=xl/tables/table4.xml><?xml version="1.0" encoding="utf-8"?>
<table xmlns="http://schemas.openxmlformats.org/spreadsheetml/2006/main" id="11" name="Table712" displayName="Table712" ref="B43:G53" totalsRowCount="1" headerRowDxfId="145" dataDxfId="144">
  <autoFilter ref="B43:G52">
    <filterColumn colId="0" hiddenButton="1"/>
    <filterColumn colId="1" hiddenButton="1"/>
    <filterColumn colId="2" hiddenButton="1"/>
    <filterColumn colId="3" hiddenButton="1"/>
    <filterColumn colId="4" hiddenButton="1"/>
    <filterColumn colId="5" hiddenButton="1"/>
  </autoFilter>
  <tableColumns count="6">
    <tableColumn id="1" name="Gap in active camps / township" totalsRowLabel="Total" dataDxfId="143" totalsRowDxfId="142"/>
    <tableColumn id="2" name="Partners " totalsRowLabel="(in active camps)" dataDxfId="141" totalsRowDxfId="140"/>
    <tableColumn id="3" name="Total population" totalsRowFunction="sum" dataDxfId="139" totalsRowDxfId="138" dataCellStyle="Comma"/>
    <tableColumn id="4" name=" % _x000a_Water Gap" totalsRowLabel="51%" dataDxfId="137" totalsRowDxfId="136"/>
    <tableColumn id="5" name=" %_x000a_ Sanitation Gap" totalsRowLabel="76%" dataDxfId="135" totalsRowDxfId="134"/>
    <tableColumn id="6" name="%  _x000a_Hygiene Gap" totalsRowLabel="89%" dataDxfId="133" totalsRowDxfId="132"/>
  </tableColumns>
  <tableStyleInfo name="TableStyleLight20" showFirstColumn="0" showLastColumn="0" showRowStripes="1" showColumnStripes="0"/>
</table>
</file>

<file path=xl/tables/table5.xml><?xml version="1.0" encoding="utf-8"?>
<table xmlns="http://schemas.openxmlformats.org/spreadsheetml/2006/main" id="9" name="Table71210" displayName="Table71210" ref="B38:G45" totalsRowCount="1" headerRowDxfId="131" dataDxfId="130">
  <tableColumns count="6">
    <tableColumn id="1" name="Gap in active camps / township" totalsRowLabel="Total" dataDxfId="129" totalsRowDxfId="128"/>
    <tableColumn id="2" name="Partners " totalsRowLabel="(in active camps)" dataDxfId="127" totalsRowDxfId="126"/>
    <tableColumn id="3" name="Total population" totalsRowFunction="sum" dataDxfId="125" totalsRowDxfId="124" dataCellStyle="Comma"/>
    <tableColumn id="4" name=" % _x000a_Water Gap" totalsRowLabel="11%" dataDxfId="123" totalsRowDxfId="122"/>
    <tableColumn id="5" name=" %_x000a_ Sanitation Gap" totalsRowLabel="11%" dataDxfId="121" totalsRowDxfId="120"/>
    <tableColumn id="6" name="%  _x000a_Hygiene Gap" totalsRowLabel="74%" dataDxfId="119" totalsRowDxfId="118"/>
  </tableColumns>
  <tableStyleInfo name="TableStyleLight20" showFirstColumn="0" showLastColumn="0" showRowStripes="1" showColumnStripes="0"/>
</table>
</file>

<file path=xl/tables/table6.xml><?xml version="1.0" encoding="utf-8"?>
<table xmlns="http://schemas.openxmlformats.org/spreadsheetml/2006/main" id="1" name="Table1" displayName="Table1" ref="AB3:AC83" totalsRowShown="0" headerRowDxfId="81" dataDxfId="79" headerRowBorderDxfId="80" tableBorderDxfId="78" dataCellStyle="Normal_Township">
  <autoFilter ref="AB3:AC83"/>
  <sortState ref="AB4:AC83">
    <sortCondition ref="AB4:AB83"/>
    <sortCondition ref="AC4:AC83"/>
  </sortState>
  <tableColumns count="2">
    <tableColumn id="1" name="State_list" dataDxfId="77" dataCellStyle="Normal_Township"/>
    <tableColumn id="2" name="TSps" dataDxfId="76" dataCellStyle="Normal_Township"/>
  </tableColumns>
  <tableStyleInfo name="TableStyleMedium2" showFirstColumn="0" showLastColumn="0" showRowStripes="1" showColumnStripes="0"/>
</table>
</file>

<file path=xl/tables/table7.xml><?xml version="1.0" encoding="utf-8"?>
<table xmlns="http://schemas.openxmlformats.org/spreadsheetml/2006/main" id="4" name="Table4" displayName="Table4" ref="AF3:AG786" totalsRowShown="0" headerRowDxfId="75" dataDxfId="73" headerRowBorderDxfId="74" tableBorderDxfId="72">
  <autoFilter ref="AF3:AG786"/>
  <sortState ref="AF273:AG302">
    <sortCondition ref="AF4:AF786"/>
    <sortCondition ref="AG4:AG786"/>
  </sortState>
  <tableColumns count="2">
    <tableColumn id="1" name="Township" dataDxfId="71"/>
    <tableColumn id="2" name="Site Name" dataDxfId="70"/>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microsoft.com/office/2007/relationships/slicer" Target="../slicers/slicer2.xml"/><Relationship Id="rId2" Type="http://schemas.openxmlformats.org/officeDocument/2006/relationships/drawing" Target="../drawings/drawing5.xml"/><Relationship Id="rId1" Type="http://schemas.openxmlformats.org/officeDocument/2006/relationships/pivotTable" Target="../pivotTables/pivotTable30.xml"/></Relationships>
</file>

<file path=xl/worksheets/_rels/sheet11.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drawing" Target="../drawings/drawing6.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7.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table" Target="../tables/table5.xml"/><Relationship Id="rId2" Type="http://schemas.openxmlformats.org/officeDocument/2006/relationships/drawing" Target="../drawings/drawing9.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microsoft.com/office/2007/relationships/slicer" Target="../slicers/slicer3.xml"/><Relationship Id="rId2" Type="http://schemas.openxmlformats.org/officeDocument/2006/relationships/drawing" Target="../drawings/drawing10.xml"/><Relationship Id="rId1" Type="http://schemas.openxmlformats.org/officeDocument/2006/relationships/pivotTable" Target="../pivotTables/pivotTable31.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1.xml"/><Relationship Id="rId1" Type="http://schemas.openxmlformats.org/officeDocument/2006/relationships/printerSettings" Target="../printerSettings/printerSettings13.bin"/><Relationship Id="rId6" Type="http://schemas.openxmlformats.org/officeDocument/2006/relationships/comments" Target="../comments2.xml"/><Relationship Id="rId5" Type="http://schemas.openxmlformats.org/officeDocument/2006/relationships/table" Target="../tables/table7.xml"/><Relationship Id="rId4" Type="http://schemas.openxmlformats.org/officeDocument/2006/relationships/table" Target="../tables/table6.xml"/></Relationships>
</file>

<file path=xl/worksheets/_rels/sheet2.xml.rels><?xml version="1.0" encoding="UTF-8" standalone="yes"?>
<Relationships xmlns="http://schemas.openxmlformats.org/package/2006/relationships"><Relationship Id="rId8" Type="http://schemas.openxmlformats.org/officeDocument/2006/relationships/pivotTable" Target="../pivotTables/pivotTable8.xml"/><Relationship Id="rId3" Type="http://schemas.openxmlformats.org/officeDocument/2006/relationships/pivotTable" Target="../pivotTables/pivotTable3.xml"/><Relationship Id="rId7" Type="http://schemas.openxmlformats.org/officeDocument/2006/relationships/pivotTable" Target="../pivotTables/pivotTable7.xml"/><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pivotTable" Target="../pivotTables/pivotTable6.xml"/><Relationship Id="rId11" Type="http://schemas.openxmlformats.org/officeDocument/2006/relationships/drawing" Target="../drawings/drawing1.xml"/><Relationship Id="rId5" Type="http://schemas.openxmlformats.org/officeDocument/2006/relationships/pivotTable" Target="../pivotTables/pivotTable5.xml"/><Relationship Id="rId10" Type="http://schemas.openxmlformats.org/officeDocument/2006/relationships/printerSettings" Target="../printerSettings/printerSettings2.bin"/><Relationship Id="rId4" Type="http://schemas.openxmlformats.org/officeDocument/2006/relationships/pivotTable" Target="../pivotTables/pivotTable4.xml"/><Relationship Id="rId9" Type="http://schemas.openxmlformats.org/officeDocument/2006/relationships/pivotTable" Target="../pivotTables/pivotTable9.xm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pivotTable" Target="../pivotTables/pivotTable10.xml"/></Relationships>
</file>

<file path=xl/worksheets/_rels/sheet4.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1.v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pivotTable" Target="../pivotTables/pivotTable18.xml"/><Relationship Id="rId13" Type="http://schemas.openxmlformats.org/officeDocument/2006/relationships/pivotTable" Target="../pivotTables/pivotTable23.xml"/><Relationship Id="rId18" Type="http://schemas.openxmlformats.org/officeDocument/2006/relationships/pivotTable" Target="../pivotTables/pivotTable28.xml"/><Relationship Id="rId3" Type="http://schemas.openxmlformats.org/officeDocument/2006/relationships/pivotTable" Target="../pivotTables/pivotTable13.xml"/><Relationship Id="rId21" Type="http://schemas.openxmlformats.org/officeDocument/2006/relationships/drawing" Target="../drawings/drawing4.xml"/><Relationship Id="rId7" Type="http://schemas.openxmlformats.org/officeDocument/2006/relationships/pivotTable" Target="../pivotTables/pivotTable17.xml"/><Relationship Id="rId12" Type="http://schemas.openxmlformats.org/officeDocument/2006/relationships/pivotTable" Target="../pivotTables/pivotTable22.xml"/><Relationship Id="rId17" Type="http://schemas.openxmlformats.org/officeDocument/2006/relationships/pivotTable" Target="../pivotTables/pivotTable27.xml"/><Relationship Id="rId2" Type="http://schemas.openxmlformats.org/officeDocument/2006/relationships/pivotTable" Target="../pivotTables/pivotTable12.xml"/><Relationship Id="rId16" Type="http://schemas.openxmlformats.org/officeDocument/2006/relationships/pivotTable" Target="../pivotTables/pivotTable26.xml"/><Relationship Id="rId20" Type="http://schemas.openxmlformats.org/officeDocument/2006/relationships/printerSettings" Target="../printerSettings/printerSettings9.bin"/><Relationship Id="rId1" Type="http://schemas.openxmlformats.org/officeDocument/2006/relationships/pivotTable" Target="../pivotTables/pivotTable11.xml"/><Relationship Id="rId6" Type="http://schemas.openxmlformats.org/officeDocument/2006/relationships/pivotTable" Target="../pivotTables/pivotTable16.xml"/><Relationship Id="rId11" Type="http://schemas.openxmlformats.org/officeDocument/2006/relationships/pivotTable" Target="../pivotTables/pivotTable21.xml"/><Relationship Id="rId5" Type="http://schemas.openxmlformats.org/officeDocument/2006/relationships/pivotTable" Target="../pivotTables/pivotTable15.xml"/><Relationship Id="rId15" Type="http://schemas.openxmlformats.org/officeDocument/2006/relationships/pivotTable" Target="../pivotTables/pivotTable25.xml"/><Relationship Id="rId10" Type="http://schemas.openxmlformats.org/officeDocument/2006/relationships/pivotTable" Target="../pivotTables/pivotTable20.xml"/><Relationship Id="rId19" Type="http://schemas.openxmlformats.org/officeDocument/2006/relationships/pivotTable" Target="../pivotTables/pivotTable29.xml"/><Relationship Id="rId4" Type="http://schemas.openxmlformats.org/officeDocument/2006/relationships/pivotTable" Target="../pivotTables/pivotTable14.xml"/><Relationship Id="rId9" Type="http://schemas.openxmlformats.org/officeDocument/2006/relationships/pivotTable" Target="../pivotTables/pivotTable19.xml"/><Relationship Id="rId14" Type="http://schemas.openxmlformats.org/officeDocument/2006/relationships/pivotTable" Target="../pivotTables/pivotTable24.xml"/><Relationship Id="rId22" Type="http://schemas.microsoft.com/office/2007/relationships/slicer" Target="../slicers/slicer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T48"/>
  <sheetViews>
    <sheetView topLeftCell="A20" zoomScale="96" zoomScaleNormal="96" workbookViewId="0">
      <selection activeCell="K37" sqref="K37"/>
    </sheetView>
  </sheetViews>
  <sheetFormatPr defaultColWidth="7.75" defaultRowHeight="15" x14ac:dyDescent="0.25"/>
  <cols>
    <col min="1" max="1" width="7.125" style="31" customWidth="1"/>
    <col min="2" max="2" width="2.25" style="31" customWidth="1"/>
    <col min="3" max="19" width="7.75" style="31"/>
    <col min="20" max="20" width="25.125" style="31" customWidth="1"/>
    <col min="21" max="16384" width="7.75" style="31"/>
  </cols>
  <sheetData>
    <row r="1" spans="2:20" ht="28.15" customHeight="1" thickBot="1" x14ac:dyDescent="0.3"/>
    <row r="2" spans="2:20" s="32" customFormat="1" ht="35.450000000000003" customHeight="1" thickTop="1" thickBot="1" x14ac:dyDescent="0.3">
      <c r="B2" s="864" t="s">
        <v>203</v>
      </c>
      <c r="C2" s="865"/>
      <c r="D2" s="865"/>
      <c r="E2" s="865"/>
      <c r="F2" s="865"/>
      <c r="G2" s="865"/>
      <c r="H2" s="865"/>
      <c r="I2" s="865"/>
      <c r="J2" s="865"/>
      <c r="K2" s="865"/>
      <c r="L2" s="865"/>
      <c r="M2" s="865"/>
      <c r="N2" s="865"/>
      <c r="O2" s="865"/>
      <c r="P2" s="865"/>
      <c r="Q2" s="865"/>
      <c r="R2" s="865"/>
      <c r="S2" s="865"/>
      <c r="T2" s="866"/>
    </row>
    <row r="3" spans="2:20" ht="15.75" thickTop="1" x14ac:dyDescent="0.25">
      <c r="B3" s="33"/>
      <c r="C3" s="34"/>
      <c r="D3" s="34"/>
      <c r="E3" s="34"/>
      <c r="F3" s="34"/>
      <c r="G3" s="34"/>
      <c r="H3" s="34"/>
      <c r="I3" s="34"/>
      <c r="J3" s="34"/>
      <c r="K3" s="34"/>
      <c r="L3" s="34"/>
      <c r="M3" s="34"/>
      <c r="N3" s="34"/>
      <c r="O3" s="34"/>
      <c r="P3" s="34"/>
      <c r="Q3" s="34"/>
      <c r="R3" s="34"/>
      <c r="S3" s="34"/>
      <c r="T3" s="35"/>
    </row>
    <row r="4" spans="2:20" x14ac:dyDescent="0.25">
      <c r="B4" s="33"/>
      <c r="C4" s="36" t="s">
        <v>204</v>
      </c>
      <c r="D4" s="34"/>
      <c r="E4" s="34"/>
      <c r="F4" s="34"/>
      <c r="G4" s="34"/>
      <c r="H4" s="34"/>
      <c r="I4" s="34"/>
      <c r="J4" s="34"/>
      <c r="K4" s="34"/>
      <c r="L4" s="34"/>
      <c r="M4" s="34"/>
      <c r="N4" s="34"/>
      <c r="O4" s="34"/>
      <c r="P4" s="34"/>
      <c r="Q4" s="34"/>
      <c r="R4" s="34"/>
      <c r="S4" s="34"/>
      <c r="T4" s="35"/>
    </row>
    <row r="5" spans="2:20" x14ac:dyDescent="0.25">
      <c r="B5" s="33"/>
      <c r="C5" s="34"/>
      <c r="D5" s="34" t="s">
        <v>205</v>
      </c>
      <c r="E5" s="34"/>
      <c r="F5" s="34"/>
      <c r="G5" s="34"/>
      <c r="H5" s="34"/>
      <c r="I5" s="34"/>
      <c r="J5" s="34"/>
      <c r="K5" s="34"/>
      <c r="L5" s="34"/>
      <c r="M5" s="34"/>
      <c r="N5" s="34"/>
      <c r="O5" s="34"/>
      <c r="P5" s="34"/>
      <c r="Q5" s="34"/>
      <c r="R5" s="34"/>
      <c r="S5" s="34"/>
      <c r="T5" s="35"/>
    </row>
    <row r="6" spans="2:20" x14ac:dyDescent="0.25">
      <c r="B6" s="33"/>
      <c r="C6" s="34"/>
      <c r="D6" s="34" t="s">
        <v>206</v>
      </c>
      <c r="E6" s="34"/>
      <c r="F6" s="34"/>
      <c r="G6" s="34"/>
      <c r="H6" s="34"/>
      <c r="I6" s="34"/>
      <c r="J6" s="34"/>
      <c r="K6" s="34"/>
      <c r="L6" s="34"/>
      <c r="M6" s="34"/>
      <c r="N6" s="34"/>
      <c r="O6" s="34"/>
      <c r="P6" s="34"/>
      <c r="Q6" s="34"/>
      <c r="R6" s="34"/>
      <c r="S6" s="34"/>
      <c r="T6" s="35"/>
    </row>
    <row r="7" spans="2:20" x14ac:dyDescent="0.25">
      <c r="B7" s="33"/>
      <c r="C7" s="34"/>
      <c r="D7" s="34" t="s">
        <v>207</v>
      </c>
      <c r="E7" s="34"/>
      <c r="F7" s="34"/>
      <c r="G7" s="34"/>
      <c r="H7" s="34"/>
      <c r="I7" s="34"/>
      <c r="J7" s="34"/>
      <c r="K7" s="34"/>
      <c r="L7" s="34"/>
      <c r="M7" s="34"/>
      <c r="N7" s="34"/>
      <c r="O7" s="34"/>
      <c r="P7" s="34"/>
      <c r="Q7" s="34"/>
      <c r="R7" s="34"/>
      <c r="S7" s="34"/>
      <c r="T7" s="35"/>
    </row>
    <row r="8" spans="2:20" x14ac:dyDescent="0.25">
      <c r="B8" s="33"/>
      <c r="C8" s="34"/>
      <c r="D8" s="34" t="s">
        <v>208</v>
      </c>
      <c r="E8" s="34"/>
      <c r="F8" s="34"/>
      <c r="G8" s="34"/>
      <c r="H8" s="34"/>
      <c r="I8" s="34"/>
      <c r="J8" s="34"/>
      <c r="K8" s="34"/>
      <c r="L8" s="34"/>
      <c r="M8" s="34"/>
      <c r="N8" s="34"/>
      <c r="O8" s="34"/>
      <c r="P8" s="34"/>
      <c r="Q8" s="34"/>
      <c r="R8" s="34"/>
      <c r="S8" s="34"/>
      <c r="T8" s="35"/>
    </row>
    <row r="9" spans="2:20" x14ac:dyDescent="0.25">
      <c r="B9" s="33"/>
      <c r="C9" s="34"/>
      <c r="D9" s="34" t="s">
        <v>209</v>
      </c>
      <c r="E9" s="34"/>
      <c r="F9" s="34"/>
      <c r="G9" s="34"/>
      <c r="H9" s="34"/>
      <c r="I9" s="34"/>
      <c r="J9" s="34"/>
      <c r="K9" s="34"/>
      <c r="L9" s="34"/>
      <c r="M9" s="34"/>
      <c r="N9" s="34"/>
      <c r="O9" s="34"/>
      <c r="P9" s="34"/>
      <c r="Q9" s="34"/>
      <c r="R9" s="34"/>
      <c r="S9" s="34"/>
      <c r="T9" s="35"/>
    </row>
    <row r="10" spans="2:20" x14ac:dyDescent="0.25">
      <c r="B10" s="33"/>
      <c r="C10" s="34"/>
      <c r="D10" s="34" t="s">
        <v>210</v>
      </c>
      <c r="E10" s="34"/>
      <c r="F10" s="34"/>
      <c r="G10" s="34"/>
      <c r="H10" s="34"/>
      <c r="I10" s="34"/>
      <c r="J10" s="34"/>
      <c r="K10" s="34"/>
      <c r="L10" s="34"/>
      <c r="M10" s="34"/>
      <c r="N10" s="34"/>
      <c r="O10" s="34"/>
      <c r="P10" s="34"/>
      <c r="Q10" s="34"/>
      <c r="R10" s="34"/>
      <c r="S10" s="34"/>
      <c r="T10" s="35"/>
    </row>
    <row r="11" spans="2:20" x14ac:dyDescent="0.25">
      <c r="B11" s="33"/>
      <c r="C11" s="34"/>
      <c r="D11" s="34" t="s">
        <v>211</v>
      </c>
      <c r="E11" s="34"/>
      <c r="F11" s="34"/>
      <c r="G11" s="34"/>
      <c r="H11" s="34"/>
      <c r="I11" s="34"/>
      <c r="J11" s="34"/>
      <c r="K11" s="34"/>
      <c r="L11" s="34"/>
      <c r="M11" s="34"/>
      <c r="N11" s="34"/>
      <c r="O11" s="34"/>
      <c r="P11" s="34"/>
      <c r="Q11" s="34"/>
      <c r="R11" s="34"/>
      <c r="S11" s="34"/>
      <c r="T11" s="35"/>
    </row>
    <row r="12" spans="2:20" x14ac:dyDescent="0.25">
      <c r="B12" s="33"/>
      <c r="C12" s="34"/>
      <c r="D12" s="34" t="s">
        <v>212</v>
      </c>
      <c r="E12" s="34"/>
      <c r="F12" s="34"/>
      <c r="G12" s="34"/>
      <c r="H12" s="34"/>
      <c r="I12" s="34"/>
      <c r="J12" s="34"/>
      <c r="K12" s="34"/>
      <c r="L12" s="34"/>
      <c r="M12" s="34"/>
      <c r="N12" s="34"/>
      <c r="O12" s="34"/>
      <c r="P12" s="34"/>
      <c r="Q12" s="34"/>
      <c r="R12" s="34"/>
      <c r="S12" s="34"/>
      <c r="T12" s="35"/>
    </row>
    <row r="13" spans="2:20" x14ac:dyDescent="0.25">
      <c r="B13" s="33"/>
      <c r="C13" s="34"/>
      <c r="D13" s="34" t="s">
        <v>213</v>
      </c>
      <c r="E13" s="34"/>
      <c r="F13" s="34"/>
      <c r="G13" s="34"/>
      <c r="H13" s="34"/>
      <c r="I13" s="34"/>
      <c r="J13" s="34"/>
      <c r="K13" s="34"/>
      <c r="L13" s="34"/>
      <c r="M13" s="34"/>
      <c r="N13" s="34"/>
      <c r="O13" s="34"/>
      <c r="P13" s="34"/>
      <c r="Q13" s="34"/>
      <c r="R13" s="34"/>
      <c r="S13" s="34"/>
      <c r="T13" s="35"/>
    </row>
    <row r="14" spans="2:20" x14ac:dyDescent="0.25">
      <c r="B14" s="33"/>
      <c r="C14" s="34"/>
      <c r="D14" s="34"/>
      <c r="E14" s="34"/>
      <c r="F14" s="34"/>
      <c r="G14" s="34"/>
      <c r="H14" s="34"/>
      <c r="I14" s="34"/>
      <c r="J14" s="34"/>
      <c r="K14" s="34"/>
      <c r="L14" s="34"/>
      <c r="M14" s="34"/>
      <c r="N14" s="34"/>
      <c r="O14" s="34"/>
      <c r="P14" s="34"/>
      <c r="Q14" s="34"/>
      <c r="R14" s="34"/>
      <c r="S14" s="34"/>
      <c r="T14" s="35"/>
    </row>
    <row r="15" spans="2:20" x14ac:dyDescent="0.25">
      <c r="B15" s="33"/>
      <c r="C15" s="36" t="s">
        <v>214</v>
      </c>
      <c r="D15" s="34"/>
      <c r="E15" s="34"/>
      <c r="F15" s="34"/>
      <c r="G15" s="34"/>
      <c r="H15" s="34"/>
      <c r="I15" s="34"/>
      <c r="J15" s="34"/>
      <c r="K15" s="34"/>
      <c r="L15" s="34"/>
      <c r="M15" s="34"/>
      <c r="N15" s="34"/>
      <c r="O15" s="34"/>
      <c r="P15" s="34"/>
      <c r="Q15" s="34"/>
      <c r="R15" s="34"/>
      <c r="S15" s="34"/>
      <c r="T15" s="35"/>
    </row>
    <row r="16" spans="2:20" x14ac:dyDescent="0.25">
      <c r="B16" s="33"/>
      <c r="C16" s="34"/>
      <c r="D16" s="34" t="s">
        <v>215</v>
      </c>
      <c r="E16" s="34"/>
      <c r="F16" s="34"/>
      <c r="G16" s="34"/>
      <c r="H16" s="34"/>
      <c r="I16" s="34"/>
      <c r="J16" s="34"/>
      <c r="K16" s="34"/>
      <c r="L16" s="34"/>
      <c r="M16" s="34"/>
      <c r="N16" s="34"/>
      <c r="O16" s="34"/>
      <c r="P16" s="34"/>
      <c r="Q16" s="34"/>
      <c r="R16" s="34"/>
      <c r="S16" s="34"/>
      <c r="T16" s="35"/>
    </row>
    <row r="17" spans="2:20" x14ac:dyDescent="0.25">
      <c r="B17" s="33"/>
      <c r="C17" s="34"/>
      <c r="D17" s="34" t="s">
        <v>216</v>
      </c>
      <c r="E17" s="34"/>
      <c r="F17" s="34"/>
      <c r="G17" s="34"/>
      <c r="H17" s="34"/>
      <c r="I17" s="34"/>
      <c r="J17" s="34"/>
      <c r="K17" s="34"/>
      <c r="L17" s="34"/>
      <c r="M17" s="34"/>
      <c r="N17" s="34"/>
      <c r="O17" s="34"/>
      <c r="P17" s="34"/>
      <c r="Q17" s="34"/>
      <c r="R17" s="34"/>
      <c r="S17" s="34"/>
      <c r="T17" s="35"/>
    </row>
    <row r="18" spans="2:20" x14ac:dyDescent="0.25">
      <c r="B18" s="33"/>
      <c r="C18" s="34"/>
      <c r="D18" s="34" t="s">
        <v>217</v>
      </c>
      <c r="E18" s="34"/>
      <c r="F18" s="34"/>
      <c r="G18" s="34"/>
      <c r="H18" s="34"/>
      <c r="I18" s="34"/>
      <c r="J18" s="34"/>
      <c r="K18" s="34"/>
      <c r="L18" s="34"/>
      <c r="M18" s="34"/>
      <c r="N18" s="34"/>
      <c r="O18" s="34"/>
      <c r="P18" s="34"/>
      <c r="Q18" s="34"/>
      <c r="R18" s="34"/>
      <c r="S18" s="34"/>
      <c r="T18" s="35"/>
    </row>
    <row r="19" spans="2:20" x14ac:dyDescent="0.25">
      <c r="B19" s="33"/>
      <c r="C19" s="34"/>
      <c r="D19" s="34" t="s">
        <v>218</v>
      </c>
      <c r="E19" s="34"/>
      <c r="F19" s="34"/>
      <c r="G19" s="34"/>
      <c r="H19" s="34"/>
      <c r="I19" s="34"/>
      <c r="J19" s="34"/>
      <c r="K19" s="34"/>
      <c r="L19" s="34"/>
      <c r="M19" s="34"/>
      <c r="N19" s="34"/>
      <c r="O19" s="34"/>
      <c r="P19" s="34"/>
      <c r="Q19" s="34"/>
      <c r="R19" s="34"/>
      <c r="S19" s="34"/>
      <c r="T19" s="35"/>
    </row>
    <row r="20" spans="2:20" x14ac:dyDescent="0.25">
      <c r="B20" s="33"/>
      <c r="C20" s="34"/>
      <c r="D20" s="34" t="s">
        <v>219</v>
      </c>
      <c r="E20" s="34"/>
      <c r="F20" s="34"/>
      <c r="G20" s="34"/>
      <c r="H20" s="34"/>
      <c r="I20" s="34"/>
      <c r="J20" s="34"/>
      <c r="K20" s="34"/>
      <c r="L20" s="34"/>
      <c r="M20" s="34"/>
      <c r="N20" s="34"/>
      <c r="O20" s="34"/>
      <c r="P20" s="34"/>
      <c r="Q20" s="34"/>
      <c r="R20" s="34"/>
      <c r="S20" s="34"/>
      <c r="T20" s="35"/>
    </row>
    <row r="21" spans="2:20" x14ac:dyDescent="0.25">
      <c r="B21" s="33"/>
      <c r="C21" s="34"/>
      <c r="D21" s="34" t="s">
        <v>220</v>
      </c>
      <c r="E21" s="34"/>
      <c r="F21" s="34"/>
      <c r="G21" s="34"/>
      <c r="H21" s="34"/>
      <c r="I21" s="34"/>
      <c r="J21" s="34"/>
      <c r="K21" s="34"/>
      <c r="L21" s="34"/>
      <c r="M21" s="34"/>
      <c r="N21" s="34"/>
      <c r="O21" s="34"/>
      <c r="P21" s="34"/>
      <c r="Q21" s="34"/>
      <c r="R21" s="34"/>
      <c r="S21" s="34"/>
      <c r="T21" s="35"/>
    </row>
    <row r="22" spans="2:20" x14ac:dyDescent="0.25">
      <c r="B22" s="33"/>
      <c r="C22" s="34"/>
      <c r="D22" s="34" t="s">
        <v>221</v>
      </c>
      <c r="E22" s="34"/>
      <c r="F22" s="34"/>
      <c r="G22" s="34"/>
      <c r="H22" s="34"/>
      <c r="I22" s="34"/>
      <c r="J22" s="34"/>
      <c r="K22" s="34"/>
      <c r="L22" s="34"/>
      <c r="M22" s="34"/>
      <c r="N22" s="34"/>
      <c r="O22" s="34"/>
      <c r="P22" s="34"/>
      <c r="Q22" s="34"/>
      <c r="R22" s="34"/>
      <c r="S22" s="34"/>
      <c r="T22" s="35"/>
    </row>
    <row r="23" spans="2:20" x14ac:dyDescent="0.25">
      <c r="B23" s="33"/>
      <c r="C23" s="34"/>
      <c r="D23" s="34"/>
      <c r="E23" s="34"/>
      <c r="F23" s="34"/>
      <c r="G23" s="34"/>
      <c r="H23" s="34"/>
      <c r="I23" s="34"/>
      <c r="J23" s="34"/>
      <c r="K23" s="34"/>
      <c r="L23" s="34"/>
      <c r="M23" s="34"/>
      <c r="N23" s="34"/>
      <c r="O23" s="34"/>
      <c r="P23" s="34"/>
      <c r="Q23" s="34"/>
      <c r="R23" s="34"/>
      <c r="S23" s="34"/>
      <c r="T23" s="35"/>
    </row>
    <row r="24" spans="2:20" x14ac:dyDescent="0.25">
      <c r="B24" s="33"/>
      <c r="C24" s="36" t="s">
        <v>222</v>
      </c>
      <c r="D24" s="34"/>
      <c r="E24" s="34"/>
      <c r="F24" s="34"/>
      <c r="G24" s="34"/>
      <c r="H24" s="34"/>
      <c r="I24" s="34"/>
      <c r="J24" s="34"/>
      <c r="K24" s="34"/>
      <c r="L24" s="34"/>
      <c r="M24" s="34"/>
      <c r="N24" s="34"/>
      <c r="O24" s="34"/>
      <c r="P24" s="34"/>
      <c r="Q24" s="34"/>
      <c r="R24" s="34"/>
      <c r="S24" s="34"/>
      <c r="T24" s="35"/>
    </row>
    <row r="25" spans="2:20" x14ac:dyDescent="0.25">
      <c r="B25" s="33"/>
      <c r="C25" s="34"/>
      <c r="D25" s="34" t="s">
        <v>223</v>
      </c>
      <c r="E25" s="34"/>
      <c r="F25" s="34"/>
      <c r="G25" s="34"/>
      <c r="H25" s="34"/>
      <c r="I25" s="34"/>
      <c r="J25" s="34"/>
      <c r="K25" s="34"/>
      <c r="L25" s="34"/>
      <c r="M25" s="34"/>
      <c r="N25" s="34"/>
      <c r="O25" s="34"/>
      <c r="P25" s="34"/>
      <c r="Q25" s="34"/>
      <c r="R25" s="34"/>
      <c r="S25" s="34"/>
      <c r="T25" s="35"/>
    </row>
    <row r="26" spans="2:20" ht="27" customHeight="1" x14ac:dyDescent="0.25">
      <c r="B26" s="33"/>
      <c r="C26" s="34"/>
      <c r="D26" s="867" t="s">
        <v>2767</v>
      </c>
      <c r="E26" s="868"/>
      <c r="F26" s="868"/>
      <c r="G26" s="868"/>
      <c r="H26" s="868"/>
      <c r="I26" s="868"/>
      <c r="J26" s="868"/>
      <c r="K26" s="868"/>
      <c r="L26" s="868"/>
      <c r="M26" s="868"/>
      <c r="N26" s="868"/>
      <c r="O26" s="868"/>
      <c r="P26" s="868"/>
      <c r="Q26" s="868"/>
      <c r="R26" s="868"/>
      <c r="S26" s="868"/>
      <c r="T26" s="869"/>
    </row>
    <row r="27" spans="2:20" x14ac:dyDescent="0.25">
      <c r="B27" s="33"/>
      <c r="C27" s="34"/>
      <c r="D27" s="854" t="s">
        <v>2766</v>
      </c>
      <c r="E27" s="34"/>
      <c r="F27" s="34"/>
      <c r="G27" s="34"/>
      <c r="H27" s="34"/>
      <c r="I27" s="34"/>
      <c r="J27" s="34"/>
      <c r="K27" s="34"/>
      <c r="L27" s="34"/>
      <c r="M27" s="34"/>
      <c r="N27" s="34"/>
      <c r="O27" s="34"/>
      <c r="P27" s="34"/>
      <c r="Q27" s="34"/>
      <c r="R27" s="34"/>
      <c r="S27" s="34"/>
      <c r="T27" s="35"/>
    </row>
    <row r="28" spans="2:20" x14ac:dyDescent="0.25">
      <c r="B28" s="33"/>
      <c r="C28" s="34"/>
      <c r="D28" s="34" t="s">
        <v>224</v>
      </c>
      <c r="E28" s="34"/>
      <c r="F28" s="34"/>
      <c r="G28" s="34"/>
      <c r="H28" s="34"/>
      <c r="I28" s="34"/>
      <c r="J28" s="34"/>
      <c r="K28" s="34"/>
      <c r="L28" s="34"/>
      <c r="M28" s="34"/>
      <c r="N28" s="34"/>
      <c r="O28" s="34"/>
      <c r="P28" s="34"/>
      <c r="Q28" s="34"/>
      <c r="R28" s="34"/>
      <c r="S28" s="34"/>
      <c r="T28" s="35"/>
    </row>
    <row r="29" spans="2:20" x14ac:dyDescent="0.25">
      <c r="B29" s="33"/>
      <c r="C29" s="34"/>
      <c r="D29" s="34" t="s">
        <v>225</v>
      </c>
      <c r="E29" s="34"/>
      <c r="F29" s="34"/>
      <c r="G29" s="34"/>
      <c r="H29" s="34"/>
      <c r="I29" s="34"/>
      <c r="J29" s="34"/>
      <c r="K29" s="34"/>
      <c r="L29" s="34"/>
      <c r="M29" s="34"/>
      <c r="N29" s="34"/>
      <c r="O29" s="34"/>
      <c r="P29" s="34"/>
      <c r="Q29" s="34"/>
      <c r="R29" s="34"/>
      <c r="S29" s="34"/>
      <c r="T29" s="35"/>
    </row>
    <row r="30" spans="2:20" x14ac:dyDescent="0.25">
      <c r="B30" s="33"/>
      <c r="C30" s="34"/>
      <c r="D30" s="34" t="s">
        <v>226</v>
      </c>
      <c r="E30" s="34"/>
      <c r="F30" s="34"/>
      <c r="G30" s="34"/>
      <c r="H30" s="34"/>
      <c r="I30" s="34"/>
      <c r="J30" s="34"/>
      <c r="K30" s="34"/>
      <c r="L30" s="34"/>
      <c r="M30" s="34"/>
      <c r="N30" s="34"/>
      <c r="O30" s="34"/>
      <c r="P30" s="34"/>
      <c r="Q30" s="34"/>
      <c r="R30" s="34"/>
      <c r="S30" s="34"/>
      <c r="T30" s="35"/>
    </row>
    <row r="31" spans="2:20" x14ac:dyDescent="0.25">
      <c r="B31" s="33"/>
      <c r="C31" s="34"/>
      <c r="D31" s="854" t="s">
        <v>2804</v>
      </c>
      <c r="E31" s="34"/>
      <c r="F31" s="34"/>
      <c r="G31" s="34"/>
      <c r="H31" s="34"/>
      <c r="I31" s="34"/>
      <c r="J31" s="34"/>
      <c r="K31" s="34"/>
      <c r="L31" s="34"/>
      <c r="M31" s="34"/>
      <c r="N31" s="34"/>
      <c r="O31" s="34"/>
      <c r="P31" s="34"/>
      <c r="Q31" s="34"/>
      <c r="R31" s="34"/>
      <c r="S31" s="34"/>
      <c r="T31" s="35"/>
    </row>
    <row r="32" spans="2:20" x14ac:dyDescent="0.25">
      <c r="B32" s="33"/>
      <c r="C32" s="34"/>
      <c r="D32" s="34" t="s">
        <v>227</v>
      </c>
      <c r="E32" s="34"/>
      <c r="F32" s="34"/>
      <c r="G32" s="34"/>
      <c r="H32" s="34"/>
      <c r="I32" s="34"/>
      <c r="J32" s="34"/>
      <c r="K32" s="34"/>
      <c r="L32" s="34"/>
      <c r="M32" s="34"/>
      <c r="N32" s="34"/>
      <c r="O32" s="34"/>
      <c r="P32" s="34"/>
      <c r="Q32" s="34"/>
      <c r="R32" s="34"/>
      <c r="S32" s="34"/>
      <c r="T32" s="35"/>
    </row>
    <row r="33" spans="2:20" x14ac:dyDescent="0.25">
      <c r="B33" s="33"/>
      <c r="C33" s="34"/>
      <c r="D33" s="34" t="s">
        <v>228</v>
      </c>
      <c r="E33" s="34"/>
      <c r="F33" s="34"/>
      <c r="G33" s="34"/>
      <c r="H33" s="34"/>
      <c r="I33" s="34"/>
      <c r="J33" s="34"/>
      <c r="K33" s="34"/>
      <c r="L33" s="34"/>
      <c r="M33" s="34"/>
      <c r="N33" s="34"/>
      <c r="O33" s="34"/>
      <c r="P33" s="34"/>
      <c r="Q33" s="34"/>
      <c r="R33" s="34"/>
      <c r="S33" s="34"/>
      <c r="T33" s="35"/>
    </row>
    <row r="34" spans="2:20" x14ac:dyDescent="0.25">
      <c r="B34" s="33"/>
      <c r="C34" s="34"/>
      <c r="D34" s="34"/>
      <c r="E34" s="34"/>
      <c r="F34" s="34"/>
      <c r="G34" s="34"/>
      <c r="H34" s="34"/>
      <c r="I34" s="34"/>
      <c r="J34" s="34"/>
      <c r="K34" s="34"/>
      <c r="L34" s="34"/>
      <c r="M34" s="34"/>
      <c r="N34" s="34"/>
      <c r="O34" s="34"/>
      <c r="P34" s="34"/>
      <c r="Q34" s="34"/>
      <c r="R34" s="34"/>
      <c r="S34" s="34"/>
      <c r="T34" s="35"/>
    </row>
    <row r="35" spans="2:20" x14ac:dyDescent="0.25">
      <c r="B35" s="33"/>
      <c r="C35" s="36" t="s">
        <v>229</v>
      </c>
      <c r="D35" s="34"/>
      <c r="E35" s="34"/>
      <c r="F35" s="34"/>
      <c r="G35" s="34"/>
      <c r="H35" s="34"/>
      <c r="I35" s="34"/>
      <c r="J35" s="34"/>
      <c r="K35" s="34"/>
      <c r="L35" s="34"/>
      <c r="M35" s="34"/>
      <c r="N35" s="34"/>
      <c r="O35" s="34"/>
      <c r="P35" s="34"/>
      <c r="Q35" s="34"/>
      <c r="R35" s="34"/>
      <c r="S35" s="34"/>
      <c r="T35" s="35"/>
    </row>
    <row r="36" spans="2:20" x14ac:dyDescent="0.25">
      <c r="B36" s="33"/>
      <c r="C36" s="34"/>
      <c r="D36" s="34" t="s">
        <v>230</v>
      </c>
      <c r="E36" s="34"/>
      <c r="F36" s="34"/>
      <c r="G36" s="34"/>
      <c r="H36" s="34"/>
      <c r="I36" s="34"/>
      <c r="J36" s="34"/>
      <c r="K36" s="34"/>
      <c r="L36" s="34"/>
      <c r="M36" s="34"/>
      <c r="N36" s="34"/>
      <c r="O36" s="34"/>
      <c r="P36" s="34"/>
      <c r="Q36" s="34"/>
      <c r="R36" s="34"/>
      <c r="S36" s="34"/>
      <c r="T36" s="35"/>
    </row>
    <row r="37" spans="2:20" x14ac:dyDescent="0.25">
      <c r="B37" s="33"/>
      <c r="C37" s="34"/>
      <c r="D37" s="34" t="s">
        <v>231</v>
      </c>
      <c r="E37" s="34"/>
      <c r="F37" s="34"/>
      <c r="G37" s="34"/>
      <c r="H37" s="34"/>
      <c r="I37" s="34"/>
      <c r="J37" s="34"/>
      <c r="K37" s="34"/>
      <c r="L37" s="34"/>
      <c r="M37" s="34"/>
      <c r="N37" s="34"/>
      <c r="O37" s="34"/>
      <c r="P37" s="34"/>
      <c r="Q37" s="34"/>
      <c r="R37" s="34"/>
      <c r="S37" s="34"/>
      <c r="T37" s="35"/>
    </row>
    <row r="38" spans="2:20" x14ac:dyDescent="0.25">
      <c r="B38" s="33"/>
      <c r="C38" s="34"/>
      <c r="D38" s="34" t="s">
        <v>232</v>
      </c>
      <c r="E38" s="34"/>
      <c r="F38" s="34"/>
      <c r="G38" s="34"/>
      <c r="H38" s="34"/>
      <c r="I38" s="34"/>
      <c r="J38" s="34"/>
      <c r="K38" s="34"/>
      <c r="L38" s="34"/>
      <c r="M38" s="34"/>
      <c r="N38" s="34"/>
      <c r="O38" s="34"/>
      <c r="P38" s="34"/>
      <c r="Q38" s="34"/>
      <c r="R38" s="34"/>
      <c r="S38" s="34"/>
      <c r="T38" s="35"/>
    </row>
    <row r="39" spans="2:20" x14ac:dyDescent="0.25">
      <c r="B39" s="33"/>
      <c r="C39" s="34"/>
      <c r="D39" s="34" t="s">
        <v>233</v>
      </c>
      <c r="E39" s="34"/>
      <c r="F39" s="34"/>
      <c r="G39" s="34"/>
      <c r="H39" s="34"/>
      <c r="I39" s="34"/>
      <c r="J39" s="34"/>
      <c r="K39" s="34"/>
      <c r="L39" s="34"/>
      <c r="M39" s="34"/>
      <c r="N39" s="34"/>
      <c r="O39" s="34"/>
      <c r="P39" s="34"/>
      <c r="Q39" s="34"/>
      <c r="R39" s="34"/>
      <c r="S39" s="34"/>
      <c r="T39" s="35"/>
    </row>
    <row r="40" spans="2:20" x14ac:dyDescent="0.25">
      <c r="B40" s="33"/>
      <c r="C40" s="34"/>
      <c r="D40" s="34"/>
      <c r="E40" s="34"/>
      <c r="F40" s="34"/>
      <c r="G40" s="34"/>
      <c r="H40" s="34"/>
      <c r="I40" s="34"/>
      <c r="J40" s="34"/>
      <c r="K40" s="34"/>
      <c r="L40" s="34"/>
      <c r="M40" s="34"/>
      <c r="N40" s="34"/>
      <c r="O40" s="34"/>
      <c r="P40" s="34"/>
      <c r="Q40" s="34"/>
      <c r="R40" s="34"/>
      <c r="S40" s="34"/>
      <c r="T40" s="35"/>
    </row>
    <row r="41" spans="2:20" x14ac:dyDescent="0.25">
      <c r="B41" s="33"/>
      <c r="C41" s="36" t="s">
        <v>234</v>
      </c>
      <c r="D41" s="34"/>
      <c r="E41" s="34"/>
      <c r="F41" s="34"/>
      <c r="G41" s="34"/>
      <c r="H41" s="34"/>
      <c r="I41" s="34"/>
      <c r="J41" s="34"/>
      <c r="K41" s="34"/>
      <c r="L41" s="34"/>
      <c r="M41" s="34"/>
      <c r="N41" s="34"/>
      <c r="O41" s="34"/>
      <c r="P41" s="34"/>
      <c r="Q41" s="34"/>
      <c r="R41" s="34"/>
      <c r="S41" s="34"/>
      <c r="T41" s="35"/>
    </row>
    <row r="42" spans="2:20" x14ac:dyDescent="0.25">
      <c r="B42" s="33"/>
      <c r="C42" s="34"/>
      <c r="D42" s="34" t="s">
        <v>235</v>
      </c>
      <c r="E42" s="34"/>
      <c r="F42" s="34"/>
      <c r="G42" s="34"/>
      <c r="H42" s="34"/>
      <c r="I42" s="34"/>
      <c r="J42" s="34"/>
      <c r="K42" s="34"/>
      <c r="L42" s="34"/>
      <c r="M42" s="34"/>
      <c r="N42" s="34"/>
      <c r="O42" s="34"/>
      <c r="P42" s="34"/>
      <c r="Q42" s="34"/>
      <c r="R42" s="34"/>
      <c r="S42" s="34"/>
      <c r="T42" s="35"/>
    </row>
    <row r="43" spans="2:20" x14ac:dyDescent="0.25">
      <c r="B43" s="33"/>
      <c r="C43" s="34"/>
      <c r="D43" s="34" t="s">
        <v>236</v>
      </c>
      <c r="E43" s="34"/>
      <c r="F43" s="34"/>
      <c r="G43" s="34"/>
      <c r="H43" s="34"/>
      <c r="I43" s="34"/>
      <c r="J43" s="34"/>
      <c r="K43" s="34"/>
      <c r="L43" s="34"/>
      <c r="M43" s="34"/>
      <c r="N43" s="34"/>
      <c r="O43" s="34"/>
      <c r="P43" s="34"/>
      <c r="Q43" s="34"/>
      <c r="R43" s="34"/>
      <c r="S43" s="34"/>
      <c r="T43" s="35"/>
    </row>
    <row r="44" spans="2:20" x14ac:dyDescent="0.25">
      <c r="B44" s="33"/>
      <c r="C44" s="34"/>
      <c r="D44" s="34" t="s">
        <v>237</v>
      </c>
      <c r="E44" s="34"/>
      <c r="F44" s="34"/>
      <c r="G44" s="34"/>
      <c r="H44" s="34"/>
      <c r="I44" s="34"/>
      <c r="J44" s="34"/>
      <c r="K44" s="34"/>
      <c r="L44" s="34"/>
      <c r="M44" s="34"/>
      <c r="N44" s="34"/>
      <c r="O44" s="34"/>
      <c r="P44" s="34"/>
      <c r="Q44" s="34"/>
      <c r="R44" s="34"/>
      <c r="S44" s="34"/>
      <c r="T44" s="35"/>
    </row>
    <row r="45" spans="2:20" x14ac:dyDescent="0.25">
      <c r="B45" s="33"/>
      <c r="C45" s="34"/>
      <c r="D45" s="34" t="s">
        <v>238</v>
      </c>
      <c r="E45" s="34"/>
      <c r="F45" s="34"/>
      <c r="G45" s="34"/>
      <c r="H45" s="34"/>
      <c r="I45" s="34"/>
      <c r="J45" s="34"/>
      <c r="K45" s="34"/>
      <c r="L45" s="34"/>
      <c r="M45" s="34"/>
      <c r="N45" s="34"/>
      <c r="O45" s="34"/>
      <c r="P45" s="34"/>
      <c r="Q45" s="34"/>
      <c r="R45" s="34"/>
      <c r="S45" s="34"/>
      <c r="T45" s="35"/>
    </row>
    <row r="46" spans="2:20" x14ac:dyDescent="0.25">
      <c r="B46" s="33"/>
      <c r="C46" s="34"/>
      <c r="D46" s="34"/>
      <c r="E46" s="34"/>
      <c r="F46" s="34"/>
      <c r="G46" s="34"/>
      <c r="H46" s="34"/>
      <c r="I46" s="34"/>
      <c r="J46" s="34"/>
      <c r="K46" s="34"/>
      <c r="L46" s="34"/>
      <c r="M46" s="34"/>
      <c r="N46" s="34"/>
      <c r="O46" s="34"/>
      <c r="P46" s="34"/>
      <c r="Q46" s="34"/>
      <c r="R46" s="34"/>
      <c r="S46" s="34"/>
      <c r="T46" s="35"/>
    </row>
    <row r="47" spans="2:20" ht="15.75" thickBot="1" x14ac:dyDescent="0.3">
      <c r="B47" s="37"/>
      <c r="C47" s="38"/>
      <c r="D47" s="38"/>
      <c r="E47" s="38"/>
      <c r="F47" s="38"/>
      <c r="G47" s="38"/>
      <c r="H47" s="38"/>
      <c r="I47" s="38"/>
      <c r="J47" s="38"/>
      <c r="K47" s="38"/>
      <c r="L47" s="38"/>
      <c r="M47" s="38"/>
      <c r="N47" s="38"/>
      <c r="O47" s="38"/>
      <c r="P47" s="38"/>
      <c r="Q47" s="38"/>
      <c r="R47" s="38"/>
      <c r="S47" s="38"/>
      <c r="T47" s="39"/>
    </row>
    <row r="48" spans="2:20" ht="15.75" thickTop="1" x14ac:dyDescent="0.25"/>
  </sheetData>
  <mergeCells count="2">
    <mergeCell ref="B2:T2"/>
    <mergeCell ref="D26:T26"/>
  </mergeCells>
  <pageMargins left="0.7" right="0.7" top="0.75" bottom="0.75" header="0.3" footer="0.3"/>
  <pageSetup paperSize="0" orientation="portrait" horizontalDpi="0" verticalDpi="0" copies="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7:G163"/>
  <sheetViews>
    <sheetView showGridLines="0" zoomScale="90" zoomScaleNormal="90" workbookViewId="0">
      <selection activeCell="C21" sqref="C21"/>
    </sheetView>
  </sheetViews>
  <sheetFormatPr defaultRowHeight="15.75" x14ac:dyDescent="0.25"/>
  <cols>
    <col min="1" max="1" width="31.875" style="303" bestFit="1" customWidth="1"/>
    <col min="2" max="2" width="15.875" style="303" bestFit="1" customWidth="1"/>
    <col min="3" max="3" width="22.75" style="303" customWidth="1"/>
    <col min="4" max="4" width="14.75" style="303" customWidth="1"/>
    <col min="5" max="5" width="63.125" style="303" customWidth="1"/>
    <col min="6" max="6" width="32.875" style="303" customWidth="1"/>
    <col min="7" max="7" width="59.375" style="303" customWidth="1"/>
    <col min="8" max="16384" width="9" style="303"/>
  </cols>
  <sheetData>
    <row r="27" spans="1:7" hidden="1" x14ac:dyDescent="0.25">
      <c r="A27" s="856" t="s">
        <v>24</v>
      </c>
      <c r="B27" s="303" t="s">
        <v>1409</v>
      </c>
    </row>
    <row r="28" spans="1:7" hidden="1" x14ac:dyDescent="0.25"/>
    <row r="29" spans="1:7" s="862" customFormat="1" ht="47.25" hidden="1" x14ac:dyDescent="0.25">
      <c r="A29" s="857" t="s">
        <v>26</v>
      </c>
      <c r="B29" s="857" t="s">
        <v>27</v>
      </c>
      <c r="C29" s="857" t="s">
        <v>25</v>
      </c>
      <c r="D29" s="858" t="s">
        <v>2800</v>
      </c>
      <c r="E29" s="859" t="s">
        <v>2803</v>
      </c>
      <c r="F29" s="860" t="s">
        <v>2801</v>
      </c>
      <c r="G29" s="861" t="s">
        <v>2802</v>
      </c>
    </row>
    <row r="30" spans="1:7" hidden="1" x14ac:dyDescent="0.25">
      <c r="A30" s="303" t="s">
        <v>44</v>
      </c>
      <c r="B30" s="303" t="s">
        <v>351</v>
      </c>
      <c r="C30" s="303" t="s">
        <v>348</v>
      </c>
      <c r="D30" s="863">
        <v>1278</v>
      </c>
      <c r="E30" s="863">
        <v>1278</v>
      </c>
      <c r="F30" s="863">
        <v>846</v>
      </c>
      <c r="G30" s="863">
        <v>1167</v>
      </c>
    </row>
    <row r="31" spans="1:7" hidden="1" x14ac:dyDescent="0.25">
      <c r="C31" s="303" t="s">
        <v>470</v>
      </c>
      <c r="D31" s="863">
        <v>351</v>
      </c>
      <c r="E31" s="863">
        <v>0</v>
      </c>
      <c r="F31" s="863">
        <v>0</v>
      </c>
      <c r="G31" s="863">
        <v>0</v>
      </c>
    </row>
    <row r="32" spans="1:7" hidden="1" x14ac:dyDescent="0.25">
      <c r="C32" s="303" t="s">
        <v>436</v>
      </c>
      <c r="D32" s="863">
        <v>7438</v>
      </c>
      <c r="E32" s="863">
        <v>0</v>
      </c>
      <c r="F32" s="863">
        <v>4957</v>
      </c>
      <c r="G32" s="863">
        <v>6029</v>
      </c>
    </row>
    <row r="33" spans="2:7" hidden="1" x14ac:dyDescent="0.25">
      <c r="B33" s="303" t="s">
        <v>2768</v>
      </c>
      <c r="D33" s="863">
        <v>9067</v>
      </c>
      <c r="E33" s="863">
        <v>1278</v>
      </c>
      <c r="F33" s="863">
        <v>5803</v>
      </c>
      <c r="G33" s="863">
        <v>7196</v>
      </c>
    </row>
    <row r="34" spans="2:7" hidden="1" x14ac:dyDescent="0.25">
      <c r="B34" s="303" t="s">
        <v>302</v>
      </c>
      <c r="C34" s="303" t="s">
        <v>297</v>
      </c>
      <c r="D34" s="863">
        <v>823</v>
      </c>
      <c r="E34" s="863">
        <v>0</v>
      </c>
      <c r="F34" s="863">
        <v>540</v>
      </c>
      <c r="G34" s="863">
        <v>823</v>
      </c>
    </row>
    <row r="35" spans="2:7" hidden="1" x14ac:dyDescent="0.25">
      <c r="C35" s="303" t="s">
        <v>43</v>
      </c>
      <c r="D35" s="863">
        <v>440</v>
      </c>
      <c r="E35" s="863">
        <v>0</v>
      </c>
      <c r="F35" s="863">
        <v>413</v>
      </c>
      <c r="G35" s="863">
        <v>400</v>
      </c>
    </row>
    <row r="36" spans="2:7" hidden="1" x14ac:dyDescent="0.25">
      <c r="C36" s="303" t="s">
        <v>399</v>
      </c>
      <c r="D36" s="863">
        <v>1159</v>
      </c>
      <c r="E36" s="863">
        <v>0</v>
      </c>
      <c r="F36" s="863">
        <v>1159</v>
      </c>
      <c r="G36" s="863">
        <v>0</v>
      </c>
    </row>
    <row r="37" spans="2:7" hidden="1" x14ac:dyDescent="0.25">
      <c r="B37" s="303" t="s">
        <v>2769</v>
      </c>
      <c r="D37" s="863">
        <v>2422</v>
      </c>
      <c r="E37" s="863">
        <v>0</v>
      </c>
      <c r="F37" s="863">
        <v>2112</v>
      </c>
      <c r="G37" s="863">
        <v>1223</v>
      </c>
    </row>
    <row r="38" spans="2:7" hidden="1" x14ac:dyDescent="0.25">
      <c r="B38" s="303" t="s">
        <v>304</v>
      </c>
      <c r="C38" s="303" t="s">
        <v>297</v>
      </c>
      <c r="D38" s="863">
        <v>199</v>
      </c>
      <c r="E38" s="863">
        <v>0</v>
      </c>
      <c r="F38" s="863">
        <v>181</v>
      </c>
      <c r="G38" s="863">
        <v>181</v>
      </c>
    </row>
    <row r="39" spans="2:7" hidden="1" x14ac:dyDescent="0.25">
      <c r="C39" s="303" t="s">
        <v>43</v>
      </c>
      <c r="D39" s="863">
        <v>571</v>
      </c>
      <c r="E39" s="863">
        <v>0</v>
      </c>
      <c r="F39" s="863">
        <v>320</v>
      </c>
      <c r="G39" s="863">
        <v>571</v>
      </c>
    </row>
    <row r="40" spans="2:7" hidden="1" x14ac:dyDescent="0.25">
      <c r="C40" s="303" t="s">
        <v>2666</v>
      </c>
      <c r="D40" s="863">
        <v>84</v>
      </c>
      <c r="E40" s="863">
        <v>0</v>
      </c>
      <c r="F40" s="863">
        <v>80</v>
      </c>
      <c r="G40" s="863">
        <v>84</v>
      </c>
    </row>
    <row r="41" spans="2:7" hidden="1" x14ac:dyDescent="0.25">
      <c r="C41" s="303" t="s">
        <v>399</v>
      </c>
      <c r="D41" s="863">
        <v>2763</v>
      </c>
      <c r="E41" s="863">
        <v>0</v>
      </c>
      <c r="F41" s="863">
        <v>2544</v>
      </c>
      <c r="G41" s="863">
        <v>2597.3333333333335</v>
      </c>
    </row>
    <row r="42" spans="2:7" hidden="1" x14ac:dyDescent="0.25">
      <c r="B42" s="303" t="s">
        <v>2770</v>
      </c>
      <c r="D42" s="863">
        <v>3617</v>
      </c>
      <c r="E42" s="863">
        <v>0</v>
      </c>
      <c r="F42" s="863">
        <v>3125</v>
      </c>
      <c r="G42" s="863">
        <v>3433.3333333333335</v>
      </c>
    </row>
    <row r="43" spans="2:7" hidden="1" x14ac:dyDescent="0.25">
      <c r="B43" s="303" t="s">
        <v>45</v>
      </c>
      <c r="C43" s="303" t="s">
        <v>297</v>
      </c>
      <c r="D43" s="863">
        <v>1855</v>
      </c>
      <c r="E43" s="863">
        <v>0</v>
      </c>
      <c r="F43" s="863">
        <v>1855</v>
      </c>
      <c r="G43" s="863">
        <v>1855</v>
      </c>
    </row>
    <row r="44" spans="2:7" hidden="1" x14ac:dyDescent="0.25">
      <c r="C44" s="303" t="s">
        <v>43</v>
      </c>
      <c r="D44" s="863">
        <v>892</v>
      </c>
      <c r="E44" s="863">
        <v>0</v>
      </c>
      <c r="F44" s="863">
        <v>803</v>
      </c>
      <c r="G44" s="863">
        <v>892</v>
      </c>
    </row>
    <row r="45" spans="2:7" hidden="1" x14ac:dyDescent="0.25">
      <c r="C45" s="303" t="s">
        <v>348</v>
      </c>
      <c r="D45" s="863">
        <v>823</v>
      </c>
      <c r="E45" s="863">
        <v>823</v>
      </c>
      <c r="F45" s="863">
        <v>823</v>
      </c>
      <c r="G45" s="863">
        <v>823</v>
      </c>
    </row>
    <row r="46" spans="2:7" hidden="1" x14ac:dyDescent="0.25">
      <c r="C46" s="303" t="s">
        <v>470</v>
      </c>
      <c r="D46" s="863">
        <v>1124</v>
      </c>
      <c r="E46" s="863">
        <v>0</v>
      </c>
      <c r="F46" s="863">
        <v>0</v>
      </c>
      <c r="G46" s="863">
        <v>0</v>
      </c>
    </row>
    <row r="47" spans="2:7" hidden="1" x14ac:dyDescent="0.25">
      <c r="C47" s="303" t="s">
        <v>457</v>
      </c>
      <c r="D47" s="863">
        <v>4017</v>
      </c>
      <c r="E47" s="863">
        <v>1053</v>
      </c>
      <c r="F47" s="863">
        <v>3808</v>
      </c>
      <c r="G47" s="863">
        <v>4017</v>
      </c>
    </row>
    <row r="48" spans="2:7" hidden="1" x14ac:dyDescent="0.25">
      <c r="C48" s="303" t="s">
        <v>451</v>
      </c>
      <c r="D48" s="863">
        <v>4264</v>
      </c>
      <c r="E48" s="863">
        <v>0</v>
      </c>
      <c r="F48" s="863">
        <v>4264</v>
      </c>
      <c r="G48" s="863">
        <v>4264</v>
      </c>
    </row>
    <row r="49" spans="2:7" hidden="1" x14ac:dyDescent="0.25">
      <c r="B49" s="303" t="s">
        <v>2771</v>
      </c>
      <c r="D49" s="863">
        <v>12975</v>
      </c>
      <c r="E49" s="863">
        <v>1876</v>
      </c>
      <c r="F49" s="863">
        <v>11553</v>
      </c>
      <c r="G49" s="863">
        <v>11851</v>
      </c>
    </row>
    <row r="50" spans="2:7" hidden="1" x14ac:dyDescent="0.25">
      <c r="B50" s="303" t="s">
        <v>308</v>
      </c>
      <c r="C50" s="303" t="s">
        <v>297</v>
      </c>
      <c r="D50" s="863">
        <v>326</v>
      </c>
      <c r="E50" s="863">
        <v>0</v>
      </c>
      <c r="F50" s="863">
        <v>268</v>
      </c>
      <c r="G50" s="863">
        <v>326</v>
      </c>
    </row>
    <row r="51" spans="2:7" hidden="1" x14ac:dyDescent="0.25">
      <c r="C51" s="303" t="s">
        <v>43</v>
      </c>
      <c r="D51" s="863">
        <v>105</v>
      </c>
      <c r="E51" s="863">
        <v>0</v>
      </c>
      <c r="F51" s="863">
        <v>105</v>
      </c>
      <c r="G51" s="863">
        <v>105</v>
      </c>
    </row>
    <row r="52" spans="2:7" hidden="1" x14ac:dyDescent="0.25">
      <c r="B52" s="303" t="s">
        <v>2772</v>
      </c>
      <c r="D52" s="863">
        <v>431</v>
      </c>
      <c r="E52" s="863">
        <v>0</v>
      </c>
      <c r="F52" s="863">
        <v>373</v>
      </c>
      <c r="G52" s="863">
        <v>431</v>
      </c>
    </row>
    <row r="53" spans="2:7" hidden="1" x14ac:dyDescent="0.25">
      <c r="B53" s="303" t="s">
        <v>313</v>
      </c>
      <c r="C53" s="303" t="s">
        <v>297</v>
      </c>
      <c r="D53" s="863">
        <v>115</v>
      </c>
      <c r="E53" s="863">
        <v>0</v>
      </c>
      <c r="F53" s="863">
        <v>100</v>
      </c>
      <c r="G53" s="863">
        <v>115</v>
      </c>
    </row>
    <row r="54" spans="2:7" hidden="1" x14ac:dyDescent="0.25">
      <c r="C54" s="303" t="s">
        <v>43</v>
      </c>
      <c r="D54" s="863">
        <v>50</v>
      </c>
      <c r="E54" s="863">
        <v>0</v>
      </c>
      <c r="F54" s="863">
        <v>40</v>
      </c>
      <c r="G54" s="863">
        <v>50</v>
      </c>
    </row>
    <row r="55" spans="2:7" hidden="1" x14ac:dyDescent="0.25">
      <c r="C55" s="303" t="s">
        <v>470</v>
      </c>
      <c r="D55" s="863">
        <v>184</v>
      </c>
      <c r="E55" s="863">
        <v>0</v>
      </c>
      <c r="F55" s="863">
        <v>0</v>
      </c>
      <c r="G55" s="863">
        <v>0</v>
      </c>
    </row>
    <row r="56" spans="2:7" hidden="1" x14ac:dyDescent="0.25">
      <c r="B56" s="303" t="s">
        <v>2773</v>
      </c>
      <c r="D56" s="863">
        <v>349</v>
      </c>
      <c r="E56" s="863">
        <v>0</v>
      </c>
      <c r="F56" s="863">
        <v>140</v>
      </c>
      <c r="G56" s="863">
        <v>165</v>
      </c>
    </row>
    <row r="57" spans="2:7" hidden="1" x14ac:dyDescent="0.25">
      <c r="B57" s="303" t="s">
        <v>361</v>
      </c>
      <c r="C57" s="303" t="s">
        <v>43</v>
      </c>
      <c r="D57" s="863">
        <v>446</v>
      </c>
      <c r="E57" s="863">
        <v>0</v>
      </c>
      <c r="F57" s="863">
        <v>446</v>
      </c>
      <c r="G57" s="863">
        <v>446</v>
      </c>
    </row>
    <row r="58" spans="2:7" hidden="1" x14ac:dyDescent="0.25">
      <c r="C58" s="303" t="s">
        <v>348</v>
      </c>
      <c r="D58" s="863">
        <v>5797</v>
      </c>
      <c r="E58" s="863">
        <v>2503</v>
      </c>
      <c r="F58" s="863">
        <v>5101</v>
      </c>
      <c r="G58" s="863">
        <v>5797</v>
      </c>
    </row>
    <row r="59" spans="2:7" hidden="1" x14ac:dyDescent="0.25">
      <c r="C59" s="303" t="s">
        <v>470</v>
      </c>
      <c r="D59" s="863">
        <v>1238</v>
      </c>
      <c r="E59" s="863">
        <v>0</v>
      </c>
      <c r="F59" s="863">
        <v>0</v>
      </c>
      <c r="G59" s="863">
        <v>0</v>
      </c>
    </row>
    <row r="60" spans="2:7" hidden="1" x14ac:dyDescent="0.25">
      <c r="C60" s="303" t="s">
        <v>436</v>
      </c>
      <c r="D60" s="863">
        <v>5380</v>
      </c>
      <c r="E60" s="863">
        <v>0</v>
      </c>
      <c r="F60" s="863">
        <v>2585</v>
      </c>
      <c r="G60" s="863">
        <v>5380</v>
      </c>
    </row>
    <row r="61" spans="2:7" hidden="1" x14ac:dyDescent="0.25">
      <c r="C61" s="303" t="s">
        <v>1449</v>
      </c>
      <c r="D61" s="863">
        <v>10753</v>
      </c>
      <c r="E61" s="863">
        <v>0</v>
      </c>
      <c r="F61" s="863">
        <v>8874</v>
      </c>
      <c r="G61" s="863">
        <v>10753</v>
      </c>
    </row>
    <row r="62" spans="2:7" hidden="1" x14ac:dyDescent="0.25">
      <c r="C62" s="303" t="s">
        <v>451</v>
      </c>
      <c r="D62" s="863">
        <v>5074</v>
      </c>
      <c r="E62" s="863">
        <v>0</v>
      </c>
      <c r="F62" s="863">
        <v>5074</v>
      </c>
      <c r="G62" s="863">
        <v>0</v>
      </c>
    </row>
    <row r="63" spans="2:7" hidden="1" x14ac:dyDescent="0.25">
      <c r="B63" s="303" t="s">
        <v>2774</v>
      </c>
      <c r="D63" s="863">
        <v>28688</v>
      </c>
      <c r="E63" s="863">
        <v>2503</v>
      </c>
      <c r="F63" s="863">
        <v>22080</v>
      </c>
      <c r="G63" s="863">
        <v>22376</v>
      </c>
    </row>
    <row r="64" spans="2:7" hidden="1" x14ac:dyDescent="0.25">
      <c r="B64" s="303" t="s">
        <v>315</v>
      </c>
      <c r="C64" s="303" t="s">
        <v>297</v>
      </c>
      <c r="D64" s="863">
        <v>5798</v>
      </c>
      <c r="E64" s="863">
        <v>0</v>
      </c>
      <c r="F64" s="863">
        <v>4040</v>
      </c>
      <c r="G64" s="863">
        <v>5798</v>
      </c>
    </row>
    <row r="65" spans="2:7" hidden="1" x14ac:dyDescent="0.25">
      <c r="C65" s="303" t="s">
        <v>43</v>
      </c>
      <c r="D65" s="863">
        <v>1030</v>
      </c>
      <c r="E65" s="863">
        <v>0</v>
      </c>
      <c r="F65" s="863">
        <v>981</v>
      </c>
      <c r="G65" s="863">
        <v>1030</v>
      </c>
    </row>
    <row r="66" spans="2:7" hidden="1" x14ac:dyDescent="0.25">
      <c r="C66" s="303" t="s">
        <v>399</v>
      </c>
      <c r="D66" s="863">
        <v>584</v>
      </c>
      <c r="E66" s="863">
        <v>0</v>
      </c>
      <c r="F66" s="863">
        <v>465</v>
      </c>
      <c r="G66" s="863">
        <v>584</v>
      </c>
    </row>
    <row r="67" spans="2:7" hidden="1" x14ac:dyDescent="0.25">
      <c r="B67" s="303" t="s">
        <v>2775</v>
      </c>
      <c r="D67" s="863">
        <v>7412</v>
      </c>
      <c r="E67" s="863">
        <v>0</v>
      </c>
      <c r="F67" s="863">
        <v>5486</v>
      </c>
      <c r="G67" s="863">
        <v>7412</v>
      </c>
    </row>
    <row r="68" spans="2:7" hidden="1" x14ac:dyDescent="0.25">
      <c r="B68" s="303" t="s">
        <v>329</v>
      </c>
      <c r="C68" s="303" t="s">
        <v>297</v>
      </c>
      <c r="D68" s="863">
        <v>281</v>
      </c>
      <c r="E68" s="863">
        <v>0</v>
      </c>
      <c r="F68" s="863">
        <v>160.00000000000003</v>
      </c>
      <c r="G68" s="863">
        <v>281</v>
      </c>
    </row>
    <row r="69" spans="2:7" hidden="1" x14ac:dyDescent="0.25">
      <c r="C69" s="303" t="s">
        <v>470</v>
      </c>
      <c r="D69" s="863">
        <v>131</v>
      </c>
      <c r="E69" s="863">
        <v>0</v>
      </c>
      <c r="F69" s="863">
        <v>0</v>
      </c>
      <c r="G69" s="863">
        <v>0</v>
      </c>
    </row>
    <row r="70" spans="2:7" hidden="1" x14ac:dyDescent="0.25">
      <c r="B70" s="303" t="s">
        <v>2776</v>
      </c>
      <c r="D70" s="863">
        <v>412</v>
      </c>
      <c r="E70" s="863">
        <v>0</v>
      </c>
      <c r="F70" s="863">
        <v>160.00000000000003</v>
      </c>
      <c r="G70" s="863">
        <v>281</v>
      </c>
    </row>
    <row r="71" spans="2:7" hidden="1" x14ac:dyDescent="0.25">
      <c r="B71" s="303" t="s">
        <v>370</v>
      </c>
      <c r="C71" s="303" t="s">
        <v>348</v>
      </c>
      <c r="D71" s="863">
        <v>428</v>
      </c>
      <c r="E71" s="863">
        <v>428</v>
      </c>
      <c r="F71" s="863">
        <v>428</v>
      </c>
      <c r="G71" s="863">
        <v>428</v>
      </c>
    </row>
    <row r="72" spans="2:7" hidden="1" x14ac:dyDescent="0.25">
      <c r="C72" s="303" t="s">
        <v>470</v>
      </c>
      <c r="D72" s="863">
        <v>1691</v>
      </c>
      <c r="E72" s="863">
        <v>0</v>
      </c>
      <c r="F72" s="863">
        <v>0</v>
      </c>
      <c r="G72" s="863">
        <v>0</v>
      </c>
    </row>
    <row r="73" spans="2:7" hidden="1" x14ac:dyDescent="0.25">
      <c r="B73" s="303" t="s">
        <v>2777</v>
      </c>
      <c r="D73" s="863">
        <v>2119</v>
      </c>
      <c r="E73" s="863">
        <v>428</v>
      </c>
      <c r="F73" s="863">
        <v>428</v>
      </c>
      <c r="G73" s="863">
        <v>428</v>
      </c>
    </row>
    <row r="74" spans="2:7" hidden="1" x14ac:dyDescent="0.25">
      <c r="B74" s="303" t="s">
        <v>340</v>
      </c>
      <c r="C74" s="303" t="s">
        <v>297</v>
      </c>
      <c r="D74" s="863">
        <v>815</v>
      </c>
      <c r="E74" s="863">
        <v>0</v>
      </c>
      <c r="F74" s="863">
        <v>815</v>
      </c>
      <c r="G74" s="863">
        <v>0</v>
      </c>
    </row>
    <row r="75" spans="2:7" hidden="1" x14ac:dyDescent="0.25">
      <c r="C75" s="303" t="s">
        <v>470</v>
      </c>
      <c r="D75" s="863">
        <v>32</v>
      </c>
      <c r="E75" s="863">
        <v>0</v>
      </c>
      <c r="F75" s="863">
        <v>0</v>
      </c>
      <c r="G75" s="863">
        <v>0</v>
      </c>
    </row>
    <row r="76" spans="2:7" hidden="1" x14ac:dyDescent="0.25">
      <c r="B76" s="303" t="s">
        <v>2778</v>
      </c>
      <c r="D76" s="863">
        <v>847</v>
      </c>
      <c r="E76" s="863">
        <v>0</v>
      </c>
      <c r="F76" s="863">
        <v>815</v>
      </c>
      <c r="G76" s="863">
        <v>0</v>
      </c>
    </row>
    <row r="77" spans="2:7" hidden="1" x14ac:dyDescent="0.25">
      <c r="B77" s="303" t="s">
        <v>1330</v>
      </c>
      <c r="C77" s="303" t="s">
        <v>43</v>
      </c>
      <c r="D77" s="863">
        <v>936</v>
      </c>
      <c r="E77" s="863">
        <v>0</v>
      </c>
      <c r="F77" s="863">
        <v>280</v>
      </c>
      <c r="G77" s="863">
        <v>395.66666666666669</v>
      </c>
    </row>
    <row r="78" spans="2:7" hidden="1" x14ac:dyDescent="0.25">
      <c r="B78" s="303" t="s">
        <v>2779</v>
      </c>
      <c r="D78" s="863">
        <v>936</v>
      </c>
      <c r="E78" s="863">
        <v>0</v>
      </c>
      <c r="F78" s="863">
        <v>280</v>
      </c>
      <c r="G78" s="863">
        <v>395.66666666666669</v>
      </c>
    </row>
    <row r="79" spans="2:7" hidden="1" x14ac:dyDescent="0.25">
      <c r="B79" s="303" t="s">
        <v>298</v>
      </c>
      <c r="C79" s="303" t="s">
        <v>297</v>
      </c>
      <c r="D79" s="863">
        <v>9620</v>
      </c>
      <c r="E79" s="863">
        <v>0</v>
      </c>
      <c r="F79" s="863">
        <v>9440</v>
      </c>
      <c r="G79" s="863">
        <v>9620</v>
      </c>
    </row>
    <row r="80" spans="2:7" hidden="1" x14ac:dyDescent="0.25">
      <c r="C80" s="303" t="s">
        <v>43</v>
      </c>
      <c r="D80" s="863">
        <v>2569</v>
      </c>
      <c r="E80" s="863">
        <v>0</v>
      </c>
      <c r="F80" s="863">
        <v>2569</v>
      </c>
      <c r="G80" s="863">
        <v>2569</v>
      </c>
    </row>
    <row r="81" spans="1:7" hidden="1" x14ac:dyDescent="0.25">
      <c r="C81" s="303" t="s">
        <v>348</v>
      </c>
      <c r="D81" s="863">
        <v>7023</v>
      </c>
      <c r="E81" s="863">
        <v>0</v>
      </c>
      <c r="F81" s="863">
        <v>5219</v>
      </c>
      <c r="G81" s="863">
        <v>6505.8</v>
      </c>
    </row>
    <row r="82" spans="1:7" hidden="1" x14ac:dyDescent="0.25">
      <c r="C82" s="303" t="s">
        <v>470</v>
      </c>
      <c r="D82" s="863">
        <v>410</v>
      </c>
      <c r="E82" s="863">
        <v>0</v>
      </c>
      <c r="F82" s="863">
        <v>200</v>
      </c>
      <c r="G82" s="863">
        <v>410</v>
      </c>
    </row>
    <row r="83" spans="1:7" hidden="1" x14ac:dyDescent="0.25">
      <c r="C83" s="303" t="s">
        <v>399</v>
      </c>
      <c r="D83" s="863">
        <v>3982</v>
      </c>
      <c r="E83" s="863">
        <v>0</v>
      </c>
      <c r="F83" s="863">
        <v>1680</v>
      </c>
      <c r="G83" s="863">
        <v>3982</v>
      </c>
    </row>
    <row r="84" spans="1:7" hidden="1" x14ac:dyDescent="0.25">
      <c r="B84" s="303" t="s">
        <v>2780</v>
      </c>
      <c r="D84" s="863">
        <v>23604</v>
      </c>
      <c r="E84" s="863">
        <v>0</v>
      </c>
      <c r="F84" s="863">
        <v>19108</v>
      </c>
      <c r="G84" s="863">
        <v>23086.799999999999</v>
      </c>
    </row>
    <row r="85" spans="1:7" hidden="1" x14ac:dyDescent="0.25">
      <c r="A85" s="303" t="s">
        <v>2568</v>
      </c>
      <c r="D85" s="863">
        <v>92879</v>
      </c>
      <c r="E85" s="863">
        <v>6085</v>
      </c>
      <c r="F85" s="863">
        <v>71463</v>
      </c>
      <c r="G85" s="863">
        <v>78278.8</v>
      </c>
    </row>
    <row r="86" spans="1:7" hidden="1" x14ac:dyDescent="0.25">
      <c r="A86" s="303" t="s">
        <v>464</v>
      </c>
      <c r="B86" s="303" t="s">
        <v>496</v>
      </c>
      <c r="C86" s="303" t="s">
        <v>2570</v>
      </c>
      <c r="D86" s="863">
        <v>14817</v>
      </c>
      <c r="E86" s="863">
        <v>0</v>
      </c>
      <c r="F86" s="863">
        <v>0</v>
      </c>
      <c r="G86" s="863">
        <v>0</v>
      </c>
    </row>
    <row r="87" spans="1:7" hidden="1" x14ac:dyDescent="0.25">
      <c r="B87" s="303" t="s">
        <v>2781</v>
      </c>
      <c r="D87" s="863">
        <v>14817</v>
      </c>
      <c r="E87" s="863">
        <v>0</v>
      </c>
      <c r="F87" s="863">
        <v>0</v>
      </c>
      <c r="G87" s="863">
        <v>0</v>
      </c>
    </row>
    <row r="88" spans="1:7" hidden="1" x14ac:dyDescent="0.25">
      <c r="B88" s="303" t="s">
        <v>490</v>
      </c>
      <c r="C88" s="303" t="s">
        <v>542</v>
      </c>
      <c r="D88" s="863">
        <v>7969</v>
      </c>
      <c r="E88" s="863">
        <v>0</v>
      </c>
      <c r="F88" s="863">
        <v>108</v>
      </c>
      <c r="G88" s="863">
        <v>2215</v>
      </c>
    </row>
    <row r="89" spans="1:7" hidden="1" x14ac:dyDescent="0.25">
      <c r="B89" s="303" t="s">
        <v>2782</v>
      </c>
      <c r="D89" s="863">
        <v>7969</v>
      </c>
      <c r="E89" s="863">
        <v>0</v>
      </c>
      <c r="F89" s="863">
        <v>108</v>
      </c>
      <c r="G89" s="863">
        <v>2215</v>
      </c>
    </row>
    <row r="90" spans="1:7" hidden="1" x14ac:dyDescent="0.25">
      <c r="B90" s="303" t="s">
        <v>530</v>
      </c>
      <c r="C90" s="303" t="s">
        <v>470</v>
      </c>
      <c r="D90" s="863">
        <v>211</v>
      </c>
      <c r="E90" s="863">
        <v>0</v>
      </c>
      <c r="F90" s="863">
        <v>211</v>
      </c>
      <c r="G90" s="863">
        <v>211</v>
      </c>
    </row>
    <row r="91" spans="1:7" hidden="1" x14ac:dyDescent="0.25">
      <c r="C91" s="303" t="s">
        <v>539</v>
      </c>
      <c r="D91" s="863">
        <v>992</v>
      </c>
      <c r="E91" s="863">
        <v>0</v>
      </c>
      <c r="F91" s="863">
        <v>992</v>
      </c>
      <c r="G91" s="863">
        <v>992</v>
      </c>
    </row>
    <row r="92" spans="1:7" hidden="1" x14ac:dyDescent="0.25">
      <c r="B92" s="303" t="s">
        <v>2783</v>
      </c>
      <c r="D92" s="863">
        <v>1203</v>
      </c>
      <c r="E92" s="863">
        <v>0</v>
      </c>
      <c r="F92" s="863">
        <v>1203</v>
      </c>
      <c r="G92" s="863">
        <v>1203</v>
      </c>
    </row>
    <row r="93" spans="1:7" hidden="1" x14ac:dyDescent="0.25">
      <c r="B93" s="303" t="s">
        <v>473</v>
      </c>
      <c r="C93" s="303" t="s">
        <v>489</v>
      </c>
      <c r="D93" s="863">
        <v>18431</v>
      </c>
      <c r="E93" s="863">
        <v>0</v>
      </c>
      <c r="F93" s="863">
        <v>0</v>
      </c>
      <c r="G93" s="863">
        <v>0</v>
      </c>
    </row>
    <row r="94" spans="1:7" hidden="1" x14ac:dyDescent="0.25">
      <c r="C94" s="303" t="s">
        <v>463</v>
      </c>
      <c r="D94" s="863">
        <v>581</v>
      </c>
      <c r="E94" s="863">
        <v>0</v>
      </c>
      <c r="F94" s="863">
        <v>260</v>
      </c>
      <c r="G94" s="863">
        <v>581</v>
      </c>
    </row>
    <row r="95" spans="1:7" hidden="1" x14ac:dyDescent="0.25">
      <c r="C95" s="303" t="s">
        <v>470</v>
      </c>
      <c r="D95" s="863">
        <v>15898</v>
      </c>
      <c r="E95" s="863">
        <v>0</v>
      </c>
      <c r="F95" s="863">
        <v>4345</v>
      </c>
      <c r="G95" s="863">
        <v>249.99999999999997</v>
      </c>
    </row>
    <row r="96" spans="1:7" hidden="1" x14ac:dyDescent="0.25">
      <c r="B96" s="303" t="s">
        <v>2784</v>
      </c>
      <c r="D96" s="863">
        <v>34910</v>
      </c>
      <c r="E96" s="863">
        <v>0</v>
      </c>
      <c r="F96" s="863">
        <v>4605</v>
      </c>
      <c r="G96" s="863">
        <v>831</v>
      </c>
    </row>
    <row r="97" spans="2:7" hidden="1" x14ac:dyDescent="0.25">
      <c r="B97" s="303" t="s">
        <v>476</v>
      </c>
      <c r="C97" s="303" t="s">
        <v>542</v>
      </c>
      <c r="D97" s="863">
        <v>10023</v>
      </c>
      <c r="E97" s="863">
        <v>0</v>
      </c>
      <c r="F97" s="863">
        <v>96</v>
      </c>
      <c r="G97" s="863">
        <v>3451</v>
      </c>
    </row>
    <row r="98" spans="2:7" hidden="1" x14ac:dyDescent="0.25">
      <c r="B98" s="303" t="s">
        <v>2785</v>
      </c>
      <c r="D98" s="863">
        <v>10023</v>
      </c>
      <c r="E98" s="863">
        <v>0</v>
      </c>
      <c r="F98" s="863">
        <v>96</v>
      </c>
      <c r="G98" s="863">
        <v>3451</v>
      </c>
    </row>
    <row r="99" spans="2:7" hidden="1" x14ac:dyDescent="0.25">
      <c r="B99" s="303" t="s">
        <v>483</v>
      </c>
      <c r="C99" s="303" t="s">
        <v>470</v>
      </c>
      <c r="D99" s="863">
        <v>6011</v>
      </c>
      <c r="E99" s="863">
        <v>0</v>
      </c>
      <c r="F99" s="863">
        <v>1122</v>
      </c>
      <c r="G99" s="863">
        <v>1829</v>
      </c>
    </row>
    <row r="100" spans="2:7" hidden="1" x14ac:dyDescent="0.25">
      <c r="B100" s="303" t="s">
        <v>2786</v>
      </c>
      <c r="D100" s="863">
        <v>6011</v>
      </c>
      <c r="E100" s="863">
        <v>0</v>
      </c>
      <c r="F100" s="863">
        <v>1122</v>
      </c>
      <c r="G100" s="863">
        <v>1829</v>
      </c>
    </row>
    <row r="101" spans="2:7" hidden="1" x14ac:dyDescent="0.25">
      <c r="B101" s="303" t="s">
        <v>649</v>
      </c>
      <c r="C101" s="303" t="s">
        <v>470</v>
      </c>
      <c r="D101" s="863">
        <v>2931</v>
      </c>
      <c r="E101" s="863">
        <v>0</v>
      </c>
      <c r="F101" s="863">
        <v>102</v>
      </c>
      <c r="G101" s="863">
        <v>1088</v>
      </c>
    </row>
    <row r="102" spans="2:7" hidden="1" x14ac:dyDescent="0.25">
      <c r="B102" s="303" t="s">
        <v>2787</v>
      </c>
      <c r="D102" s="863">
        <v>2931</v>
      </c>
      <c r="E102" s="863">
        <v>0</v>
      </c>
      <c r="F102" s="863">
        <v>102</v>
      </c>
      <c r="G102" s="863">
        <v>1088</v>
      </c>
    </row>
    <row r="103" spans="2:7" hidden="1" x14ac:dyDescent="0.25">
      <c r="B103" s="303" t="s">
        <v>572</v>
      </c>
      <c r="C103" s="303" t="s">
        <v>571</v>
      </c>
      <c r="D103" s="863">
        <v>3052</v>
      </c>
      <c r="E103" s="863">
        <v>0</v>
      </c>
      <c r="F103" s="863">
        <v>3052</v>
      </c>
      <c r="G103" s="863">
        <v>1467</v>
      </c>
    </row>
    <row r="104" spans="2:7" hidden="1" x14ac:dyDescent="0.25">
      <c r="B104" s="303" t="s">
        <v>2788</v>
      </c>
      <c r="D104" s="863">
        <v>3052</v>
      </c>
      <c r="E104" s="863">
        <v>0</v>
      </c>
      <c r="F104" s="863">
        <v>3052</v>
      </c>
      <c r="G104" s="863">
        <v>1467</v>
      </c>
    </row>
    <row r="105" spans="2:7" hidden="1" x14ac:dyDescent="0.25">
      <c r="B105" s="303" t="s">
        <v>575</v>
      </c>
      <c r="C105" s="303" t="s">
        <v>583</v>
      </c>
      <c r="D105" s="863">
        <v>5938</v>
      </c>
      <c r="E105" s="863">
        <v>5938</v>
      </c>
      <c r="F105" s="863">
        <v>1740.0000000000002</v>
      </c>
      <c r="G105" s="863">
        <v>5900</v>
      </c>
    </row>
    <row r="106" spans="2:7" hidden="1" x14ac:dyDescent="0.25">
      <c r="C106" s="303" t="s">
        <v>457</v>
      </c>
      <c r="D106" s="863">
        <v>9845</v>
      </c>
      <c r="E106" s="863">
        <v>0</v>
      </c>
      <c r="F106" s="863">
        <v>5180</v>
      </c>
      <c r="G106" s="863">
        <v>9290</v>
      </c>
    </row>
    <row r="107" spans="2:7" hidden="1" x14ac:dyDescent="0.25">
      <c r="C107" s="303" t="s">
        <v>436</v>
      </c>
      <c r="D107" s="863">
        <v>14608</v>
      </c>
      <c r="E107" s="863">
        <v>0</v>
      </c>
      <c r="F107" s="863">
        <v>10155</v>
      </c>
      <c r="G107" s="863">
        <v>13336.333333333332</v>
      </c>
    </row>
    <row r="108" spans="2:7" hidden="1" x14ac:dyDescent="0.25">
      <c r="B108" s="303" t="s">
        <v>2789</v>
      </c>
      <c r="D108" s="863">
        <v>30391</v>
      </c>
      <c r="E108" s="863">
        <v>5938</v>
      </c>
      <c r="F108" s="863">
        <v>17075</v>
      </c>
      <c r="G108" s="863">
        <v>28526.333333333332</v>
      </c>
    </row>
    <row r="109" spans="2:7" hidden="1" x14ac:dyDescent="0.25">
      <c r="B109" s="303" t="s">
        <v>630</v>
      </c>
      <c r="C109" s="303" t="s">
        <v>470</v>
      </c>
      <c r="D109" s="863">
        <v>10950</v>
      </c>
      <c r="E109" s="863">
        <v>0</v>
      </c>
      <c r="F109" s="863">
        <v>2280</v>
      </c>
      <c r="G109" s="863">
        <v>1000</v>
      </c>
    </row>
    <row r="110" spans="2:7" hidden="1" x14ac:dyDescent="0.25">
      <c r="B110" s="303" t="s">
        <v>2790</v>
      </c>
      <c r="D110" s="863">
        <v>10950</v>
      </c>
      <c r="E110" s="863">
        <v>0</v>
      </c>
      <c r="F110" s="863">
        <v>2280</v>
      </c>
      <c r="G110" s="863">
        <v>1000</v>
      </c>
    </row>
    <row r="111" spans="2:7" hidden="1" x14ac:dyDescent="0.25">
      <c r="B111" s="303" t="s">
        <v>508</v>
      </c>
      <c r="C111" s="303" t="s">
        <v>542</v>
      </c>
      <c r="D111" s="863">
        <v>13182</v>
      </c>
      <c r="E111" s="863">
        <v>0</v>
      </c>
      <c r="F111" s="863">
        <v>1614</v>
      </c>
      <c r="G111" s="863">
        <v>7420</v>
      </c>
    </row>
    <row r="112" spans="2:7" hidden="1" x14ac:dyDescent="0.25">
      <c r="C112" s="303" t="s">
        <v>470</v>
      </c>
      <c r="D112" s="863">
        <v>4530</v>
      </c>
      <c r="E112" s="863">
        <v>0</v>
      </c>
      <c r="F112" s="863">
        <v>3347</v>
      </c>
      <c r="G112" s="863">
        <v>4530</v>
      </c>
    </row>
    <row r="113" spans="1:7" hidden="1" x14ac:dyDescent="0.25">
      <c r="B113" s="303" t="s">
        <v>2791</v>
      </c>
      <c r="D113" s="863">
        <v>17712</v>
      </c>
      <c r="E113" s="863">
        <v>0</v>
      </c>
      <c r="F113" s="863">
        <v>4961</v>
      </c>
      <c r="G113" s="863">
        <v>11950</v>
      </c>
    </row>
    <row r="114" spans="1:7" hidden="1" x14ac:dyDescent="0.25">
      <c r="B114" s="303" t="s">
        <v>465</v>
      </c>
      <c r="C114" s="303" t="s">
        <v>489</v>
      </c>
      <c r="D114" s="863">
        <v>2248</v>
      </c>
      <c r="E114" s="863">
        <v>2248</v>
      </c>
      <c r="F114" s="863">
        <v>2248</v>
      </c>
      <c r="G114" s="863">
        <v>2248</v>
      </c>
    </row>
    <row r="115" spans="1:7" hidden="1" x14ac:dyDescent="0.25">
      <c r="C115" s="303" t="s">
        <v>2572</v>
      </c>
      <c r="D115" s="863">
        <v>4457</v>
      </c>
      <c r="E115" s="863">
        <v>4457</v>
      </c>
      <c r="F115" s="863">
        <v>4457</v>
      </c>
      <c r="G115" s="863">
        <v>4457</v>
      </c>
    </row>
    <row r="116" spans="1:7" hidden="1" x14ac:dyDescent="0.25">
      <c r="C116" s="303" t="s">
        <v>583</v>
      </c>
      <c r="D116" s="863">
        <v>14308</v>
      </c>
      <c r="E116" s="863">
        <v>14308</v>
      </c>
      <c r="F116" s="863">
        <v>14081</v>
      </c>
      <c r="G116" s="863">
        <v>14308</v>
      </c>
    </row>
    <row r="117" spans="1:7" hidden="1" x14ac:dyDescent="0.25">
      <c r="C117" s="303" t="s">
        <v>463</v>
      </c>
      <c r="D117" s="863">
        <v>1687</v>
      </c>
      <c r="E117" s="863">
        <v>0</v>
      </c>
      <c r="F117" s="863">
        <v>0</v>
      </c>
      <c r="G117" s="863">
        <v>1390</v>
      </c>
    </row>
    <row r="118" spans="1:7" hidden="1" x14ac:dyDescent="0.25">
      <c r="C118" s="303" t="s">
        <v>470</v>
      </c>
      <c r="D118" s="863">
        <v>7572</v>
      </c>
      <c r="E118" s="863">
        <v>0</v>
      </c>
      <c r="F118" s="863">
        <v>1562</v>
      </c>
      <c r="G118" s="863">
        <v>7365</v>
      </c>
    </row>
    <row r="119" spans="1:7" hidden="1" x14ac:dyDescent="0.25">
      <c r="C119" s="303" t="s">
        <v>539</v>
      </c>
      <c r="D119" s="863">
        <v>41941</v>
      </c>
      <c r="E119" s="863">
        <v>35972</v>
      </c>
      <c r="F119" s="863">
        <v>33420</v>
      </c>
      <c r="G119" s="863">
        <v>37775</v>
      </c>
    </row>
    <row r="120" spans="1:7" hidden="1" x14ac:dyDescent="0.25">
      <c r="C120" s="303" t="s">
        <v>457</v>
      </c>
      <c r="D120" s="863">
        <v>9218</v>
      </c>
      <c r="E120" s="863">
        <v>0</v>
      </c>
      <c r="F120" s="863">
        <v>2224</v>
      </c>
      <c r="G120" s="863">
        <v>9218</v>
      </c>
    </row>
    <row r="121" spans="1:7" hidden="1" x14ac:dyDescent="0.25">
      <c r="C121" s="303" t="s">
        <v>436</v>
      </c>
      <c r="D121" s="863">
        <v>41955</v>
      </c>
      <c r="E121" s="863">
        <v>18712</v>
      </c>
      <c r="F121" s="863">
        <v>27112</v>
      </c>
      <c r="G121" s="863">
        <v>41955</v>
      </c>
    </row>
    <row r="122" spans="1:7" hidden="1" x14ac:dyDescent="0.25">
      <c r="B122" s="303" t="s">
        <v>2792</v>
      </c>
      <c r="D122" s="863">
        <v>123386</v>
      </c>
      <c r="E122" s="863">
        <v>75697</v>
      </c>
      <c r="F122" s="863">
        <v>85104</v>
      </c>
      <c r="G122" s="863">
        <v>118716</v>
      </c>
    </row>
    <row r="123" spans="1:7" hidden="1" x14ac:dyDescent="0.25">
      <c r="A123" s="303" t="s">
        <v>2660</v>
      </c>
      <c r="D123" s="863">
        <v>263355</v>
      </c>
      <c r="E123" s="863">
        <v>81635</v>
      </c>
      <c r="F123" s="863">
        <v>119708</v>
      </c>
      <c r="G123" s="863">
        <v>172276.33333333331</v>
      </c>
    </row>
    <row r="124" spans="1:7" hidden="1" x14ac:dyDescent="0.25">
      <c r="A124" s="303" t="s">
        <v>878</v>
      </c>
      <c r="B124" s="303" t="s">
        <v>901</v>
      </c>
      <c r="C124" s="303" t="s">
        <v>297</v>
      </c>
      <c r="D124" s="863">
        <v>173</v>
      </c>
      <c r="E124" s="863">
        <v>0</v>
      </c>
      <c r="F124" s="863">
        <v>173</v>
      </c>
      <c r="G124" s="863">
        <v>173</v>
      </c>
    </row>
    <row r="125" spans="1:7" hidden="1" x14ac:dyDescent="0.25">
      <c r="C125" s="303" t="s">
        <v>348</v>
      </c>
      <c r="D125" s="863">
        <v>196</v>
      </c>
      <c r="E125" s="863">
        <v>0</v>
      </c>
      <c r="F125" s="863">
        <v>100</v>
      </c>
      <c r="G125" s="863">
        <v>196</v>
      </c>
    </row>
    <row r="126" spans="1:7" hidden="1" x14ac:dyDescent="0.25">
      <c r="C126" s="303" t="s">
        <v>470</v>
      </c>
      <c r="D126" s="863">
        <v>392</v>
      </c>
      <c r="E126" s="863">
        <v>0</v>
      </c>
      <c r="F126" s="863">
        <v>0</v>
      </c>
      <c r="G126" s="863">
        <v>0</v>
      </c>
    </row>
    <row r="127" spans="1:7" hidden="1" x14ac:dyDescent="0.25">
      <c r="B127" s="303" t="s">
        <v>2793</v>
      </c>
      <c r="D127" s="863">
        <v>761</v>
      </c>
      <c r="E127" s="863">
        <v>0</v>
      </c>
      <c r="F127" s="863">
        <v>273</v>
      </c>
      <c r="G127" s="863">
        <v>369</v>
      </c>
    </row>
    <row r="128" spans="1:7" hidden="1" x14ac:dyDescent="0.25">
      <c r="B128" s="303" t="s">
        <v>925</v>
      </c>
      <c r="C128" s="303" t="s">
        <v>470</v>
      </c>
      <c r="D128" s="863">
        <v>120</v>
      </c>
      <c r="E128" s="863">
        <v>0</v>
      </c>
      <c r="F128" s="863">
        <v>0</v>
      </c>
      <c r="G128" s="863">
        <v>0</v>
      </c>
    </row>
    <row r="129" spans="2:7" hidden="1" x14ac:dyDescent="0.25">
      <c r="B129" s="303" t="s">
        <v>2794</v>
      </c>
      <c r="D129" s="863">
        <v>120</v>
      </c>
      <c r="E129" s="863">
        <v>0</v>
      </c>
      <c r="F129" s="863">
        <v>0</v>
      </c>
      <c r="G129" s="863">
        <v>0</v>
      </c>
    </row>
    <row r="130" spans="2:7" hidden="1" x14ac:dyDescent="0.25">
      <c r="B130" s="303" t="s">
        <v>882</v>
      </c>
      <c r="C130" s="303" t="s">
        <v>297</v>
      </c>
      <c r="D130" s="863">
        <v>145</v>
      </c>
      <c r="E130" s="863">
        <v>0</v>
      </c>
      <c r="F130" s="863">
        <v>145</v>
      </c>
      <c r="G130" s="863">
        <v>145</v>
      </c>
    </row>
    <row r="131" spans="2:7" hidden="1" x14ac:dyDescent="0.25">
      <c r="C131" s="303" t="s">
        <v>894</v>
      </c>
      <c r="D131" s="863">
        <v>138</v>
      </c>
      <c r="E131" s="863">
        <v>0</v>
      </c>
      <c r="F131" s="863">
        <v>138</v>
      </c>
      <c r="G131" s="863">
        <v>138</v>
      </c>
    </row>
    <row r="132" spans="2:7" hidden="1" x14ac:dyDescent="0.25">
      <c r="C132" s="303" t="s">
        <v>348</v>
      </c>
      <c r="D132" s="863">
        <v>2149</v>
      </c>
      <c r="E132" s="863">
        <v>0</v>
      </c>
      <c r="F132" s="863">
        <v>1902</v>
      </c>
      <c r="G132" s="863">
        <v>1844</v>
      </c>
    </row>
    <row r="133" spans="2:7" hidden="1" x14ac:dyDescent="0.25">
      <c r="C133" s="303" t="s">
        <v>1423</v>
      </c>
      <c r="D133" s="863">
        <v>721</v>
      </c>
      <c r="E133" s="863">
        <v>0</v>
      </c>
      <c r="F133" s="863">
        <v>400</v>
      </c>
      <c r="G133" s="863">
        <v>721</v>
      </c>
    </row>
    <row r="134" spans="2:7" hidden="1" x14ac:dyDescent="0.25">
      <c r="C134" s="303" t="s">
        <v>891</v>
      </c>
      <c r="D134" s="863">
        <v>265</v>
      </c>
      <c r="E134" s="863">
        <v>0</v>
      </c>
      <c r="F134" s="863">
        <v>265</v>
      </c>
      <c r="G134" s="863">
        <v>265</v>
      </c>
    </row>
    <row r="135" spans="2:7" hidden="1" x14ac:dyDescent="0.25">
      <c r="C135" s="303" t="s">
        <v>2623</v>
      </c>
      <c r="D135" s="863">
        <v>111</v>
      </c>
      <c r="E135" s="863">
        <v>0</v>
      </c>
      <c r="F135" s="863">
        <v>111</v>
      </c>
      <c r="G135" s="863">
        <v>111</v>
      </c>
    </row>
    <row r="136" spans="2:7" hidden="1" x14ac:dyDescent="0.25">
      <c r="C136" s="303" t="s">
        <v>470</v>
      </c>
      <c r="D136" s="863">
        <v>202</v>
      </c>
      <c r="E136" s="863">
        <v>0</v>
      </c>
      <c r="F136" s="863">
        <v>0</v>
      </c>
      <c r="G136" s="863">
        <v>0</v>
      </c>
    </row>
    <row r="137" spans="2:7" hidden="1" x14ac:dyDescent="0.25">
      <c r="C137" s="303" t="s">
        <v>457</v>
      </c>
      <c r="D137" s="863">
        <v>82</v>
      </c>
      <c r="E137" s="863">
        <v>82</v>
      </c>
      <c r="F137" s="863">
        <v>82</v>
      </c>
      <c r="G137" s="863">
        <v>82</v>
      </c>
    </row>
    <row r="138" spans="2:7" hidden="1" x14ac:dyDescent="0.25">
      <c r="C138" s="303" t="s">
        <v>2664</v>
      </c>
      <c r="D138" s="863">
        <v>510</v>
      </c>
      <c r="E138" s="863">
        <v>0</v>
      </c>
      <c r="F138" s="863">
        <v>510</v>
      </c>
      <c r="G138" s="863">
        <v>510</v>
      </c>
    </row>
    <row r="139" spans="2:7" hidden="1" x14ac:dyDescent="0.25">
      <c r="C139" s="303" t="s">
        <v>2614</v>
      </c>
      <c r="D139" s="863">
        <v>745</v>
      </c>
      <c r="E139" s="863">
        <v>141</v>
      </c>
      <c r="F139" s="863">
        <v>699</v>
      </c>
      <c r="G139" s="863">
        <v>745</v>
      </c>
    </row>
    <row r="140" spans="2:7" hidden="1" x14ac:dyDescent="0.25">
      <c r="B140" s="303" t="s">
        <v>2795</v>
      </c>
      <c r="D140" s="863">
        <v>5068</v>
      </c>
      <c r="E140" s="863">
        <v>223</v>
      </c>
      <c r="F140" s="863">
        <v>4252</v>
      </c>
      <c r="G140" s="863">
        <v>4561</v>
      </c>
    </row>
    <row r="141" spans="2:7" hidden="1" x14ac:dyDescent="0.25">
      <c r="B141" s="303" t="s">
        <v>885</v>
      </c>
      <c r="C141" s="303" t="s">
        <v>43</v>
      </c>
      <c r="D141" s="863">
        <v>171</v>
      </c>
      <c r="E141" s="863">
        <v>171</v>
      </c>
      <c r="F141" s="863">
        <v>80</v>
      </c>
      <c r="G141" s="863">
        <v>171</v>
      </c>
    </row>
    <row r="142" spans="2:7" hidden="1" x14ac:dyDescent="0.25">
      <c r="C142" s="303" t="s">
        <v>2574</v>
      </c>
      <c r="D142" s="863">
        <v>143</v>
      </c>
      <c r="E142" s="863">
        <v>0</v>
      </c>
      <c r="F142" s="863">
        <v>143</v>
      </c>
      <c r="G142" s="863">
        <v>143</v>
      </c>
    </row>
    <row r="143" spans="2:7" hidden="1" x14ac:dyDescent="0.25">
      <c r="C143" s="303" t="s">
        <v>470</v>
      </c>
      <c r="D143" s="863">
        <v>188</v>
      </c>
      <c r="E143" s="863">
        <v>0</v>
      </c>
      <c r="F143" s="863">
        <v>0</v>
      </c>
      <c r="G143" s="863">
        <v>0</v>
      </c>
    </row>
    <row r="144" spans="2:7" hidden="1" x14ac:dyDescent="0.25">
      <c r="B144" s="303" t="s">
        <v>2796</v>
      </c>
      <c r="D144" s="863">
        <v>502</v>
      </c>
      <c r="E144" s="863">
        <v>171</v>
      </c>
      <c r="F144" s="863">
        <v>223</v>
      </c>
      <c r="G144" s="863">
        <v>314</v>
      </c>
    </row>
    <row r="145" spans="2:7" hidden="1" x14ac:dyDescent="0.25">
      <c r="B145" s="303" t="s">
        <v>888</v>
      </c>
      <c r="C145" s="303" t="s">
        <v>297</v>
      </c>
      <c r="D145" s="863">
        <v>913</v>
      </c>
      <c r="E145" s="863">
        <v>0</v>
      </c>
      <c r="F145" s="863">
        <v>779</v>
      </c>
      <c r="G145" s="863">
        <v>779</v>
      </c>
    </row>
    <row r="146" spans="2:7" hidden="1" x14ac:dyDescent="0.25">
      <c r="C146" s="303" t="s">
        <v>43</v>
      </c>
      <c r="D146" s="863">
        <v>80</v>
      </c>
      <c r="E146" s="863">
        <v>80</v>
      </c>
      <c r="F146" s="863">
        <v>80</v>
      </c>
      <c r="G146" s="863">
        <v>80</v>
      </c>
    </row>
    <row r="147" spans="2:7" hidden="1" x14ac:dyDescent="0.25">
      <c r="C147" s="303" t="s">
        <v>348</v>
      </c>
      <c r="D147" s="863">
        <v>44</v>
      </c>
      <c r="E147" s="863">
        <v>0</v>
      </c>
      <c r="F147" s="863">
        <v>44</v>
      </c>
      <c r="G147" s="863">
        <v>0</v>
      </c>
    </row>
    <row r="148" spans="2:7" hidden="1" x14ac:dyDescent="0.25">
      <c r="C148" s="303" t="s">
        <v>1423</v>
      </c>
      <c r="D148" s="863">
        <v>207</v>
      </c>
      <c r="E148" s="863">
        <v>0</v>
      </c>
      <c r="F148" s="863">
        <v>207</v>
      </c>
      <c r="G148" s="863">
        <v>207</v>
      </c>
    </row>
    <row r="149" spans="2:7" hidden="1" x14ac:dyDescent="0.25">
      <c r="C149" s="303" t="s">
        <v>470</v>
      </c>
      <c r="D149" s="863">
        <v>779</v>
      </c>
      <c r="E149" s="863">
        <v>0</v>
      </c>
      <c r="F149" s="863">
        <v>0</v>
      </c>
      <c r="G149" s="863">
        <v>0</v>
      </c>
    </row>
    <row r="150" spans="2:7" hidden="1" x14ac:dyDescent="0.25">
      <c r="B150" s="303" t="s">
        <v>2797</v>
      </c>
      <c r="D150" s="863">
        <v>2023</v>
      </c>
      <c r="E150" s="863">
        <v>80</v>
      </c>
      <c r="F150" s="863">
        <v>1110</v>
      </c>
      <c r="G150" s="863">
        <v>1066</v>
      </c>
    </row>
    <row r="151" spans="2:7" hidden="1" x14ac:dyDescent="0.25">
      <c r="B151" s="303" t="s">
        <v>879</v>
      </c>
      <c r="C151" s="303" t="s">
        <v>932</v>
      </c>
      <c r="D151" s="863">
        <v>359</v>
      </c>
      <c r="E151" s="863">
        <v>359</v>
      </c>
      <c r="F151" s="863">
        <v>200</v>
      </c>
      <c r="G151" s="863">
        <v>359</v>
      </c>
    </row>
    <row r="152" spans="2:7" hidden="1" x14ac:dyDescent="0.25">
      <c r="C152" s="303" t="s">
        <v>2575</v>
      </c>
      <c r="D152" s="863">
        <v>605</v>
      </c>
      <c r="E152" s="863">
        <v>391</v>
      </c>
      <c r="F152" s="863">
        <v>554</v>
      </c>
      <c r="G152" s="863">
        <v>605</v>
      </c>
    </row>
    <row r="153" spans="2:7" hidden="1" x14ac:dyDescent="0.25">
      <c r="C153" s="303" t="s">
        <v>2614</v>
      </c>
      <c r="D153" s="863">
        <v>805</v>
      </c>
      <c r="E153" s="863">
        <v>504</v>
      </c>
      <c r="F153" s="863">
        <v>460</v>
      </c>
      <c r="G153" s="863">
        <v>504</v>
      </c>
    </row>
    <row r="154" spans="2:7" hidden="1" x14ac:dyDescent="0.25">
      <c r="C154" s="303" t="s">
        <v>2647</v>
      </c>
      <c r="D154" s="863">
        <v>179</v>
      </c>
      <c r="E154" s="863">
        <v>179</v>
      </c>
      <c r="F154" s="863">
        <v>179</v>
      </c>
      <c r="G154" s="863">
        <v>179</v>
      </c>
    </row>
    <row r="155" spans="2:7" hidden="1" x14ac:dyDescent="0.25">
      <c r="B155" s="303" t="s">
        <v>2798</v>
      </c>
      <c r="D155" s="863">
        <v>1948</v>
      </c>
      <c r="E155" s="863">
        <v>1433</v>
      </c>
      <c r="F155" s="863">
        <v>1393</v>
      </c>
      <c r="G155" s="863">
        <v>1647</v>
      </c>
    </row>
    <row r="156" spans="2:7" hidden="1" x14ac:dyDescent="0.25">
      <c r="B156" s="303" t="s">
        <v>903</v>
      </c>
      <c r="C156" s="303" t="s">
        <v>348</v>
      </c>
      <c r="D156" s="863">
        <v>210</v>
      </c>
      <c r="E156" s="863">
        <v>0</v>
      </c>
      <c r="F156" s="863">
        <v>210</v>
      </c>
      <c r="G156" s="863">
        <v>210</v>
      </c>
    </row>
    <row r="157" spans="2:7" hidden="1" x14ac:dyDescent="0.25">
      <c r="C157" s="303" t="s">
        <v>457</v>
      </c>
      <c r="D157" s="863">
        <v>257</v>
      </c>
      <c r="E157" s="863">
        <v>257</v>
      </c>
      <c r="F157" s="863">
        <v>200</v>
      </c>
      <c r="G157" s="863">
        <v>257</v>
      </c>
    </row>
    <row r="158" spans="2:7" hidden="1" x14ac:dyDescent="0.25">
      <c r="C158" s="303" t="s">
        <v>2614</v>
      </c>
      <c r="D158" s="863">
        <v>282</v>
      </c>
      <c r="E158" s="863">
        <v>0</v>
      </c>
      <c r="F158" s="863">
        <v>282</v>
      </c>
      <c r="G158" s="863">
        <v>282</v>
      </c>
    </row>
    <row r="159" spans="2:7" hidden="1" x14ac:dyDescent="0.25">
      <c r="C159" s="303" t="s">
        <v>2650</v>
      </c>
      <c r="D159" s="863">
        <v>263</v>
      </c>
      <c r="E159" s="863">
        <v>0</v>
      </c>
      <c r="F159" s="863">
        <v>263</v>
      </c>
      <c r="G159" s="863">
        <v>263</v>
      </c>
    </row>
    <row r="160" spans="2:7" hidden="1" x14ac:dyDescent="0.25">
      <c r="B160" s="303" t="s">
        <v>2799</v>
      </c>
      <c r="D160" s="863">
        <v>1012</v>
      </c>
      <c r="E160" s="863">
        <v>257</v>
      </c>
      <c r="F160" s="863">
        <v>955</v>
      </c>
      <c r="G160" s="863">
        <v>1012</v>
      </c>
    </row>
    <row r="161" spans="1:7" hidden="1" x14ac:dyDescent="0.25">
      <c r="A161" s="303" t="s">
        <v>2661</v>
      </c>
      <c r="D161" s="863">
        <v>11434</v>
      </c>
      <c r="E161" s="863">
        <v>2164</v>
      </c>
      <c r="F161" s="863">
        <v>8206</v>
      </c>
      <c r="G161" s="863">
        <v>8969</v>
      </c>
    </row>
    <row r="162" spans="1:7" hidden="1" x14ac:dyDescent="0.25">
      <c r="A162" s="303" t="s">
        <v>2181</v>
      </c>
      <c r="D162" s="863">
        <v>367668</v>
      </c>
      <c r="E162" s="863">
        <v>89884</v>
      </c>
      <c r="F162" s="863">
        <v>199377</v>
      </c>
      <c r="G162" s="863">
        <v>259524.13333333333</v>
      </c>
    </row>
    <row r="163" spans="1:7" hidden="1" x14ac:dyDescent="0.25"/>
  </sheetData>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Z169"/>
  <sheetViews>
    <sheetView showGridLines="0" view="pageBreakPreview" zoomScale="60" zoomScaleNormal="60" workbookViewId="0">
      <selection activeCell="AD11" sqref="AD11"/>
    </sheetView>
  </sheetViews>
  <sheetFormatPr defaultRowHeight="12.75" x14ac:dyDescent="0.2"/>
  <cols>
    <col min="1" max="1" width="1.5" style="21" customWidth="1"/>
    <col min="2" max="2" width="18.125" style="21" customWidth="1"/>
    <col min="3" max="3" width="28.25" style="21" customWidth="1"/>
    <col min="4" max="10" width="9" style="21"/>
    <col min="11" max="11" width="8" style="21" customWidth="1"/>
    <col min="12" max="12" width="11.625" style="21" customWidth="1"/>
    <col min="13" max="13" width="8" style="21" customWidth="1"/>
    <col min="14" max="14" width="14.125" style="21" customWidth="1"/>
    <col min="15" max="15" width="22.75" style="21" customWidth="1"/>
    <col min="16" max="16" width="8" style="21" customWidth="1"/>
    <col min="17" max="18" width="9" style="21"/>
    <col min="19" max="19" width="12" style="21" customWidth="1"/>
    <col min="20" max="20" width="1.75" style="21" customWidth="1"/>
    <col min="21" max="25" width="8.125" style="21" customWidth="1"/>
    <col min="26" max="26" width="16.125" style="21" bestFit="1" customWidth="1"/>
    <col min="27" max="27" width="9" style="21"/>
    <col min="28" max="28" width="21.75" style="21" bestFit="1" customWidth="1"/>
    <col min="29" max="29" width="7.25" style="21" customWidth="1"/>
    <col min="30" max="16384" width="9" style="21"/>
  </cols>
  <sheetData>
    <row r="1" ht="33" customHeight="1" x14ac:dyDescent="0.2"/>
    <row r="26" ht="20.25" customHeight="1" x14ac:dyDescent="0.2"/>
    <row r="29" ht="20.25" customHeight="1" x14ac:dyDescent="0.2"/>
    <row r="31" ht="29.25" customHeight="1" x14ac:dyDescent="0.2"/>
    <row r="44" spans="2:7" ht="15.75" customHeight="1" x14ac:dyDescent="0.2"/>
    <row r="45" spans="2:7" ht="18" customHeight="1" x14ac:dyDescent="0.2"/>
    <row r="48" spans="2:7" ht="36" x14ac:dyDescent="0.2">
      <c r="B48" s="753" t="s">
        <v>2673</v>
      </c>
      <c r="C48" s="754" t="s">
        <v>2674</v>
      </c>
      <c r="D48" s="753" t="s">
        <v>2562</v>
      </c>
      <c r="E48" s="753" t="s">
        <v>2675</v>
      </c>
      <c r="F48" s="753" t="s">
        <v>2676</v>
      </c>
      <c r="G48" s="753" t="s">
        <v>2677</v>
      </c>
    </row>
    <row r="49" spans="2:26" ht="18.75" customHeight="1" x14ac:dyDescent="0.2">
      <c r="B49" s="763" t="s">
        <v>351</v>
      </c>
      <c r="C49" s="764" t="s">
        <v>2692</v>
      </c>
      <c r="D49" s="765">
        <v>8716</v>
      </c>
      <c r="E49" s="755">
        <v>0.18181818181818182</v>
      </c>
      <c r="F49" s="755">
        <v>0.29787572234066695</v>
      </c>
      <c r="G49" s="755">
        <v>0.45454545454545453</v>
      </c>
    </row>
    <row r="50" spans="2:26" ht="18.75" customHeight="1" x14ac:dyDescent="0.2">
      <c r="B50" s="766" t="s">
        <v>302</v>
      </c>
      <c r="C50" s="762" t="s">
        <v>2693</v>
      </c>
      <c r="D50" s="767">
        <v>2422</v>
      </c>
      <c r="E50" s="756">
        <v>0.44610710600189069</v>
      </c>
      <c r="F50" s="756">
        <v>8.3025015814072026E-2</v>
      </c>
      <c r="G50" s="756">
        <v>1</v>
      </c>
    </row>
    <row r="51" spans="2:26" ht="18.75" customHeight="1" x14ac:dyDescent="0.2">
      <c r="B51" s="763" t="s">
        <v>304</v>
      </c>
      <c r="C51" s="764" t="s">
        <v>2694</v>
      </c>
      <c r="D51" s="765">
        <v>3617</v>
      </c>
      <c r="E51" s="755">
        <v>0.12205746837563877</v>
      </c>
      <c r="F51" s="755">
        <v>0.22289627965086983</v>
      </c>
      <c r="G51" s="755">
        <v>1</v>
      </c>
    </row>
    <row r="52" spans="2:26" ht="18.75" customHeight="1" x14ac:dyDescent="0.2">
      <c r="B52" s="766" t="s">
        <v>45</v>
      </c>
      <c r="C52" s="762" t="s">
        <v>2695</v>
      </c>
      <c r="D52" s="767">
        <v>11851</v>
      </c>
      <c r="E52" s="756">
        <v>0</v>
      </c>
      <c r="F52" s="756">
        <v>8.98876404494382E-2</v>
      </c>
      <c r="G52" s="756">
        <v>0.7</v>
      </c>
    </row>
    <row r="53" spans="2:26" ht="18.75" customHeight="1" x14ac:dyDescent="0.2">
      <c r="B53" s="763" t="s">
        <v>308</v>
      </c>
      <c r="C53" s="764" t="s">
        <v>2696</v>
      </c>
      <c r="D53" s="765">
        <v>431</v>
      </c>
      <c r="E53" s="755">
        <v>0</v>
      </c>
      <c r="F53" s="755">
        <v>0.12244897959183672</v>
      </c>
      <c r="G53" s="755">
        <v>1</v>
      </c>
    </row>
    <row r="54" spans="2:26" ht="18.75" customHeight="1" x14ac:dyDescent="0.2">
      <c r="B54" s="766" t="s">
        <v>313</v>
      </c>
      <c r="C54" s="762" t="s">
        <v>2696</v>
      </c>
      <c r="D54" s="767">
        <v>165</v>
      </c>
      <c r="E54" s="756">
        <v>0</v>
      </c>
      <c r="F54" s="756">
        <v>0.28695652173913044</v>
      </c>
      <c r="G54" s="756">
        <v>1</v>
      </c>
    </row>
    <row r="55" spans="2:26" ht="18.75" customHeight="1" x14ac:dyDescent="0.2">
      <c r="B55" s="763" t="s">
        <v>361</v>
      </c>
      <c r="C55" s="764" t="s">
        <v>2697</v>
      </c>
      <c r="D55" s="765">
        <v>27450</v>
      </c>
      <c r="E55" s="755">
        <v>0.10526315789473684</v>
      </c>
      <c r="F55" s="755">
        <v>0.20074451460885517</v>
      </c>
      <c r="G55" s="755">
        <v>0.68421052631578949</v>
      </c>
    </row>
    <row r="56" spans="2:26" ht="18.75" customHeight="1" x14ac:dyDescent="0.2">
      <c r="B56" s="766" t="s">
        <v>315</v>
      </c>
      <c r="C56" s="762" t="s">
        <v>2693</v>
      </c>
      <c r="D56" s="767">
        <v>7412</v>
      </c>
      <c r="E56" s="756">
        <v>0</v>
      </c>
      <c r="F56" s="756">
        <v>0.21601556490546361</v>
      </c>
      <c r="G56" s="756">
        <v>1</v>
      </c>
    </row>
    <row r="57" spans="2:26" ht="18.75" customHeight="1" x14ac:dyDescent="0.2">
      <c r="B57" s="763" t="s">
        <v>329</v>
      </c>
      <c r="C57" s="764" t="s">
        <v>297</v>
      </c>
      <c r="D57" s="765">
        <v>281</v>
      </c>
      <c r="E57" s="755">
        <v>0</v>
      </c>
      <c r="F57" s="755">
        <v>0.42704626334519569</v>
      </c>
      <c r="G57" s="755">
        <v>1</v>
      </c>
    </row>
    <row r="58" spans="2:26" ht="18.75" customHeight="1" x14ac:dyDescent="0.2">
      <c r="B58" s="766" t="s">
        <v>370</v>
      </c>
      <c r="C58" s="762" t="s">
        <v>348</v>
      </c>
      <c r="D58" s="767">
        <v>428</v>
      </c>
      <c r="E58" s="756">
        <v>0</v>
      </c>
      <c r="F58" s="756">
        <v>0</v>
      </c>
      <c r="G58" s="756">
        <v>0</v>
      </c>
    </row>
    <row r="59" spans="2:26" ht="18.75" customHeight="1" x14ac:dyDescent="0.2">
      <c r="B59" s="763" t="s">
        <v>340</v>
      </c>
      <c r="C59" s="764" t="s">
        <v>297</v>
      </c>
      <c r="D59" s="765">
        <v>815</v>
      </c>
      <c r="E59" s="755">
        <v>1</v>
      </c>
      <c r="F59" s="755">
        <v>0</v>
      </c>
      <c r="G59" s="755">
        <v>1</v>
      </c>
    </row>
    <row r="60" spans="2:26" ht="18.75" customHeight="1" x14ac:dyDescent="0.2">
      <c r="B60" s="766" t="s">
        <v>1330</v>
      </c>
      <c r="C60" s="762" t="s">
        <v>43</v>
      </c>
      <c r="D60" s="767">
        <v>936</v>
      </c>
      <c r="E60" s="756">
        <v>0.51332429990966577</v>
      </c>
      <c r="F60" s="756">
        <v>0.63125006219462443</v>
      </c>
      <c r="G60" s="756">
        <v>1</v>
      </c>
    </row>
    <row r="61" spans="2:26" ht="18.75" customHeight="1" x14ac:dyDescent="0.2">
      <c r="B61" s="763" t="s">
        <v>298</v>
      </c>
      <c r="C61" s="764" t="s">
        <v>2698</v>
      </c>
      <c r="D61" s="765">
        <v>23194</v>
      </c>
      <c r="E61" s="755">
        <v>2.4999999999999998E-2</v>
      </c>
      <c r="F61" s="755">
        <v>0.19944259084498508</v>
      </c>
      <c r="G61" s="755">
        <v>1</v>
      </c>
    </row>
    <row r="62" spans="2:26" ht="18.75" customHeight="1" x14ac:dyDescent="0.25">
      <c r="B62" s="766" t="s">
        <v>2563</v>
      </c>
      <c r="C62" s="762" t="s">
        <v>2691</v>
      </c>
      <c r="D62" s="768">
        <f>SUBTOTAL(109,Table7[Total population])</f>
        <v>87718</v>
      </c>
      <c r="E62" s="756" t="s">
        <v>2671</v>
      </c>
      <c r="F62" s="756" t="s">
        <v>2672</v>
      </c>
      <c r="G62" s="756" t="s">
        <v>2689</v>
      </c>
      <c r="X62"/>
      <c r="Y62"/>
    </row>
    <row r="63" spans="2:26" ht="15.75" x14ac:dyDescent="0.25">
      <c r="X63"/>
      <c r="Y63"/>
      <c r="Z63"/>
    </row>
    <row r="64" spans="2:26" ht="15.75" x14ac:dyDescent="0.25">
      <c r="X64"/>
      <c r="Y64"/>
      <c r="Z64"/>
    </row>
    <row r="65" spans="24:26" ht="15.75" x14ac:dyDescent="0.25">
      <c r="X65"/>
      <c r="Y65"/>
      <c r="Z65"/>
    </row>
    <row r="66" spans="24:26" ht="15.75" x14ac:dyDescent="0.25">
      <c r="X66"/>
      <c r="Y66"/>
      <c r="Z66"/>
    </row>
    <row r="67" spans="24:26" ht="15.75" x14ac:dyDescent="0.25">
      <c r="X67"/>
      <c r="Y67"/>
      <c r="Z67"/>
    </row>
    <row r="68" spans="24:26" ht="15.75" x14ac:dyDescent="0.25">
      <c r="X68"/>
      <c r="Y68"/>
      <c r="Z68"/>
    </row>
    <row r="69" spans="24:26" ht="15.75" x14ac:dyDescent="0.25">
      <c r="X69"/>
      <c r="Y69"/>
      <c r="Z69"/>
    </row>
    <row r="70" spans="24:26" ht="15.75" x14ac:dyDescent="0.25">
      <c r="X70"/>
      <c r="Y70"/>
      <c r="Z70"/>
    </row>
    <row r="71" spans="24:26" ht="15.75" x14ac:dyDescent="0.25">
      <c r="X71"/>
      <c r="Y71"/>
      <c r="Z71"/>
    </row>
    <row r="72" spans="24:26" ht="15.75" x14ac:dyDescent="0.25">
      <c r="X72"/>
      <c r="Y72"/>
      <c r="Z72"/>
    </row>
    <row r="73" spans="24:26" ht="15.75" x14ac:dyDescent="0.25">
      <c r="X73"/>
      <c r="Y73"/>
      <c r="Z73"/>
    </row>
    <row r="74" spans="24:26" ht="15.75" x14ac:dyDescent="0.25">
      <c r="X74"/>
      <c r="Y74"/>
      <c r="Z74"/>
    </row>
    <row r="75" spans="24:26" ht="15.75" x14ac:dyDescent="0.25">
      <c r="X75"/>
      <c r="Y75"/>
      <c r="Z75"/>
    </row>
    <row r="76" spans="24:26" ht="15.75" x14ac:dyDescent="0.25">
      <c r="X76"/>
      <c r="Y76"/>
      <c r="Z76"/>
    </row>
    <row r="77" spans="24:26" ht="15.75" x14ac:dyDescent="0.25">
      <c r="X77"/>
      <c r="Y77"/>
      <c r="Z77"/>
    </row>
    <row r="78" spans="24:26" ht="15.75" x14ac:dyDescent="0.25">
      <c r="X78"/>
      <c r="Y78"/>
      <c r="Z78"/>
    </row>
    <row r="79" spans="24:26" ht="15.75" x14ac:dyDescent="0.25">
      <c r="X79"/>
      <c r="Y79"/>
      <c r="Z79"/>
    </row>
    <row r="80" spans="24:26" ht="15.75" x14ac:dyDescent="0.25">
      <c r="X80"/>
      <c r="Y80"/>
      <c r="Z80"/>
    </row>
    <row r="81" spans="24:26" ht="15.75" x14ac:dyDescent="0.25">
      <c r="X81"/>
      <c r="Y81"/>
      <c r="Z81"/>
    </row>
    <row r="82" spans="24:26" ht="15.75" x14ac:dyDescent="0.25">
      <c r="X82"/>
      <c r="Y82"/>
      <c r="Z82"/>
    </row>
    <row r="83" spans="24:26" ht="15.75" x14ac:dyDescent="0.25">
      <c r="X83"/>
      <c r="Y83"/>
      <c r="Z83"/>
    </row>
    <row r="84" spans="24:26" ht="15.75" x14ac:dyDescent="0.25">
      <c r="X84"/>
      <c r="Y84"/>
      <c r="Z84"/>
    </row>
    <row r="85" spans="24:26" ht="15.75" x14ac:dyDescent="0.25">
      <c r="X85"/>
      <c r="Y85"/>
      <c r="Z85"/>
    </row>
    <row r="86" spans="24:26" ht="15.75" x14ac:dyDescent="0.25">
      <c r="X86"/>
      <c r="Y86"/>
      <c r="Z86"/>
    </row>
    <row r="87" spans="24:26" ht="15.75" x14ac:dyDescent="0.25">
      <c r="X87"/>
      <c r="Y87"/>
      <c r="Z87"/>
    </row>
    <row r="88" spans="24:26" ht="15.75" x14ac:dyDescent="0.25">
      <c r="X88"/>
      <c r="Y88"/>
      <c r="Z88"/>
    </row>
    <row r="89" spans="24:26" ht="15.75" x14ac:dyDescent="0.25">
      <c r="X89"/>
      <c r="Y89"/>
      <c r="Z89"/>
    </row>
    <row r="90" spans="24:26" ht="15.75" x14ac:dyDescent="0.25">
      <c r="X90"/>
      <c r="Y90"/>
      <c r="Z90"/>
    </row>
    <row r="91" spans="24:26" ht="15.75" x14ac:dyDescent="0.25">
      <c r="X91"/>
      <c r="Y91"/>
      <c r="Z91"/>
    </row>
    <row r="92" spans="24:26" ht="15.75" x14ac:dyDescent="0.25">
      <c r="X92"/>
      <c r="Y92"/>
      <c r="Z92"/>
    </row>
    <row r="93" spans="24:26" ht="15.75" x14ac:dyDescent="0.25">
      <c r="X93"/>
      <c r="Y93"/>
      <c r="Z93"/>
    </row>
    <row r="94" spans="24:26" ht="15.75" x14ac:dyDescent="0.25">
      <c r="X94"/>
      <c r="Y94"/>
      <c r="Z94"/>
    </row>
    <row r="95" spans="24:26" ht="15.75" x14ac:dyDescent="0.25">
      <c r="X95"/>
      <c r="Y95"/>
      <c r="Z95"/>
    </row>
    <row r="96" spans="24:26" ht="15.75" x14ac:dyDescent="0.25">
      <c r="X96"/>
      <c r="Y96"/>
      <c r="Z96"/>
    </row>
    <row r="97" spans="24:26" ht="15.75" x14ac:dyDescent="0.25">
      <c r="X97"/>
      <c r="Y97"/>
      <c r="Z97"/>
    </row>
    <row r="98" spans="24:26" ht="15.75" x14ac:dyDescent="0.25">
      <c r="X98"/>
      <c r="Y98"/>
      <c r="Z98"/>
    </row>
    <row r="99" spans="24:26" ht="15.75" x14ac:dyDescent="0.25">
      <c r="X99"/>
      <c r="Y99"/>
      <c r="Z99"/>
    </row>
    <row r="100" spans="24:26" ht="15.75" x14ac:dyDescent="0.25">
      <c r="X100"/>
      <c r="Y100"/>
      <c r="Z100"/>
    </row>
    <row r="101" spans="24:26" ht="15.75" x14ac:dyDescent="0.25">
      <c r="X101"/>
      <c r="Y101"/>
      <c r="Z101"/>
    </row>
    <row r="102" spans="24:26" ht="15.75" x14ac:dyDescent="0.25">
      <c r="X102"/>
      <c r="Y102"/>
      <c r="Z102"/>
    </row>
    <row r="103" spans="24:26" ht="15.75" x14ac:dyDescent="0.25">
      <c r="X103"/>
      <c r="Y103"/>
      <c r="Z103"/>
    </row>
    <row r="104" spans="24:26" ht="15.75" x14ac:dyDescent="0.25">
      <c r="X104"/>
      <c r="Y104"/>
      <c r="Z104"/>
    </row>
    <row r="105" spans="24:26" ht="15.75" x14ac:dyDescent="0.25">
      <c r="X105"/>
      <c r="Y105"/>
      <c r="Z105"/>
    </row>
    <row r="106" spans="24:26" ht="15.75" x14ac:dyDescent="0.25">
      <c r="X106"/>
      <c r="Y106"/>
      <c r="Z106"/>
    </row>
    <row r="107" spans="24:26" ht="15.75" x14ac:dyDescent="0.25">
      <c r="X107"/>
      <c r="Y107"/>
      <c r="Z107"/>
    </row>
    <row r="108" spans="24:26" ht="15.75" x14ac:dyDescent="0.25">
      <c r="X108"/>
      <c r="Y108"/>
      <c r="Z108"/>
    </row>
    <row r="109" spans="24:26" ht="15.75" x14ac:dyDescent="0.25">
      <c r="X109"/>
      <c r="Y109"/>
      <c r="Z109"/>
    </row>
    <row r="110" spans="24:26" ht="15.75" x14ac:dyDescent="0.25">
      <c r="X110"/>
      <c r="Y110"/>
      <c r="Z110"/>
    </row>
    <row r="111" spans="24:26" ht="15.75" x14ac:dyDescent="0.25">
      <c r="X111"/>
      <c r="Y111"/>
      <c r="Z111"/>
    </row>
    <row r="112" spans="24:26" ht="15.75" x14ac:dyDescent="0.25">
      <c r="X112"/>
      <c r="Y112"/>
      <c r="Z112"/>
    </row>
    <row r="113" spans="24:26" ht="15.75" x14ac:dyDescent="0.25">
      <c r="X113"/>
      <c r="Y113"/>
      <c r="Z113"/>
    </row>
    <row r="114" spans="24:26" ht="15.75" x14ac:dyDescent="0.25">
      <c r="X114"/>
      <c r="Y114"/>
      <c r="Z114"/>
    </row>
    <row r="115" spans="24:26" ht="15.75" x14ac:dyDescent="0.25">
      <c r="X115"/>
      <c r="Y115"/>
      <c r="Z115"/>
    </row>
    <row r="116" spans="24:26" ht="15.75" x14ac:dyDescent="0.25">
      <c r="X116"/>
      <c r="Y116"/>
      <c r="Z116"/>
    </row>
    <row r="117" spans="24:26" ht="15.75" x14ac:dyDescent="0.25">
      <c r="X117"/>
      <c r="Y117"/>
      <c r="Z117"/>
    </row>
    <row r="118" spans="24:26" ht="15.75" x14ac:dyDescent="0.25">
      <c r="X118"/>
      <c r="Y118"/>
      <c r="Z118"/>
    </row>
    <row r="119" spans="24:26" ht="15.75" x14ac:dyDescent="0.25">
      <c r="X119"/>
      <c r="Y119"/>
      <c r="Z119"/>
    </row>
    <row r="120" spans="24:26" ht="15.75" x14ac:dyDescent="0.25">
      <c r="X120"/>
      <c r="Y120"/>
      <c r="Z120"/>
    </row>
    <row r="121" spans="24:26" ht="15.75" x14ac:dyDescent="0.25">
      <c r="X121"/>
      <c r="Y121"/>
      <c r="Z121"/>
    </row>
    <row r="122" spans="24:26" ht="15.75" x14ac:dyDescent="0.25">
      <c r="X122"/>
      <c r="Y122"/>
      <c r="Z122"/>
    </row>
    <row r="123" spans="24:26" ht="15.75" x14ac:dyDescent="0.25">
      <c r="X123"/>
      <c r="Y123"/>
      <c r="Z123"/>
    </row>
    <row r="124" spans="24:26" ht="15.75" x14ac:dyDescent="0.25">
      <c r="X124"/>
      <c r="Y124"/>
      <c r="Z124"/>
    </row>
    <row r="125" spans="24:26" ht="15.75" x14ac:dyDescent="0.25">
      <c r="X125"/>
      <c r="Y125"/>
      <c r="Z125"/>
    </row>
    <row r="126" spans="24:26" ht="15.75" x14ac:dyDescent="0.25">
      <c r="X126"/>
      <c r="Y126"/>
      <c r="Z126"/>
    </row>
    <row r="127" spans="24:26" ht="15.75" x14ac:dyDescent="0.25">
      <c r="X127"/>
      <c r="Y127"/>
      <c r="Z127"/>
    </row>
    <row r="128" spans="24:26" ht="15.75" x14ac:dyDescent="0.25">
      <c r="X128"/>
      <c r="Y128"/>
      <c r="Z128"/>
    </row>
    <row r="129" spans="24:26" ht="15.75" x14ac:dyDescent="0.25">
      <c r="X129"/>
      <c r="Y129"/>
      <c r="Z129"/>
    </row>
    <row r="130" spans="24:26" ht="15.75" x14ac:dyDescent="0.25">
      <c r="X130"/>
      <c r="Y130"/>
      <c r="Z130"/>
    </row>
    <row r="131" spans="24:26" ht="15.75" x14ac:dyDescent="0.25">
      <c r="X131"/>
      <c r="Y131"/>
      <c r="Z131"/>
    </row>
    <row r="132" spans="24:26" ht="15.75" x14ac:dyDescent="0.25">
      <c r="X132"/>
      <c r="Y132"/>
      <c r="Z132"/>
    </row>
    <row r="133" spans="24:26" ht="15.75" x14ac:dyDescent="0.25">
      <c r="X133"/>
      <c r="Y133"/>
      <c r="Z133"/>
    </row>
    <row r="134" spans="24:26" ht="15.75" x14ac:dyDescent="0.25">
      <c r="X134"/>
      <c r="Y134"/>
      <c r="Z134"/>
    </row>
    <row r="135" spans="24:26" ht="15.75" x14ac:dyDescent="0.25">
      <c r="X135"/>
      <c r="Y135"/>
    </row>
    <row r="136" spans="24:26" ht="15.75" x14ac:dyDescent="0.25">
      <c r="X136"/>
      <c r="Y136"/>
    </row>
    <row r="137" spans="24:26" ht="15.75" x14ac:dyDescent="0.25">
      <c r="X137"/>
      <c r="Y137"/>
    </row>
    <row r="138" spans="24:26" ht="15.75" x14ac:dyDescent="0.25">
      <c r="X138"/>
      <c r="Y138"/>
    </row>
    <row r="139" spans="24:26" ht="15.75" x14ac:dyDescent="0.25">
      <c r="X139"/>
      <c r="Y139"/>
    </row>
    <row r="140" spans="24:26" ht="15.75" x14ac:dyDescent="0.25">
      <c r="X140"/>
      <c r="Y140"/>
    </row>
    <row r="141" spans="24:26" ht="15.75" x14ac:dyDescent="0.25">
      <c r="X141"/>
      <c r="Y141"/>
    </row>
    <row r="142" spans="24:26" ht="15.75" x14ac:dyDescent="0.25">
      <c r="X142"/>
      <c r="Y142"/>
    </row>
    <row r="143" spans="24:26" ht="15.75" x14ac:dyDescent="0.25">
      <c r="X143"/>
      <c r="Y143"/>
    </row>
    <row r="144" spans="24:26" ht="15.75" x14ac:dyDescent="0.25">
      <c r="X144"/>
      <c r="Y144"/>
    </row>
    <row r="145" spans="24:25" ht="15.75" x14ac:dyDescent="0.25">
      <c r="X145"/>
      <c r="Y145"/>
    </row>
    <row r="146" spans="24:25" ht="15.75" x14ac:dyDescent="0.25">
      <c r="X146"/>
      <c r="Y146"/>
    </row>
    <row r="147" spans="24:25" ht="15.75" x14ac:dyDescent="0.25">
      <c r="X147"/>
      <c r="Y147"/>
    </row>
    <row r="148" spans="24:25" ht="15.75" x14ac:dyDescent="0.25">
      <c r="X148"/>
      <c r="Y148"/>
    </row>
    <row r="149" spans="24:25" ht="15.75" x14ac:dyDescent="0.25">
      <c r="X149"/>
      <c r="Y149"/>
    </row>
    <row r="150" spans="24:25" ht="15.75" x14ac:dyDescent="0.25">
      <c r="X150"/>
      <c r="Y150"/>
    </row>
    <row r="151" spans="24:25" ht="15.75" x14ac:dyDescent="0.25">
      <c r="X151"/>
      <c r="Y151"/>
    </row>
    <row r="152" spans="24:25" ht="15.75" x14ac:dyDescent="0.25">
      <c r="X152"/>
      <c r="Y152"/>
    </row>
    <row r="153" spans="24:25" ht="15.75" x14ac:dyDescent="0.25">
      <c r="X153"/>
      <c r="Y153"/>
    </row>
    <row r="154" spans="24:25" ht="15.75" x14ac:dyDescent="0.25">
      <c r="X154"/>
      <c r="Y154"/>
    </row>
    <row r="155" spans="24:25" ht="15.75" x14ac:dyDescent="0.25">
      <c r="X155"/>
      <c r="Y155"/>
    </row>
    <row r="156" spans="24:25" ht="15.75" x14ac:dyDescent="0.25">
      <c r="X156"/>
      <c r="Y156"/>
    </row>
    <row r="157" spans="24:25" ht="15.75" x14ac:dyDescent="0.25">
      <c r="X157"/>
      <c r="Y157"/>
    </row>
    <row r="158" spans="24:25" ht="15.75" x14ac:dyDescent="0.25">
      <c r="X158"/>
      <c r="Y158"/>
    </row>
    <row r="159" spans="24:25" ht="15.75" x14ac:dyDescent="0.25">
      <c r="X159"/>
      <c r="Y159"/>
    </row>
    <row r="160" spans="24:25" ht="15.75" x14ac:dyDescent="0.25">
      <c r="X160"/>
      <c r="Y160"/>
    </row>
    <row r="161" spans="24:25" ht="15.75" x14ac:dyDescent="0.25">
      <c r="X161"/>
      <c r="Y161"/>
    </row>
    <row r="162" spans="24:25" ht="15.75" x14ac:dyDescent="0.25">
      <c r="X162"/>
      <c r="Y162"/>
    </row>
    <row r="163" spans="24:25" ht="15.75" x14ac:dyDescent="0.25">
      <c r="X163"/>
      <c r="Y163"/>
    </row>
    <row r="164" spans="24:25" ht="15.75" x14ac:dyDescent="0.25">
      <c r="X164"/>
      <c r="Y164"/>
    </row>
    <row r="165" spans="24:25" ht="15.75" x14ac:dyDescent="0.25">
      <c r="X165"/>
      <c r="Y165"/>
    </row>
    <row r="166" spans="24:25" ht="15.75" x14ac:dyDescent="0.25">
      <c r="X166"/>
      <c r="Y166"/>
    </row>
    <row r="167" spans="24:25" ht="15.75" x14ac:dyDescent="0.25">
      <c r="X167"/>
      <c r="Y167"/>
    </row>
    <row r="168" spans="24:25" ht="15.75" x14ac:dyDescent="0.25">
      <c r="X168"/>
      <c r="Y168"/>
    </row>
    <row r="169" spans="24:25" ht="15.75" x14ac:dyDescent="0.25">
      <c r="X169"/>
      <c r="Y169"/>
    </row>
  </sheetData>
  <printOptions horizontalCentered="1" verticalCentered="1"/>
  <pageMargins left="0.25" right="0.25" top="0.25" bottom="0.25" header="0.3" footer="0.3"/>
  <pageSetup paperSize="9" scale="43" fitToHeight="0" orientation="landscape" r:id="rId1"/>
  <drawing r:id="rId2"/>
  <tableParts count="1">
    <tablePart r:id="rId3"/>
  </tableParts>
  <extLst>
    <ext xmlns:x14="http://schemas.microsoft.com/office/spreadsheetml/2009/9/main" uri="{78C0D931-6437-407d-A8EE-F0AAD7539E65}">
      <x14:conditionalFormattings>
        <x14:conditionalFormatting xmlns:xm="http://schemas.microsoft.com/office/excel/2006/main">
          <x14:cfRule type="iconSet" priority="11009" id="{3E2EEC8F-CDAA-42E6-BD79-930720AB8B50}">
            <x14:iconSet custom="1">
              <x14:cfvo type="percent">
                <xm:f>0</xm:f>
              </x14:cfvo>
              <x14:cfvo type="percent" gte="0">
                <xm:f>0</xm:f>
              </x14:cfvo>
              <x14:cfvo type="percent">
                <xm:f>30</xm:f>
              </x14:cfvo>
              <x14:cfIcon iconSet="3TrafficLights1" iconId="2"/>
              <x14:cfIcon iconSet="3TrafficLights1" iconId="1"/>
              <x14:cfIcon iconSet="3TrafficLights1" iconId="0"/>
            </x14:iconSet>
          </x14:cfRule>
          <xm:sqref>E49:G61</xm:sqref>
        </x14:conditionalFormatting>
      </x14:conditionalFormatting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D152"/>
  <sheetViews>
    <sheetView showGridLines="0" view="pageBreakPreview" topLeftCell="B5" zoomScale="60" zoomScaleNormal="60" zoomScalePageLayoutView="80" workbookViewId="0">
      <selection activeCell="O56" sqref="O56"/>
    </sheetView>
  </sheetViews>
  <sheetFormatPr defaultRowHeight="12.75" x14ac:dyDescent="0.2"/>
  <cols>
    <col min="1" max="1" width="1.375" style="21" hidden="1" customWidth="1"/>
    <col min="2" max="2" width="12.375" style="21" customWidth="1"/>
    <col min="3" max="3" width="24.5" style="21" customWidth="1"/>
    <col min="4" max="4" width="11.25" style="21" customWidth="1"/>
    <col min="5" max="5" width="10.75" style="21" customWidth="1"/>
    <col min="6" max="6" width="11.5" style="21" customWidth="1"/>
    <col min="7" max="7" width="11" style="21" customWidth="1"/>
    <col min="8" max="10" width="9" style="21"/>
    <col min="11" max="11" width="8" style="21" customWidth="1"/>
    <col min="12" max="12" width="18" style="21" customWidth="1"/>
    <col min="13" max="13" width="8" style="21" customWidth="1"/>
    <col min="14" max="14" width="14.875" style="21" customWidth="1"/>
    <col min="15" max="15" width="11.5" style="21" customWidth="1"/>
    <col min="16" max="16" width="8" style="21" customWidth="1"/>
    <col min="17" max="18" width="9" style="21"/>
    <col min="19" max="19" width="12" style="21" customWidth="1"/>
    <col min="20" max="20" width="1.75" style="21" customWidth="1"/>
    <col min="21" max="24" width="8.125" style="21" customWidth="1"/>
    <col min="25" max="25" width="3.875" style="21" customWidth="1"/>
    <col min="26" max="26" width="16.125" style="21" bestFit="1" customWidth="1"/>
    <col min="27" max="27" width="9" style="21"/>
    <col min="28" max="28" width="21.75" style="21" bestFit="1" customWidth="1"/>
    <col min="29" max="29" width="17.5" style="21" bestFit="1" customWidth="1"/>
    <col min="30" max="16384" width="9" style="21"/>
  </cols>
  <sheetData>
    <row r="1" spans="30:30" ht="24.75" customHeight="1" x14ac:dyDescent="0.2"/>
    <row r="8" spans="30:30" x14ac:dyDescent="0.2">
      <c r="AD8" s="21" t="s">
        <v>2758</v>
      </c>
    </row>
    <row r="36" spans="2:7" ht="48" customHeight="1" x14ac:dyDescent="0.2"/>
    <row r="40" spans="2:7" ht="10.5" customHeight="1" x14ac:dyDescent="0.2"/>
    <row r="41" spans="2:7" ht="10.5" customHeight="1" x14ac:dyDescent="0.2"/>
    <row r="42" spans="2:7" ht="48" customHeight="1" x14ac:dyDescent="0.2"/>
    <row r="43" spans="2:7" ht="45" customHeight="1" x14ac:dyDescent="0.2">
      <c r="B43" s="753" t="s">
        <v>2673</v>
      </c>
      <c r="C43" s="754" t="s">
        <v>2674</v>
      </c>
      <c r="D43" s="753" t="s">
        <v>2562</v>
      </c>
      <c r="E43" s="753" t="s">
        <v>2675</v>
      </c>
      <c r="F43" s="753" t="s">
        <v>2676</v>
      </c>
      <c r="G43" s="753" t="s">
        <v>2677</v>
      </c>
    </row>
    <row r="44" spans="2:7" ht="24.75" customHeight="1" x14ac:dyDescent="0.2">
      <c r="B44" s="764" t="s">
        <v>496</v>
      </c>
      <c r="C44" s="764" t="s">
        <v>2570</v>
      </c>
      <c r="D44" s="765">
        <v>14817</v>
      </c>
      <c r="E44" s="755">
        <v>1</v>
      </c>
      <c r="F44" s="755">
        <v>1.0027027155338704</v>
      </c>
      <c r="G44" s="755">
        <v>1</v>
      </c>
    </row>
    <row r="45" spans="2:7" ht="24.75" customHeight="1" x14ac:dyDescent="0.2">
      <c r="B45" s="762" t="s">
        <v>490</v>
      </c>
      <c r="C45" s="762" t="s">
        <v>542</v>
      </c>
      <c r="D45" s="767">
        <v>7969</v>
      </c>
      <c r="E45" s="756">
        <v>0.53771941193624495</v>
      </c>
      <c r="F45" s="756">
        <v>0.97788149591669526</v>
      </c>
      <c r="G45" s="756">
        <v>1</v>
      </c>
    </row>
    <row r="46" spans="2:7" ht="24.75" customHeight="1" x14ac:dyDescent="0.2">
      <c r="B46" s="764" t="s">
        <v>530</v>
      </c>
      <c r="C46" s="764" t="s">
        <v>539</v>
      </c>
      <c r="D46" s="765">
        <v>992</v>
      </c>
      <c r="E46" s="755">
        <v>0</v>
      </c>
      <c r="F46" s="755">
        <v>0</v>
      </c>
      <c r="G46" s="755">
        <v>1</v>
      </c>
    </row>
    <row r="47" spans="2:7" ht="24.75" customHeight="1" x14ac:dyDescent="0.2">
      <c r="B47" s="762" t="s">
        <v>473</v>
      </c>
      <c r="C47" s="762" t="s">
        <v>1394</v>
      </c>
      <c r="D47" s="767">
        <v>19012</v>
      </c>
      <c r="E47" s="756">
        <v>0.96</v>
      </c>
      <c r="F47" s="756">
        <v>0.98312611013600504</v>
      </c>
      <c r="G47" s="756">
        <v>1</v>
      </c>
    </row>
    <row r="48" spans="2:7" ht="24.75" customHeight="1" x14ac:dyDescent="0.2">
      <c r="B48" s="764" t="s">
        <v>476</v>
      </c>
      <c r="C48" s="764" t="s">
        <v>542</v>
      </c>
      <c r="D48" s="765">
        <v>10023</v>
      </c>
      <c r="E48" s="755">
        <v>0.59274123189670214</v>
      </c>
      <c r="F48" s="755">
        <v>0.97834837954468523</v>
      </c>
      <c r="G48" s="755">
        <v>1</v>
      </c>
    </row>
    <row r="49" spans="2:26" ht="24.75" customHeight="1" x14ac:dyDescent="0.2">
      <c r="B49" s="764" t="s">
        <v>572</v>
      </c>
      <c r="C49" s="764" t="s">
        <v>571</v>
      </c>
      <c r="D49" s="767">
        <v>3052</v>
      </c>
      <c r="E49" s="756">
        <v>0.27954144620811289</v>
      </c>
      <c r="F49" s="756">
        <v>0</v>
      </c>
      <c r="G49" s="756">
        <v>1</v>
      </c>
    </row>
    <row r="50" spans="2:26" ht="24.75" customHeight="1" x14ac:dyDescent="0.2">
      <c r="B50" s="764" t="s">
        <v>575</v>
      </c>
      <c r="C50" s="764" t="s">
        <v>2690</v>
      </c>
      <c r="D50" s="765">
        <v>30391</v>
      </c>
      <c r="E50" s="755">
        <v>0.12926371849693558</v>
      </c>
      <c r="F50" s="755">
        <v>0.31187402693785427</v>
      </c>
      <c r="G50" s="755">
        <v>0.88888888888888884</v>
      </c>
    </row>
    <row r="51" spans="2:26" ht="24.75" customHeight="1" x14ac:dyDescent="0.2">
      <c r="B51" s="762" t="s">
        <v>508</v>
      </c>
      <c r="C51" s="762" t="s">
        <v>542</v>
      </c>
      <c r="D51" s="767">
        <v>13182</v>
      </c>
      <c r="E51" s="756">
        <v>0.30925322714652581</v>
      </c>
      <c r="F51" s="756">
        <v>0.79521969255896185</v>
      </c>
      <c r="G51" s="756">
        <v>1</v>
      </c>
    </row>
    <row r="52" spans="2:26" ht="24.75" customHeight="1" x14ac:dyDescent="0.2">
      <c r="B52" s="762" t="s">
        <v>465</v>
      </c>
      <c r="C52" s="791" t="s">
        <v>2718</v>
      </c>
      <c r="D52" s="767">
        <v>115814</v>
      </c>
      <c r="E52" s="756">
        <v>7.9222198655934856E-2</v>
      </c>
      <c r="F52" s="756">
        <v>0.49993813834772133</v>
      </c>
      <c r="G52" s="756">
        <v>0.65116279069767447</v>
      </c>
    </row>
    <row r="53" spans="2:26" ht="23.25" customHeight="1" x14ac:dyDescent="0.2">
      <c r="B53" s="766" t="s">
        <v>2563</v>
      </c>
      <c r="C53" s="762" t="s">
        <v>2691</v>
      </c>
      <c r="D53" s="768">
        <f>SUBTOTAL(109,Table712[Total population])</f>
        <v>215252</v>
      </c>
      <c r="E53" s="756" t="s">
        <v>2720</v>
      </c>
      <c r="F53" s="756" t="s">
        <v>2721</v>
      </c>
      <c r="G53" s="756" t="s">
        <v>2719</v>
      </c>
    </row>
    <row r="57" spans="2:26" ht="15.75" x14ac:dyDescent="0.25">
      <c r="X57"/>
      <c r="Y57"/>
    </row>
    <row r="58" spans="2:26" ht="15.75" x14ac:dyDescent="0.25">
      <c r="X58"/>
      <c r="Y58"/>
      <c r="Z58"/>
    </row>
    <row r="59" spans="2:26" ht="15.75" x14ac:dyDescent="0.25">
      <c r="X59"/>
      <c r="Y59"/>
      <c r="Z59"/>
    </row>
    <row r="60" spans="2:26" ht="15.75" x14ac:dyDescent="0.25">
      <c r="X60"/>
      <c r="Y60"/>
      <c r="Z60"/>
    </row>
    <row r="61" spans="2:26" ht="15.75" x14ac:dyDescent="0.25">
      <c r="X61"/>
      <c r="Y61"/>
      <c r="Z61"/>
    </row>
    <row r="62" spans="2:26" ht="15.75" x14ac:dyDescent="0.25">
      <c r="B62" s="790"/>
      <c r="C62" s="790"/>
      <c r="D62" s="790"/>
      <c r="E62" s="790"/>
      <c r="F62" s="790"/>
      <c r="G62" s="790"/>
      <c r="H62" s="790"/>
      <c r="I62" s="790"/>
      <c r="J62" s="790"/>
      <c r="K62" s="790"/>
      <c r="L62" s="790"/>
      <c r="M62" s="790"/>
      <c r="N62" s="790"/>
      <c r="O62" s="790"/>
      <c r="P62" s="790"/>
      <c r="Q62" s="790"/>
      <c r="R62" s="790"/>
      <c r="S62" s="790"/>
      <c r="T62" s="790"/>
      <c r="U62" s="790"/>
      <c r="V62" s="790"/>
      <c r="X62"/>
      <c r="Y62"/>
      <c r="Z62"/>
    </row>
    <row r="63" spans="2:26" ht="15.75" x14ac:dyDescent="0.25">
      <c r="B63" s="790"/>
      <c r="C63" s="790"/>
      <c r="D63" s="790"/>
      <c r="E63" s="790"/>
      <c r="F63" s="790"/>
      <c r="G63" s="790"/>
      <c r="H63" s="790"/>
      <c r="I63" s="790"/>
      <c r="J63" s="790"/>
      <c r="K63" s="790"/>
      <c r="L63" s="790"/>
      <c r="M63" s="790"/>
      <c r="N63" s="790"/>
      <c r="O63" s="790"/>
      <c r="P63" s="790"/>
      <c r="Q63" s="790"/>
      <c r="R63" s="790"/>
      <c r="S63" s="790"/>
      <c r="T63" s="790"/>
      <c r="U63" s="790"/>
      <c r="V63" s="790"/>
      <c r="X63"/>
      <c r="Y63"/>
      <c r="Z63"/>
    </row>
    <row r="64" spans="2:26" ht="15.75" x14ac:dyDescent="0.25">
      <c r="B64" s="790"/>
      <c r="C64" s="790"/>
      <c r="D64" s="790"/>
      <c r="E64" s="790"/>
      <c r="F64" s="790"/>
      <c r="G64" s="790"/>
      <c r="H64" s="790"/>
      <c r="I64" s="790"/>
      <c r="J64" s="790"/>
      <c r="K64" s="790"/>
      <c r="L64" s="790"/>
      <c r="M64" s="790"/>
      <c r="N64" s="790"/>
      <c r="O64" s="790"/>
      <c r="P64" s="790"/>
      <c r="Q64" s="790"/>
      <c r="R64" s="790"/>
      <c r="S64" s="790"/>
      <c r="T64" s="790"/>
      <c r="U64" s="790"/>
      <c r="V64" s="790"/>
      <c r="X64"/>
      <c r="Y64"/>
      <c r="Z64"/>
    </row>
    <row r="65" spans="2:26" ht="15.75" x14ac:dyDescent="0.25">
      <c r="B65" s="790"/>
      <c r="C65" s="790"/>
      <c r="D65" s="790"/>
      <c r="E65" s="790"/>
      <c r="F65" s="790"/>
      <c r="G65" s="790"/>
      <c r="H65" s="790"/>
      <c r="I65" s="790"/>
      <c r="J65" s="790"/>
      <c r="K65" s="790"/>
      <c r="L65" s="790"/>
      <c r="M65" s="790"/>
      <c r="N65" s="790"/>
      <c r="O65" s="790"/>
      <c r="P65" s="790"/>
      <c r="Q65" s="790"/>
      <c r="R65" s="790"/>
      <c r="S65" s="790"/>
      <c r="T65" s="790"/>
      <c r="U65" s="790"/>
      <c r="V65" s="790"/>
      <c r="X65"/>
      <c r="Y65"/>
      <c r="Z65"/>
    </row>
    <row r="66" spans="2:26" ht="15.75" x14ac:dyDescent="0.25">
      <c r="B66" s="790"/>
      <c r="C66" s="790"/>
      <c r="D66" s="790"/>
      <c r="E66" s="790"/>
      <c r="F66" s="790"/>
      <c r="G66" s="790"/>
      <c r="H66" s="790"/>
      <c r="I66" s="790"/>
      <c r="J66" s="790"/>
      <c r="K66" s="790"/>
      <c r="L66" s="790"/>
      <c r="M66" s="790"/>
      <c r="N66" s="790"/>
      <c r="O66" s="790"/>
      <c r="P66" s="790"/>
      <c r="Q66" s="790"/>
      <c r="R66" s="790"/>
      <c r="S66" s="790"/>
      <c r="T66" s="790"/>
      <c r="U66" s="790"/>
      <c r="V66" s="790"/>
      <c r="X66"/>
      <c r="Y66"/>
      <c r="Z66"/>
    </row>
    <row r="67" spans="2:26" ht="15.75" x14ac:dyDescent="0.25">
      <c r="X67"/>
      <c r="Y67"/>
      <c r="Z67"/>
    </row>
    <row r="68" spans="2:26" ht="15.75" x14ac:dyDescent="0.25">
      <c r="X68"/>
      <c r="Y68"/>
      <c r="Z68"/>
    </row>
    <row r="69" spans="2:26" ht="15.75" x14ac:dyDescent="0.25">
      <c r="X69"/>
      <c r="Y69"/>
      <c r="Z69"/>
    </row>
    <row r="70" spans="2:26" ht="15.75" x14ac:dyDescent="0.25">
      <c r="X70"/>
      <c r="Y70"/>
      <c r="Z70"/>
    </row>
    <row r="71" spans="2:26" ht="15.75" x14ac:dyDescent="0.25">
      <c r="X71"/>
      <c r="Y71"/>
      <c r="Z71"/>
    </row>
    <row r="72" spans="2:26" ht="15.75" x14ac:dyDescent="0.25">
      <c r="X72"/>
      <c r="Y72"/>
      <c r="Z72"/>
    </row>
    <row r="73" spans="2:26" ht="15.75" x14ac:dyDescent="0.25">
      <c r="X73"/>
      <c r="Y73"/>
      <c r="Z73"/>
    </row>
    <row r="74" spans="2:26" ht="15.75" x14ac:dyDescent="0.25">
      <c r="X74"/>
      <c r="Y74"/>
      <c r="Z74"/>
    </row>
    <row r="75" spans="2:26" ht="15.75" x14ac:dyDescent="0.25">
      <c r="X75"/>
      <c r="Y75"/>
      <c r="Z75"/>
    </row>
    <row r="76" spans="2:26" ht="15.75" x14ac:dyDescent="0.25">
      <c r="X76"/>
      <c r="Y76"/>
      <c r="Z76"/>
    </row>
    <row r="77" spans="2:26" ht="15.75" x14ac:dyDescent="0.25">
      <c r="X77"/>
      <c r="Y77"/>
      <c r="Z77"/>
    </row>
    <row r="78" spans="2:26" ht="15.75" x14ac:dyDescent="0.25">
      <c r="X78"/>
      <c r="Y78"/>
      <c r="Z78"/>
    </row>
    <row r="79" spans="2:26" ht="15.75" x14ac:dyDescent="0.25">
      <c r="X79"/>
      <c r="Y79"/>
      <c r="Z79"/>
    </row>
    <row r="80" spans="2:26" ht="15.75" x14ac:dyDescent="0.25">
      <c r="X80"/>
      <c r="Y80"/>
      <c r="Z80"/>
    </row>
    <row r="81" spans="24:26" ht="15.75" x14ac:dyDescent="0.25">
      <c r="X81"/>
      <c r="Y81"/>
      <c r="Z81"/>
    </row>
    <row r="82" spans="24:26" ht="15.75" x14ac:dyDescent="0.25">
      <c r="X82"/>
      <c r="Y82"/>
      <c r="Z82"/>
    </row>
    <row r="83" spans="24:26" ht="15.75" x14ac:dyDescent="0.25">
      <c r="X83"/>
      <c r="Y83"/>
      <c r="Z83"/>
    </row>
    <row r="84" spans="24:26" ht="15.75" x14ac:dyDescent="0.25">
      <c r="X84"/>
      <c r="Y84"/>
      <c r="Z84"/>
    </row>
    <row r="85" spans="24:26" ht="15.75" x14ac:dyDescent="0.25">
      <c r="X85"/>
      <c r="Y85"/>
      <c r="Z85"/>
    </row>
    <row r="86" spans="24:26" ht="15.75" x14ac:dyDescent="0.25">
      <c r="X86"/>
      <c r="Y86"/>
      <c r="Z86"/>
    </row>
    <row r="87" spans="24:26" ht="15.75" x14ac:dyDescent="0.25">
      <c r="X87"/>
      <c r="Y87"/>
      <c r="Z87"/>
    </row>
    <row r="88" spans="24:26" ht="15.75" x14ac:dyDescent="0.25">
      <c r="X88"/>
      <c r="Y88"/>
      <c r="Z88"/>
    </row>
    <row r="89" spans="24:26" ht="15.75" x14ac:dyDescent="0.25">
      <c r="X89"/>
      <c r="Y89"/>
      <c r="Z89"/>
    </row>
    <row r="90" spans="24:26" ht="15.75" x14ac:dyDescent="0.25">
      <c r="X90"/>
      <c r="Y90"/>
      <c r="Z90"/>
    </row>
    <row r="91" spans="24:26" ht="15.75" x14ac:dyDescent="0.25">
      <c r="X91"/>
      <c r="Y91"/>
      <c r="Z91"/>
    </row>
    <row r="92" spans="24:26" ht="15.75" x14ac:dyDescent="0.25">
      <c r="X92"/>
      <c r="Y92"/>
      <c r="Z92"/>
    </row>
    <row r="93" spans="24:26" ht="15.75" x14ac:dyDescent="0.25">
      <c r="X93"/>
      <c r="Y93"/>
      <c r="Z93"/>
    </row>
    <row r="94" spans="24:26" ht="15.75" x14ac:dyDescent="0.25">
      <c r="X94"/>
      <c r="Y94"/>
      <c r="Z94"/>
    </row>
    <row r="95" spans="24:26" ht="15.75" x14ac:dyDescent="0.25">
      <c r="X95"/>
      <c r="Y95"/>
      <c r="Z95"/>
    </row>
    <row r="96" spans="24:26" ht="15.75" x14ac:dyDescent="0.25">
      <c r="X96"/>
      <c r="Y96"/>
      <c r="Z96"/>
    </row>
    <row r="97" spans="24:26" ht="15.75" x14ac:dyDescent="0.25">
      <c r="X97"/>
      <c r="Y97"/>
      <c r="Z97"/>
    </row>
    <row r="98" spans="24:26" ht="15.75" x14ac:dyDescent="0.25">
      <c r="X98"/>
      <c r="Y98"/>
      <c r="Z98"/>
    </row>
    <row r="99" spans="24:26" ht="15.75" x14ac:dyDescent="0.25">
      <c r="X99"/>
      <c r="Y99"/>
      <c r="Z99"/>
    </row>
    <row r="100" spans="24:26" ht="15.75" x14ac:dyDescent="0.25">
      <c r="X100"/>
      <c r="Y100"/>
      <c r="Z100"/>
    </row>
    <row r="101" spans="24:26" ht="15.75" x14ac:dyDescent="0.25">
      <c r="X101"/>
      <c r="Y101"/>
      <c r="Z101"/>
    </row>
    <row r="102" spans="24:26" ht="15.75" x14ac:dyDescent="0.25">
      <c r="X102"/>
      <c r="Y102"/>
      <c r="Z102"/>
    </row>
    <row r="103" spans="24:26" ht="15.75" x14ac:dyDescent="0.25">
      <c r="X103"/>
      <c r="Y103"/>
      <c r="Z103"/>
    </row>
    <row r="104" spans="24:26" ht="15.75" x14ac:dyDescent="0.25">
      <c r="X104"/>
      <c r="Y104"/>
      <c r="Z104"/>
    </row>
    <row r="105" spans="24:26" ht="15.75" x14ac:dyDescent="0.25">
      <c r="X105"/>
      <c r="Y105"/>
      <c r="Z105"/>
    </row>
    <row r="106" spans="24:26" ht="15.75" x14ac:dyDescent="0.25">
      <c r="X106"/>
      <c r="Y106"/>
      <c r="Z106"/>
    </row>
    <row r="107" spans="24:26" ht="15.75" x14ac:dyDescent="0.25">
      <c r="X107"/>
      <c r="Y107"/>
      <c r="Z107"/>
    </row>
    <row r="108" spans="24:26" ht="15.75" x14ac:dyDescent="0.25">
      <c r="X108"/>
      <c r="Y108"/>
      <c r="Z108"/>
    </row>
    <row r="109" spans="24:26" ht="15.75" x14ac:dyDescent="0.25">
      <c r="X109"/>
      <c r="Y109"/>
      <c r="Z109"/>
    </row>
    <row r="110" spans="24:26" ht="15.75" x14ac:dyDescent="0.25">
      <c r="X110"/>
      <c r="Y110"/>
      <c r="Z110"/>
    </row>
    <row r="111" spans="24:26" ht="15.75" x14ac:dyDescent="0.25">
      <c r="X111"/>
      <c r="Y111"/>
      <c r="Z111"/>
    </row>
    <row r="112" spans="24:26" ht="15.75" x14ac:dyDescent="0.25">
      <c r="X112"/>
      <c r="Y112"/>
      <c r="Z112"/>
    </row>
    <row r="113" spans="24:26" ht="15.75" x14ac:dyDescent="0.25">
      <c r="X113"/>
      <c r="Y113"/>
      <c r="Z113"/>
    </row>
    <row r="114" spans="24:26" ht="15.75" x14ac:dyDescent="0.25">
      <c r="X114"/>
      <c r="Y114"/>
      <c r="Z114"/>
    </row>
    <row r="115" spans="24:26" ht="15.75" x14ac:dyDescent="0.25">
      <c r="X115"/>
      <c r="Y115"/>
      <c r="Z115"/>
    </row>
    <row r="116" spans="24:26" ht="15.75" x14ac:dyDescent="0.25">
      <c r="X116"/>
      <c r="Y116"/>
      <c r="Z116"/>
    </row>
    <row r="117" spans="24:26" ht="15.75" x14ac:dyDescent="0.25">
      <c r="X117"/>
      <c r="Y117"/>
      <c r="Z117"/>
    </row>
    <row r="118" spans="24:26" ht="15.75" x14ac:dyDescent="0.25">
      <c r="X118"/>
      <c r="Y118"/>
    </row>
    <row r="119" spans="24:26" ht="15.75" x14ac:dyDescent="0.25">
      <c r="X119"/>
      <c r="Y119"/>
    </row>
    <row r="120" spans="24:26" ht="15.75" x14ac:dyDescent="0.25">
      <c r="X120"/>
      <c r="Y120"/>
    </row>
    <row r="121" spans="24:26" ht="15.75" x14ac:dyDescent="0.25">
      <c r="X121"/>
      <c r="Y121"/>
    </row>
    <row r="122" spans="24:26" ht="15.75" x14ac:dyDescent="0.25">
      <c r="X122"/>
      <c r="Y122"/>
    </row>
    <row r="123" spans="24:26" ht="15.75" x14ac:dyDescent="0.25">
      <c r="X123"/>
      <c r="Y123"/>
    </row>
    <row r="124" spans="24:26" ht="15.75" x14ac:dyDescent="0.25">
      <c r="X124"/>
      <c r="Y124"/>
    </row>
    <row r="125" spans="24:26" ht="15.75" x14ac:dyDescent="0.25">
      <c r="X125"/>
      <c r="Y125"/>
    </row>
    <row r="126" spans="24:26" ht="15.75" x14ac:dyDescent="0.25">
      <c r="X126"/>
      <c r="Y126"/>
    </row>
    <row r="127" spans="24:26" ht="15.75" x14ac:dyDescent="0.25">
      <c r="X127"/>
      <c r="Y127"/>
    </row>
    <row r="128" spans="24:26" ht="15.75" x14ac:dyDescent="0.25">
      <c r="X128"/>
      <c r="Y128"/>
    </row>
    <row r="129" spans="24:25" ht="15.75" x14ac:dyDescent="0.25">
      <c r="X129"/>
      <c r="Y129"/>
    </row>
    <row r="130" spans="24:25" ht="15.75" x14ac:dyDescent="0.25">
      <c r="X130"/>
      <c r="Y130"/>
    </row>
    <row r="131" spans="24:25" ht="15.75" x14ac:dyDescent="0.25">
      <c r="X131"/>
      <c r="Y131"/>
    </row>
    <row r="132" spans="24:25" ht="15.75" x14ac:dyDescent="0.25">
      <c r="X132"/>
      <c r="Y132"/>
    </row>
    <row r="133" spans="24:25" ht="15.75" x14ac:dyDescent="0.25">
      <c r="X133"/>
      <c r="Y133"/>
    </row>
    <row r="134" spans="24:25" ht="15.75" x14ac:dyDescent="0.25">
      <c r="X134"/>
      <c r="Y134"/>
    </row>
    <row r="135" spans="24:25" ht="15.75" x14ac:dyDescent="0.25">
      <c r="X135"/>
      <c r="Y135"/>
    </row>
    <row r="136" spans="24:25" ht="15.75" x14ac:dyDescent="0.25">
      <c r="X136"/>
      <c r="Y136"/>
    </row>
    <row r="137" spans="24:25" ht="15.75" x14ac:dyDescent="0.25">
      <c r="X137"/>
      <c r="Y137"/>
    </row>
    <row r="138" spans="24:25" ht="15.75" x14ac:dyDescent="0.25">
      <c r="X138"/>
      <c r="Y138"/>
    </row>
    <row r="139" spans="24:25" ht="15.75" x14ac:dyDescent="0.25">
      <c r="X139"/>
      <c r="Y139"/>
    </row>
    <row r="140" spans="24:25" ht="15.75" x14ac:dyDescent="0.25">
      <c r="X140"/>
      <c r="Y140"/>
    </row>
    <row r="141" spans="24:25" ht="15.75" x14ac:dyDescent="0.25">
      <c r="X141"/>
      <c r="Y141"/>
    </row>
    <row r="142" spans="24:25" ht="15.75" x14ac:dyDescent="0.25">
      <c r="X142"/>
      <c r="Y142"/>
    </row>
    <row r="143" spans="24:25" ht="15.75" x14ac:dyDescent="0.25">
      <c r="X143"/>
      <c r="Y143"/>
    </row>
    <row r="144" spans="24:25" ht="15.75" x14ac:dyDescent="0.25">
      <c r="X144"/>
      <c r="Y144"/>
    </row>
    <row r="145" spans="24:25" ht="15.75" x14ac:dyDescent="0.25">
      <c r="X145"/>
      <c r="Y145"/>
    </row>
    <row r="146" spans="24:25" ht="15.75" x14ac:dyDescent="0.25">
      <c r="X146"/>
      <c r="Y146"/>
    </row>
    <row r="147" spans="24:25" ht="15.75" x14ac:dyDescent="0.25">
      <c r="X147"/>
      <c r="Y147"/>
    </row>
    <row r="148" spans="24:25" ht="15.75" x14ac:dyDescent="0.25">
      <c r="X148"/>
      <c r="Y148"/>
    </row>
    <row r="149" spans="24:25" ht="15.75" x14ac:dyDescent="0.25">
      <c r="X149"/>
      <c r="Y149"/>
    </row>
    <row r="150" spans="24:25" ht="15.75" x14ac:dyDescent="0.25">
      <c r="X150"/>
      <c r="Y150"/>
    </row>
    <row r="151" spans="24:25" ht="15.75" x14ac:dyDescent="0.25">
      <c r="X151"/>
      <c r="Y151"/>
    </row>
    <row r="152" spans="24:25" ht="15.75" x14ac:dyDescent="0.25">
      <c r="X152"/>
      <c r="Y152"/>
    </row>
  </sheetData>
  <pageMargins left="0.25" right="0.25" top="1.25" bottom="0.25" header="0.3" footer="0.3"/>
  <pageSetup paperSize="9" scale="43" fitToHeight="0" orientation="landscape" r:id="rId1"/>
  <drawing r:id="rId2"/>
  <tableParts count="1">
    <tablePart r:id="rId3"/>
  </tableParts>
  <extLst>
    <ext xmlns:x14="http://schemas.microsoft.com/office/spreadsheetml/2009/9/main" uri="{78C0D931-6437-407d-A8EE-F0AAD7539E65}">
      <x14:conditionalFormattings>
        <x14:conditionalFormatting xmlns:xm="http://schemas.microsoft.com/office/excel/2006/main">
          <x14:cfRule type="iconSet" priority="11010" id="{A3AEC738-56EA-48DD-AAD8-8508AD32985A}">
            <x14:iconSet custom="1">
              <x14:cfvo type="percent">
                <xm:f>0</xm:f>
              </x14:cfvo>
              <x14:cfvo type="percent" gte="0">
                <xm:f>0</xm:f>
              </x14:cfvo>
              <x14:cfvo type="percent">
                <xm:f>30</xm:f>
              </x14:cfvo>
              <x14:cfIcon iconSet="3TrafficLights1" iconId="2"/>
              <x14:cfIcon iconSet="3TrafficLights1" iconId="1"/>
              <x14:cfIcon iconSet="3TrafficLights1" iconId="0"/>
            </x14:iconSet>
          </x14:cfRule>
          <xm:sqref>E44:G53</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AC169"/>
  <sheetViews>
    <sheetView showGridLines="0" view="pageBreakPreview" topLeftCell="G39" zoomScale="60" zoomScaleNormal="87" workbookViewId="0">
      <selection activeCell="AD7" sqref="AD7:AG7"/>
    </sheetView>
  </sheetViews>
  <sheetFormatPr defaultRowHeight="12.75" x14ac:dyDescent="0.2"/>
  <cols>
    <col min="1" max="1" width="1.125" style="21" customWidth="1"/>
    <col min="2" max="2" width="14.125" style="21" customWidth="1"/>
    <col min="3" max="3" width="30.875" style="21" customWidth="1"/>
    <col min="4" max="4" width="10.25" style="21" customWidth="1"/>
    <col min="5" max="5" width="9" style="21"/>
    <col min="6" max="6" width="10.625" style="21" customWidth="1"/>
    <col min="7" max="10" width="9" style="21"/>
    <col min="11" max="11" width="10.75" style="21" customWidth="1"/>
    <col min="12" max="12" width="11.875" style="21" customWidth="1"/>
    <col min="13" max="13" width="10.25" style="21" customWidth="1"/>
    <col min="14" max="14" width="25.375" style="21" customWidth="1"/>
    <col min="15" max="15" width="13" style="21" customWidth="1"/>
    <col min="16" max="16" width="10.375" style="21" customWidth="1"/>
    <col min="17" max="17" width="9.5" style="21" customWidth="1"/>
    <col min="18" max="18" width="8.125" style="21" customWidth="1"/>
    <col min="19" max="19" width="1.375" style="21" customWidth="1"/>
    <col min="20" max="22" width="8.125" style="21" customWidth="1"/>
    <col min="23" max="23" width="16.125" style="21" customWidth="1"/>
    <col min="24" max="24" width="9" style="21"/>
    <col min="25" max="25" width="21.75" style="21" customWidth="1"/>
    <col min="26" max="26" width="17.5" style="21" customWidth="1"/>
    <col min="27" max="27" width="9.625" style="21" customWidth="1"/>
    <col min="28" max="28" width="1.75" style="21" customWidth="1"/>
    <col min="29" max="16384" width="9" style="21"/>
  </cols>
  <sheetData>
    <row r="2" ht="31.5" customHeight="1" x14ac:dyDescent="0.2"/>
    <row r="10" ht="18" customHeight="1" x14ac:dyDescent="0.2"/>
    <row r="11" ht="20.25" customHeight="1" x14ac:dyDescent="0.2"/>
    <row r="18" spans="29:29" x14ac:dyDescent="0.2">
      <c r="AC18" s="21" t="s">
        <v>2759</v>
      </c>
    </row>
    <row r="28" spans="29:29" ht="18" customHeight="1" x14ac:dyDescent="0.2"/>
    <row r="29" spans="29:29" ht="21.75" customHeight="1" x14ac:dyDescent="0.2"/>
    <row r="30" spans="29:29" ht="33" customHeight="1" x14ac:dyDescent="0.2"/>
    <row r="31" spans="29:29" ht="18" customHeight="1" x14ac:dyDescent="0.2"/>
    <row r="32" spans="29:29" ht="40.5" customHeight="1" x14ac:dyDescent="0.2"/>
    <row r="33" spans="1:12" ht="18.75" customHeight="1" x14ac:dyDescent="0.2"/>
    <row r="34" spans="1:12" ht="18.75" customHeight="1" x14ac:dyDescent="0.2">
      <c r="A34" s="716"/>
      <c r="D34" s="717"/>
    </row>
    <row r="35" spans="1:12" ht="18.75" customHeight="1" x14ac:dyDescent="0.2">
      <c r="A35" s="716"/>
      <c r="D35" s="717"/>
    </row>
    <row r="36" spans="1:12" ht="18.75" customHeight="1" x14ac:dyDescent="0.2">
      <c r="A36" s="716"/>
      <c r="D36" s="717"/>
    </row>
    <row r="37" spans="1:12" ht="36" customHeight="1" x14ac:dyDescent="0.2">
      <c r="A37" s="716"/>
    </row>
    <row r="38" spans="1:12" ht="38.25" customHeight="1" x14ac:dyDescent="0.2">
      <c r="A38" s="716"/>
      <c r="B38" s="753" t="s">
        <v>2673</v>
      </c>
      <c r="C38" s="754" t="s">
        <v>2674</v>
      </c>
      <c r="D38" s="753" t="s">
        <v>2562</v>
      </c>
      <c r="E38" s="753" t="s">
        <v>2675</v>
      </c>
      <c r="F38" s="753" t="s">
        <v>2676</v>
      </c>
      <c r="G38" s="753" t="s">
        <v>2677</v>
      </c>
      <c r="L38" s="716"/>
    </row>
    <row r="39" spans="1:12" ht="26.25" customHeight="1" x14ac:dyDescent="0.2">
      <c r="B39" s="763" t="s">
        <v>901</v>
      </c>
      <c r="C39" s="764" t="s">
        <v>2699</v>
      </c>
      <c r="D39" s="765">
        <v>369</v>
      </c>
      <c r="E39" s="755">
        <v>0</v>
      </c>
      <c r="F39" s="755">
        <v>0.1020408163265306</v>
      </c>
      <c r="G39" s="755">
        <v>1</v>
      </c>
    </row>
    <row r="40" spans="1:12" ht="26.25" customHeight="1" x14ac:dyDescent="0.2">
      <c r="B40" s="766" t="s">
        <v>882</v>
      </c>
      <c r="C40" s="762" t="s">
        <v>2700</v>
      </c>
      <c r="D40" s="767">
        <v>4866</v>
      </c>
      <c r="E40" s="756">
        <v>6.6666666666666666E-2</v>
      </c>
      <c r="F40" s="756">
        <v>7.0684424853862282E-2</v>
      </c>
      <c r="G40" s="756">
        <v>0.8666666666666667</v>
      </c>
    </row>
    <row r="41" spans="1:12" ht="26.25" customHeight="1" x14ac:dyDescent="0.2">
      <c r="B41" s="763" t="s">
        <v>885</v>
      </c>
      <c r="C41" s="764" t="s">
        <v>2701</v>
      </c>
      <c r="D41" s="765">
        <v>314</v>
      </c>
      <c r="E41" s="755">
        <v>0</v>
      </c>
      <c r="F41" s="755">
        <v>5.8479532163742687E-2</v>
      </c>
      <c r="G41" s="755">
        <v>0.5</v>
      </c>
    </row>
    <row r="42" spans="1:12" ht="26.25" customHeight="1" x14ac:dyDescent="0.2">
      <c r="B42" s="766" t="s">
        <v>888</v>
      </c>
      <c r="C42" s="762" t="s">
        <v>1424</v>
      </c>
      <c r="D42" s="767">
        <v>1244</v>
      </c>
      <c r="E42" s="756">
        <v>0.4</v>
      </c>
      <c r="F42" s="756">
        <v>0.20895522388059701</v>
      </c>
      <c r="G42" s="756">
        <v>0.8</v>
      </c>
    </row>
    <row r="43" spans="1:12" ht="26.25" customHeight="1" x14ac:dyDescent="0.2">
      <c r="B43" s="763" t="s">
        <v>879</v>
      </c>
      <c r="C43" s="764" t="s">
        <v>2702</v>
      </c>
      <c r="D43" s="765">
        <v>1948</v>
      </c>
      <c r="E43" s="755">
        <v>0.16666666666666666</v>
      </c>
      <c r="F43" s="755">
        <v>0.18917520366960025</v>
      </c>
      <c r="G43" s="755">
        <v>0.33333333333333331</v>
      </c>
    </row>
    <row r="44" spans="1:12" ht="26.25" customHeight="1" x14ac:dyDescent="0.2">
      <c r="B44" s="766" t="s">
        <v>903</v>
      </c>
      <c r="C44" s="762" t="s">
        <v>2650</v>
      </c>
      <c r="D44" s="767">
        <v>1012</v>
      </c>
      <c r="E44" s="756">
        <v>0</v>
      </c>
      <c r="F44" s="756">
        <v>4.6692607003891051E-2</v>
      </c>
      <c r="G44" s="756">
        <v>0.8</v>
      </c>
    </row>
    <row r="45" spans="1:12" ht="24.75" customHeight="1" x14ac:dyDescent="0.2">
      <c r="B45" s="766" t="s">
        <v>2563</v>
      </c>
      <c r="C45" s="762" t="s">
        <v>2691</v>
      </c>
      <c r="D45" s="768">
        <f>SUBTOTAL(109,Table71210[Total population])</f>
        <v>9753</v>
      </c>
      <c r="E45" s="756" t="s">
        <v>2671</v>
      </c>
      <c r="F45" s="756" t="s">
        <v>2671</v>
      </c>
      <c r="G45" s="756" t="s">
        <v>2703</v>
      </c>
    </row>
    <row r="62" spans="21:23" ht="15.75" x14ac:dyDescent="0.25">
      <c r="U62"/>
      <c r="V62"/>
    </row>
    <row r="63" spans="21:23" ht="15.75" x14ac:dyDescent="0.25">
      <c r="U63"/>
      <c r="V63"/>
      <c r="W63"/>
    </row>
    <row r="64" spans="21:23" ht="15.75" x14ac:dyDescent="0.25">
      <c r="U64"/>
      <c r="V64"/>
      <c r="W64"/>
    </row>
    <row r="65" spans="21:23" ht="15.75" x14ac:dyDescent="0.25">
      <c r="U65"/>
      <c r="V65"/>
      <c r="W65"/>
    </row>
    <row r="66" spans="21:23" ht="15.75" x14ac:dyDescent="0.25">
      <c r="U66"/>
      <c r="V66"/>
      <c r="W66"/>
    </row>
    <row r="67" spans="21:23" ht="15.75" x14ac:dyDescent="0.25">
      <c r="U67"/>
      <c r="V67"/>
      <c r="W67"/>
    </row>
    <row r="68" spans="21:23" ht="15.75" x14ac:dyDescent="0.25">
      <c r="U68"/>
      <c r="V68"/>
      <c r="W68"/>
    </row>
    <row r="69" spans="21:23" ht="15.75" x14ac:dyDescent="0.25">
      <c r="U69"/>
      <c r="V69"/>
      <c r="W69"/>
    </row>
    <row r="70" spans="21:23" ht="15.75" x14ac:dyDescent="0.25">
      <c r="U70"/>
      <c r="V70"/>
      <c r="W70"/>
    </row>
    <row r="71" spans="21:23" ht="15.75" x14ac:dyDescent="0.25">
      <c r="U71"/>
      <c r="V71"/>
      <c r="W71"/>
    </row>
    <row r="72" spans="21:23" ht="15.75" x14ac:dyDescent="0.25">
      <c r="U72"/>
      <c r="V72"/>
      <c r="W72"/>
    </row>
    <row r="73" spans="21:23" ht="15.75" x14ac:dyDescent="0.25">
      <c r="U73"/>
      <c r="V73"/>
      <c r="W73"/>
    </row>
    <row r="74" spans="21:23" ht="15.75" x14ac:dyDescent="0.25">
      <c r="U74"/>
      <c r="V74"/>
      <c r="W74"/>
    </row>
    <row r="75" spans="21:23" ht="15.75" x14ac:dyDescent="0.25">
      <c r="U75"/>
      <c r="V75"/>
      <c r="W75"/>
    </row>
    <row r="76" spans="21:23" ht="15.75" x14ac:dyDescent="0.25">
      <c r="U76"/>
      <c r="V76"/>
      <c r="W76"/>
    </row>
    <row r="77" spans="21:23" ht="15.75" x14ac:dyDescent="0.25">
      <c r="U77"/>
      <c r="V77"/>
      <c r="W77"/>
    </row>
    <row r="78" spans="21:23" ht="15.75" x14ac:dyDescent="0.25">
      <c r="U78"/>
      <c r="V78"/>
      <c r="W78"/>
    </row>
    <row r="79" spans="21:23" ht="15.75" x14ac:dyDescent="0.25">
      <c r="U79"/>
      <c r="V79"/>
      <c r="W79"/>
    </row>
    <row r="80" spans="21:23" ht="15.75" x14ac:dyDescent="0.25">
      <c r="U80"/>
      <c r="V80"/>
      <c r="W80"/>
    </row>
    <row r="81" spans="21:23" ht="15.75" x14ac:dyDescent="0.25">
      <c r="U81"/>
      <c r="V81"/>
      <c r="W81"/>
    </row>
    <row r="82" spans="21:23" ht="15.75" x14ac:dyDescent="0.25">
      <c r="U82"/>
      <c r="V82"/>
      <c r="W82"/>
    </row>
    <row r="83" spans="21:23" ht="15.75" x14ac:dyDescent="0.25">
      <c r="U83"/>
      <c r="V83"/>
      <c r="W83"/>
    </row>
    <row r="84" spans="21:23" ht="15.75" x14ac:dyDescent="0.25">
      <c r="U84"/>
      <c r="V84"/>
      <c r="W84"/>
    </row>
    <row r="85" spans="21:23" ht="15.75" x14ac:dyDescent="0.25">
      <c r="U85"/>
      <c r="V85"/>
      <c r="W85"/>
    </row>
    <row r="86" spans="21:23" ht="15.75" x14ac:dyDescent="0.25">
      <c r="U86"/>
      <c r="V86"/>
      <c r="W86"/>
    </row>
    <row r="87" spans="21:23" ht="15.75" x14ac:dyDescent="0.25">
      <c r="U87"/>
      <c r="V87"/>
      <c r="W87"/>
    </row>
    <row r="88" spans="21:23" ht="15.75" x14ac:dyDescent="0.25">
      <c r="U88"/>
      <c r="V88"/>
      <c r="W88"/>
    </row>
    <row r="89" spans="21:23" ht="15.75" x14ac:dyDescent="0.25">
      <c r="U89"/>
      <c r="V89"/>
      <c r="W89"/>
    </row>
    <row r="90" spans="21:23" ht="15.75" x14ac:dyDescent="0.25">
      <c r="U90"/>
      <c r="V90"/>
      <c r="W90"/>
    </row>
    <row r="91" spans="21:23" ht="15.75" x14ac:dyDescent="0.25">
      <c r="U91"/>
      <c r="V91"/>
      <c r="W91"/>
    </row>
    <row r="92" spans="21:23" ht="15.75" x14ac:dyDescent="0.25">
      <c r="U92"/>
      <c r="V92"/>
      <c r="W92"/>
    </row>
    <row r="93" spans="21:23" ht="15.75" x14ac:dyDescent="0.25">
      <c r="U93"/>
      <c r="V93"/>
      <c r="W93"/>
    </row>
    <row r="94" spans="21:23" ht="15.75" x14ac:dyDescent="0.25">
      <c r="U94"/>
      <c r="V94"/>
      <c r="W94"/>
    </row>
    <row r="95" spans="21:23" ht="15.75" x14ac:dyDescent="0.25">
      <c r="U95"/>
      <c r="V95"/>
      <c r="W95"/>
    </row>
    <row r="96" spans="21:23" ht="15.75" x14ac:dyDescent="0.25">
      <c r="U96"/>
      <c r="V96"/>
      <c r="W96"/>
    </row>
    <row r="97" spans="21:23" ht="15.75" x14ac:dyDescent="0.25">
      <c r="U97"/>
      <c r="V97"/>
      <c r="W97"/>
    </row>
    <row r="98" spans="21:23" ht="15.75" x14ac:dyDescent="0.25">
      <c r="U98"/>
      <c r="V98"/>
      <c r="W98"/>
    </row>
    <row r="99" spans="21:23" ht="15.75" x14ac:dyDescent="0.25">
      <c r="U99"/>
      <c r="V99"/>
      <c r="W99"/>
    </row>
    <row r="100" spans="21:23" ht="15.75" x14ac:dyDescent="0.25">
      <c r="U100"/>
      <c r="V100"/>
      <c r="W100"/>
    </row>
    <row r="101" spans="21:23" ht="15.75" x14ac:dyDescent="0.25">
      <c r="U101"/>
      <c r="V101"/>
      <c r="W101"/>
    </row>
    <row r="102" spans="21:23" ht="15.75" x14ac:dyDescent="0.25">
      <c r="U102"/>
      <c r="V102"/>
      <c r="W102"/>
    </row>
    <row r="103" spans="21:23" ht="15.75" x14ac:dyDescent="0.25">
      <c r="U103"/>
      <c r="V103"/>
      <c r="W103"/>
    </row>
    <row r="104" spans="21:23" ht="15.75" x14ac:dyDescent="0.25">
      <c r="U104"/>
      <c r="V104"/>
      <c r="W104"/>
    </row>
    <row r="105" spans="21:23" ht="15.75" x14ac:dyDescent="0.25">
      <c r="U105"/>
      <c r="V105"/>
      <c r="W105"/>
    </row>
    <row r="106" spans="21:23" ht="15.75" x14ac:dyDescent="0.25">
      <c r="U106"/>
      <c r="V106"/>
      <c r="W106"/>
    </row>
    <row r="107" spans="21:23" ht="15.75" x14ac:dyDescent="0.25">
      <c r="U107"/>
      <c r="V107"/>
      <c r="W107"/>
    </row>
    <row r="108" spans="21:23" ht="15.75" x14ac:dyDescent="0.25">
      <c r="U108"/>
      <c r="V108"/>
      <c r="W108"/>
    </row>
    <row r="109" spans="21:23" ht="15.75" x14ac:dyDescent="0.25">
      <c r="U109"/>
      <c r="V109"/>
      <c r="W109"/>
    </row>
    <row r="110" spans="21:23" ht="15.75" x14ac:dyDescent="0.25">
      <c r="U110"/>
      <c r="V110"/>
      <c r="W110"/>
    </row>
    <row r="111" spans="21:23" ht="15.75" x14ac:dyDescent="0.25">
      <c r="U111"/>
      <c r="V111"/>
      <c r="W111"/>
    </row>
    <row r="112" spans="21:23" ht="15.75" x14ac:dyDescent="0.25">
      <c r="U112"/>
      <c r="V112"/>
      <c r="W112"/>
    </row>
    <row r="113" spans="21:23" ht="15.75" x14ac:dyDescent="0.25">
      <c r="U113"/>
      <c r="V113"/>
      <c r="W113"/>
    </row>
    <row r="114" spans="21:23" ht="15.75" x14ac:dyDescent="0.25">
      <c r="U114"/>
      <c r="V114"/>
      <c r="W114"/>
    </row>
    <row r="115" spans="21:23" ht="15.75" x14ac:dyDescent="0.25">
      <c r="U115"/>
      <c r="V115"/>
      <c r="W115"/>
    </row>
    <row r="116" spans="21:23" ht="15.75" x14ac:dyDescent="0.25">
      <c r="U116"/>
      <c r="V116"/>
      <c r="W116"/>
    </row>
    <row r="117" spans="21:23" ht="15.75" x14ac:dyDescent="0.25">
      <c r="U117"/>
      <c r="V117"/>
      <c r="W117"/>
    </row>
    <row r="118" spans="21:23" ht="15.75" x14ac:dyDescent="0.25">
      <c r="U118"/>
      <c r="V118"/>
      <c r="W118"/>
    </row>
    <row r="119" spans="21:23" ht="15.75" x14ac:dyDescent="0.25">
      <c r="U119"/>
      <c r="V119"/>
      <c r="W119"/>
    </row>
    <row r="120" spans="21:23" ht="15.75" x14ac:dyDescent="0.25">
      <c r="U120"/>
      <c r="V120"/>
      <c r="W120"/>
    </row>
    <row r="121" spans="21:23" ht="15.75" x14ac:dyDescent="0.25">
      <c r="U121"/>
      <c r="V121"/>
      <c r="W121"/>
    </row>
    <row r="122" spans="21:23" ht="15.75" x14ac:dyDescent="0.25">
      <c r="U122"/>
      <c r="V122"/>
      <c r="W122"/>
    </row>
    <row r="123" spans="21:23" ht="15.75" x14ac:dyDescent="0.25">
      <c r="U123"/>
      <c r="V123"/>
      <c r="W123"/>
    </row>
    <row r="124" spans="21:23" ht="15.75" x14ac:dyDescent="0.25">
      <c r="U124"/>
      <c r="V124"/>
      <c r="W124"/>
    </row>
    <row r="125" spans="21:23" ht="15.75" x14ac:dyDescent="0.25">
      <c r="U125"/>
      <c r="V125"/>
      <c r="W125"/>
    </row>
    <row r="126" spans="21:23" ht="15.75" x14ac:dyDescent="0.25">
      <c r="U126"/>
      <c r="V126"/>
      <c r="W126"/>
    </row>
    <row r="127" spans="21:23" ht="15.75" x14ac:dyDescent="0.25">
      <c r="U127"/>
      <c r="V127"/>
      <c r="W127"/>
    </row>
    <row r="128" spans="21:23" ht="15.75" x14ac:dyDescent="0.25">
      <c r="U128"/>
      <c r="V128"/>
      <c r="W128"/>
    </row>
    <row r="129" spans="21:23" ht="15.75" x14ac:dyDescent="0.25">
      <c r="U129"/>
      <c r="V129"/>
      <c r="W129"/>
    </row>
    <row r="130" spans="21:23" ht="15.75" x14ac:dyDescent="0.25">
      <c r="U130"/>
      <c r="V130"/>
      <c r="W130"/>
    </row>
    <row r="131" spans="21:23" ht="15.75" x14ac:dyDescent="0.25">
      <c r="U131"/>
      <c r="V131"/>
      <c r="W131"/>
    </row>
    <row r="132" spans="21:23" ht="15.75" x14ac:dyDescent="0.25">
      <c r="U132"/>
      <c r="V132"/>
      <c r="W132"/>
    </row>
    <row r="133" spans="21:23" ht="15.75" x14ac:dyDescent="0.25">
      <c r="U133"/>
      <c r="V133"/>
      <c r="W133"/>
    </row>
    <row r="134" spans="21:23" ht="15.75" x14ac:dyDescent="0.25">
      <c r="U134"/>
      <c r="V134"/>
      <c r="W134"/>
    </row>
    <row r="135" spans="21:23" ht="15.75" x14ac:dyDescent="0.25">
      <c r="U135"/>
      <c r="V135"/>
    </row>
    <row r="136" spans="21:23" ht="15.75" x14ac:dyDescent="0.25">
      <c r="U136"/>
      <c r="V136"/>
    </row>
    <row r="137" spans="21:23" ht="15.75" x14ac:dyDescent="0.25">
      <c r="U137"/>
      <c r="V137"/>
    </row>
    <row r="138" spans="21:23" ht="15.75" x14ac:dyDescent="0.25">
      <c r="U138"/>
      <c r="V138"/>
    </row>
    <row r="139" spans="21:23" ht="15.75" x14ac:dyDescent="0.25">
      <c r="U139"/>
      <c r="V139"/>
    </row>
    <row r="140" spans="21:23" ht="15.75" x14ac:dyDescent="0.25">
      <c r="U140"/>
      <c r="V140"/>
    </row>
    <row r="141" spans="21:23" ht="15.75" x14ac:dyDescent="0.25">
      <c r="U141"/>
      <c r="V141"/>
    </row>
    <row r="142" spans="21:23" ht="15.75" x14ac:dyDescent="0.25">
      <c r="U142"/>
      <c r="V142"/>
    </row>
    <row r="143" spans="21:23" ht="15.75" x14ac:dyDescent="0.25">
      <c r="U143"/>
      <c r="V143"/>
    </row>
    <row r="144" spans="21:23" ht="15.75" x14ac:dyDescent="0.25">
      <c r="U144"/>
      <c r="V144"/>
    </row>
    <row r="145" spans="21:22" ht="15.75" x14ac:dyDescent="0.25">
      <c r="U145"/>
      <c r="V145"/>
    </row>
    <row r="146" spans="21:22" ht="15.75" x14ac:dyDescent="0.25">
      <c r="U146"/>
      <c r="V146"/>
    </row>
    <row r="147" spans="21:22" ht="15.75" x14ac:dyDescent="0.25">
      <c r="U147"/>
      <c r="V147"/>
    </row>
    <row r="148" spans="21:22" ht="15.75" x14ac:dyDescent="0.25">
      <c r="U148"/>
      <c r="V148"/>
    </row>
    <row r="149" spans="21:22" ht="15.75" x14ac:dyDescent="0.25">
      <c r="U149"/>
      <c r="V149"/>
    </row>
    <row r="150" spans="21:22" ht="15.75" x14ac:dyDescent="0.25">
      <c r="U150"/>
      <c r="V150"/>
    </row>
    <row r="151" spans="21:22" ht="15.75" x14ac:dyDescent="0.25">
      <c r="U151"/>
      <c r="V151"/>
    </row>
    <row r="152" spans="21:22" ht="15.75" x14ac:dyDescent="0.25">
      <c r="U152"/>
      <c r="V152"/>
    </row>
    <row r="153" spans="21:22" ht="15.75" x14ac:dyDescent="0.25">
      <c r="U153"/>
      <c r="V153"/>
    </row>
    <row r="154" spans="21:22" ht="15.75" x14ac:dyDescent="0.25">
      <c r="U154"/>
      <c r="V154"/>
    </row>
    <row r="155" spans="21:22" ht="15.75" x14ac:dyDescent="0.25">
      <c r="U155"/>
      <c r="V155"/>
    </row>
    <row r="156" spans="21:22" ht="15.75" x14ac:dyDescent="0.25">
      <c r="U156"/>
      <c r="V156"/>
    </row>
    <row r="157" spans="21:22" ht="15.75" x14ac:dyDescent="0.25">
      <c r="U157"/>
      <c r="V157"/>
    </row>
    <row r="158" spans="21:22" ht="15.75" x14ac:dyDescent="0.25">
      <c r="U158"/>
      <c r="V158"/>
    </row>
    <row r="159" spans="21:22" ht="15.75" x14ac:dyDescent="0.25">
      <c r="U159"/>
      <c r="V159"/>
    </row>
    <row r="160" spans="21:22" ht="15.75" x14ac:dyDescent="0.25">
      <c r="U160"/>
      <c r="V160"/>
    </row>
    <row r="161" spans="21:22" ht="15.75" x14ac:dyDescent="0.25">
      <c r="U161"/>
      <c r="V161"/>
    </row>
    <row r="162" spans="21:22" ht="15.75" x14ac:dyDescent="0.25">
      <c r="U162"/>
      <c r="V162"/>
    </row>
    <row r="163" spans="21:22" ht="15.75" x14ac:dyDescent="0.25">
      <c r="U163"/>
      <c r="V163"/>
    </row>
    <row r="164" spans="21:22" ht="15.75" x14ac:dyDescent="0.25">
      <c r="U164"/>
      <c r="V164"/>
    </row>
    <row r="165" spans="21:22" ht="15.75" x14ac:dyDescent="0.25">
      <c r="U165"/>
      <c r="V165"/>
    </row>
    <row r="166" spans="21:22" ht="15.75" x14ac:dyDescent="0.25">
      <c r="U166"/>
      <c r="V166"/>
    </row>
    <row r="167" spans="21:22" ht="15.75" x14ac:dyDescent="0.25">
      <c r="U167"/>
      <c r="V167"/>
    </row>
    <row r="168" spans="21:22" ht="15.75" x14ac:dyDescent="0.25">
      <c r="U168"/>
      <c r="V168"/>
    </row>
    <row r="169" spans="21:22" ht="15.75" x14ac:dyDescent="0.25">
      <c r="U169"/>
      <c r="V169"/>
    </row>
  </sheetData>
  <pageMargins left="0.25" right="0.25" top="1.25" bottom="0.25" header="0.3" footer="0.3"/>
  <pageSetup paperSize="9" scale="42" fitToHeight="0" orientation="landscape" r:id="rId1"/>
  <drawing r:id="rId2"/>
  <tableParts count="1">
    <tablePart r:id="rId3"/>
  </tableParts>
  <extLst>
    <ext xmlns:x14="http://schemas.microsoft.com/office/spreadsheetml/2009/9/main" uri="{78C0D931-6437-407d-A8EE-F0AAD7539E65}">
      <x14:conditionalFormattings>
        <x14:conditionalFormatting xmlns:xm="http://schemas.microsoft.com/office/excel/2006/main">
          <x14:cfRule type="iconSet" priority="3" id="{F412A1C0-3AE9-4CFF-B926-E292792BA6A0}">
            <x14:iconSet custom="1">
              <x14:cfvo type="percent">
                <xm:f>0</xm:f>
              </x14:cfvo>
              <x14:cfvo type="percent" gte="0">
                <xm:f>0</xm:f>
              </x14:cfvo>
              <x14:cfvo type="percent">
                <xm:f>30</xm:f>
              </x14:cfvo>
              <x14:cfIcon iconSet="3TrafficLights1" iconId="2"/>
              <x14:cfIcon iconSet="3TrafficLights1" iconId="1"/>
              <x14:cfIcon iconSet="3TrafficLights1" iconId="0"/>
            </x14:iconSet>
          </x14:cfRule>
          <xm:sqref>D34:D36</xm:sqref>
        </x14:conditionalFormatting>
        <x14:conditionalFormatting xmlns:xm="http://schemas.microsoft.com/office/excel/2006/main">
          <x14:cfRule type="iconSet" priority="1" id="{1D7B0D07-4DF3-422E-A3F7-36E711B9F673}">
            <x14:iconSet custom="1">
              <x14:cfvo type="percent">
                <xm:f>0</xm:f>
              </x14:cfvo>
              <x14:cfvo type="percent" gte="0">
                <xm:f>0</xm:f>
              </x14:cfvo>
              <x14:cfvo type="percent">
                <xm:f>30</xm:f>
              </x14:cfvo>
              <x14:cfIcon iconSet="3TrafficLights1" iconId="2"/>
              <x14:cfIcon iconSet="3TrafficLights1" iconId="1"/>
              <x14:cfIcon iconSet="3TrafficLights1" iconId="0"/>
            </x14:iconSet>
          </x14:cfRule>
          <xm:sqref>E39:G44</xm:sqref>
        </x14:conditionalFormatting>
      </x14:conditionalFormatting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421"/>
  <sheetViews>
    <sheetView showGridLines="0" tabSelected="1" zoomScale="90" zoomScaleNormal="90" workbookViewId="0">
      <selection activeCell="E7" sqref="E7"/>
    </sheetView>
  </sheetViews>
  <sheetFormatPr defaultRowHeight="15.75" x14ac:dyDescent="0.25"/>
  <cols>
    <col min="1" max="1" width="43.75" style="303" customWidth="1"/>
    <col min="2" max="2" width="15.375" style="303" customWidth="1"/>
    <col min="3" max="3" width="18.875" style="303" bestFit="1" customWidth="1"/>
    <col min="4" max="5" width="20.5" style="303" customWidth="1"/>
    <col min="6" max="6" width="37.25" style="303" customWidth="1"/>
    <col min="7" max="7" width="59.375" style="303" customWidth="1"/>
    <col min="8" max="16384" width="9" style="303"/>
  </cols>
  <sheetData>
    <row r="1" spans="1:20" ht="26.25" x14ac:dyDescent="0.25">
      <c r="A1" s="886" t="s">
        <v>2805</v>
      </c>
      <c r="B1" s="886"/>
      <c r="C1" s="886"/>
      <c r="D1" s="886"/>
      <c r="E1" s="886"/>
      <c r="F1" s="886"/>
      <c r="G1" s="886"/>
      <c r="H1" s="886"/>
      <c r="I1" s="886"/>
      <c r="J1" s="886"/>
      <c r="K1" s="886"/>
      <c r="L1" s="886"/>
      <c r="M1" s="886"/>
      <c r="N1" s="886"/>
      <c r="O1" s="886"/>
      <c r="P1" s="886"/>
      <c r="Q1" s="886"/>
      <c r="R1" s="886"/>
      <c r="S1" s="886"/>
      <c r="T1" s="886"/>
    </row>
    <row r="33" spans="1:7" hidden="1" x14ac:dyDescent="0.25">
      <c r="A33" s="841" t="s">
        <v>24</v>
      </c>
      <c r="B33" s="842" t="s">
        <v>1409</v>
      </c>
    </row>
    <row r="34" spans="1:7" hidden="1" x14ac:dyDescent="0.25">
      <c r="A34" s="887" t="s">
        <v>27</v>
      </c>
      <c r="B34" s="842" t="s">
        <v>2525</v>
      </c>
    </row>
    <row r="35" spans="1:7" hidden="1" x14ac:dyDescent="0.25">
      <c r="A35" s="887" t="s">
        <v>26</v>
      </c>
      <c r="B35" s="842" t="s">
        <v>2525</v>
      </c>
    </row>
    <row r="36" spans="1:7" hidden="1" x14ac:dyDescent="0.25">
      <c r="A36" s="841" t="s">
        <v>290</v>
      </c>
      <c r="B36" s="842" t="s">
        <v>2525</v>
      </c>
    </row>
    <row r="37" spans="1:7" hidden="1" x14ac:dyDescent="0.25"/>
    <row r="38" spans="1:7" s="862" customFormat="1" ht="78.75" hidden="1" x14ac:dyDescent="0.25">
      <c r="A38" s="841" t="s">
        <v>28</v>
      </c>
      <c r="B38" s="888" t="s">
        <v>2800</v>
      </c>
      <c r="C38" s="889" t="s">
        <v>2803</v>
      </c>
      <c r="D38" s="851" t="s">
        <v>2801</v>
      </c>
      <c r="E38" s="890" t="s">
        <v>2802</v>
      </c>
      <c r="F38"/>
      <c r="G38"/>
    </row>
    <row r="39" spans="1:7" hidden="1" x14ac:dyDescent="0.25">
      <c r="A39" s="842" t="s">
        <v>387</v>
      </c>
      <c r="B39" s="891">
        <v>350</v>
      </c>
      <c r="C39" s="891">
        <v>0</v>
      </c>
      <c r="D39" s="891">
        <v>160</v>
      </c>
      <c r="E39" s="891">
        <v>350</v>
      </c>
      <c r="F39"/>
      <c r="G39"/>
    </row>
    <row r="40" spans="1:7" hidden="1" x14ac:dyDescent="0.25">
      <c r="A40" s="842" t="s">
        <v>1276</v>
      </c>
      <c r="B40" s="891">
        <v>383</v>
      </c>
      <c r="C40" s="891">
        <v>0</v>
      </c>
      <c r="D40" s="891">
        <v>260</v>
      </c>
      <c r="E40" s="891">
        <v>383</v>
      </c>
      <c r="F40"/>
      <c r="G40"/>
    </row>
    <row r="41" spans="1:7" hidden="1" x14ac:dyDescent="0.25">
      <c r="A41" s="842" t="s">
        <v>437</v>
      </c>
      <c r="B41" s="891">
        <v>895</v>
      </c>
      <c r="C41" s="891">
        <v>0</v>
      </c>
      <c r="D41" s="891">
        <v>720</v>
      </c>
      <c r="E41" s="891">
        <v>895</v>
      </c>
      <c r="F41"/>
      <c r="G41"/>
    </row>
    <row r="42" spans="1:7" hidden="1" x14ac:dyDescent="0.25">
      <c r="A42" s="842" t="s">
        <v>406</v>
      </c>
      <c r="B42" s="891">
        <v>350</v>
      </c>
      <c r="C42" s="891">
        <v>0</v>
      </c>
      <c r="D42" s="891">
        <v>350</v>
      </c>
      <c r="E42" s="891">
        <v>350</v>
      </c>
      <c r="F42"/>
      <c r="G42"/>
    </row>
    <row r="43" spans="1:7" hidden="1" x14ac:dyDescent="0.25">
      <c r="A43" s="842" t="s">
        <v>407</v>
      </c>
      <c r="B43" s="891">
        <v>81</v>
      </c>
      <c r="C43" s="891">
        <v>0</v>
      </c>
      <c r="D43" s="891">
        <v>80</v>
      </c>
      <c r="E43" s="891">
        <v>81</v>
      </c>
      <c r="F43"/>
      <c r="G43"/>
    </row>
    <row r="44" spans="1:7" hidden="1" x14ac:dyDescent="0.25">
      <c r="A44" s="842" t="s">
        <v>362</v>
      </c>
      <c r="B44" s="891">
        <v>665</v>
      </c>
      <c r="C44" s="891">
        <v>665</v>
      </c>
      <c r="D44" s="891">
        <v>480</v>
      </c>
      <c r="E44" s="891">
        <v>665</v>
      </c>
      <c r="F44"/>
      <c r="G44"/>
    </row>
    <row r="45" spans="1:7" hidden="1" x14ac:dyDescent="0.25">
      <c r="A45" s="842" t="s">
        <v>466</v>
      </c>
      <c r="B45" s="891">
        <v>213</v>
      </c>
      <c r="C45" s="891">
        <v>0</v>
      </c>
      <c r="D45" s="891">
        <v>0</v>
      </c>
      <c r="E45" s="891">
        <v>213</v>
      </c>
      <c r="F45"/>
      <c r="G45"/>
    </row>
    <row r="46" spans="1:7" hidden="1" x14ac:dyDescent="0.25">
      <c r="A46" s="842" t="s">
        <v>814</v>
      </c>
      <c r="B46" s="891">
        <v>326</v>
      </c>
      <c r="C46" s="891">
        <v>0</v>
      </c>
      <c r="D46" s="891">
        <v>0</v>
      </c>
      <c r="E46" s="891">
        <v>0</v>
      </c>
      <c r="F46"/>
      <c r="G46"/>
    </row>
    <row r="47" spans="1:7" hidden="1" x14ac:dyDescent="0.25">
      <c r="A47" s="842" t="s">
        <v>676</v>
      </c>
      <c r="B47" s="891">
        <v>1768</v>
      </c>
      <c r="C47" s="891">
        <v>0</v>
      </c>
      <c r="D47" s="891">
        <v>0</v>
      </c>
      <c r="E47" s="891">
        <v>750</v>
      </c>
      <c r="F47"/>
      <c r="G47"/>
    </row>
    <row r="48" spans="1:7" hidden="1" x14ac:dyDescent="0.25">
      <c r="A48" s="842" t="s">
        <v>726</v>
      </c>
      <c r="B48" s="891">
        <v>731</v>
      </c>
      <c r="C48" s="891">
        <v>0</v>
      </c>
      <c r="D48" s="891">
        <v>30</v>
      </c>
      <c r="E48" s="891">
        <v>250.00000000000003</v>
      </c>
      <c r="F48"/>
      <c r="G48"/>
    </row>
    <row r="49" spans="1:7" hidden="1" x14ac:dyDescent="0.25">
      <c r="A49" s="842" t="s">
        <v>626</v>
      </c>
      <c r="B49" s="891">
        <v>1867</v>
      </c>
      <c r="C49" s="891">
        <v>0</v>
      </c>
      <c r="D49" s="891">
        <v>408</v>
      </c>
      <c r="E49" s="891">
        <v>1867</v>
      </c>
      <c r="F49"/>
      <c r="G49"/>
    </row>
    <row r="50" spans="1:7" hidden="1" x14ac:dyDescent="0.25">
      <c r="A50" s="842" t="s">
        <v>474</v>
      </c>
      <c r="B50" s="891">
        <v>836</v>
      </c>
      <c r="C50" s="891">
        <v>0</v>
      </c>
      <c r="D50" s="891">
        <v>318</v>
      </c>
      <c r="E50" s="891">
        <v>0</v>
      </c>
      <c r="F50"/>
      <c r="G50"/>
    </row>
    <row r="51" spans="1:7" hidden="1" x14ac:dyDescent="0.25">
      <c r="A51" s="842" t="s">
        <v>644</v>
      </c>
      <c r="B51" s="891">
        <v>2552</v>
      </c>
      <c r="C51" s="891">
        <v>0</v>
      </c>
      <c r="D51" s="891">
        <v>1968</v>
      </c>
      <c r="E51" s="891">
        <v>2552</v>
      </c>
      <c r="F51"/>
      <c r="G51"/>
    </row>
    <row r="52" spans="1:7" hidden="1" x14ac:dyDescent="0.25">
      <c r="A52" s="842" t="s">
        <v>585</v>
      </c>
      <c r="B52" s="891">
        <v>1975</v>
      </c>
      <c r="C52" s="891">
        <v>0</v>
      </c>
      <c r="D52" s="891">
        <v>1975</v>
      </c>
      <c r="E52" s="891">
        <v>750</v>
      </c>
      <c r="F52"/>
      <c r="G52"/>
    </row>
    <row r="53" spans="1:7" hidden="1" x14ac:dyDescent="0.25">
      <c r="A53" s="842" t="s">
        <v>586</v>
      </c>
      <c r="B53" s="891">
        <v>4302</v>
      </c>
      <c r="C53" s="891">
        <v>0</v>
      </c>
      <c r="D53" s="891">
        <v>2600</v>
      </c>
      <c r="E53" s="891">
        <v>4302</v>
      </c>
      <c r="F53"/>
      <c r="G53"/>
    </row>
    <row r="54" spans="1:7" hidden="1" x14ac:dyDescent="0.25">
      <c r="A54" s="842" t="s">
        <v>744</v>
      </c>
      <c r="B54" s="891">
        <v>559</v>
      </c>
      <c r="C54" s="891">
        <v>0</v>
      </c>
      <c r="D54" s="891">
        <v>559</v>
      </c>
      <c r="E54" s="891">
        <v>0</v>
      </c>
      <c r="F54"/>
      <c r="G54"/>
    </row>
    <row r="55" spans="1:7" hidden="1" x14ac:dyDescent="0.25">
      <c r="A55" s="842" t="s">
        <v>876</v>
      </c>
      <c r="B55" s="891">
        <v>855</v>
      </c>
      <c r="C55" s="891">
        <v>0</v>
      </c>
      <c r="D55" s="891">
        <v>0</v>
      </c>
      <c r="E55" s="891">
        <v>0</v>
      </c>
      <c r="F55"/>
      <c r="G55"/>
    </row>
    <row r="56" spans="1:7" hidden="1" x14ac:dyDescent="0.25">
      <c r="A56" s="842" t="s">
        <v>627</v>
      </c>
      <c r="B56" s="891">
        <v>1813</v>
      </c>
      <c r="C56" s="891">
        <v>0</v>
      </c>
      <c r="D56" s="891">
        <v>678</v>
      </c>
      <c r="E56" s="891">
        <v>1813</v>
      </c>
      <c r="F56"/>
      <c r="G56"/>
    </row>
    <row r="57" spans="1:7" hidden="1" x14ac:dyDescent="0.25">
      <c r="A57" s="842" t="s">
        <v>352</v>
      </c>
      <c r="B57" s="891">
        <v>52</v>
      </c>
      <c r="C57" s="891">
        <v>52</v>
      </c>
      <c r="D57" s="891">
        <v>40</v>
      </c>
      <c r="E57" s="891">
        <v>52</v>
      </c>
      <c r="F57"/>
      <c r="G57"/>
    </row>
    <row r="58" spans="1:7" hidden="1" x14ac:dyDescent="0.25">
      <c r="A58" s="842" t="s">
        <v>543</v>
      </c>
      <c r="B58" s="891">
        <v>264</v>
      </c>
      <c r="C58" s="891">
        <v>0</v>
      </c>
      <c r="D58" s="891">
        <v>18</v>
      </c>
      <c r="E58" s="891">
        <v>264</v>
      </c>
      <c r="F58"/>
      <c r="G58"/>
    </row>
    <row r="59" spans="1:7" hidden="1" x14ac:dyDescent="0.25">
      <c r="A59" s="842" t="s">
        <v>836</v>
      </c>
      <c r="B59" s="891">
        <v>368</v>
      </c>
      <c r="C59" s="891">
        <v>0</v>
      </c>
      <c r="D59" s="891">
        <v>0</v>
      </c>
      <c r="E59" s="891">
        <v>368</v>
      </c>
      <c r="F59"/>
      <c r="G59"/>
    </row>
    <row r="60" spans="1:7" hidden="1" x14ac:dyDescent="0.25">
      <c r="A60" s="842" t="s">
        <v>408</v>
      </c>
      <c r="B60" s="891">
        <v>228</v>
      </c>
      <c r="C60" s="891">
        <v>0</v>
      </c>
      <c r="D60" s="891">
        <v>200</v>
      </c>
      <c r="E60" s="891">
        <v>228</v>
      </c>
      <c r="F60"/>
      <c r="G60"/>
    </row>
    <row r="61" spans="1:7" hidden="1" x14ac:dyDescent="0.25">
      <c r="A61" s="842" t="s">
        <v>587</v>
      </c>
      <c r="B61" s="891">
        <v>2985</v>
      </c>
      <c r="C61" s="891">
        <v>0</v>
      </c>
      <c r="D61" s="891">
        <v>12.000000000000002</v>
      </c>
      <c r="E61" s="891">
        <v>2985</v>
      </c>
      <c r="F61"/>
      <c r="G61"/>
    </row>
    <row r="62" spans="1:7" hidden="1" x14ac:dyDescent="0.25">
      <c r="A62" s="842" t="s">
        <v>588</v>
      </c>
      <c r="B62" s="891">
        <v>1995</v>
      </c>
      <c r="C62" s="891">
        <v>1995</v>
      </c>
      <c r="D62" s="891">
        <v>1100</v>
      </c>
      <c r="E62" s="891">
        <v>1995</v>
      </c>
      <c r="F62"/>
      <c r="G62"/>
    </row>
    <row r="63" spans="1:7" hidden="1" x14ac:dyDescent="0.25">
      <c r="A63" s="842" t="s">
        <v>656</v>
      </c>
      <c r="B63" s="891">
        <v>512</v>
      </c>
      <c r="C63" s="891">
        <v>0</v>
      </c>
      <c r="D63" s="891">
        <v>132</v>
      </c>
      <c r="E63" s="891">
        <v>296</v>
      </c>
      <c r="F63"/>
      <c r="G63"/>
    </row>
    <row r="64" spans="1:7" hidden="1" x14ac:dyDescent="0.25">
      <c r="A64" s="842" t="s">
        <v>605</v>
      </c>
      <c r="B64" s="891">
        <v>114</v>
      </c>
      <c r="C64" s="891">
        <v>0</v>
      </c>
      <c r="D64" s="891">
        <v>0</v>
      </c>
      <c r="E64" s="891">
        <v>0</v>
      </c>
      <c r="F64"/>
      <c r="G64"/>
    </row>
    <row r="65" spans="1:7" hidden="1" x14ac:dyDescent="0.25">
      <c r="A65" s="842" t="s">
        <v>599</v>
      </c>
      <c r="B65" s="891">
        <v>4892</v>
      </c>
      <c r="C65" s="891">
        <v>4892</v>
      </c>
      <c r="D65" s="891">
        <v>4892</v>
      </c>
      <c r="E65" s="891">
        <v>4892</v>
      </c>
      <c r="F65"/>
      <c r="G65"/>
    </row>
    <row r="66" spans="1:7" hidden="1" x14ac:dyDescent="0.25">
      <c r="A66" s="842" t="s">
        <v>602</v>
      </c>
      <c r="B66" s="891">
        <v>6936</v>
      </c>
      <c r="C66" s="891">
        <v>0</v>
      </c>
      <c r="D66" s="891">
        <v>6100</v>
      </c>
      <c r="E66" s="891">
        <v>6936</v>
      </c>
      <c r="F66"/>
      <c r="G66"/>
    </row>
    <row r="67" spans="1:7" hidden="1" x14ac:dyDescent="0.25">
      <c r="A67" s="842" t="s">
        <v>2573</v>
      </c>
      <c r="B67" s="891">
        <v>93</v>
      </c>
      <c r="C67" s="891">
        <v>0</v>
      </c>
      <c r="D67" s="891">
        <v>0</v>
      </c>
      <c r="E67" s="891">
        <v>0</v>
      </c>
      <c r="F67"/>
      <c r="G67"/>
    </row>
    <row r="68" spans="1:7" hidden="1" x14ac:dyDescent="0.25">
      <c r="A68" s="842" t="s">
        <v>1197</v>
      </c>
      <c r="B68" s="891">
        <v>256</v>
      </c>
      <c r="C68" s="891">
        <v>0</v>
      </c>
      <c r="D68" s="891">
        <v>0</v>
      </c>
      <c r="E68" s="891">
        <v>0</v>
      </c>
      <c r="F68"/>
      <c r="G68"/>
    </row>
    <row r="69" spans="1:7" hidden="1" x14ac:dyDescent="0.25">
      <c r="A69" s="842" t="s">
        <v>393</v>
      </c>
      <c r="B69" s="891">
        <v>527</v>
      </c>
      <c r="C69" s="891">
        <v>0</v>
      </c>
      <c r="D69" s="891">
        <v>527</v>
      </c>
      <c r="E69" s="891">
        <v>527</v>
      </c>
      <c r="F69"/>
      <c r="G69"/>
    </row>
    <row r="70" spans="1:7" hidden="1" x14ac:dyDescent="0.25">
      <c r="A70" s="842" t="s">
        <v>661</v>
      </c>
      <c r="B70" s="891">
        <v>117</v>
      </c>
      <c r="C70" s="891">
        <v>0</v>
      </c>
      <c r="D70" s="891">
        <v>0</v>
      </c>
      <c r="E70" s="891">
        <v>117</v>
      </c>
      <c r="F70"/>
      <c r="G70"/>
    </row>
    <row r="71" spans="1:7" hidden="1" x14ac:dyDescent="0.25">
      <c r="A71" s="842" t="s">
        <v>589</v>
      </c>
      <c r="B71" s="891">
        <v>175</v>
      </c>
      <c r="C71" s="891">
        <v>0</v>
      </c>
      <c r="D71" s="891">
        <v>0</v>
      </c>
      <c r="E71" s="891">
        <v>175</v>
      </c>
      <c r="F71"/>
      <c r="G71"/>
    </row>
    <row r="72" spans="1:7" hidden="1" x14ac:dyDescent="0.25">
      <c r="A72" s="842" t="s">
        <v>2569</v>
      </c>
      <c r="B72" s="891">
        <v>1786</v>
      </c>
      <c r="C72" s="891">
        <v>0</v>
      </c>
      <c r="D72" s="891">
        <v>1786</v>
      </c>
      <c r="E72" s="891">
        <v>1786</v>
      </c>
      <c r="F72"/>
      <c r="G72"/>
    </row>
    <row r="73" spans="1:7" hidden="1" x14ac:dyDescent="0.25">
      <c r="A73" s="842" t="s">
        <v>640</v>
      </c>
      <c r="B73" s="891">
        <v>479</v>
      </c>
      <c r="C73" s="891">
        <v>0</v>
      </c>
      <c r="D73" s="891">
        <v>48</v>
      </c>
      <c r="E73" s="891">
        <v>0</v>
      </c>
      <c r="F73"/>
      <c r="G73"/>
    </row>
    <row r="74" spans="1:7" hidden="1" x14ac:dyDescent="0.25">
      <c r="A74" s="842" t="s">
        <v>484</v>
      </c>
      <c r="B74" s="891">
        <v>763</v>
      </c>
      <c r="C74" s="891">
        <v>0</v>
      </c>
      <c r="D74" s="891">
        <v>30</v>
      </c>
      <c r="E74" s="891">
        <v>0</v>
      </c>
      <c r="F74"/>
      <c r="G74"/>
    </row>
    <row r="75" spans="1:7" hidden="1" x14ac:dyDescent="0.25">
      <c r="A75" s="842" t="s">
        <v>633</v>
      </c>
      <c r="B75" s="891">
        <v>106</v>
      </c>
      <c r="C75" s="891">
        <v>0</v>
      </c>
      <c r="D75" s="891">
        <v>0</v>
      </c>
      <c r="E75" s="891">
        <v>106</v>
      </c>
      <c r="F75"/>
      <c r="G75"/>
    </row>
    <row r="76" spans="1:7" hidden="1" x14ac:dyDescent="0.25">
      <c r="A76" s="842" t="s">
        <v>410</v>
      </c>
      <c r="B76" s="891">
        <v>26</v>
      </c>
      <c r="C76" s="891">
        <v>0</v>
      </c>
      <c r="D76" s="891">
        <v>26</v>
      </c>
      <c r="E76" s="891">
        <v>0</v>
      </c>
      <c r="F76"/>
      <c r="G76"/>
    </row>
    <row r="77" spans="1:7" hidden="1" x14ac:dyDescent="0.25">
      <c r="A77" s="842" t="s">
        <v>557</v>
      </c>
      <c r="B77" s="891">
        <v>342</v>
      </c>
      <c r="C77" s="891">
        <v>0</v>
      </c>
      <c r="D77" s="891">
        <v>0</v>
      </c>
      <c r="E77" s="891">
        <v>0</v>
      </c>
      <c r="F77"/>
      <c r="G77"/>
    </row>
    <row r="78" spans="1:7" hidden="1" x14ac:dyDescent="0.25">
      <c r="A78" s="842" t="s">
        <v>681</v>
      </c>
      <c r="B78" s="891">
        <v>2030</v>
      </c>
      <c r="C78" s="891">
        <v>0</v>
      </c>
      <c r="D78" s="891">
        <v>0</v>
      </c>
      <c r="E78" s="891">
        <v>750</v>
      </c>
      <c r="F78"/>
      <c r="G78"/>
    </row>
    <row r="79" spans="1:7" hidden="1" x14ac:dyDescent="0.25">
      <c r="A79" s="842" t="s">
        <v>402</v>
      </c>
      <c r="B79" s="891">
        <v>519</v>
      </c>
      <c r="C79" s="891">
        <v>0</v>
      </c>
      <c r="D79" s="891">
        <v>519</v>
      </c>
      <c r="E79" s="891">
        <v>0</v>
      </c>
      <c r="F79"/>
      <c r="G79"/>
    </row>
    <row r="80" spans="1:7" hidden="1" x14ac:dyDescent="0.25">
      <c r="A80" s="842" t="s">
        <v>680</v>
      </c>
      <c r="B80" s="891">
        <v>1292</v>
      </c>
      <c r="C80" s="891">
        <v>0</v>
      </c>
      <c r="D80" s="891">
        <v>0</v>
      </c>
      <c r="E80" s="891">
        <v>500.00000000000006</v>
      </c>
      <c r="F80"/>
      <c r="G80"/>
    </row>
    <row r="81" spans="1:7" hidden="1" x14ac:dyDescent="0.25">
      <c r="A81" s="842" t="s">
        <v>569</v>
      </c>
      <c r="B81" s="891">
        <v>398</v>
      </c>
      <c r="C81" s="891">
        <v>0</v>
      </c>
      <c r="D81" s="891">
        <v>0</v>
      </c>
      <c r="E81" s="891">
        <v>0</v>
      </c>
      <c r="F81"/>
      <c r="G81"/>
    </row>
    <row r="82" spans="1:7" hidden="1" x14ac:dyDescent="0.25">
      <c r="A82" s="842" t="s">
        <v>564</v>
      </c>
      <c r="B82" s="891">
        <v>546</v>
      </c>
      <c r="C82" s="891">
        <v>0</v>
      </c>
      <c r="D82" s="891">
        <v>0</v>
      </c>
      <c r="E82" s="891">
        <v>0</v>
      </c>
      <c r="F82"/>
      <c r="G82"/>
    </row>
    <row r="83" spans="1:7" hidden="1" x14ac:dyDescent="0.25">
      <c r="A83" s="842" t="s">
        <v>566</v>
      </c>
      <c r="B83" s="891">
        <v>786</v>
      </c>
      <c r="C83" s="891">
        <v>0</v>
      </c>
      <c r="D83" s="891">
        <v>0</v>
      </c>
      <c r="E83" s="891">
        <v>0</v>
      </c>
      <c r="F83"/>
      <c r="G83"/>
    </row>
    <row r="84" spans="1:7" hidden="1" x14ac:dyDescent="0.25">
      <c r="A84" s="842" t="s">
        <v>598</v>
      </c>
      <c r="B84" s="891">
        <v>8508</v>
      </c>
      <c r="C84" s="891">
        <v>8508</v>
      </c>
      <c r="D84" s="891">
        <v>8120</v>
      </c>
      <c r="E84" s="891">
        <v>8508</v>
      </c>
      <c r="F84"/>
      <c r="G84"/>
    </row>
    <row r="85" spans="1:7" hidden="1" x14ac:dyDescent="0.25">
      <c r="A85" s="842" t="s">
        <v>597</v>
      </c>
      <c r="B85" s="891">
        <v>3360</v>
      </c>
      <c r="C85" s="891">
        <v>0</v>
      </c>
      <c r="D85" s="891">
        <v>0</v>
      </c>
      <c r="E85" s="891">
        <v>3360</v>
      </c>
      <c r="F85"/>
      <c r="G85"/>
    </row>
    <row r="86" spans="1:7" hidden="1" x14ac:dyDescent="0.25">
      <c r="A86" s="842" t="s">
        <v>469</v>
      </c>
      <c r="B86" s="891">
        <v>2743</v>
      </c>
      <c r="C86" s="891">
        <v>0</v>
      </c>
      <c r="D86" s="891">
        <v>234.00000000000003</v>
      </c>
      <c r="E86" s="891">
        <v>2743</v>
      </c>
      <c r="F86"/>
      <c r="G86"/>
    </row>
    <row r="87" spans="1:7" hidden="1" x14ac:dyDescent="0.25">
      <c r="A87" s="842" t="s">
        <v>662</v>
      </c>
      <c r="B87" s="891">
        <v>360</v>
      </c>
      <c r="C87" s="891">
        <v>0</v>
      </c>
      <c r="D87" s="891">
        <v>30</v>
      </c>
      <c r="E87" s="891">
        <v>0</v>
      </c>
      <c r="F87"/>
      <c r="G87"/>
    </row>
    <row r="88" spans="1:7" hidden="1" x14ac:dyDescent="0.25">
      <c r="A88" s="842" t="s">
        <v>621</v>
      </c>
      <c r="B88" s="891">
        <v>113</v>
      </c>
      <c r="C88" s="891">
        <v>0</v>
      </c>
      <c r="D88" s="891">
        <v>113</v>
      </c>
      <c r="E88" s="891">
        <v>113</v>
      </c>
      <c r="F88"/>
      <c r="G88"/>
    </row>
    <row r="89" spans="1:7" hidden="1" x14ac:dyDescent="0.25">
      <c r="A89" s="842" t="s">
        <v>412</v>
      </c>
      <c r="B89" s="891">
        <v>365</v>
      </c>
      <c r="C89" s="891">
        <v>0</v>
      </c>
      <c r="D89" s="891">
        <v>365</v>
      </c>
      <c r="E89" s="891">
        <v>365</v>
      </c>
      <c r="F89"/>
      <c r="G89"/>
    </row>
    <row r="90" spans="1:7" hidden="1" x14ac:dyDescent="0.25">
      <c r="A90" s="842" t="s">
        <v>730</v>
      </c>
      <c r="B90" s="891">
        <v>1571</v>
      </c>
      <c r="C90" s="891">
        <v>0</v>
      </c>
      <c r="D90" s="891">
        <v>0</v>
      </c>
      <c r="E90" s="891">
        <v>0</v>
      </c>
      <c r="F90"/>
      <c r="G90"/>
    </row>
    <row r="91" spans="1:7" hidden="1" x14ac:dyDescent="0.25">
      <c r="A91" s="842" t="s">
        <v>612</v>
      </c>
      <c r="B91" s="891">
        <v>105</v>
      </c>
      <c r="C91" s="891">
        <v>0</v>
      </c>
      <c r="D91" s="891">
        <v>0</v>
      </c>
      <c r="E91" s="891">
        <v>105</v>
      </c>
      <c r="F91"/>
      <c r="G91"/>
    </row>
    <row r="92" spans="1:7" hidden="1" x14ac:dyDescent="0.25">
      <c r="A92" s="842" t="s">
        <v>316</v>
      </c>
      <c r="B92" s="891">
        <v>185</v>
      </c>
      <c r="C92" s="891">
        <v>0</v>
      </c>
      <c r="D92" s="891">
        <v>140</v>
      </c>
      <c r="E92" s="891">
        <v>185</v>
      </c>
      <c r="F92"/>
      <c r="G92"/>
    </row>
    <row r="93" spans="1:7" hidden="1" x14ac:dyDescent="0.25">
      <c r="A93" s="842" t="s">
        <v>389</v>
      </c>
      <c r="B93" s="891">
        <v>446</v>
      </c>
      <c r="C93" s="891">
        <v>0</v>
      </c>
      <c r="D93" s="891">
        <v>446</v>
      </c>
      <c r="E93" s="891">
        <v>446</v>
      </c>
      <c r="F93"/>
      <c r="G93"/>
    </row>
    <row r="94" spans="1:7" hidden="1" x14ac:dyDescent="0.25">
      <c r="A94" s="842" t="s">
        <v>813</v>
      </c>
      <c r="B94" s="891">
        <v>363</v>
      </c>
      <c r="C94" s="891">
        <v>0</v>
      </c>
      <c r="D94" s="891">
        <v>0</v>
      </c>
      <c r="E94" s="891">
        <v>0</v>
      </c>
      <c r="F94"/>
      <c r="G94"/>
    </row>
    <row r="95" spans="1:7" hidden="1" x14ac:dyDescent="0.25">
      <c r="A95" s="842" t="s">
        <v>692</v>
      </c>
      <c r="B95" s="891">
        <v>786</v>
      </c>
      <c r="C95" s="891">
        <v>0</v>
      </c>
      <c r="D95" s="891">
        <v>0</v>
      </c>
      <c r="E95" s="891">
        <v>0</v>
      </c>
      <c r="F95"/>
      <c r="G95"/>
    </row>
    <row r="96" spans="1:7" hidden="1" x14ac:dyDescent="0.25">
      <c r="A96" s="842" t="s">
        <v>734</v>
      </c>
      <c r="B96" s="891">
        <v>802</v>
      </c>
      <c r="C96" s="891">
        <v>0</v>
      </c>
      <c r="D96" s="891">
        <v>240</v>
      </c>
      <c r="E96" s="891">
        <v>0</v>
      </c>
      <c r="F96"/>
      <c r="G96"/>
    </row>
    <row r="97" spans="1:7" hidden="1" x14ac:dyDescent="0.25">
      <c r="A97" s="842" t="s">
        <v>732</v>
      </c>
      <c r="B97" s="891">
        <v>1569</v>
      </c>
      <c r="C97" s="891">
        <v>0</v>
      </c>
      <c r="D97" s="891">
        <v>960</v>
      </c>
      <c r="E97" s="891">
        <v>0</v>
      </c>
      <c r="F97"/>
      <c r="G97"/>
    </row>
    <row r="98" spans="1:7" hidden="1" x14ac:dyDescent="0.25">
      <c r="A98" s="842" t="s">
        <v>1233</v>
      </c>
      <c r="B98" s="891">
        <v>410</v>
      </c>
      <c r="C98" s="891">
        <v>0</v>
      </c>
      <c r="D98" s="891">
        <v>200</v>
      </c>
      <c r="E98" s="891">
        <v>410</v>
      </c>
      <c r="F98"/>
      <c r="G98"/>
    </row>
    <row r="99" spans="1:7" hidden="1" x14ac:dyDescent="0.25">
      <c r="A99" s="842" t="s">
        <v>428</v>
      </c>
      <c r="B99" s="891">
        <v>503</v>
      </c>
      <c r="C99" s="891">
        <v>0</v>
      </c>
      <c r="D99" s="891">
        <v>320</v>
      </c>
      <c r="E99" s="891">
        <v>503</v>
      </c>
      <c r="F99"/>
      <c r="G99"/>
    </row>
    <row r="100" spans="1:7" hidden="1" x14ac:dyDescent="0.25">
      <c r="A100" s="842" t="s">
        <v>331</v>
      </c>
      <c r="B100" s="891">
        <v>903</v>
      </c>
      <c r="C100" s="891">
        <v>0</v>
      </c>
      <c r="D100" s="891">
        <v>903</v>
      </c>
      <c r="E100" s="891">
        <v>903</v>
      </c>
      <c r="F100"/>
      <c r="G100"/>
    </row>
    <row r="101" spans="1:7" hidden="1" x14ac:dyDescent="0.25">
      <c r="A101" s="842" t="s">
        <v>606</v>
      </c>
      <c r="B101" s="891">
        <v>38</v>
      </c>
      <c r="C101" s="891">
        <v>0</v>
      </c>
      <c r="D101" s="891">
        <v>0</v>
      </c>
      <c r="E101" s="891">
        <v>38</v>
      </c>
      <c r="F101"/>
      <c r="G101"/>
    </row>
    <row r="102" spans="1:7" hidden="1" x14ac:dyDescent="0.25">
      <c r="A102" s="842" t="s">
        <v>785</v>
      </c>
      <c r="B102" s="891">
        <v>379</v>
      </c>
      <c r="C102" s="891">
        <v>0</v>
      </c>
      <c r="D102" s="891">
        <v>0</v>
      </c>
      <c r="E102" s="891">
        <v>0</v>
      </c>
      <c r="F102"/>
      <c r="G102"/>
    </row>
    <row r="103" spans="1:7" hidden="1" x14ac:dyDescent="0.25">
      <c r="A103" s="842" t="s">
        <v>305</v>
      </c>
      <c r="B103" s="891">
        <v>46</v>
      </c>
      <c r="C103" s="891">
        <v>0</v>
      </c>
      <c r="D103" s="891">
        <v>46</v>
      </c>
      <c r="E103" s="891">
        <v>46</v>
      </c>
      <c r="F103"/>
      <c r="G103"/>
    </row>
    <row r="104" spans="1:7" hidden="1" x14ac:dyDescent="0.25">
      <c r="A104" s="842" t="s">
        <v>601</v>
      </c>
      <c r="B104" s="891">
        <v>2186</v>
      </c>
      <c r="C104" s="891">
        <v>2186</v>
      </c>
      <c r="D104" s="891">
        <v>2040</v>
      </c>
      <c r="E104" s="891">
        <v>2186</v>
      </c>
      <c r="F104"/>
      <c r="G104"/>
    </row>
    <row r="105" spans="1:7" hidden="1" x14ac:dyDescent="0.25">
      <c r="A105" s="842" t="s">
        <v>413</v>
      </c>
      <c r="B105" s="891">
        <v>27</v>
      </c>
      <c r="C105" s="891">
        <v>0</v>
      </c>
      <c r="D105" s="891">
        <v>0</v>
      </c>
      <c r="E105" s="891">
        <v>27</v>
      </c>
      <c r="F105"/>
      <c r="G105"/>
    </row>
    <row r="106" spans="1:7" hidden="1" x14ac:dyDescent="0.25">
      <c r="A106" s="842" t="s">
        <v>1223</v>
      </c>
      <c r="B106" s="891">
        <v>121</v>
      </c>
      <c r="C106" s="891">
        <v>0</v>
      </c>
      <c r="D106" s="891">
        <v>0</v>
      </c>
      <c r="E106" s="891">
        <v>0</v>
      </c>
      <c r="F106"/>
      <c r="G106"/>
    </row>
    <row r="107" spans="1:7" hidden="1" x14ac:dyDescent="0.25">
      <c r="A107" s="842" t="s">
        <v>924</v>
      </c>
      <c r="B107" s="891">
        <v>779</v>
      </c>
      <c r="C107" s="891">
        <v>0</v>
      </c>
      <c r="D107" s="891">
        <v>0</v>
      </c>
      <c r="E107" s="891">
        <v>0</v>
      </c>
      <c r="F107"/>
      <c r="G107"/>
    </row>
    <row r="108" spans="1:7" hidden="1" x14ac:dyDescent="0.25">
      <c r="A108" s="842" t="s">
        <v>928</v>
      </c>
      <c r="B108" s="891">
        <v>779</v>
      </c>
      <c r="C108" s="891">
        <v>0</v>
      </c>
      <c r="D108" s="891">
        <v>779</v>
      </c>
      <c r="E108" s="891">
        <v>779</v>
      </c>
      <c r="F108"/>
      <c r="G108"/>
    </row>
    <row r="109" spans="1:7" hidden="1" x14ac:dyDescent="0.25">
      <c r="A109" s="842" t="s">
        <v>414</v>
      </c>
      <c r="B109" s="891">
        <v>504</v>
      </c>
      <c r="C109" s="891">
        <v>0</v>
      </c>
      <c r="D109" s="891">
        <v>504</v>
      </c>
      <c r="E109" s="891">
        <v>504</v>
      </c>
      <c r="F109"/>
      <c r="G109"/>
    </row>
    <row r="110" spans="1:7" hidden="1" x14ac:dyDescent="0.25">
      <c r="A110" s="842" t="s">
        <v>844</v>
      </c>
      <c r="B110" s="891">
        <v>521</v>
      </c>
      <c r="C110" s="891">
        <v>0</v>
      </c>
      <c r="D110" s="891">
        <v>18</v>
      </c>
      <c r="E110" s="891">
        <v>250</v>
      </c>
      <c r="F110"/>
      <c r="G110"/>
    </row>
    <row r="111" spans="1:7" hidden="1" x14ac:dyDescent="0.25">
      <c r="A111" s="842" t="s">
        <v>303</v>
      </c>
      <c r="B111" s="891">
        <v>823</v>
      </c>
      <c r="C111" s="891">
        <v>0</v>
      </c>
      <c r="D111" s="891">
        <v>540</v>
      </c>
      <c r="E111" s="891">
        <v>823</v>
      </c>
      <c r="F111"/>
      <c r="G111"/>
    </row>
    <row r="112" spans="1:7" hidden="1" x14ac:dyDescent="0.25">
      <c r="A112" s="842" t="s">
        <v>373</v>
      </c>
      <c r="B112" s="891">
        <v>3294</v>
      </c>
      <c r="C112" s="891">
        <v>0</v>
      </c>
      <c r="D112" s="891">
        <v>3294</v>
      </c>
      <c r="E112" s="891">
        <v>3294</v>
      </c>
      <c r="F112"/>
      <c r="G112"/>
    </row>
    <row r="113" spans="1:7" hidden="1" x14ac:dyDescent="0.25">
      <c r="A113" s="842" t="s">
        <v>354</v>
      </c>
      <c r="B113" s="891">
        <v>232</v>
      </c>
      <c r="C113" s="891">
        <v>232</v>
      </c>
      <c r="D113" s="891">
        <v>140</v>
      </c>
      <c r="E113" s="891">
        <v>232</v>
      </c>
      <c r="F113"/>
      <c r="G113"/>
    </row>
    <row r="114" spans="1:7" hidden="1" x14ac:dyDescent="0.25">
      <c r="A114" s="842" t="s">
        <v>380</v>
      </c>
      <c r="B114" s="891">
        <v>862</v>
      </c>
      <c r="C114" s="891">
        <v>0</v>
      </c>
      <c r="D114" s="891">
        <v>400</v>
      </c>
      <c r="E114" s="891">
        <v>344.8</v>
      </c>
      <c r="F114"/>
      <c r="G114"/>
    </row>
    <row r="115" spans="1:7" hidden="1" x14ac:dyDescent="0.25">
      <c r="A115" s="842" t="s">
        <v>725</v>
      </c>
      <c r="B115" s="891">
        <v>1214</v>
      </c>
      <c r="C115" s="891">
        <v>0</v>
      </c>
      <c r="D115" s="891">
        <v>0</v>
      </c>
      <c r="E115" s="891">
        <v>0</v>
      </c>
      <c r="F115"/>
      <c r="G115"/>
    </row>
    <row r="116" spans="1:7" hidden="1" x14ac:dyDescent="0.25">
      <c r="A116" s="842" t="s">
        <v>812</v>
      </c>
      <c r="B116" s="891">
        <v>60</v>
      </c>
      <c r="C116" s="891">
        <v>0</v>
      </c>
      <c r="D116" s="891">
        <v>0</v>
      </c>
      <c r="E116" s="891">
        <v>0</v>
      </c>
      <c r="F116"/>
      <c r="G116"/>
    </row>
    <row r="117" spans="1:7" hidden="1" x14ac:dyDescent="0.25">
      <c r="A117" s="842" t="s">
        <v>1264</v>
      </c>
      <c r="B117" s="891">
        <v>56</v>
      </c>
      <c r="C117" s="891">
        <v>0</v>
      </c>
      <c r="D117" s="891">
        <v>0</v>
      </c>
      <c r="E117" s="891">
        <v>0</v>
      </c>
      <c r="F117"/>
      <c r="G117"/>
    </row>
    <row r="118" spans="1:7" hidden="1" x14ac:dyDescent="0.25">
      <c r="A118" s="842" t="s">
        <v>317</v>
      </c>
      <c r="B118" s="891">
        <v>1114</v>
      </c>
      <c r="C118" s="891">
        <v>0</v>
      </c>
      <c r="D118" s="891">
        <v>860</v>
      </c>
      <c r="E118" s="891">
        <v>1114</v>
      </c>
      <c r="F118"/>
      <c r="G118"/>
    </row>
    <row r="119" spans="1:7" hidden="1" x14ac:dyDescent="0.25">
      <c r="A119" s="842" t="s">
        <v>390</v>
      </c>
      <c r="B119" s="891">
        <v>430</v>
      </c>
      <c r="C119" s="891">
        <v>0</v>
      </c>
      <c r="D119" s="891">
        <v>430</v>
      </c>
      <c r="E119" s="891">
        <v>430</v>
      </c>
      <c r="F119"/>
      <c r="G119"/>
    </row>
    <row r="120" spans="1:7" hidden="1" x14ac:dyDescent="0.25">
      <c r="A120" s="842" t="s">
        <v>450</v>
      </c>
      <c r="B120" s="891">
        <v>8554</v>
      </c>
      <c r="C120" s="891">
        <v>0</v>
      </c>
      <c r="D120" s="891">
        <v>8554</v>
      </c>
      <c r="E120" s="891">
        <v>8554</v>
      </c>
      <c r="F120"/>
      <c r="G120"/>
    </row>
    <row r="121" spans="1:7" hidden="1" x14ac:dyDescent="0.25">
      <c r="A121" s="842" t="s">
        <v>936</v>
      </c>
      <c r="B121" s="891">
        <v>134</v>
      </c>
      <c r="C121" s="891">
        <v>0</v>
      </c>
      <c r="D121" s="891">
        <v>0</v>
      </c>
      <c r="E121" s="891">
        <v>0</v>
      </c>
      <c r="F121"/>
      <c r="G121"/>
    </row>
    <row r="122" spans="1:7" hidden="1" x14ac:dyDescent="0.25">
      <c r="A122" s="842" t="s">
        <v>2638</v>
      </c>
      <c r="B122" s="891">
        <v>1193</v>
      </c>
      <c r="C122" s="891">
        <v>0</v>
      </c>
      <c r="D122" s="891">
        <v>0</v>
      </c>
      <c r="E122" s="891">
        <v>0</v>
      </c>
      <c r="F122"/>
      <c r="G122"/>
    </row>
    <row r="123" spans="1:7" hidden="1" x14ac:dyDescent="0.25">
      <c r="A123" s="842" t="s">
        <v>540</v>
      </c>
      <c r="B123" s="891">
        <v>211</v>
      </c>
      <c r="C123" s="891">
        <v>0</v>
      </c>
      <c r="D123" s="891">
        <v>211</v>
      </c>
      <c r="E123" s="891">
        <v>211</v>
      </c>
      <c r="F123"/>
      <c r="G123"/>
    </row>
    <row r="124" spans="1:7" hidden="1" x14ac:dyDescent="0.25">
      <c r="A124" s="842" t="s">
        <v>363</v>
      </c>
      <c r="B124" s="891">
        <v>106</v>
      </c>
      <c r="C124" s="891">
        <v>106</v>
      </c>
      <c r="D124" s="891">
        <v>80</v>
      </c>
      <c r="E124" s="891">
        <v>106</v>
      </c>
      <c r="F124"/>
      <c r="G124"/>
    </row>
    <row r="125" spans="1:7" hidden="1" x14ac:dyDescent="0.25">
      <c r="A125" s="842" t="s">
        <v>642</v>
      </c>
      <c r="B125" s="891">
        <v>183</v>
      </c>
      <c r="C125" s="891">
        <v>0</v>
      </c>
      <c r="D125" s="891">
        <v>0</v>
      </c>
      <c r="E125" s="891">
        <v>183</v>
      </c>
      <c r="F125"/>
      <c r="G125"/>
    </row>
    <row r="126" spans="1:7" hidden="1" x14ac:dyDescent="0.25">
      <c r="A126" s="842" t="s">
        <v>622</v>
      </c>
      <c r="B126" s="891">
        <v>1628</v>
      </c>
      <c r="C126" s="891">
        <v>0</v>
      </c>
      <c r="D126" s="891">
        <v>270</v>
      </c>
      <c r="E126" s="891">
        <v>0</v>
      </c>
      <c r="F126"/>
      <c r="G126"/>
    </row>
    <row r="127" spans="1:7" hidden="1" x14ac:dyDescent="0.25">
      <c r="A127" s="842" t="s">
        <v>756</v>
      </c>
      <c r="B127" s="891">
        <v>227</v>
      </c>
      <c r="C127" s="891">
        <v>0</v>
      </c>
      <c r="D127" s="891">
        <v>54</v>
      </c>
      <c r="E127" s="891">
        <v>227</v>
      </c>
      <c r="F127"/>
      <c r="G127"/>
    </row>
    <row r="128" spans="1:7" hidden="1" x14ac:dyDescent="0.25">
      <c r="A128" s="842" t="s">
        <v>574</v>
      </c>
      <c r="B128" s="891">
        <v>217</v>
      </c>
      <c r="C128" s="891">
        <v>0</v>
      </c>
      <c r="D128" s="891">
        <v>217</v>
      </c>
      <c r="E128" s="891">
        <v>217</v>
      </c>
      <c r="F128"/>
      <c r="G128"/>
    </row>
    <row r="129" spans="1:7" hidden="1" x14ac:dyDescent="0.25">
      <c r="A129" s="842" t="s">
        <v>546</v>
      </c>
      <c r="B129" s="891">
        <v>171</v>
      </c>
      <c r="C129" s="891">
        <v>0</v>
      </c>
      <c r="D129" s="891">
        <v>0</v>
      </c>
      <c r="E129" s="891">
        <v>0</v>
      </c>
      <c r="F129"/>
      <c r="G129"/>
    </row>
    <row r="130" spans="1:7" hidden="1" x14ac:dyDescent="0.25">
      <c r="A130" s="842" t="s">
        <v>686</v>
      </c>
      <c r="B130" s="891">
        <v>1618</v>
      </c>
      <c r="C130" s="891">
        <v>0</v>
      </c>
      <c r="D130" s="891">
        <v>270</v>
      </c>
      <c r="E130" s="891">
        <v>0</v>
      </c>
      <c r="F130"/>
      <c r="G130"/>
    </row>
    <row r="131" spans="1:7" hidden="1" x14ac:dyDescent="0.25">
      <c r="A131" s="842" t="s">
        <v>555</v>
      </c>
      <c r="B131" s="891">
        <v>273</v>
      </c>
      <c r="C131" s="891">
        <v>0</v>
      </c>
      <c r="D131" s="891">
        <v>0</v>
      </c>
      <c r="E131" s="891">
        <v>0</v>
      </c>
      <c r="F131"/>
      <c r="G131"/>
    </row>
    <row r="132" spans="1:7" hidden="1" x14ac:dyDescent="0.25">
      <c r="A132" s="842" t="s">
        <v>365</v>
      </c>
      <c r="B132" s="891">
        <v>94</v>
      </c>
      <c r="C132" s="891">
        <v>94</v>
      </c>
      <c r="D132" s="891">
        <v>94</v>
      </c>
      <c r="E132" s="891">
        <v>94</v>
      </c>
      <c r="F132"/>
      <c r="G132"/>
    </row>
    <row r="133" spans="1:7" hidden="1" x14ac:dyDescent="0.25">
      <c r="A133" s="842" t="s">
        <v>604</v>
      </c>
      <c r="B133" s="891">
        <v>2248</v>
      </c>
      <c r="C133" s="891">
        <v>2248</v>
      </c>
      <c r="D133" s="891">
        <v>2248</v>
      </c>
      <c r="E133" s="891">
        <v>2248</v>
      </c>
      <c r="F133"/>
      <c r="G133"/>
    </row>
    <row r="134" spans="1:7" hidden="1" x14ac:dyDescent="0.25">
      <c r="A134" s="842" t="s">
        <v>823</v>
      </c>
      <c r="B134" s="891">
        <v>557</v>
      </c>
      <c r="C134" s="891">
        <v>0</v>
      </c>
      <c r="D134" s="891">
        <v>557</v>
      </c>
      <c r="E134" s="891">
        <v>0</v>
      </c>
      <c r="F134"/>
      <c r="G134"/>
    </row>
    <row r="135" spans="1:7" hidden="1" x14ac:dyDescent="0.25">
      <c r="A135" s="842" t="s">
        <v>1201</v>
      </c>
      <c r="B135" s="891">
        <v>18</v>
      </c>
      <c r="C135" s="891">
        <v>0</v>
      </c>
      <c r="D135" s="891">
        <v>0</v>
      </c>
      <c r="E135" s="891">
        <v>0</v>
      </c>
      <c r="F135"/>
      <c r="G135"/>
    </row>
    <row r="136" spans="1:7" hidden="1" x14ac:dyDescent="0.25">
      <c r="A136" s="842" t="s">
        <v>787</v>
      </c>
      <c r="B136" s="891">
        <v>127</v>
      </c>
      <c r="C136" s="891">
        <v>0</v>
      </c>
      <c r="D136" s="891">
        <v>6</v>
      </c>
      <c r="E136" s="891">
        <v>127</v>
      </c>
      <c r="F136"/>
      <c r="G136"/>
    </row>
    <row r="137" spans="1:7" hidden="1" x14ac:dyDescent="0.25">
      <c r="A137" s="842" t="s">
        <v>798</v>
      </c>
      <c r="B137" s="891">
        <v>4073</v>
      </c>
      <c r="C137" s="891">
        <v>0</v>
      </c>
      <c r="D137" s="891">
        <v>6</v>
      </c>
      <c r="E137" s="891">
        <v>0</v>
      </c>
      <c r="F137"/>
      <c r="G137"/>
    </row>
    <row r="138" spans="1:7" hidden="1" x14ac:dyDescent="0.25">
      <c r="A138" s="842" t="s">
        <v>908</v>
      </c>
      <c r="B138" s="891">
        <v>510</v>
      </c>
      <c r="C138" s="891">
        <v>0</v>
      </c>
      <c r="D138" s="891">
        <v>510</v>
      </c>
      <c r="E138" s="891">
        <v>510</v>
      </c>
      <c r="F138"/>
      <c r="G138"/>
    </row>
    <row r="139" spans="1:7" hidden="1" x14ac:dyDescent="0.25">
      <c r="A139" s="842" t="s">
        <v>696</v>
      </c>
      <c r="B139" s="891">
        <v>450</v>
      </c>
      <c r="C139" s="891">
        <v>0</v>
      </c>
      <c r="D139" s="891">
        <v>102</v>
      </c>
      <c r="E139" s="891">
        <v>450</v>
      </c>
      <c r="F139"/>
      <c r="G139"/>
    </row>
    <row r="140" spans="1:7" hidden="1" x14ac:dyDescent="0.25">
      <c r="A140" s="842" t="s">
        <v>909</v>
      </c>
      <c r="B140" s="891">
        <v>292</v>
      </c>
      <c r="C140" s="891">
        <v>0</v>
      </c>
      <c r="D140" s="891">
        <v>200</v>
      </c>
      <c r="E140" s="891">
        <v>292</v>
      </c>
      <c r="F140"/>
      <c r="G140"/>
    </row>
    <row r="141" spans="1:7" hidden="1" x14ac:dyDescent="0.25">
      <c r="A141" s="842" t="s">
        <v>914</v>
      </c>
      <c r="B141" s="891">
        <v>141</v>
      </c>
      <c r="C141" s="891">
        <v>141</v>
      </c>
      <c r="D141" s="891">
        <v>141</v>
      </c>
      <c r="E141" s="891">
        <v>141</v>
      </c>
      <c r="F141"/>
      <c r="G141"/>
    </row>
    <row r="142" spans="1:7" hidden="1" x14ac:dyDescent="0.25">
      <c r="A142" s="842" t="s">
        <v>883</v>
      </c>
      <c r="B142" s="891">
        <v>138</v>
      </c>
      <c r="C142" s="891">
        <v>0</v>
      </c>
      <c r="D142" s="891">
        <v>138</v>
      </c>
      <c r="E142" s="891">
        <v>138</v>
      </c>
      <c r="F142"/>
      <c r="G142"/>
    </row>
    <row r="143" spans="1:7" hidden="1" x14ac:dyDescent="0.25">
      <c r="A143" s="842" t="s">
        <v>935</v>
      </c>
      <c r="B143" s="891">
        <v>145</v>
      </c>
      <c r="C143" s="891">
        <v>0</v>
      </c>
      <c r="D143" s="891">
        <v>145</v>
      </c>
      <c r="E143" s="891">
        <v>145</v>
      </c>
      <c r="F143"/>
      <c r="G143"/>
    </row>
    <row r="144" spans="1:7" hidden="1" x14ac:dyDescent="0.25">
      <c r="A144" s="842" t="s">
        <v>570</v>
      </c>
      <c r="B144" s="891">
        <v>312</v>
      </c>
      <c r="C144" s="891">
        <v>0</v>
      </c>
      <c r="D144" s="891">
        <v>0</v>
      </c>
      <c r="E144" s="891">
        <v>0</v>
      </c>
      <c r="F144"/>
      <c r="G144"/>
    </row>
    <row r="145" spans="1:7" hidden="1" x14ac:dyDescent="0.25">
      <c r="A145" s="842" t="s">
        <v>833</v>
      </c>
      <c r="B145" s="891">
        <v>295</v>
      </c>
      <c r="C145" s="891">
        <v>0</v>
      </c>
      <c r="D145" s="891">
        <v>0</v>
      </c>
      <c r="E145" s="891">
        <v>0</v>
      </c>
      <c r="F145"/>
      <c r="G145"/>
    </row>
    <row r="146" spans="1:7" hidden="1" x14ac:dyDescent="0.25">
      <c r="A146" s="842" t="s">
        <v>651</v>
      </c>
      <c r="B146" s="891">
        <v>700</v>
      </c>
      <c r="C146" s="891">
        <v>0</v>
      </c>
      <c r="D146" s="891">
        <v>168</v>
      </c>
      <c r="E146" s="891">
        <v>700</v>
      </c>
      <c r="F146"/>
      <c r="G146"/>
    </row>
    <row r="147" spans="1:7" hidden="1" x14ac:dyDescent="0.25">
      <c r="A147" s="842" t="s">
        <v>793</v>
      </c>
      <c r="B147" s="891">
        <v>238</v>
      </c>
      <c r="C147" s="891">
        <v>0</v>
      </c>
      <c r="D147" s="891">
        <v>0</v>
      </c>
      <c r="E147" s="891">
        <v>0</v>
      </c>
      <c r="F147"/>
      <c r="G147"/>
    </row>
    <row r="148" spans="1:7" hidden="1" x14ac:dyDescent="0.25">
      <c r="A148" s="842" t="s">
        <v>541</v>
      </c>
      <c r="B148" s="891">
        <v>992</v>
      </c>
      <c r="C148" s="891">
        <v>0</v>
      </c>
      <c r="D148" s="891">
        <v>992</v>
      </c>
      <c r="E148" s="891">
        <v>992</v>
      </c>
      <c r="F148"/>
      <c r="G148"/>
    </row>
    <row r="149" spans="1:7" hidden="1" x14ac:dyDescent="0.25">
      <c r="A149" s="842" t="s">
        <v>877</v>
      </c>
      <c r="B149" s="891">
        <v>664</v>
      </c>
      <c r="C149" s="891">
        <v>0</v>
      </c>
      <c r="D149" s="891">
        <v>0</v>
      </c>
      <c r="E149" s="891">
        <v>0</v>
      </c>
      <c r="F149"/>
      <c r="G149"/>
    </row>
    <row r="150" spans="1:7" hidden="1" x14ac:dyDescent="0.25">
      <c r="A150" s="842" t="s">
        <v>562</v>
      </c>
      <c r="B150" s="891">
        <v>674</v>
      </c>
      <c r="C150" s="891">
        <v>0</v>
      </c>
      <c r="D150" s="891">
        <v>0</v>
      </c>
      <c r="E150" s="891">
        <v>0</v>
      </c>
      <c r="F150"/>
      <c r="G150"/>
    </row>
    <row r="151" spans="1:7" hidden="1" x14ac:dyDescent="0.25">
      <c r="A151" s="842" t="s">
        <v>857</v>
      </c>
      <c r="B151" s="891">
        <v>88</v>
      </c>
      <c r="C151" s="891">
        <v>0</v>
      </c>
      <c r="D151" s="891">
        <v>6</v>
      </c>
      <c r="E151" s="891">
        <v>88</v>
      </c>
      <c r="F151"/>
      <c r="G151"/>
    </row>
    <row r="152" spans="1:7" hidden="1" x14ac:dyDescent="0.25">
      <c r="A152" s="842" t="s">
        <v>584</v>
      </c>
      <c r="B152" s="891">
        <v>5938</v>
      </c>
      <c r="C152" s="891">
        <v>5938</v>
      </c>
      <c r="D152" s="891">
        <v>1740.0000000000002</v>
      </c>
      <c r="E152" s="891">
        <v>5900</v>
      </c>
      <c r="F152"/>
      <c r="G152"/>
    </row>
    <row r="153" spans="1:7" hidden="1" x14ac:dyDescent="0.25">
      <c r="A153" s="842" t="s">
        <v>628</v>
      </c>
      <c r="B153" s="891">
        <v>488</v>
      </c>
      <c r="C153" s="891">
        <v>0</v>
      </c>
      <c r="D153" s="891">
        <v>488</v>
      </c>
      <c r="E153" s="891">
        <v>488</v>
      </c>
      <c r="F153"/>
      <c r="G153"/>
    </row>
    <row r="154" spans="1:7" hidden="1" x14ac:dyDescent="0.25">
      <c r="A154" s="842" t="s">
        <v>663</v>
      </c>
      <c r="B154" s="891">
        <v>380</v>
      </c>
      <c r="C154" s="891">
        <v>0</v>
      </c>
      <c r="D154" s="891">
        <v>96</v>
      </c>
      <c r="E154" s="891">
        <v>250.00000000000003</v>
      </c>
      <c r="F154"/>
      <c r="G154"/>
    </row>
    <row r="155" spans="1:7" hidden="1" x14ac:dyDescent="0.25">
      <c r="A155" s="842" t="s">
        <v>911</v>
      </c>
      <c r="B155" s="891">
        <v>282</v>
      </c>
      <c r="C155" s="891">
        <v>0</v>
      </c>
      <c r="D155" s="891">
        <v>282</v>
      </c>
      <c r="E155" s="891">
        <v>282</v>
      </c>
      <c r="F155"/>
      <c r="G155"/>
    </row>
    <row r="156" spans="1:7" hidden="1" x14ac:dyDescent="0.25">
      <c r="A156" s="842" t="s">
        <v>318</v>
      </c>
      <c r="B156" s="891">
        <v>195</v>
      </c>
      <c r="C156" s="891">
        <v>0</v>
      </c>
      <c r="D156" s="891">
        <v>160</v>
      </c>
      <c r="E156" s="891">
        <v>195</v>
      </c>
      <c r="F156"/>
      <c r="G156"/>
    </row>
    <row r="157" spans="1:7" hidden="1" x14ac:dyDescent="0.25">
      <c r="A157" s="842" t="s">
        <v>309</v>
      </c>
      <c r="B157" s="891">
        <v>66</v>
      </c>
      <c r="C157" s="891">
        <v>0</v>
      </c>
      <c r="D157" s="891">
        <v>66</v>
      </c>
      <c r="E157" s="891">
        <v>66</v>
      </c>
      <c r="F157"/>
      <c r="G157"/>
    </row>
    <row r="158" spans="1:7" hidden="1" x14ac:dyDescent="0.25">
      <c r="A158" s="842" t="s">
        <v>687</v>
      </c>
      <c r="B158" s="891">
        <v>747</v>
      </c>
      <c r="C158" s="891">
        <v>0</v>
      </c>
      <c r="D158" s="891">
        <v>0</v>
      </c>
      <c r="E158" s="891">
        <v>0</v>
      </c>
      <c r="F158"/>
      <c r="G158"/>
    </row>
    <row r="159" spans="1:7" hidden="1" x14ac:dyDescent="0.25">
      <c r="A159" s="842" t="s">
        <v>632</v>
      </c>
      <c r="B159" s="891">
        <v>541</v>
      </c>
      <c r="C159" s="891">
        <v>0</v>
      </c>
      <c r="D159" s="891">
        <v>0</v>
      </c>
      <c r="E159" s="891">
        <v>250</v>
      </c>
      <c r="F159"/>
      <c r="G159"/>
    </row>
    <row r="160" spans="1:7" hidden="1" x14ac:dyDescent="0.25">
      <c r="A160" s="842" t="s">
        <v>875</v>
      </c>
      <c r="B160" s="891">
        <v>1419</v>
      </c>
      <c r="C160" s="891">
        <v>0</v>
      </c>
      <c r="D160" s="891">
        <v>0</v>
      </c>
      <c r="E160" s="891">
        <v>0</v>
      </c>
      <c r="F160"/>
      <c r="G160"/>
    </row>
    <row r="161" spans="1:7" hidden="1" x14ac:dyDescent="0.25">
      <c r="A161" s="842" t="s">
        <v>449</v>
      </c>
      <c r="B161" s="891">
        <v>2199</v>
      </c>
      <c r="C161" s="891">
        <v>0</v>
      </c>
      <c r="D161" s="891">
        <v>320</v>
      </c>
      <c r="E161" s="891">
        <v>2199</v>
      </c>
      <c r="F161"/>
      <c r="G161"/>
    </row>
    <row r="162" spans="1:7" hidden="1" x14ac:dyDescent="0.25">
      <c r="A162" s="842" t="s">
        <v>454</v>
      </c>
      <c r="B162" s="891">
        <v>2478</v>
      </c>
      <c r="C162" s="891">
        <v>0</v>
      </c>
      <c r="D162" s="891">
        <v>2478</v>
      </c>
      <c r="E162" s="891">
        <v>2478</v>
      </c>
      <c r="F162"/>
      <c r="G162"/>
    </row>
    <row r="163" spans="1:7" hidden="1" x14ac:dyDescent="0.25">
      <c r="A163" s="842" t="s">
        <v>554</v>
      </c>
      <c r="B163" s="891">
        <v>373</v>
      </c>
      <c r="C163" s="891">
        <v>0</v>
      </c>
      <c r="D163" s="891">
        <v>0</v>
      </c>
      <c r="E163" s="891">
        <v>0</v>
      </c>
      <c r="F163"/>
      <c r="G163"/>
    </row>
    <row r="164" spans="1:7" hidden="1" x14ac:dyDescent="0.25">
      <c r="A164" s="842" t="s">
        <v>955</v>
      </c>
      <c r="B164" s="891">
        <v>1691</v>
      </c>
      <c r="C164" s="891">
        <v>0</v>
      </c>
      <c r="D164" s="891">
        <v>0</v>
      </c>
      <c r="E164" s="891">
        <v>0</v>
      </c>
      <c r="F164"/>
      <c r="G164"/>
    </row>
    <row r="165" spans="1:7" hidden="1" x14ac:dyDescent="0.25">
      <c r="A165" s="842" t="s">
        <v>400</v>
      </c>
      <c r="B165" s="891">
        <v>656</v>
      </c>
      <c r="C165" s="891">
        <v>0</v>
      </c>
      <c r="D165" s="891">
        <v>560</v>
      </c>
      <c r="E165" s="891">
        <v>656</v>
      </c>
      <c r="F165"/>
      <c r="G165"/>
    </row>
    <row r="166" spans="1:7" hidden="1" x14ac:dyDescent="0.25">
      <c r="A166" s="842" t="s">
        <v>319</v>
      </c>
      <c r="B166" s="891">
        <v>578</v>
      </c>
      <c r="C166" s="891">
        <v>0</v>
      </c>
      <c r="D166" s="891">
        <v>160</v>
      </c>
      <c r="E166" s="891">
        <v>578</v>
      </c>
      <c r="F166"/>
      <c r="G166"/>
    </row>
    <row r="167" spans="1:7" hidden="1" x14ac:dyDescent="0.25">
      <c r="A167" s="842" t="s">
        <v>320</v>
      </c>
      <c r="B167" s="891">
        <v>697</v>
      </c>
      <c r="C167" s="891">
        <v>0</v>
      </c>
      <c r="D167" s="891">
        <v>640</v>
      </c>
      <c r="E167" s="891">
        <v>697</v>
      </c>
      <c r="F167"/>
      <c r="G167"/>
    </row>
    <row r="168" spans="1:7" hidden="1" x14ac:dyDescent="0.25">
      <c r="A168" s="842" t="s">
        <v>788</v>
      </c>
      <c r="B168" s="891">
        <v>157</v>
      </c>
      <c r="C168" s="891">
        <v>0</v>
      </c>
      <c r="D168" s="891">
        <v>157</v>
      </c>
      <c r="E168" s="891">
        <v>0</v>
      </c>
      <c r="F168"/>
      <c r="G168"/>
    </row>
    <row r="169" spans="1:7" hidden="1" x14ac:dyDescent="0.25">
      <c r="A169" s="842" t="s">
        <v>652</v>
      </c>
      <c r="B169" s="891">
        <v>221</v>
      </c>
      <c r="C169" s="891">
        <v>0</v>
      </c>
      <c r="D169" s="891">
        <v>18</v>
      </c>
      <c r="E169" s="891">
        <v>221</v>
      </c>
      <c r="F169"/>
      <c r="G169"/>
    </row>
    <row r="170" spans="1:7" hidden="1" x14ac:dyDescent="0.25">
      <c r="A170" s="842" t="s">
        <v>650</v>
      </c>
      <c r="B170" s="891">
        <v>807</v>
      </c>
      <c r="C170" s="891">
        <v>0</v>
      </c>
      <c r="D170" s="891">
        <v>24</v>
      </c>
      <c r="E170" s="891">
        <v>249.99999999999997</v>
      </c>
      <c r="F170"/>
      <c r="G170"/>
    </row>
    <row r="171" spans="1:7" hidden="1" x14ac:dyDescent="0.25">
      <c r="A171" s="842" t="s">
        <v>405</v>
      </c>
      <c r="B171" s="891">
        <v>640</v>
      </c>
      <c r="C171" s="891">
        <v>0</v>
      </c>
      <c r="D171" s="891">
        <v>640</v>
      </c>
      <c r="E171" s="891">
        <v>0</v>
      </c>
      <c r="F171"/>
      <c r="G171"/>
    </row>
    <row r="172" spans="1:7" hidden="1" x14ac:dyDescent="0.25">
      <c r="A172" s="842" t="s">
        <v>1296</v>
      </c>
      <c r="B172" s="891">
        <v>257</v>
      </c>
      <c r="C172" s="891">
        <v>257</v>
      </c>
      <c r="D172" s="891">
        <v>200</v>
      </c>
      <c r="E172" s="891">
        <v>257</v>
      </c>
    </row>
    <row r="173" spans="1:7" hidden="1" x14ac:dyDescent="0.25">
      <c r="A173" s="842" t="s">
        <v>415</v>
      </c>
      <c r="B173" s="891">
        <v>102</v>
      </c>
      <c r="C173" s="891">
        <v>0</v>
      </c>
      <c r="D173" s="891">
        <v>102</v>
      </c>
      <c r="E173" s="891">
        <v>102</v>
      </c>
    </row>
    <row r="174" spans="1:7" hidden="1" x14ac:dyDescent="0.25">
      <c r="A174" s="842" t="s">
        <v>416</v>
      </c>
      <c r="B174" s="891">
        <v>62</v>
      </c>
      <c r="C174" s="891">
        <v>0</v>
      </c>
      <c r="D174" s="891">
        <v>62</v>
      </c>
      <c r="E174" s="891">
        <v>62</v>
      </c>
    </row>
    <row r="175" spans="1:7" hidden="1" x14ac:dyDescent="0.25">
      <c r="A175" s="842" t="s">
        <v>356</v>
      </c>
      <c r="B175" s="891">
        <v>757</v>
      </c>
      <c r="C175" s="891">
        <v>757</v>
      </c>
      <c r="D175" s="891">
        <v>460.00000000000006</v>
      </c>
      <c r="E175" s="891">
        <v>757</v>
      </c>
    </row>
    <row r="176" spans="1:7" hidden="1" x14ac:dyDescent="0.25">
      <c r="A176" s="842" t="s">
        <v>912</v>
      </c>
      <c r="B176" s="891">
        <v>128</v>
      </c>
      <c r="C176" s="891">
        <v>0</v>
      </c>
      <c r="D176" s="891">
        <v>128</v>
      </c>
      <c r="E176" s="891">
        <v>128</v>
      </c>
    </row>
    <row r="177" spans="1:5" hidden="1" x14ac:dyDescent="0.25">
      <c r="A177" s="842" t="s">
        <v>441</v>
      </c>
      <c r="B177" s="891">
        <v>225</v>
      </c>
      <c r="C177" s="891">
        <v>0</v>
      </c>
      <c r="D177" s="891">
        <v>180</v>
      </c>
      <c r="E177" s="891">
        <v>225</v>
      </c>
    </row>
    <row r="178" spans="1:5" hidden="1" x14ac:dyDescent="0.25">
      <c r="A178" s="842" t="s">
        <v>442</v>
      </c>
      <c r="B178" s="891">
        <v>348</v>
      </c>
      <c r="C178" s="891">
        <v>0</v>
      </c>
      <c r="D178" s="891">
        <v>260</v>
      </c>
      <c r="E178" s="891">
        <v>348</v>
      </c>
    </row>
    <row r="179" spans="1:5" hidden="1" x14ac:dyDescent="0.25">
      <c r="A179" s="842" t="s">
        <v>443</v>
      </c>
      <c r="B179" s="891">
        <v>1092</v>
      </c>
      <c r="C179" s="891">
        <v>0</v>
      </c>
      <c r="D179" s="891">
        <v>800</v>
      </c>
      <c r="E179" s="891">
        <v>1092</v>
      </c>
    </row>
    <row r="180" spans="1:5" hidden="1" x14ac:dyDescent="0.25">
      <c r="A180" s="842" t="s">
        <v>658</v>
      </c>
      <c r="B180" s="891">
        <v>409</v>
      </c>
      <c r="C180" s="891">
        <v>0</v>
      </c>
      <c r="D180" s="891">
        <v>251.99999999999997</v>
      </c>
      <c r="E180" s="891">
        <v>409</v>
      </c>
    </row>
    <row r="181" spans="1:5" hidden="1" x14ac:dyDescent="0.25">
      <c r="A181" s="842" t="s">
        <v>549</v>
      </c>
      <c r="B181" s="891">
        <v>136</v>
      </c>
      <c r="C181" s="891">
        <v>0</v>
      </c>
      <c r="D181" s="891">
        <v>0</v>
      </c>
      <c r="E181" s="891">
        <v>0</v>
      </c>
    </row>
    <row r="182" spans="1:5" hidden="1" x14ac:dyDescent="0.25">
      <c r="A182" s="842" t="s">
        <v>330</v>
      </c>
      <c r="B182" s="891">
        <v>281</v>
      </c>
      <c r="C182" s="891">
        <v>0</v>
      </c>
      <c r="D182" s="891">
        <v>160.00000000000003</v>
      </c>
      <c r="E182" s="891">
        <v>281</v>
      </c>
    </row>
    <row r="183" spans="1:5" hidden="1" x14ac:dyDescent="0.25">
      <c r="A183" s="842" t="s">
        <v>448</v>
      </c>
      <c r="B183" s="891">
        <v>2350</v>
      </c>
      <c r="C183" s="891">
        <v>0</v>
      </c>
      <c r="D183" s="891">
        <v>0</v>
      </c>
      <c r="E183" s="891">
        <v>2350</v>
      </c>
    </row>
    <row r="184" spans="1:5" hidden="1" x14ac:dyDescent="0.25">
      <c r="A184" s="842" t="s">
        <v>397</v>
      </c>
      <c r="B184" s="891">
        <v>105</v>
      </c>
      <c r="C184" s="891">
        <v>0</v>
      </c>
      <c r="D184" s="891">
        <v>105</v>
      </c>
      <c r="E184" s="891">
        <v>105</v>
      </c>
    </row>
    <row r="185" spans="1:5" hidden="1" x14ac:dyDescent="0.25">
      <c r="A185" s="842" t="s">
        <v>332</v>
      </c>
      <c r="B185" s="891">
        <v>178</v>
      </c>
      <c r="C185" s="891">
        <v>0</v>
      </c>
      <c r="D185" s="891">
        <v>120</v>
      </c>
      <c r="E185" s="891">
        <v>178</v>
      </c>
    </row>
    <row r="186" spans="1:5" hidden="1" x14ac:dyDescent="0.25">
      <c r="A186" s="842" t="s">
        <v>333</v>
      </c>
      <c r="B186" s="891">
        <v>1723</v>
      </c>
      <c r="C186" s="891">
        <v>0</v>
      </c>
      <c r="D186" s="891">
        <v>1723</v>
      </c>
      <c r="E186" s="891">
        <v>1723</v>
      </c>
    </row>
    <row r="187" spans="1:5" hidden="1" x14ac:dyDescent="0.25">
      <c r="A187" s="842" t="s">
        <v>915</v>
      </c>
      <c r="B187" s="891">
        <v>721</v>
      </c>
      <c r="C187" s="891">
        <v>0</v>
      </c>
      <c r="D187" s="891">
        <v>400</v>
      </c>
      <c r="E187" s="891">
        <v>721</v>
      </c>
    </row>
    <row r="188" spans="1:5" hidden="1" x14ac:dyDescent="0.25">
      <c r="A188" s="842" t="s">
        <v>429</v>
      </c>
      <c r="B188" s="891">
        <v>1801</v>
      </c>
      <c r="C188" s="891">
        <v>0</v>
      </c>
      <c r="D188" s="891">
        <v>580</v>
      </c>
      <c r="E188" s="891">
        <v>1801</v>
      </c>
    </row>
    <row r="189" spans="1:5" hidden="1" x14ac:dyDescent="0.25">
      <c r="A189" s="842" t="s">
        <v>394</v>
      </c>
      <c r="B189" s="891">
        <v>1492</v>
      </c>
      <c r="C189" s="891">
        <v>0</v>
      </c>
      <c r="D189" s="891">
        <v>1492</v>
      </c>
      <c r="E189" s="891">
        <v>1492</v>
      </c>
    </row>
    <row r="190" spans="1:5" hidden="1" x14ac:dyDescent="0.25">
      <c r="A190" s="842" t="s">
        <v>334</v>
      </c>
      <c r="B190" s="891">
        <v>2551</v>
      </c>
      <c r="C190" s="891">
        <v>0</v>
      </c>
      <c r="D190" s="891">
        <v>2551</v>
      </c>
      <c r="E190" s="891">
        <v>2551</v>
      </c>
    </row>
    <row r="191" spans="1:5" hidden="1" x14ac:dyDescent="0.25">
      <c r="A191" s="842" t="s">
        <v>335</v>
      </c>
      <c r="B191" s="891">
        <v>193</v>
      </c>
      <c r="C191" s="891">
        <v>0</v>
      </c>
      <c r="D191" s="891">
        <v>193</v>
      </c>
      <c r="E191" s="891">
        <v>193</v>
      </c>
    </row>
    <row r="192" spans="1:5" hidden="1" x14ac:dyDescent="0.25">
      <c r="A192" s="842" t="s">
        <v>339</v>
      </c>
      <c r="B192" s="891">
        <v>1855</v>
      </c>
      <c r="C192" s="891">
        <v>0</v>
      </c>
      <c r="D192" s="891">
        <v>1855</v>
      </c>
      <c r="E192" s="891">
        <v>1855</v>
      </c>
    </row>
    <row r="193" spans="1:5" hidden="1" x14ac:dyDescent="0.25">
      <c r="A193" s="842" t="s">
        <v>46</v>
      </c>
      <c r="B193" s="891">
        <v>803</v>
      </c>
      <c r="C193" s="891">
        <v>0</v>
      </c>
      <c r="D193" s="891">
        <v>803</v>
      </c>
      <c r="E193" s="891">
        <v>803</v>
      </c>
    </row>
    <row r="194" spans="1:5" hidden="1" x14ac:dyDescent="0.25">
      <c r="A194" s="842" t="s">
        <v>321</v>
      </c>
      <c r="B194" s="891">
        <v>304</v>
      </c>
      <c r="C194" s="891">
        <v>0</v>
      </c>
      <c r="D194" s="891">
        <v>140</v>
      </c>
      <c r="E194" s="891">
        <v>304</v>
      </c>
    </row>
    <row r="195" spans="1:5" hidden="1" x14ac:dyDescent="0.25">
      <c r="A195" s="842" t="s">
        <v>366</v>
      </c>
      <c r="B195" s="891">
        <v>1172</v>
      </c>
      <c r="C195" s="891">
        <v>1172</v>
      </c>
      <c r="D195" s="891">
        <v>940.00000000000011</v>
      </c>
      <c r="E195" s="891">
        <v>1172</v>
      </c>
    </row>
    <row r="196" spans="1:5" hidden="1" x14ac:dyDescent="0.25">
      <c r="A196" s="842" t="s">
        <v>447</v>
      </c>
      <c r="B196" s="891">
        <v>580</v>
      </c>
      <c r="C196" s="891">
        <v>0</v>
      </c>
      <c r="D196" s="891">
        <v>560</v>
      </c>
      <c r="E196" s="891">
        <v>580</v>
      </c>
    </row>
    <row r="197" spans="1:5" hidden="1" x14ac:dyDescent="0.25">
      <c r="A197" s="842" t="s">
        <v>322</v>
      </c>
      <c r="B197" s="891">
        <v>581</v>
      </c>
      <c r="C197" s="891">
        <v>0</v>
      </c>
      <c r="D197" s="891">
        <v>581</v>
      </c>
      <c r="E197" s="891">
        <v>581</v>
      </c>
    </row>
    <row r="198" spans="1:5" hidden="1" x14ac:dyDescent="0.25">
      <c r="A198" s="842" t="s">
        <v>926</v>
      </c>
      <c r="B198" s="891">
        <v>120</v>
      </c>
      <c r="C198" s="891">
        <v>0</v>
      </c>
      <c r="D198" s="891">
        <v>0</v>
      </c>
      <c r="E198" s="891">
        <v>0</v>
      </c>
    </row>
    <row r="199" spans="1:5" hidden="1" x14ac:dyDescent="0.25">
      <c r="A199" s="842" t="s">
        <v>923</v>
      </c>
      <c r="B199" s="891">
        <v>82</v>
      </c>
      <c r="C199" s="891">
        <v>82</v>
      </c>
      <c r="D199" s="891">
        <v>82</v>
      </c>
      <c r="E199" s="891">
        <v>82</v>
      </c>
    </row>
    <row r="200" spans="1:5" hidden="1" x14ac:dyDescent="0.25">
      <c r="A200" s="842" t="s">
        <v>929</v>
      </c>
      <c r="B200" s="891">
        <v>188</v>
      </c>
      <c r="C200" s="891">
        <v>0</v>
      </c>
      <c r="D200" s="891">
        <v>0</v>
      </c>
      <c r="E200" s="891">
        <v>0</v>
      </c>
    </row>
    <row r="201" spans="1:5" hidden="1" x14ac:dyDescent="0.25">
      <c r="A201" s="842" t="s">
        <v>458</v>
      </c>
      <c r="B201" s="891">
        <v>529</v>
      </c>
      <c r="C201" s="891">
        <v>529</v>
      </c>
      <c r="D201" s="891">
        <v>320</v>
      </c>
      <c r="E201" s="891">
        <v>529</v>
      </c>
    </row>
    <row r="202" spans="1:5" hidden="1" x14ac:dyDescent="0.25">
      <c r="A202" s="842" t="s">
        <v>460</v>
      </c>
      <c r="B202" s="891">
        <v>524</v>
      </c>
      <c r="C202" s="891">
        <v>524</v>
      </c>
      <c r="D202" s="891">
        <v>524</v>
      </c>
      <c r="E202" s="891">
        <v>524</v>
      </c>
    </row>
    <row r="203" spans="1:5" hidden="1" x14ac:dyDescent="0.25">
      <c r="A203" s="842" t="s">
        <v>461</v>
      </c>
      <c r="B203" s="891">
        <v>2327</v>
      </c>
      <c r="C203" s="891">
        <v>0</v>
      </c>
      <c r="D203" s="891">
        <v>2327</v>
      </c>
      <c r="E203" s="891">
        <v>2327</v>
      </c>
    </row>
    <row r="204" spans="1:5" hidden="1" x14ac:dyDescent="0.25">
      <c r="A204" s="842" t="s">
        <v>462</v>
      </c>
      <c r="B204" s="891">
        <v>637</v>
      </c>
      <c r="C204" s="891">
        <v>0</v>
      </c>
      <c r="D204" s="891">
        <v>637</v>
      </c>
      <c r="E204" s="891">
        <v>637</v>
      </c>
    </row>
    <row r="205" spans="1:5" hidden="1" x14ac:dyDescent="0.25">
      <c r="A205" s="842" t="s">
        <v>1164</v>
      </c>
      <c r="B205" s="891">
        <v>834</v>
      </c>
      <c r="C205" s="891">
        <v>0</v>
      </c>
      <c r="D205" s="891">
        <v>0</v>
      </c>
      <c r="E205" s="891">
        <v>0</v>
      </c>
    </row>
    <row r="206" spans="1:5" hidden="1" x14ac:dyDescent="0.25">
      <c r="A206" s="842" t="s">
        <v>367</v>
      </c>
      <c r="B206" s="891">
        <v>13</v>
      </c>
      <c r="C206" s="891">
        <v>13</v>
      </c>
      <c r="D206" s="891">
        <v>13</v>
      </c>
      <c r="E206" s="891">
        <v>13</v>
      </c>
    </row>
    <row r="207" spans="1:5" hidden="1" x14ac:dyDescent="0.25">
      <c r="A207" s="842" t="s">
        <v>917</v>
      </c>
      <c r="B207" s="891">
        <v>143</v>
      </c>
      <c r="C207" s="891">
        <v>0</v>
      </c>
      <c r="D207" s="891">
        <v>143</v>
      </c>
      <c r="E207" s="891">
        <v>143</v>
      </c>
    </row>
    <row r="208" spans="1:5" hidden="1" x14ac:dyDescent="0.25">
      <c r="A208" s="842" t="s">
        <v>886</v>
      </c>
      <c r="B208" s="891">
        <v>171</v>
      </c>
      <c r="C208" s="891">
        <v>171</v>
      </c>
      <c r="D208" s="891">
        <v>80</v>
      </c>
      <c r="E208" s="891">
        <v>171</v>
      </c>
    </row>
    <row r="209" spans="1:5" hidden="1" x14ac:dyDescent="0.25">
      <c r="A209" s="842" t="s">
        <v>310</v>
      </c>
      <c r="B209" s="891">
        <v>98</v>
      </c>
      <c r="C209" s="891">
        <v>0</v>
      </c>
      <c r="D209" s="891">
        <v>40</v>
      </c>
      <c r="E209" s="891">
        <v>98</v>
      </c>
    </row>
    <row r="210" spans="1:5" hidden="1" x14ac:dyDescent="0.25">
      <c r="A210" s="842" t="s">
        <v>349</v>
      </c>
      <c r="B210" s="891">
        <v>823</v>
      </c>
      <c r="C210" s="891">
        <v>823</v>
      </c>
      <c r="D210" s="891">
        <v>823</v>
      </c>
      <c r="E210" s="891">
        <v>823</v>
      </c>
    </row>
    <row r="211" spans="1:5" hidden="1" x14ac:dyDescent="0.25">
      <c r="A211" s="842" t="s">
        <v>1183</v>
      </c>
      <c r="B211" s="891">
        <v>290</v>
      </c>
      <c r="C211" s="891">
        <v>0</v>
      </c>
      <c r="D211" s="891">
        <v>0</v>
      </c>
      <c r="E211" s="891">
        <v>0</v>
      </c>
    </row>
    <row r="212" spans="1:5" hidden="1" x14ac:dyDescent="0.25">
      <c r="A212" s="842" t="s">
        <v>693</v>
      </c>
      <c r="B212" s="891">
        <v>417</v>
      </c>
      <c r="C212" s="891">
        <v>0</v>
      </c>
      <c r="D212" s="891">
        <v>60</v>
      </c>
      <c r="E212" s="891">
        <v>0</v>
      </c>
    </row>
    <row r="213" spans="1:5" hidden="1" x14ac:dyDescent="0.25">
      <c r="A213" s="842" t="s">
        <v>423</v>
      </c>
      <c r="B213" s="891">
        <v>97</v>
      </c>
      <c r="C213" s="891">
        <v>0</v>
      </c>
      <c r="D213" s="891">
        <v>60</v>
      </c>
      <c r="E213" s="891">
        <v>97</v>
      </c>
    </row>
    <row r="214" spans="1:5" hidden="1" x14ac:dyDescent="0.25">
      <c r="A214" s="842" t="s">
        <v>424</v>
      </c>
      <c r="B214" s="891">
        <v>76</v>
      </c>
      <c r="C214" s="891">
        <v>0</v>
      </c>
      <c r="D214" s="891">
        <v>60</v>
      </c>
      <c r="E214" s="891">
        <v>76</v>
      </c>
    </row>
    <row r="215" spans="1:5" hidden="1" x14ac:dyDescent="0.25">
      <c r="A215" s="842" t="s">
        <v>608</v>
      </c>
      <c r="B215" s="891">
        <v>3486</v>
      </c>
      <c r="C215" s="891">
        <v>3486</v>
      </c>
      <c r="D215" s="891">
        <v>2180</v>
      </c>
      <c r="E215" s="891">
        <v>3486</v>
      </c>
    </row>
    <row r="216" spans="1:5" hidden="1" x14ac:dyDescent="0.25">
      <c r="A216" s="842" t="s">
        <v>417</v>
      </c>
      <c r="B216" s="891">
        <v>15</v>
      </c>
      <c r="C216" s="891">
        <v>0</v>
      </c>
      <c r="D216" s="891">
        <v>0</v>
      </c>
      <c r="E216" s="891">
        <v>15</v>
      </c>
    </row>
    <row r="217" spans="1:5" hidden="1" x14ac:dyDescent="0.25">
      <c r="A217" s="842" t="s">
        <v>625</v>
      </c>
      <c r="B217" s="891">
        <v>1183</v>
      </c>
      <c r="C217" s="891">
        <v>0</v>
      </c>
      <c r="D217" s="891">
        <v>390</v>
      </c>
      <c r="E217" s="891">
        <v>1183</v>
      </c>
    </row>
    <row r="218" spans="1:5" hidden="1" x14ac:dyDescent="0.25">
      <c r="A218" s="842" t="s">
        <v>544</v>
      </c>
      <c r="B218" s="891">
        <v>290</v>
      </c>
      <c r="C218" s="891">
        <v>0</v>
      </c>
      <c r="D218" s="891">
        <v>0</v>
      </c>
      <c r="E218" s="891">
        <v>0</v>
      </c>
    </row>
    <row r="219" spans="1:5" hidden="1" x14ac:dyDescent="0.25">
      <c r="A219" s="842" t="s">
        <v>655</v>
      </c>
      <c r="B219" s="891">
        <v>458</v>
      </c>
      <c r="C219" s="891">
        <v>0</v>
      </c>
      <c r="D219" s="891">
        <v>84</v>
      </c>
      <c r="E219" s="891">
        <v>458</v>
      </c>
    </row>
    <row r="220" spans="1:5" hidden="1" x14ac:dyDescent="0.25">
      <c r="A220" s="842" t="s">
        <v>2645</v>
      </c>
      <c r="B220" s="891">
        <v>710</v>
      </c>
      <c r="C220" s="891">
        <v>0</v>
      </c>
      <c r="D220" s="891">
        <v>11.999999999999998</v>
      </c>
      <c r="E220" s="891">
        <v>0</v>
      </c>
    </row>
    <row r="221" spans="1:5" hidden="1" x14ac:dyDescent="0.25">
      <c r="A221" s="842" t="s">
        <v>2646</v>
      </c>
      <c r="B221" s="891">
        <v>345</v>
      </c>
      <c r="C221" s="891">
        <v>0</v>
      </c>
      <c r="D221" s="891">
        <v>18</v>
      </c>
      <c r="E221" s="891">
        <v>0</v>
      </c>
    </row>
    <row r="222" spans="1:5" hidden="1" x14ac:dyDescent="0.25">
      <c r="A222" s="842" t="s">
        <v>2639</v>
      </c>
      <c r="B222" s="891">
        <v>1644</v>
      </c>
      <c r="C222" s="891">
        <v>0</v>
      </c>
      <c r="D222" s="891">
        <v>0</v>
      </c>
      <c r="E222" s="891">
        <v>0</v>
      </c>
    </row>
    <row r="223" spans="1:5" hidden="1" x14ac:dyDescent="0.25">
      <c r="A223" s="842" t="s">
        <v>774</v>
      </c>
      <c r="B223" s="891">
        <v>397</v>
      </c>
      <c r="C223" s="891">
        <v>0</v>
      </c>
      <c r="D223" s="891">
        <v>0</v>
      </c>
      <c r="E223" s="891">
        <v>0</v>
      </c>
    </row>
    <row r="224" spans="1:5" hidden="1" x14ac:dyDescent="0.25">
      <c r="A224" s="842" t="s">
        <v>918</v>
      </c>
      <c r="B224" s="891">
        <v>305</v>
      </c>
      <c r="C224" s="891">
        <v>0</v>
      </c>
      <c r="D224" s="891">
        <v>305</v>
      </c>
      <c r="E224" s="891">
        <v>0</v>
      </c>
    </row>
    <row r="225" spans="1:5" hidden="1" x14ac:dyDescent="0.25">
      <c r="A225" s="842" t="s">
        <v>497</v>
      </c>
      <c r="B225" s="891">
        <v>972</v>
      </c>
      <c r="C225" s="891">
        <v>0</v>
      </c>
      <c r="D225" s="891">
        <v>0</v>
      </c>
      <c r="E225" s="891">
        <v>0</v>
      </c>
    </row>
    <row r="226" spans="1:5" hidden="1" x14ac:dyDescent="0.25">
      <c r="A226" s="842" t="s">
        <v>1219</v>
      </c>
      <c r="B226" s="891">
        <v>63</v>
      </c>
      <c r="C226" s="891">
        <v>0</v>
      </c>
      <c r="D226" s="891">
        <v>0</v>
      </c>
      <c r="E226" s="891">
        <v>0</v>
      </c>
    </row>
    <row r="227" spans="1:5" hidden="1" x14ac:dyDescent="0.25">
      <c r="A227" s="842" t="s">
        <v>369</v>
      </c>
      <c r="B227" s="891">
        <v>453</v>
      </c>
      <c r="C227" s="891">
        <v>453</v>
      </c>
      <c r="D227" s="891">
        <v>200</v>
      </c>
      <c r="E227" s="891">
        <v>453</v>
      </c>
    </row>
    <row r="228" spans="1:5" hidden="1" x14ac:dyDescent="0.25">
      <c r="A228" s="842" t="s">
        <v>1192</v>
      </c>
      <c r="B228" s="891">
        <v>1067</v>
      </c>
      <c r="C228" s="891">
        <v>0</v>
      </c>
      <c r="D228" s="891">
        <v>0</v>
      </c>
      <c r="E228" s="891">
        <v>0</v>
      </c>
    </row>
    <row r="229" spans="1:5" hidden="1" x14ac:dyDescent="0.25">
      <c r="A229" s="842" t="s">
        <v>930</v>
      </c>
      <c r="B229" s="891">
        <v>301</v>
      </c>
      <c r="C229" s="891">
        <v>0</v>
      </c>
      <c r="D229" s="891">
        <v>200</v>
      </c>
      <c r="E229" s="891">
        <v>0</v>
      </c>
    </row>
    <row r="230" spans="1:5" hidden="1" x14ac:dyDescent="0.25">
      <c r="A230" s="842" t="s">
        <v>913</v>
      </c>
      <c r="B230" s="891">
        <v>179</v>
      </c>
      <c r="C230" s="891">
        <v>0</v>
      </c>
      <c r="D230" s="891">
        <v>179</v>
      </c>
      <c r="E230" s="891">
        <v>179</v>
      </c>
    </row>
    <row r="231" spans="1:5" hidden="1" x14ac:dyDescent="0.25">
      <c r="A231" s="842" t="s">
        <v>892</v>
      </c>
      <c r="B231" s="891">
        <v>265</v>
      </c>
      <c r="C231" s="891">
        <v>0</v>
      </c>
      <c r="D231" s="891">
        <v>265</v>
      </c>
      <c r="E231" s="891">
        <v>265</v>
      </c>
    </row>
    <row r="232" spans="1:5" hidden="1" x14ac:dyDescent="0.25">
      <c r="A232" s="842" t="s">
        <v>887</v>
      </c>
      <c r="B232" s="891">
        <v>111</v>
      </c>
      <c r="C232" s="891">
        <v>0</v>
      </c>
      <c r="D232" s="891">
        <v>111</v>
      </c>
      <c r="E232" s="891">
        <v>111</v>
      </c>
    </row>
    <row r="233" spans="1:5" hidden="1" x14ac:dyDescent="0.25">
      <c r="A233" s="842" t="s">
        <v>919</v>
      </c>
      <c r="B233" s="891">
        <v>207</v>
      </c>
      <c r="C233" s="891">
        <v>0</v>
      </c>
      <c r="D233" s="891">
        <v>207</v>
      </c>
      <c r="E233" s="891">
        <v>207</v>
      </c>
    </row>
    <row r="234" spans="1:5" hidden="1" x14ac:dyDescent="0.25">
      <c r="A234" s="842" t="s">
        <v>889</v>
      </c>
      <c r="B234" s="891">
        <v>80</v>
      </c>
      <c r="C234" s="891">
        <v>80</v>
      </c>
      <c r="D234" s="891">
        <v>80</v>
      </c>
      <c r="E234" s="891">
        <v>80</v>
      </c>
    </row>
    <row r="235" spans="1:5" hidden="1" x14ac:dyDescent="0.25">
      <c r="A235" s="842" t="s">
        <v>357</v>
      </c>
      <c r="B235" s="891">
        <v>51</v>
      </c>
      <c r="C235" s="891">
        <v>51</v>
      </c>
      <c r="D235" s="891">
        <v>51</v>
      </c>
      <c r="E235" s="891">
        <v>51</v>
      </c>
    </row>
    <row r="236" spans="1:5" hidden="1" x14ac:dyDescent="0.25">
      <c r="A236" s="842" t="s">
        <v>346</v>
      </c>
      <c r="B236" s="891">
        <v>18</v>
      </c>
      <c r="C236" s="891">
        <v>0</v>
      </c>
      <c r="D236" s="891">
        <v>0</v>
      </c>
      <c r="E236" s="891">
        <v>0</v>
      </c>
    </row>
    <row r="237" spans="1:5" hidden="1" x14ac:dyDescent="0.25">
      <c r="A237" s="842" t="s">
        <v>659</v>
      </c>
      <c r="B237" s="891">
        <v>650</v>
      </c>
      <c r="C237" s="891">
        <v>0</v>
      </c>
      <c r="D237" s="891">
        <v>138</v>
      </c>
      <c r="E237" s="891">
        <v>0</v>
      </c>
    </row>
    <row r="238" spans="1:5" hidden="1" x14ac:dyDescent="0.25">
      <c r="A238" s="842" t="s">
        <v>1203</v>
      </c>
      <c r="B238" s="891">
        <v>153</v>
      </c>
      <c r="C238" s="891">
        <v>0</v>
      </c>
      <c r="D238" s="891">
        <v>0</v>
      </c>
      <c r="E238" s="891">
        <v>0</v>
      </c>
    </row>
    <row r="239" spans="1:5" hidden="1" x14ac:dyDescent="0.25">
      <c r="A239" s="842" t="s">
        <v>890</v>
      </c>
      <c r="B239" s="891">
        <v>391</v>
      </c>
      <c r="C239" s="891">
        <v>391</v>
      </c>
      <c r="D239" s="891">
        <v>340</v>
      </c>
      <c r="E239" s="891">
        <v>391</v>
      </c>
    </row>
    <row r="240" spans="1:5" hidden="1" x14ac:dyDescent="0.25">
      <c r="A240" s="842" t="s">
        <v>933</v>
      </c>
      <c r="B240" s="891">
        <v>359</v>
      </c>
      <c r="C240" s="891">
        <v>359</v>
      </c>
      <c r="D240" s="891">
        <v>200</v>
      </c>
      <c r="E240" s="891">
        <v>359</v>
      </c>
    </row>
    <row r="241" spans="1:5" hidden="1" x14ac:dyDescent="0.25">
      <c r="A241" s="842" t="s">
        <v>920</v>
      </c>
      <c r="B241" s="891">
        <v>179</v>
      </c>
      <c r="C241" s="891">
        <v>179</v>
      </c>
      <c r="D241" s="891">
        <v>179</v>
      </c>
      <c r="E241" s="891">
        <v>179</v>
      </c>
    </row>
    <row r="242" spans="1:5" hidden="1" x14ac:dyDescent="0.25">
      <c r="A242" s="842" t="s">
        <v>880</v>
      </c>
      <c r="B242" s="891">
        <v>214</v>
      </c>
      <c r="C242" s="891">
        <v>0</v>
      </c>
      <c r="D242" s="891">
        <v>214</v>
      </c>
      <c r="E242" s="891">
        <v>214</v>
      </c>
    </row>
    <row r="243" spans="1:5" hidden="1" x14ac:dyDescent="0.25">
      <c r="A243" s="842" t="s">
        <v>895</v>
      </c>
      <c r="B243" s="891">
        <v>44</v>
      </c>
      <c r="C243" s="891">
        <v>0</v>
      </c>
      <c r="D243" s="891">
        <v>44</v>
      </c>
      <c r="E243" s="891">
        <v>0</v>
      </c>
    </row>
    <row r="244" spans="1:5" hidden="1" x14ac:dyDescent="0.25">
      <c r="A244" s="842" t="s">
        <v>896</v>
      </c>
      <c r="B244" s="891">
        <v>279</v>
      </c>
      <c r="C244" s="891">
        <v>0</v>
      </c>
      <c r="D244" s="891">
        <v>279</v>
      </c>
      <c r="E244" s="891">
        <v>279</v>
      </c>
    </row>
    <row r="245" spans="1:5" hidden="1" x14ac:dyDescent="0.25">
      <c r="A245" s="842" t="s">
        <v>898</v>
      </c>
      <c r="B245" s="891">
        <v>146</v>
      </c>
      <c r="C245" s="891">
        <v>0</v>
      </c>
      <c r="D245" s="891">
        <v>100</v>
      </c>
      <c r="E245" s="891">
        <v>146</v>
      </c>
    </row>
    <row r="246" spans="1:5" hidden="1" x14ac:dyDescent="0.25">
      <c r="A246" s="842" t="s">
        <v>418</v>
      </c>
      <c r="B246" s="891">
        <v>45</v>
      </c>
      <c r="C246" s="891">
        <v>0</v>
      </c>
      <c r="D246" s="891">
        <v>45</v>
      </c>
      <c r="E246" s="891">
        <v>45</v>
      </c>
    </row>
    <row r="247" spans="1:5" hidden="1" x14ac:dyDescent="0.25">
      <c r="A247" s="842" t="s">
        <v>902</v>
      </c>
      <c r="B247" s="891">
        <v>196</v>
      </c>
      <c r="C247" s="891">
        <v>0</v>
      </c>
      <c r="D247" s="891">
        <v>100</v>
      </c>
      <c r="E247" s="891">
        <v>196</v>
      </c>
    </row>
    <row r="248" spans="1:5" hidden="1" x14ac:dyDescent="0.25">
      <c r="A248" s="842" t="s">
        <v>916</v>
      </c>
      <c r="B248" s="891">
        <v>263</v>
      </c>
      <c r="C248" s="891">
        <v>0</v>
      </c>
      <c r="D248" s="891">
        <v>263</v>
      </c>
      <c r="E248" s="891">
        <v>263</v>
      </c>
    </row>
    <row r="249" spans="1:5" hidden="1" x14ac:dyDescent="0.25">
      <c r="A249" s="842" t="s">
        <v>922</v>
      </c>
      <c r="B249" s="891">
        <v>504</v>
      </c>
      <c r="C249" s="891">
        <v>504</v>
      </c>
      <c r="D249" s="891">
        <v>260</v>
      </c>
      <c r="E249" s="891">
        <v>504</v>
      </c>
    </row>
    <row r="250" spans="1:5" hidden="1" x14ac:dyDescent="0.25">
      <c r="A250" s="842" t="s">
        <v>391</v>
      </c>
      <c r="B250" s="891">
        <v>311</v>
      </c>
      <c r="C250" s="891">
        <v>0</v>
      </c>
      <c r="D250" s="891">
        <v>311</v>
      </c>
      <c r="E250" s="891">
        <v>311</v>
      </c>
    </row>
    <row r="251" spans="1:5" hidden="1" x14ac:dyDescent="0.25">
      <c r="A251" s="842" t="s">
        <v>359</v>
      </c>
      <c r="B251" s="891">
        <v>111</v>
      </c>
      <c r="C251" s="891">
        <v>111</v>
      </c>
      <c r="D251" s="891">
        <v>80</v>
      </c>
      <c r="E251" s="891">
        <v>0</v>
      </c>
    </row>
    <row r="252" spans="1:5" hidden="1" x14ac:dyDescent="0.25">
      <c r="A252" s="842" t="s">
        <v>388</v>
      </c>
      <c r="B252" s="891">
        <v>221</v>
      </c>
      <c r="C252" s="891">
        <v>0</v>
      </c>
      <c r="D252" s="891">
        <v>160</v>
      </c>
      <c r="E252" s="891">
        <v>221</v>
      </c>
    </row>
    <row r="253" spans="1:5" hidden="1" x14ac:dyDescent="0.25">
      <c r="A253" s="842" t="s">
        <v>927</v>
      </c>
      <c r="B253" s="891">
        <v>392</v>
      </c>
      <c r="C253" s="891">
        <v>0</v>
      </c>
      <c r="D253" s="891">
        <v>0</v>
      </c>
      <c r="E253" s="891">
        <v>0</v>
      </c>
    </row>
    <row r="254" spans="1:5" hidden="1" x14ac:dyDescent="0.25">
      <c r="A254" s="842" t="s">
        <v>311</v>
      </c>
      <c r="B254" s="891">
        <v>33</v>
      </c>
      <c r="C254" s="891">
        <v>0</v>
      </c>
      <c r="D254" s="891">
        <v>33</v>
      </c>
      <c r="E254" s="891">
        <v>33</v>
      </c>
    </row>
    <row r="255" spans="1:5" hidden="1" x14ac:dyDescent="0.25">
      <c r="A255" s="842" t="s">
        <v>567</v>
      </c>
      <c r="B255" s="891">
        <v>521</v>
      </c>
      <c r="C255" s="891">
        <v>0</v>
      </c>
      <c r="D255" s="891">
        <v>0</v>
      </c>
      <c r="E255" s="891">
        <v>0</v>
      </c>
    </row>
    <row r="256" spans="1:5" hidden="1" x14ac:dyDescent="0.25">
      <c r="A256" s="842" t="s">
        <v>648</v>
      </c>
      <c r="B256" s="891">
        <v>559</v>
      </c>
      <c r="C256" s="891">
        <v>0</v>
      </c>
      <c r="D256" s="891">
        <v>78</v>
      </c>
      <c r="E256" s="891">
        <v>559</v>
      </c>
    </row>
    <row r="257" spans="1:5" hidden="1" x14ac:dyDescent="0.25">
      <c r="A257" s="842" t="s">
        <v>430</v>
      </c>
      <c r="B257" s="891">
        <v>86</v>
      </c>
      <c r="C257" s="891">
        <v>0</v>
      </c>
      <c r="D257" s="891">
        <v>80</v>
      </c>
      <c r="E257" s="891">
        <v>86</v>
      </c>
    </row>
    <row r="258" spans="1:5" hidden="1" x14ac:dyDescent="0.25">
      <c r="A258" s="842" t="s">
        <v>314</v>
      </c>
      <c r="B258" s="891">
        <v>115</v>
      </c>
      <c r="C258" s="891">
        <v>0</v>
      </c>
      <c r="D258" s="891">
        <v>100</v>
      </c>
      <c r="E258" s="891">
        <v>115</v>
      </c>
    </row>
    <row r="259" spans="1:5" hidden="1" x14ac:dyDescent="0.25">
      <c r="A259" s="842" t="s">
        <v>733</v>
      </c>
      <c r="B259" s="891">
        <v>1393</v>
      </c>
      <c r="C259" s="891">
        <v>0</v>
      </c>
      <c r="D259" s="891">
        <v>0</v>
      </c>
      <c r="E259" s="891">
        <v>0</v>
      </c>
    </row>
    <row r="260" spans="1:5" hidden="1" x14ac:dyDescent="0.25">
      <c r="A260" s="842" t="s">
        <v>341</v>
      </c>
      <c r="B260" s="891">
        <v>547</v>
      </c>
      <c r="C260" s="891">
        <v>0</v>
      </c>
      <c r="D260" s="891">
        <v>547</v>
      </c>
      <c r="E260" s="891">
        <v>0</v>
      </c>
    </row>
    <row r="261" spans="1:5" hidden="1" x14ac:dyDescent="0.25">
      <c r="A261" s="842" t="s">
        <v>910</v>
      </c>
      <c r="B261" s="891">
        <v>635</v>
      </c>
      <c r="C261" s="891">
        <v>0</v>
      </c>
      <c r="D261" s="891">
        <v>635</v>
      </c>
      <c r="E261" s="891">
        <v>635</v>
      </c>
    </row>
    <row r="262" spans="1:5" hidden="1" x14ac:dyDescent="0.25">
      <c r="A262" s="842" t="s">
        <v>2637</v>
      </c>
      <c r="B262" s="891">
        <v>318</v>
      </c>
      <c r="C262" s="891">
        <v>0</v>
      </c>
      <c r="D262" s="891">
        <v>0</v>
      </c>
      <c r="E262" s="891">
        <v>0</v>
      </c>
    </row>
    <row r="263" spans="1:5" hidden="1" x14ac:dyDescent="0.25">
      <c r="A263" s="842" t="s">
        <v>556</v>
      </c>
      <c r="B263" s="891">
        <v>221</v>
      </c>
      <c r="C263" s="891">
        <v>0</v>
      </c>
      <c r="D263" s="891">
        <v>0</v>
      </c>
      <c r="E263" s="891">
        <v>0</v>
      </c>
    </row>
    <row r="264" spans="1:5" hidden="1" x14ac:dyDescent="0.25">
      <c r="A264" s="842" t="s">
        <v>871</v>
      </c>
      <c r="B264" s="891">
        <v>932</v>
      </c>
      <c r="C264" s="891">
        <v>0</v>
      </c>
      <c r="D264" s="891">
        <v>0</v>
      </c>
      <c r="E264" s="891">
        <v>0</v>
      </c>
    </row>
    <row r="265" spans="1:5" hidden="1" x14ac:dyDescent="0.25">
      <c r="A265" s="842" t="s">
        <v>623</v>
      </c>
      <c r="B265" s="891">
        <v>1857</v>
      </c>
      <c r="C265" s="891">
        <v>0</v>
      </c>
      <c r="D265" s="891">
        <v>384</v>
      </c>
      <c r="E265" s="891">
        <v>1857</v>
      </c>
    </row>
    <row r="266" spans="1:5" hidden="1" x14ac:dyDescent="0.25">
      <c r="A266" s="842" t="s">
        <v>620</v>
      </c>
      <c r="B266" s="891">
        <v>908</v>
      </c>
      <c r="C266" s="891">
        <v>0</v>
      </c>
      <c r="D266" s="891">
        <v>288</v>
      </c>
      <c r="E266" s="891">
        <v>908</v>
      </c>
    </row>
    <row r="267" spans="1:5" hidden="1" x14ac:dyDescent="0.25">
      <c r="A267" s="842" t="s">
        <v>629</v>
      </c>
      <c r="B267" s="891">
        <v>256</v>
      </c>
      <c r="C267" s="891">
        <v>0</v>
      </c>
      <c r="D267" s="891">
        <v>0</v>
      </c>
      <c r="E267" s="891">
        <v>250</v>
      </c>
    </row>
    <row r="268" spans="1:5" hidden="1" x14ac:dyDescent="0.25">
      <c r="A268" s="842" t="s">
        <v>851</v>
      </c>
      <c r="B268" s="891">
        <v>1350</v>
      </c>
      <c r="C268" s="891">
        <v>0</v>
      </c>
      <c r="D268" s="891">
        <v>30</v>
      </c>
      <c r="E268" s="891">
        <v>1350</v>
      </c>
    </row>
    <row r="269" spans="1:5" hidden="1" x14ac:dyDescent="0.25">
      <c r="A269" s="842" t="s">
        <v>794</v>
      </c>
      <c r="B269" s="891">
        <v>509</v>
      </c>
      <c r="C269" s="891">
        <v>0</v>
      </c>
      <c r="D269" s="891">
        <v>0</v>
      </c>
      <c r="E269" s="891">
        <v>0</v>
      </c>
    </row>
    <row r="270" spans="1:5" hidden="1" x14ac:dyDescent="0.25">
      <c r="A270" s="842" t="s">
        <v>580</v>
      </c>
      <c r="B270" s="891">
        <v>4380</v>
      </c>
      <c r="C270" s="891">
        <v>0</v>
      </c>
      <c r="D270" s="891">
        <v>2940</v>
      </c>
      <c r="E270" s="891">
        <v>4333.333333333333</v>
      </c>
    </row>
    <row r="271" spans="1:5" hidden="1" x14ac:dyDescent="0.25">
      <c r="A271" s="842" t="s">
        <v>581</v>
      </c>
      <c r="B271" s="891">
        <v>3951</v>
      </c>
      <c r="C271" s="891">
        <v>0</v>
      </c>
      <c r="D271" s="891">
        <v>2640</v>
      </c>
      <c r="E271" s="891">
        <v>3951</v>
      </c>
    </row>
    <row r="272" spans="1:5" hidden="1" x14ac:dyDescent="0.25">
      <c r="A272" s="842" t="s">
        <v>455</v>
      </c>
      <c r="B272" s="891">
        <v>1663</v>
      </c>
      <c r="C272" s="891">
        <v>0</v>
      </c>
      <c r="D272" s="891">
        <v>1663</v>
      </c>
      <c r="E272" s="891">
        <v>0</v>
      </c>
    </row>
    <row r="273" spans="1:5" hidden="1" x14ac:dyDescent="0.25">
      <c r="A273" s="842" t="s">
        <v>2571</v>
      </c>
      <c r="B273" s="891">
        <v>581</v>
      </c>
      <c r="C273" s="891">
        <v>0</v>
      </c>
      <c r="D273" s="891">
        <v>260</v>
      </c>
      <c r="E273" s="891">
        <v>581</v>
      </c>
    </row>
    <row r="274" spans="1:5" hidden="1" x14ac:dyDescent="0.25">
      <c r="A274" s="842" t="s">
        <v>323</v>
      </c>
      <c r="B274" s="891">
        <v>295</v>
      </c>
      <c r="C274" s="891">
        <v>0</v>
      </c>
      <c r="D274" s="891">
        <v>200</v>
      </c>
      <c r="E274" s="891">
        <v>295</v>
      </c>
    </row>
    <row r="275" spans="1:5" hidden="1" x14ac:dyDescent="0.25">
      <c r="A275" s="842" t="s">
        <v>545</v>
      </c>
      <c r="B275" s="891">
        <v>237</v>
      </c>
      <c r="C275" s="891">
        <v>0</v>
      </c>
      <c r="D275" s="891">
        <v>0</v>
      </c>
      <c r="E275" s="891">
        <v>0</v>
      </c>
    </row>
    <row r="276" spans="1:5" hidden="1" x14ac:dyDescent="0.25">
      <c r="A276" s="842" t="s">
        <v>444</v>
      </c>
      <c r="B276" s="891">
        <v>300</v>
      </c>
      <c r="C276" s="891">
        <v>0</v>
      </c>
      <c r="D276" s="891">
        <v>300</v>
      </c>
      <c r="E276" s="891">
        <v>300</v>
      </c>
    </row>
    <row r="277" spans="1:5" hidden="1" x14ac:dyDescent="0.25">
      <c r="A277" s="842" t="s">
        <v>635</v>
      </c>
      <c r="B277" s="891">
        <v>1751</v>
      </c>
      <c r="C277" s="891">
        <v>0</v>
      </c>
      <c r="D277" s="891">
        <v>1152</v>
      </c>
      <c r="E277" s="891">
        <v>1751</v>
      </c>
    </row>
    <row r="278" spans="1:5" hidden="1" x14ac:dyDescent="0.25">
      <c r="A278" s="842" t="s">
        <v>636</v>
      </c>
      <c r="B278" s="891">
        <v>227</v>
      </c>
      <c r="C278" s="891">
        <v>0</v>
      </c>
      <c r="D278" s="891">
        <v>227</v>
      </c>
      <c r="E278" s="891">
        <v>227</v>
      </c>
    </row>
    <row r="279" spans="1:5" hidden="1" x14ac:dyDescent="0.25">
      <c r="A279" s="842" t="s">
        <v>653</v>
      </c>
      <c r="B279" s="891">
        <v>806</v>
      </c>
      <c r="C279" s="891">
        <v>0</v>
      </c>
      <c r="D279" s="891">
        <v>12</v>
      </c>
      <c r="E279" s="891">
        <v>0</v>
      </c>
    </row>
    <row r="280" spans="1:5" hidden="1" x14ac:dyDescent="0.25">
      <c r="A280" s="842" t="s">
        <v>551</v>
      </c>
      <c r="B280" s="891">
        <v>443</v>
      </c>
      <c r="C280" s="891">
        <v>0</v>
      </c>
      <c r="D280" s="891">
        <v>0</v>
      </c>
      <c r="E280" s="891">
        <v>0</v>
      </c>
    </row>
    <row r="281" spans="1:5" hidden="1" x14ac:dyDescent="0.25">
      <c r="A281" s="842" t="s">
        <v>618</v>
      </c>
      <c r="B281" s="891">
        <v>3095</v>
      </c>
      <c r="C281" s="891">
        <v>3095</v>
      </c>
      <c r="D281" s="891">
        <v>3095</v>
      </c>
      <c r="E281" s="891">
        <v>3095</v>
      </c>
    </row>
    <row r="282" spans="1:5" hidden="1" x14ac:dyDescent="0.25">
      <c r="A282" s="842" t="s">
        <v>613</v>
      </c>
      <c r="B282" s="891">
        <v>1065</v>
      </c>
      <c r="C282" s="891">
        <v>0</v>
      </c>
      <c r="D282" s="891">
        <v>0</v>
      </c>
      <c r="E282" s="891">
        <v>500</v>
      </c>
    </row>
    <row r="283" spans="1:5" hidden="1" x14ac:dyDescent="0.25">
      <c r="A283" s="842" t="s">
        <v>609</v>
      </c>
      <c r="B283" s="891">
        <v>13302</v>
      </c>
      <c r="C283" s="891">
        <v>13302</v>
      </c>
      <c r="D283" s="891">
        <v>11540</v>
      </c>
      <c r="E283" s="891">
        <v>13302</v>
      </c>
    </row>
    <row r="284" spans="1:5" hidden="1" x14ac:dyDescent="0.25">
      <c r="A284" s="842" t="s">
        <v>607</v>
      </c>
      <c r="B284" s="891">
        <v>12121</v>
      </c>
      <c r="C284" s="891">
        <v>12121</v>
      </c>
      <c r="D284" s="891">
        <v>12121</v>
      </c>
      <c r="E284" s="891">
        <v>12121</v>
      </c>
    </row>
    <row r="285" spans="1:5" hidden="1" x14ac:dyDescent="0.25">
      <c r="A285" s="842" t="s">
        <v>617</v>
      </c>
      <c r="B285" s="891">
        <v>49</v>
      </c>
      <c r="C285" s="891">
        <v>0</v>
      </c>
      <c r="D285" s="891">
        <v>0</v>
      </c>
      <c r="E285" s="891">
        <v>49</v>
      </c>
    </row>
    <row r="286" spans="1:5" hidden="1" x14ac:dyDescent="0.25">
      <c r="A286" s="842" t="s">
        <v>727</v>
      </c>
      <c r="B286" s="891">
        <v>1055</v>
      </c>
      <c r="C286" s="891">
        <v>0</v>
      </c>
      <c r="D286" s="891">
        <v>30</v>
      </c>
      <c r="E286" s="891">
        <v>250</v>
      </c>
    </row>
    <row r="287" spans="1:5" hidden="1" x14ac:dyDescent="0.25">
      <c r="A287" s="842" t="s">
        <v>714</v>
      </c>
      <c r="B287" s="891">
        <v>316</v>
      </c>
      <c r="C287" s="891">
        <v>0</v>
      </c>
      <c r="D287" s="891">
        <v>0</v>
      </c>
      <c r="E287" s="891">
        <v>0</v>
      </c>
    </row>
    <row r="288" spans="1:5" hidden="1" x14ac:dyDescent="0.25">
      <c r="A288" s="842" t="s">
        <v>392</v>
      </c>
      <c r="B288" s="891">
        <v>289</v>
      </c>
      <c r="C288" s="891">
        <v>0</v>
      </c>
      <c r="D288" s="891">
        <v>240</v>
      </c>
      <c r="E288" s="891">
        <v>289</v>
      </c>
    </row>
    <row r="289" spans="1:5" hidden="1" x14ac:dyDescent="0.25">
      <c r="A289" s="842" t="s">
        <v>456</v>
      </c>
      <c r="B289" s="891">
        <v>3411</v>
      </c>
      <c r="C289" s="891">
        <v>0</v>
      </c>
      <c r="D289" s="891">
        <v>3411</v>
      </c>
      <c r="E289" s="891">
        <v>0</v>
      </c>
    </row>
    <row r="290" spans="1:5" hidden="1" x14ac:dyDescent="0.25">
      <c r="A290" s="842" t="s">
        <v>835</v>
      </c>
      <c r="B290" s="891">
        <v>833</v>
      </c>
      <c r="C290" s="891">
        <v>0</v>
      </c>
      <c r="D290" s="891">
        <v>0</v>
      </c>
      <c r="E290" s="891">
        <v>249.99999999999997</v>
      </c>
    </row>
    <row r="291" spans="1:5" hidden="1" x14ac:dyDescent="0.25">
      <c r="A291" s="842" t="s">
        <v>336</v>
      </c>
      <c r="B291" s="891">
        <v>895</v>
      </c>
      <c r="C291" s="891">
        <v>0</v>
      </c>
      <c r="D291" s="891">
        <v>895</v>
      </c>
      <c r="E291" s="891">
        <v>895</v>
      </c>
    </row>
    <row r="292" spans="1:5" hidden="1" x14ac:dyDescent="0.25">
      <c r="A292" s="842" t="s">
        <v>504</v>
      </c>
      <c r="B292" s="891">
        <v>479</v>
      </c>
      <c r="C292" s="891">
        <v>0</v>
      </c>
      <c r="D292" s="891">
        <v>0</v>
      </c>
      <c r="E292" s="891">
        <v>0</v>
      </c>
    </row>
    <row r="293" spans="1:5" hidden="1" x14ac:dyDescent="0.25">
      <c r="A293" s="842" t="s">
        <v>837</v>
      </c>
      <c r="B293" s="891">
        <v>1544</v>
      </c>
      <c r="C293" s="891">
        <v>0</v>
      </c>
      <c r="D293" s="891">
        <v>0</v>
      </c>
      <c r="E293" s="891">
        <v>1250</v>
      </c>
    </row>
    <row r="294" spans="1:5" hidden="1" x14ac:dyDescent="0.25">
      <c r="A294" s="842" t="s">
        <v>931</v>
      </c>
      <c r="B294" s="891">
        <v>202</v>
      </c>
      <c r="C294" s="891">
        <v>0</v>
      </c>
      <c r="D294" s="891">
        <v>0</v>
      </c>
      <c r="E294" s="891">
        <v>0</v>
      </c>
    </row>
    <row r="295" spans="1:5" hidden="1" x14ac:dyDescent="0.25">
      <c r="A295" s="842" t="s">
        <v>904</v>
      </c>
      <c r="B295" s="891">
        <v>82</v>
      </c>
      <c r="C295" s="891">
        <v>0</v>
      </c>
      <c r="D295" s="891">
        <v>82</v>
      </c>
      <c r="E295" s="891">
        <v>82</v>
      </c>
    </row>
    <row r="296" spans="1:5" hidden="1" x14ac:dyDescent="0.25">
      <c r="A296" s="842" t="s">
        <v>381</v>
      </c>
      <c r="B296" s="891">
        <v>267</v>
      </c>
      <c r="C296" s="891">
        <v>0</v>
      </c>
      <c r="D296" s="891">
        <v>240</v>
      </c>
      <c r="E296" s="891">
        <v>266.66666666666669</v>
      </c>
    </row>
    <row r="297" spans="1:5" hidden="1" x14ac:dyDescent="0.25">
      <c r="A297" s="842" t="s">
        <v>2640</v>
      </c>
      <c r="B297" s="891">
        <v>2289</v>
      </c>
      <c r="C297" s="891">
        <v>0</v>
      </c>
      <c r="D297" s="891">
        <v>0</v>
      </c>
      <c r="E297" s="891">
        <v>0</v>
      </c>
    </row>
    <row r="298" spans="1:5" hidden="1" x14ac:dyDescent="0.25">
      <c r="A298" s="842" t="s">
        <v>688</v>
      </c>
      <c r="B298" s="891">
        <v>408</v>
      </c>
      <c r="C298" s="891">
        <v>0</v>
      </c>
      <c r="D298" s="891">
        <v>0</v>
      </c>
      <c r="E298" s="891">
        <v>0</v>
      </c>
    </row>
    <row r="299" spans="1:5" hidden="1" x14ac:dyDescent="0.25">
      <c r="A299" s="842" t="s">
        <v>439</v>
      </c>
      <c r="B299" s="891">
        <v>777</v>
      </c>
      <c r="C299" s="891">
        <v>0</v>
      </c>
      <c r="D299" s="891">
        <v>777</v>
      </c>
      <c r="E299" s="891">
        <v>777</v>
      </c>
    </row>
    <row r="300" spans="1:5" hidden="1" x14ac:dyDescent="0.25">
      <c r="A300" s="842" t="s">
        <v>471</v>
      </c>
      <c r="B300" s="891">
        <v>447</v>
      </c>
      <c r="C300" s="891">
        <v>0</v>
      </c>
      <c r="D300" s="891">
        <v>432</v>
      </c>
      <c r="E300" s="891">
        <v>447</v>
      </c>
    </row>
    <row r="301" spans="1:5" hidden="1" x14ac:dyDescent="0.25">
      <c r="A301" s="842" t="s">
        <v>619</v>
      </c>
      <c r="B301" s="891">
        <v>2187</v>
      </c>
      <c r="C301" s="891">
        <v>2187</v>
      </c>
      <c r="D301" s="891">
        <v>1960</v>
      </c>
      <c r="E301" s="891">
        <v>2187</v>
      </c>
    </row>
    <row r="302" spans="1:5" hidden="1" x14ac:dyDescent="0.25">
      <c r="A302" s="842" t="s">
        <v>507</v>
      </c>
      <c r="B302" s="891">
        <v>621</v>
      </c>
      <c r="C302" s="891">
        <v>0</v>
      </c>
      <c r="D302" s="891">
        <v>0</v>
      </c>
      <c r="E302" s="891">
        <v>0</v>
      </c>
    </row>
    <row r="303" spans="1:5" hidden="1" x14ac:dyDescent="0.25">
      <c r="A303" s="842" t="s">
        <v>395</v>
      </c>
      <c r="B303" s="891">
        <v>550</v>
      </c>
      <c r="C303" s="891">
        <v>0</v>
      </c>
      <c r="D303" s="891">
        <v>550</v>
      </c>
      <c r="E303" s="891">
        <v>550</v>
      </c>
    </row>
    <row r="304" spans="1:5" hidden="1" x14ac:dyDescent="0.25">
      <c r="A304" s="842" t="s">
        <v>832</v>
      </c>
      <c r="B304" s="891">
        <v>821</v>
      </c>
      <c r="C304" s="891">
        <v>0</v>
      </c>
      <c r="D304" s="891">
        <v>0</v>
      </c>
      <c r="E304" s="891">
        <v>0</v>
      </c>
    </row>
    <row r="305" spans="1:5" hidden="1" x14ac:dyDescent="0.25">
      <c r="A305" s="842" t="s">
        <v>558</v>
      </c>
      <c r="B305" s="891">
        <v>375</v>
      </c>
      <c r="C305" s="891">
        <v>0</v>
      </c>
      <c r="D305" s="891">
        <v>0</v>
      </c>
      <c r="E305" s="891">
        <v>0</v>
      </c>
    </row>
    <row r="306" spans="1:5" hidden="1" x14ac:dyDescent="0.25">
      <c r="A306" s="842" t="s">
        <v>874</v>
      </c>
      <c r="B306" s="891">
        <v>626</v>
      </c>
      <c r="C306" s="891">
        <v>0</v>
      </c>
      <c r="D306" s="891">
        <v>0</v>
      </c>
      <c r="E306" s="891">
        <v>0</v>
      </c>
    </row>
    <row r="307" spans="1:5" hidden="1" x14ac:dyDescent="0.25">
      <c r="A307" s="842" t="s">
        <v>873</v>
      </c>
      <c r="B307" s="891">
        <v>665</v>
      </c>
      <c r="C307" s="891">
        <v>0</v>
      </c>
      <c r="D307" s="891">
        <v>0</v>
      </c>
      <c r="E307" s="891">
        <v>0</v>
      </c>
    </row>
    <row r="308" spans="1:5" hidden="1" x14ac:dyDescent="0.25">
      <c r="A308" s="842" t="s">
        <v>685</v>
      </c>
      <c r="B308" s="891">
        <v>1232</v>
      </c>
      <c r="C308" s="891">
        <v>0</v>
      </c>
      <c r="D308" s="891">
        <v>252.00000000000003</v>
      </c>
      <c r="E308" s="891">
        <v>0</v>
      </c>
    </row>
    <row r="309" spans="1:5" hidden="1" x14ac:dyDescent="0.25">
      <c r="A309" s="842" t="s">
        <v>431</v>
      </c>
      <c r="B309" s="891">
        <v>460</v>
      </c>
      <c r="C309" s="891">
        <v>0</v>
      </c>
      <c r="D309" s="891">
        <v>80</v>
      </c>
      <c r="E309" s="891">
        <v>460</v>
      </c>
    </row>
    <row r="310" spans="1:5" hidden="1" x14ac:dyDescent="0.25">
      <c r="A310" s="842" t="s">
        <v>337</v>
      </c>
      <c r="B310" s="891">
        <v>322</v>
      </c>
      <c r="C310" s="891">
        <v>0</v>
      </c>
      <c r="D310" s="891">
        <v>199.99999999999997</v>
      </c>
      <c r="E310" s="891">
        <v>322</v>
      </c>
    </row>
    <row r="311" spans="1:5" hidden="1" x14ac:dyDescent="0.25">
      <c r="A311" s="842" t="s">
        <v>432</v>
      </c>
      <c r="B311" s="891">
        <v>159</v>
      </c>
      <c r="C311" s="891">
        <v>0</v>
      </c>
      <c r="D311" s="891">
        <v>60.000000000000007</v>
      </c>
      <c r="E311" s="891">
        <v>159</v>
      </c>
    </row>
    <row r="312" spans="1:5" hidden="1" x14ac:dyDescent="0.25">
      <c r="A312" s="842" t="s">
        <v>433</v>
      </c>
      <c r="B312" s="891">
        <v>492</v>
      </c>
      <c r="C312" s="891">
        <v>0</v>
      </c>
      <c r="D312" s="891">
        <v>320</v>
      </c>
      <c r="E312" s="891">
        <v>492</v>
      </c>
    </row>
    <row r="313" spans="1:5" hidden="1" x14ac:dyDescent="0.25">
      <c r="A313" s="842" t="s">
        <v>419</v>
      </c>
      <c r="B313" s="891">
        <v>37</v>
      </c>
      <c r="C313" s="891">
        <v>0</v>
      </c>
      <c r="D313" s="891">
        <v>37</v>
      </c>
      <c r="E313" s="891">
        <v>37</v>
      </c>
    </row>
    <row r="314" spans="1:5" hidden="1" x14ac:dyDescent="0.25">
      <c r="A314" s="842" t="s">
        <v>440</v>
      </c>
      <c r="B314" s="891">
        <v>3974</v>
      </c>
      <c r="C314" s="891">
        <v>0</v>
      </c>
      <c r="D314" s="891">
        <v>3200</v>
      </c>
      <c r="E314" s="891">
        <v>3974</v>
      </c>
    </row>
    <row r="315" spans="1:5" hidden="1" x14ac:dyDescent="0.25">
      <c r="A315" s="842" t="s">
        <v>2200</v>
      </c>
      <c r="B315" s="891">
        <v>1409</v>
      </c>
      <c r="C315" s="891">
        <v>0</v>
      </c>
      <c r="D315" s="891">
        <v>0</v>
      </c>
      <c r="E315" s="891">
        <v>0</v>
      </c>
    </row>
    <row r="316" spans="1:5" hidden="1" x14ac:dyDescent="0.25">
      <c r="A316" s="842" t="s">
        <v>552</v>
      </c>
      <c r="B316" s="891">
        <v>1241</v>
      </c>
      <c r="C316" s="891">
        <v>0</v>
      </c>
      <c r="D316" s="891">
        <v>0</v>
      </c>
      <c r="E316" s="891">
        <v>0</v>
      </c>
    </row>
    <row r="317" spans="1:5" hidden="1" x14ac:dyDescent="0.25">
      <c r="A317" s="842" t="s">
        <v>420</v>
      </c>
      <c r="B317" s="891">
        <v>25</v>
      </c>
      <c r="C317" s="891">
        <v>0</v>
      </c>
      <c r="D317" s="891">
        <v>0</v>
      </c>
      <c r="E317" s="891">
        <v>25</v>
      </c>
    </row>
    <row r="318" spans="1:5" hidden="1" x14ac:dyDescent="0.25">
      <c r="A318" s="842" t="s">
        <v>343</v>
      </c>
      <c r="B318" s="891">
        <v>268</v>
      </c>
      <c r="C318" s="891">
        <v>0</v>
      </c>
      <c r="D318" s="891">
        <v>268</v>
      </c>
      <c r="E318" s="891">
        <v>0</v>
      </c>
    </row>
    <row r="319" spans="1:5" hidden="1" x14ac:dyDescent="0.25">
      <c r="A319" s="842" t="s">
        <v>643</v>
      </c>
      <c r="B319" s="891">
        <v>730</v>
      </c>
      <c r="C319" s="891">
        <v>0</v>
      </c>
      <c r="D319" s="891">
        <v>330</v>
      </c>
      <c r="E319" s="891">
        <v>500</v>
      </c>
    </row>
    <row r="320" spans="1:5" hidden="1" x14ac:dyDescent="0.25">
      <c r="A320" s="842" t="s">
        <v>514</v>
      </c>
      <c r="B320" s="891">
        <v>1687</v>
      </c>
      <c r="C320" s="891">
        <v>0</v>
      </c>
      <c r="D320" s="891">
        <v>0</v>
      </c>
      <c r="E320" s="891">
        <v>0</v>
      </c>
    </row>
    <row r="321" spans="1:5" hidden="1" x14ac:dyDescent="0.25">
      <c r="A321" s="842" t="s">
        <v>312</v>
      </c>
      <c r="B321" s="891">
        <v>129</v>
      </c>
      <c r="C321" s="891">
        <v>0</v>
      </c>
      <c r="D321" s="891">
        <v>129</v>
      </c>
      <c r="E321" s="891">
        <v>129</v>
      </c>
    </row>
    <row r="322" spans="1:5" hidden="1" x14ac:dyDescent="0.25">
      <c r="A322" s="842" t="s">
        <v>592</v>
      </c>
      <c r="B322" s="891">
        <v>1362</v>
      </c>
      <c r="C322" s="891">
        <v>1362</v>
      </c>
      <c r="D322" s="891">
        <v>1362</v>
      </c>
      <c r="E322" s="891">
        <v>1362</v>
      </c>
    </row>
    <row r="323" spans="1:5" hidden="1" x14ac:dyDescent="0.25">
      <c r="A323" s="842" t="s">
        <v>593</v>
      </c>
      <c r="B323" s="891">
        <v>1984</v>
      </c>
      <c r="C323" s="891">
        <v>0</v>
      </c>
      <c r="D323" s="891">
        <v>1984</v>
      </c>
      <c r="E323" s="891">
        <v>250</v>
      </c>
    </row>
    <row r="324" spans="1:5" hidden="1" x14ac:dyDescent="0.25">
      <c r="A324" s="842" t="s">
        <v>384</v>
      </c>
      <c r="B324" s="891">
        <v>173</v>
      </c>
      <c r="C324" s="891">
        <v>0</v>
      </c>
      <c r="D324" s="891">
        <v>173</v>
      </c>
      <c r="E324" s="891">
        <v>133.33333333333334</v>
      </c>
    </row>
    <row r="325" spans="1:5" hidden="1" x14ac:dyDescent="0.25">
      <c r="A325" s="842" t="s">
        <v>616</v>
      </c>
      <c r="B325" s="891">
        <v>11564</v>
      </c>
      <c r="C325" s="891">
        <v>11564</v>
      </c>
      <c r="D325" s="891">
        <v>10100</v>
      </c>
      <c r="E325" s="891">
        <v>11564</v>
      </c>
    </row>
    <row r="326" spans="1:5" hidden="1" x14ac:dyDescent="0.25">
      <c r="A326" s="842" t="s">
        <v>614</v>
      </c>
      <c r="B326" s="891">
        <v>1390</v>
      </c>
      <c r="C326" s="891">
        <v>0</v>
      </c>
      <c r="D326" s="891">
        <v>0</v>
      </c>
      <c r="E326" s="891">
        <v>1390</v>
      </c>
    </row>
    <row r="327" spans="1:5" hidden="1" x14ac:dyDescent="0.25">
      <c r="A327" s="842" t="s">
        <v>610</v>
      </c>
      <c r="B327" s="891">
        <v>469</v>
      </c>
      <c r="C327" s="891">
        <v>0</v>
      </c>
      <c r="D327" s="891">
        <v>0</v>
      </c>
      <c r="E327" s="891">
        <v>469</v>
      </c>
    </row>
    <row r="328" spans="1:5" hidden="1" x14ac:dyDescent="0.25">
      <c r="A328" s="842" t="s">
        <v>769</v>
      </c>
      <c r="B328" s="891">
        <v>1759</v>
      </c>
      <c r="C328" s="891">
        <v>0</v>
      </c>
      <c r="D328" s="891">
        <v>90</v>
      </c>
      <c r="E328" s="891">
        <v>750</v>
      </c>
    </row>
    <row r="329" spans="1:5" hidden="1" x14ac:dyDescent="0.25">
      <c r="A329" s="842" t="s">
        <v>446</v>
      </c>
      <c r="B329" s="891">
        <v>485</v>
      </c>
      <c r="C329" s="891">
        <v>0</v>
      </c>
      <c r="D329" s="891">
        <v>485</v>
      </c>
      <c r="E329" s="891">
        <v>485</v>
      </c>
    </row>
    <row r="330" spans="1:5" hidden="1" x14ac:dyDescent="0.25">
      <c r="A330" s="842" t="s">
        <v>590</v>
      </c>
      <c r="B330" s="891">
        <v>447</v>
      </c>
      <c r="C330" s="891">
        <v>0</v>
      </c>
      <c r="D330" s="891">
        <v>432</v>
      </c>
      <c r="E330" s="891">
        <v>250</v>
      </c>
    </row>
    <row r="331" spans="1:5" hidden="1" x14ac:dyDescent="0.25">
      <c r="A331" s="842" t="s">
        <v>2636</v>
      </c>
      <c r="B331" s="891">
        <v>614</v>
      </c>
      <c r="C331" s="891">
        <v>0</v>
      </c>
      <c r="D331" s="891">
        <v>614</v>
      </c>
      <c r="E331" s="891">
        <v>614</v>
      </c>
    </row>
    <row r="332" spans="1:5" hidden="1" x14ac:dyDescent="0.25">
      <c r="A332" s="842" t="s">
        <v>299</v>
      </c>
      <c r="B332" s="891">
        <v>1893</v>
      </c>
      <c r="C332" s="891">
        <v>0</v>
      </c>
      <c r="D332" s="891">
        <v>1893</v>
      </c>
      <c r="E332" s="891">
        <v>1893</v>
      </c>
    </row>
    <row r="333" spans="1:5" hidden="1" x14ac:dyDescent="0.25">
      <c r="A333" s="842" t="s">
        <v>568</v>
      </c>
      <c r="B333" s="891">
        <v>534</v>
      </c>
      <c r="C333" s="891">
        <v>0</v>
      </c>
      <c r="D333" s="891">
        <v>0</v>
      </c>
      <c r="E333" s="891">
        <v>0</v>
      </c>
    </row>
    <row r="334" spans="1:5" hidden="1" x14ac:dyDescent="0.25">
      <c r="A334" s="842" t="s">
        <v>344</v>
      </c>
      <c r="B334" s="891">
        <v>120</v>
      </c>
      <c r="C334" s="891">
        <v>0</v>
      </c>
      <c r="D334" s="891">
        <v>120</v>
      </c>
      <c r="E334" s="891">
        <v>120</v>
      </c>
    </row>
    <row r="335" spans="1:5" hidden="1" x14ac:dyDescent="0.25">
      <c r="A335" s="842" t="s">
        <v>345</v>
      </c>
      <c r="B335" s="891">
        <v>15</v>
      </c>
      <c r="C335" s="891">
        <v>0</v>
      </c>
      <c r="D335" s="891">
        <v>15</v>
      </c>
      <c r="E335" s="891">
        <v>15</v>
      </c>
    </row>
    <row r="336" spans="1:5" hidden="1" x14ac:dyDescent="0.25">
      <c r="A336" s="842" t="s">
        <v>347</v>
      </c>
      <c r="B336" s="891">
        <v>84</v>
      </c>
      <c r="C336" s="891">
        <v>0</v>
      </c>
      <c r="D336" s="891">
        <v>80</v>
      </c>
      <c r="E336" s="891">
        <v>84</v>
      </c>
    </row>
    <row r="337" spans="1:5" hidden="1" x14ac:dyDescent="0.25">
      <c r="A337" s="842" t="s">
        <v>324</v>
      </c>
      <c r="B337" s="891">
        <v>569</v>
      </c>
      <c r="C337" s="891">
        <v>0</v>
      </c>
      <c r="D337" s="891">
        <v>260</v>
      </c>
      <c r="E337" s="891">
        <v>569</v>
      </c>
    </row>
    <row r="338" spans="1:5" hidden="1" x14ac:dyDescent="0.25">
      <c r="A338" s="842" t="s">
        <v>425</v>
      </c>
      <c r="B338" s="891">
        <v>114</v>
      </c>
      <c r="C338" s="891">
        <v>0</v>
      </c>
      <c r="D338" s="891">
        <v>114</v>
      </c>
      <c r="E338" s="891">
        <v>114</v>
      </c>
    </row>
    <row r="339" spans="1:5" hidden="1" x14ac:dyDescent="0.25">
      <c r="A339" s="842" t="s">
        <v>808</v>
      </c>
      <c r="B339" s="891">
        <v>362</v>
      </c>
      <c r="C339" s="891">
        <v>0</v>
      </c>
      <c r="D339" s="891">
        <v>0</v>
      </c>
      <c r="E339" s="891">
        <v>0</v>
      </c>
    </row>
    <row r="340" spans="1:5" hidden="1" x14ac:dyDescent="0.25">
      <c r="A340" s="842" t="s">
        <v>338</v>
      </c>
      <c r="B340" s="891">
        <v>962</v>
      </c>
      <c r="C340" s="891">
        <v>0</v>
      </c>
      <c r="D340" s="891">
        <v>962</v>
      </c>
      <c r="E340" s="891">
        <v>962</v>
      </c>
    </row>
    <row r="341" spans="1:5" hidden="1" x14ac:dyDescent="0.25">
      <c r="A341" s="842" t="s">
        <v>371</v>
      </c>
      <c r="B341" s="891">
        <v>259</v>
      </c>
      <c r="C341" s="891">
        <v>259</v>
      </c>
      <c r="D341" s="891">
        <v>259</v>
      </c>
      <c r="E341" s="891">
        <v>259</v>
      </c>
    </row>
    <row r="342" spans="1:5" hidden="1" x14ac:dyDescent="0.25">
      <c r="A342" s="842" t="s">
        <v>372</v>
      </c>
      <c r="B342" s="891">
        <v>169</v>
      </c>
      <c r="C342" s="891">
        <v>169</v>
      </c>
      <c r="D342" s="891">
        <v>169</v>
      </c>
      <c r="E342" s="891">
        <v>169</v>
      </c>
    </row>
    <row r="343" spans="1:5" hidden="1" x14ac:dyDescent="0.25">
      <c r="A343" s="842" t="s">
        <v>771</v>
      </c>
      <c r="B343" s="891">
        <v>1006</v>
      </c>
      <c r="C343" s="891">
        <v>0</v>
      </c>
      <c r="D343" s="891">
        <v>198</v>
      </c>
      <c r="E343" s="891">
        <v>0</v>
      </c>
    </row>
    <row r="344" spans="1:5" hidden="1" x14ac:dyDescent="0.25">
      <c r="A344" s="842" t="s">
        <v>773</v>
      </c>
      <c r="B344" s="891">
        <v>1163</v>
      </c>
      <c r="C344" s="891">
        <v>0</v>
      </c>
      <c r="D344" s="891">
        <v>234</v>
      </c>
      <c r="E344" s="891">
        <v>0</v>
      </c>
    </row>
    <row r="345" spans="1:5" hidden="1" x14ac:dyDescent="0.25">
      <c r="A345" s="842" t="s">
        <v>668</v>
      </c>
      <c r="B345" s="891">
        <v>659</v>
      </c>
      <c r="C345" s="891">
        <v>0</v>
      </c>
      <c r="D345" s="891">
        <v>72</v>
      </c>
      <c r="E345" s="891">
        <v>500.00000000000006</v>
      </c>
    </row>
    <row r="346" spans="1:5" hidden="1" x14ac:dyDescent="0.25">
      <c r="A346" s="842" t="s">
        <v>325</v>
      </c>
      <c r="B346" s="891">
        <v>501</v>
      </c>
      <c r="C346" s="891">
        <v>0</v>
      </c>
      <c r="D346" s="891">
        <v>340</v>
      </c>
      <c r="E346" s="891">
        <v>501</v>
      </c>
    </row>
    <row r="347" spans="1:5" hidden="1" x14ac:dyDescent="0.25">
      <c r="A347" s="842" t="s">
        <v>641</v>
      </c>
      <c r="B347" s="891">
        <v>146</v>
      </c>
      <c r="C347" s="891">
        <v>0</v>
      </c>
      <c r="D347" s="891">
        <v>12</v>
      </c>
      <c r="E347" s="891">
        <v>146</v>
      </c>
    </row>
    <row r="348" spans="1:5" hidden="1" x14ac:dyDescent="0.25">
      <c r="A348" s="842" t="s">
        <v>582</v>
      </c>
      <c r="B348" s="891">
        <v>1055</v>
      </c>
      <c r="C348" s="891">
        <v>0</v>
      </c>
      <c r="D348" s="891">
        <v>300</v>
      </c>
      <c r="E348" s="891">
        <v>500</v>
      </c>
    </row>
    <row r="349" spans="1:5" hidden="1" x14ac:dyDescent="0.25">
      <c r="A349" s="842" t="s">
        <v>295</v>
      </c>
      <c r="B349" s="891">
        <v>89</v>
      </c>
      <c r="C349" s="891">
        <v>0</v>
      </c>
      <c r="D349" s="891">
        <v>0</v>
      </c>
      <c r="E349" s="891">
        <v>89</v>
      </c>
    </row>
    <row r="350" spans="1:5" hidden="1" x14ac:dyDescent="0.25">
      <c r="A350" s="842" t="s">
        <v>579</v>
      </c>
      <c r="B350" s="891">
        <v>2810</v>
      </c>
      <c r="C350" s="891">
        <v>0</v>
      </c>
      <c r="D350" s="891">
        <v>2810</v>
      </c>
      <c r="E350" s="891">
        <v>2810</v>
      </c>
    </row>
    <row r="351" spans="1:5" hidden="1" x14ac:dyDescent="0.25">
      <c r="A351" s="842" t="s">
        <v>578</v>
      </c>
      <c r="B351" s="891">
        <v>3946</v>
      </c>
      <c r="C351" s="891">
        <v>0</v>
      </c>
      <c r="D351" s="891">
        <v>1458</v>
      </c>
      <c r="E351" s="891">
        <v>3946</v>
      </c>
    </row>
    <row r="352" spans="1:5" hidden="1" x14ac:dyDescent="0.25">
      <c r="A352" s="842" t="s">
        <v>576</v>
      </c>
      <c r="B352" s="891">
        <v>2034</v>
      </c>
      <c r="C352" s="891">
        <v>0</v>
      </c>
      <c r="D352" s="891">
        <v>612</v>
      </c>
      <c r="E352" s="891">
        <v>2034</v>
      </c>
    </row>
    <row r="353" spans="1:5" hidden="1" x14ac:dyDescent="0.25">
      <c r="A353" s="842" t="s">
        <v>559</v>
      </c>
      <c r="B353" s="891">
        <v>615</v>
      </c>
      <c r="C353" s="891">
        <v>0</v>
      </c>
      <c r="D353" s="891">
        <v>0</v>
      </c>
      <c r="E353" s="891">
        <v>0</v>
      </c>
    </row>
    <row r="354" spans="1:5" hidden="1" x14ac:dyDescent="0.25">
      <c r="A354" s="842" t="s">
        <v>396</v>
      </c>
      <c r="B354" s="891">
        <v>50</v>
      </c>
      <c r="C354" s="891">
        <v>0</v>
      </c>
      <c r="D354" s="891">
        <v>40</v>
      </c>
      <c r="E354" s="891">
        <v>50</v>
      </c>
    </row>
    <row r="355" spans="1:5" hidden="1" x14ac:dyDescent="0.25">
      <c r="A355" s="842" t="s">
        <v>340</v>
      </c>
      <c r="B355" s="891">
        <v>32</v>
      </c>
      <c r="C355" s="891">
        <v>0</v>
      </c>
      <c r="D355" s="891">
        <v>0</v>
      </c>
      <c r="E355" s="891">
        <v>0</v>
      </c>
    </row>
    <row r="356" spans="1:5" hidden="1" x14ac:dyDescent="0.25">
      <c r="A356" s="842" t="s">
        <v>561</v>
      </c>
      <c r="B356" s="891">
        <v>575</v>
      </c>
      <c r="C356" s="891">
        <v>0</v>
      </c>
      <c r="D356" s="891">
        <v>0</v>
      </c>
      <c r="E356" s="891">
        <v>0</v>
      </c>
    </row>
    <row r="357" spans="1:5" hidden="1" x14ac:dyDescent="0.25">
      <c r="A357" s="842" t="s">
        <v>1199</v>
      </c>
      <c r="B357" s="891">
        <v>95</v>
      </c>
      <c r="C357" s="891">
        <v>0</v>
      </c>
      <c r="D357" s="891">
        <v>0</v>
      </c>
      <c r="E357" s="891">
        <v>0</v>
      </c>
    </row>
    <row r="358" spans="1:5" hidden="1" x14ac:dyDescent="0.25">
      <c r="A358" s="842" t="s">
        <v>547</v>
      </c>
      <c r="B358" s="891">
        <v>719</v>
      </c>
      <c r="C358" s="891">
        <v>0</v>
      </c>
      <c r="D358" s="891">
        <v>0</v>
      </c>
      <c r="E358" s="891">
        <v>0</v>
      </c>
    </row>
    <row r="359" spans="1:5" hidden="1" x14ac:dyDescent="0.25">
      <c r="A359" s="842" t="s">
        <v>553</v>
      </c>
      <c r="B359" s="891">
        <v>549</v>
      </c>
      <c r="C359" s="891">
        <v>0</v>
      </c>
      <c r="D359" s="891">
        <v>0</v>
      </c>
      <c r="E359" s="891">
        <v>0</v>
      </c>
    </row>
    <row r="360" spans="1:5" hidden="1" x14ac:dyDescent="0.25">
      <c r="A360" s="842" t="s">
        <v>631</v>
      </c>
      <c r="B360" s="891">
        <v>1811</v>
      </c>
      <c r="C360" s="891">
        <v>0</v>
      </c>
      <c r="D360" s="891">
        <v>846</v>
      </c>
      <c r="E360" s="891">
        <v>1000</v>
      </c>
    </row>
    <row r="361" spans="1:5" hidden="1" x14ac:dyDescent="0.25">
      <c r="A361" s="842" t="s">
        <v>634</v>
      </c>
      <c r="B361" s="891">
        <v>695</v>
      </c>
      <c r="C361" s="891">
        <v>0</v>
      </c>
      <c r="D361" s="891">
        <v>264</v>
      </c>
      <c r="E361" s="891">
        <v>0</v>
      </c>
    </row>
    <row r="362" spans="1:5" hidden="1" x14ac:dyDescent="0.25">
      <c r="A362" s="842" t="s">
        <v>1329</v>
      </c>
      <c r="B362" s="891">
        <v>205</v>
      </c>
      <c r="C362" s="891">
        <v>0</v>
      </c>
      <c r="D362" s="891">
        <v>40</v>
      </c>
      <c r="E362" s="891">
        <v>133.33333333333334</v>
      </c>
    </row>
    <row r="363" spans="1:5" hidden="1" x14ac:dyDescent="0.25">
      <c r="A363" s="842" t="s">
        <v>1332</v>
      </c>
      <c r="B363" s="891">
        <v>152</v>
      </c>
      <c r="C363" s="891">
        <v>0</v>
      </c>
      <c r="D363" s="891">
        <v>40</v>
      </c>
      <c r="E363" s="891">
        <v>0</v>
      </c>
    </row>
    <row r="364" spans="1:5" hidden="1" x14ac:dyDescent="0.25">
      <c r="A364" s="842" t="s">
        <v>1333</v>
      </c>
      <c r="B364" s="891">
        <v>450</v>
      </c>
      <c r="C364" s="891">
        <v>0</v>
      </c>
      <c r="D364" s="891">
        <v>100</v>
      </c>
      <c r="E364" s="891">
        <v>133.33333333333334</v>
      </c>
    </row>
    <row r="365" spans="1:5" hidden="1" x14ac:dyDescent="0.25">
      <c r="A365" s="842" t="s">
        <v>1335</v>
      </c>
      <c r="B365" s="891">
        <v>129</v>
      </c>
      <c r="C365" s="891">
        <v>0</v>
      </c>
      <c r="D365" s="891">
        <v>100</v>
      </c>
      <c r="E365" s="891">
        <v>129</v>
      </c>
    </row>
    <row r="366" spans="1:5" hidden="1" x14ac:dyDescent="0.25">
      <c r="A366" s="842" t="s">
        <v>326</v>
      </c>
      <c r="B366" s="891">
        <v>369</v>
      </c>
      <c r="C366" s="891">
        <v>0</v>
      </c>
      <c r="D366" s="891">
        <v>220</v>
      </c>
      <c r="E366" s="891">
        <v>369</v>
      </c>
    </row>
    <row r="367" spans="1:5" hidden="1" x14ac:dyDescent="0.25">
      <c r="A367" s="842" t="s">
        <v>426</v>
      </c>
      <c r="B367" s="891">
        <v>266</v>
      </c>
      <c r="C367" s="891">
        <v>0</v>
      </c>
      <c r="D367" s="891">
        <v>200</v>
      </c>
      <c r="E367" s="891">
        <v>266</v>
      </c>
    </row>
    <row r="368" spans="1:5" hidden="1" x14ac:dyDescent="0.25">
      <c r="A368" s="842" t="s">
        <v>427</v>
      </c>
      <c r="B368" s="891">
        <v>31</v>
      </c>
      <c r="C368" s="891">
        <v>0</v>
      </c>
      <c r="D368" s="891">
        <v>31</v>
      </c>
      <c r="E368" s="891">
        <v>31</v>
      </c>
    </row>
    <row r="369" spans="1:5" hidden="1" x14ac:dyDescent="0.25">
      <c r="A369" s="842" t="s">
        <v>327</v>
      </c>
      <c r="B369" s="891">
        <v>171</v>
      </c>
      <c r="C369" s="891">
        <v>0</v>
      </c>
      <c r="D369" s="891">
        <v>100</v>
      </c>
      <c r="E369" s="891">
        <v>171</v>
      </c>
    </row>
    <row r="370" spans="1:5" hidden="1" x14ac:dyDescent="0.25">
      <c r="A370" s="842" t="s">
        <v>328</v>
      </c>
      <c r="B370" s="891">
        <v>239</v>
      </c>
      <c r="C370" s="891">
        <v>0</v>
      </c>
      <c r="D370" s="891">
        <v>239</v>
      </c>
      <c r="E370" s="891">
        <v>239</v>
      </c>
    </row>
    <row r="371" spans="1:5" hidden="1" x14ac:dyDescent="0.25">
      <c r="A371" s="842" t="s">
        <v>665</v>
      </c>
      <c r="B371" s="891">
        <v>456</v>
      </c>
      <c r="C371" s="891">
        <v>0</v>
      </c>
      <c r="D371" s="891">
        <v>36</v>
      </c>
      <c r="E371" s="891">
        <v>0</v>
      </c>
    </row>
    <row r="372" spans="1:5" hidden="1" x14ac:dyDescent="0.25">
      <c r="A372" s="842" t="s">
        <v>550</v>
      </c>
      <c r="B372" s="891">
        <v>360</v>
      </c>
      <c r="C372" s="891">
        <v>0</v>
      </c>
      <c r="D372" s="891">
        <v>0</v>
      </c>
      <c r="E372" s="891">
        <v>0</v>
      </c>
    </row>
    <row r="373" spans="1:5" hidden="1" x14ac:dyDescent="0.25">
      <c r="A373" s="842" t="s">
        <v>870</v>
      </c>
      <c r="B373" s="891">
        <v>2554</v>
      </c>
      <c r="C373" s="891">
        <v>0</v>
      </c>
      <c r="D373" s="891">
        <v>0</v>
      </c>
      <c r="E373" s="891">
        <v>0</v>
      </c>
    </row>
    <row r="374" spans="1:5" hidden="1" x14ac:dyDescent="0.25">
      <c r="A374" s="842" t="s">
        <v>816</v>
      </c>
      <c r="B374" s="891">
        <v>2698</v>
      </c>
      <c r="C374" s="891">
        <v>0</v>
      </c>
      <c r="D374" s="891">
        <v>0</v>
      </c>
      <c r="E374" s="891">
        <v>0</v>
      </c>
    </row>
    <row r="375" spans="1:5" hidden="1" x14ac:dyDescent="0.25">
      <c r="A375" s="842" t="s">
        <v>792</v>
      </c>
      <c r="B375" s="891">
        <v>907</v>
      </c>
      <c r="C375" s="891">
        <v>0</v>
      </c>
      <c r="D375" s="891">
        <v>246</v>
      </c>
      <c r="E375" s="891">
        <v>0</v>
      </c>
    </row>
    <row r="376" spans="1:5" hidden="1" x14ac:dyDescent="0.25">
      <c r="A376" s="842" t="s">
        <v>573</v>
      </c>
      <c r="B376" s="891">
        <v>2835</v>
      </c>
      <c r="C376" s="891">
        <v>0</v>
      </c>
      <c r="D376" s="891">
        <v>2835</v>
      </c>
      <c r="E376" s="891">
        <v>1250</v>
      </c>
    </row>
    <row r="377" spans="1:5" hidden="1" x14ac:dyDescent="0.25">
      <c r="A377" s="842" t="s">
        <v>638</v>
      </c>
      <c r="B377" s="891">
        <v>1423</v>
      </c>
      <c r="C377" s="891">
        <v>0</v>
      </c>
      <c r="D377" s="891">
        <v>359.99999999999994</v>
      </c>
      <c r="E377" s="891">
        <v>500</v>
      </c>
    </row>
    <row r="378" spans="1:5" hidden="1" x14ac:dyDescent="0.25">
      <c r="A378" s="842" t="s">
        <v>2643</v>
      </c>
      <c r="B378" s="891">
        <v>700</v>
      </c>
      <c r="C378" s="891">
        <v>0</v>
      </c>
      <c r="D378" s="891">
        <v>0</v>
      </c>
      <c r="E378" s="891">
        <v>0</v>
      </c>
    </row>
    <row r="379" spans="1:5" hidden="1" x14ac:dyDescent="0.25">
      <c r="A379" s="842" t="s">
        <v>683</v>
      </c>
      <c r="B379" s="891">
        <v>888</v>
      </c>
      <c r="C379" s="891">
        <v>0</v>
      </c>
      <c r="D379" s="891">
        <v>0</v>
      </c>
      <c r="E379" s="891">
        <v>0</v>
      </c>
    </row>
    <row r="380" spans="1:5" hidden="1" x14ac:dyDescent="0.25">
      <c r="A380" s="842" t="s">
        <v>872</v>
      </c>
      <c r="B380" s="891">
        <v>325</v>
      </c>
      <c r="C380" s="891">
        <v>0</v>
      </c>
      <c r="D380" s="891">
        <v>0</v>
      </c>
      <c r="E380" s="891">
        <v>0</v>
      </c>
    </row>
    <row r="381" spans="1:5" hidden="1" x14ac:dyDescent="0.25">
      <c r="A381" s="842" t="s">
        <v>596</v>
      </c>
      <c r="B381" s="891">
        <v>12202</v>
      </c>
      <c r="C381" s="891">
        <v>0</v>
      </c>
      <c r="D381" s="891">
        <v>4860</v>
      </c>
      <c r="E381" s="891">
        <v>12202</v>
      </c>
    </row>
    <row r="382" spans="1:5" hidden="1" x14ac:dyDescent="0.25">
      <c r="A382" s="842" t="s">
        <v>869</v>
      </c>
      <c r="B382" s="891">
        <v>745</v>
      </c>
      <c r="C382" s="891">
        <v>0</v>
      </c>
      <c r="D382" s="891">
        <v>0</v>
      </c>
      <c r="E382" s="891">
        <v>745</v>
      </c>
    </row>
    <row r="383" spans="1:5" hidden="1" x14ac:dyDescent="0.25">
      <c r="A383" s="842" t="s">
        <v>637</v>
      </c>
      <c r="B383" s="891">
        <v>487</v>
      </c>
      <c r="C383" s="891">
        <v>0</v>
      </c>
      <c r="D383" s="891">
        <v>30</v>
      </c>
      <c r="E383" s="891">
        <v>0</v>
      </c>
    </row>
    <row r="384" spans="1:5" hidden="1" x14ac:dyDescent="0.25">
      <c r="A384" s="842" t="s">
        <v>472</v>
      </c>
      <c r="B384" s="891">
        <v>44</v>
      </c>
      <c r="C384" s="891">
        <v>0</v>
      </c>
      <c r="D384" s="891">
        <v>0</v>
      </c>
      <c r="E384" s="891">
        <v>44</v>
      </c>
    </row>
    <row r="385" spans="1:5" hidden="1" x14ac:dyDescent="0.25">
      <c r="A385" s="842" t="s">
        <v>434</v>
      </c>
      <c r="B385" s="891">
        <v>190</v>
      </c>
      <c r="C385" s="891">
        <v>0</v>
      </c>
      <c r="D385" s="891">
        <v>80</v>
      </c>
      <c r="E385" s="891">
        <v>190</v>
      </c>
    </row>
    <row r="386" spans="1:5" hidden="1" x14ac:dyDescent="0.25">
      <c r="A386" s="842" t="s">
        <v>595</v>
      </c>
      <c r="B386" s="891">
        <v>1820</v>
      </c>
      <c r="C386" s="891">
        <v>0</v>
      </c>
      <c r="D386" s="891">
        <v>0</v>
      </c>
      <c r="E386" s="891">
        <v>1820</v>
      </c>
    </row>
    <row r="387" spans="1:5" hidden="1" x14ac:dyDescent="0.25">
      <c r="A387" s="842" t="s">
        <v>591</v>
      </c>
      <c r="B387" s="891">
        <v>1131</v>
      </c>
      <c r="C387" s="891">
        <v>1131</v>
      </c>
      <c r="D387" s="891">
        <v>0</v>
      </c>
      <c r="E387" s="891">
        <v>1131</v>
      </c>
    </row>
    <row r="388" spans="1:5" hidden="1" x14ac:dyDescent="0.25">
      <c r="A388" s="842" t="s">
        <v>624</v>
      </c>
      <c r="B388" s="891">
        <v>86</v>
      </c>
      <c r="C388" s="891">
        <v>0</v>
      </c>
      <c r="D388" s="891">
        <v>0</v>
      </c>
      <c r="E388" s="891">
        <v>86</v>
      </c>
    </row>
    <row r="389" spans="1:5" hidden="1" x14ac:dyDescent="0.25">
      <c r="A389" s="842" t="s">
        <v>600</v>
      </c>
      <c r="B389" s="891">
        <v>5950</v>
      </c>
      <c r="C389" s="891">
        <v>5950</v>
      </c>
      <c r="D389" s="891">
        <v>4900</v>
      </c>
      <c r="E389" s="891">
        <v>5950</v>
      </c>
    </row>
    <row r="390" spans="1:5" hidden="1" x14ac:dyDescent="0.25">
      <c r="A390" s="842" t="s">
        <v>603</v>
      </c>
      <c r="B390" s="891">
        <v>1670</v>
      </c>
      <c r="C390" s="891">
        <v>1670</v>
      </c>
      <c r="D390" s="891">
        <v>1670</v>
      </c>
      <c r="E390" s="891">
        <v>0</v>
      </c>
    </row>
    <row r="391" spans="1:5" hidden="1" x14ac:dyDescent="0.25">
      <c r="A391" s="842" t="s">
        <v>611</v>
      </c>
      <c r="B391" s="891">
        <v>74</v>
      </c>
      <c r="C391" s="891">
        <v>0</v>
      </c>
      <c r="D391" s="891">
        <v>0</v>
      </c>
      <c r="E391" s="891">
        <v>74</v>
      </c>
    </row>
    <row r="392" spans="1:5" hidden="1" x14ac:dyDescent="0.25">
      <c r="A392" s="842" t="s">
        <v>660</v>
      </c>
      <c r="B392" s="891">
        <v>1681</v>
      </c>
      <c r="C392" s="891">
        <v>0</v>
      </c>
      <c r="D392" s="891">
        <v>186</v>
      </c>
      <c r="E392" s="891">
        <v>999.99999999999989</v>
      </c>
    </row>
    <row r="393" spans="1:5" hidden="1" x14ac:dyDescent="0.25">
      <c r="A393" s="842" t="s">
        <v>520</v>
      </c>
      <c r="B393" s="891">
        <v>238</v>
      </c>
      <c r="C393" s="891">
        <v>0</v>
      </c>
      <c r="D393" s="891">
        <v>0</v>
      </c>
      <c r="E393" s="891">
        <v>0</v>
      </c>
    </row>
    <row r="394" spans="1:5" hidden="1" x14ac:dyDescent="0.25">
      <c r="A394" s="842" t="s">
        <v>1270</v>
      </c>
      <c r="B394" s="891">
        <v>75</v>
      </c>
      <c r="C394" s="891">
        <v>0</v>
      </c>
      <c r="D394" s="891">
        <v>0</v>
      </c>
      <c r="E394" s="891">
        <v>0</v>
      </c>
    </row>
    <row r="395" spans="1:5" hidden="1" x14ac:dyDescent="0.25">
      <c r="A395" s="842" t="s">
        <v>934</v>
      </c>
      <c r="B395" s="891">
        <v>173</v>
      </c>
      <c r="C395" s="891">
        <v>0</v>
      </c>
      <c r="D395" s="891">
        <v>173</v>
      </c>
      <c r="E395" s="891">
        <v>173</v>
      </c>
    </row>
    <row r="396" spans="1:5" hidden="1" x14ac:dyDescent="0.25">
      <c r="A396" s="842" t="s">
        <v>664</v>
      </c>
      <c r="B396" s="891">
        <v>130</v>
      </c>
      <c r="C396" s="891">
        <v>0</v>
      </c>
      <c r="D396" s="891">
        <v>30</v>
      </c>
      <c r="E396" s="891">
        <v>0</v>
      </c>
    </row>
    <row r="397" spans="1:5" hidden="1" x14ac:dyDescent="0.25">
      <c r="A397" s="842" t="s">
        <v>522</v>
      </c>
      <c r="B397" s="891">
        <v>136</v>
      </c>
      <c r="C397" s="891">
        <v>0</v>
      </c>
      <c r="D397" s="891">
        <v>0</v>
      </c>
      <c r="E397" s="891">
        <v>0</v>
      </c>
    </row>
    <row r="398" spans="1:5" hidden="1" x14ac:dyDescent="0.25">
      <c r="A398" s="842" t="s">
        <v>523</v>
      </c>
      <c r="B398" s="891">
        <v>750</v>
      </c>
      <c r="C398" s="891">
        <v>0</v>
      </c>
      <c r="D398" s="891">
        <v>0</v>
      </c>
      <c r="E398" s="891">
        <v>0</v>
      </c>
    </row>
    <row r="399" spans="1:5" hidden="1" x14ac:dyDescent="0.25">
      <c r="A399" s="842" t="s">
        <v>435</v>
      </c>
      <c r="B399" s="891">
        <v>291</v>
      </c>
      <c r="C399" s="891">
        <v>0</v>
      </c>
      <c r="D399" s="891">
        <v>160</v>
      </c>
      <c r="E399" s="891">
        <v>291</v>
      </c>
    </row>
    <row r="400" spans="1:5" hidden="1" x14ac:dyDescent="0.25">
      <c r="A400" s="842" t="s">
        <v>421</v>
      </c>
      <c r="B400" s="891">
        <v>173</v>
      </c>
      <c r="C400" s="891">
        <v>0</v>
      </c>
      <c r="D400" s="891">
        <v>173</v>
      </c>
      <c r="E400" s="891">
        <v>33.333333333333336</v>
      </c>
    </row>
    <row r="401" spans="1:5" hidden="1" x14ac:dyDescent="0.25">
      <c r="A401" s="842" t="s">
        <v>548</v>
      </c>
      <c r="B401" s="891">
        <v>419</v>
      </c>
      <c r="C401" s="891">
        <v>0</v>
      </c>
      <c r="D401" s="891">
        <v>0</v>
      </c>
      <c r="E401" s="891">
        <v>0</v>
      </c>
    </row>
    <row r="402" spans="1:5" hidden="1" x14ac:dyDescent="0.25">
      <c r="A402" s="842" t="s">
        <v>377</v>
      </c>
      <c r="B402" s="891">
        <v>2902</v>
      </c>
      <c r="C402" s="891">
        <v>0</v>
      </c>
      <c r="D402" s="891">
        <v>1560</v>
      </c>
      <c r="E402" s="891">
        <v>2902</v>
      </c>
    </row>
    <row r="403" spans="1:5" hidden="1" x14ac:dyDescent="0.25">
      <c r="A403" s="842" t="s">
        <v>379</v>
      </c>
      <c r="B403" s="891">
        <v>709</v>
      </c>
      <c r="C403" s="891">
        <v>0</v>
      </c>
      <c r="D403" s="891">
        <v>709</v>
      </c>
      <c r="E403" s="891">
        <v>709</v>
      </c>
    </row>
    <row r="404" spans="1:5" hidden="1" x14ac:dyDescent="0.25">
      <c r="A404" s="842" t="s">
        <v>378</v>
      </c>
      <c r="B404" s="891">
        <v>2550</v>
      </c>
      <c r="C404" s="891">
        <v>0</v>
      </c>
      <c r="D404" s="891">
        <v>2550</v>
      </c>
      <c r="E404" s="891">
        <v>2550</v>
      </c>
    </row>
    <row r="405" spans="1:5" hidden="1" x14ac:dyDescent="0.25">
      <c r="A405" s="842" t="s">
        <v>852</v>
      </c>
      <c r="B405" s="891">
        <v>278</v>
      </c>
      <c r="C405" s="891">
        <v>0</v>
      </c>
      <c r="D405" s="891">
        <v>48</v>
      </c>
      <c r="E405" s="891">
        <v>278</v>
      </c>
    </row>
    <row r="406" spans="1:5" hidden="1" x14ac:dyDescent="0.25">
      <c r="A406" s="842" t="s">
        <v>657</v>
      </c>
      <c r="B406" s="891">
        <v>705</v>
      </c>
      <c r="C406" s="891">
        <v>0</v>
      </c>
      <c r="D406" s="891">
        <v>342</v>
      </c>
      <c r="E406" s="891">
        <v>705</v>
      </c>
    </row>
    <row r="407" spans="1:5" hidden="1" x14ac:dyDescent="0.25">
      <c r="A407" s="842" t="s">
        <v>678</v>
      </c>
      <c r="B407" s="891">
        <v>484</v>
      </c>
      <c r="C407" s="891">
        <v>0</v>
      </c>
      <c r="D407" s="891">
        <v>60</v>
      </c>
      <c r="E407" s="891">
        <v>0</v>
      </c>
    </row>
    <row r="408" spans="1:5" hidden="1" x14ac:dyDescent="0.25">
      <c r="A408" s="842" t="s">
        <v>360</v>
      </c>
      <c r="B408" s="891">
        <v>75</v>
      </c>
      <c r="C408" s="891">
        <v>75</v>
      </c>
      <c r="D408" s="891">
        <v>75</v>
      </c>
      <c r="E408" s="891">
        <v>75</v>
      </c>
    </row>
    <row r="409" spans="1:5" hidden="1" x14ac:dyDescent="0.25">
      <c r="A409" s="842" t="s">
        <v>646</v>
      </c>
      <c r="B409" s="891">
        <v>1455</v>
      </c>
      <c r="C409" s="891">
        <v>0</v>
      </c>
      <c r="D409" s="891">
        <v>264</v>
      </c>
      <c r="E409" s="891">
        <v>0</v>
      </c>
    </row>
    <row r="410" spans="1:5" hidden="1" x14ac:dyDescent="0.25">
      <c r="A410" s="842" t="s">
        <v>422</v>
      </c>
      <c r="B410" s="891">
        <v>67</v>
      </c>
      <c r="C410" s="891">
        <v>0</v>
      </c>
      <c r="D410" s="891">
        <v>40</v>
      </c>
      <c r="E410" s="891">
        <v>67</v>
      </c>
    </row>
    <row r="411" spans="1:5" hidden="1" x14ac:dyDescent="0.25">
      <c r="A411" s="842" t="s">
        <v>751</v>
      </c>
      <c r="B411" s="891">
        <v>738</v>
      </c>
      <c r="C411" s="891">
        <v>0</v>
      </c>
      <c r="D411" s="891">
        <v>438</v>
      </c>
      <c r="E411" s="891">
        <v>0</v>
      </c>
    </row>
    <row r="412" spans="1:5" hidden="1" x14ac:dyDescent="0.25">
      <c r="A412" s="842" t="s">
        <v>565</v>
      </c>
      <c r="B412" s="891">
        <v>1176</v>
      </c>
      <c r="C412" s="891">
        <v>0</v>
      </c>
      <c r="D412" s="891">
        <v>0</v>
      </c>
      <c r="E412" s="891">
        <v>0</v>
      </c>
    </row>
    <row r="413" spans="1:5" hidden="1" x14ac:dyDescent="0.25">
      <c r="A413" s="842" t="s">
        <v>747</v>
      </c>
      <c r="B413" s="891">
        <v>695</v>
      </c>
      <c r="C413" s="891">
        <v>0</v>
      </c>
      <c r="D413" s="891">
        <v>438</v>
      </c>
      <c r="E413" s="891">
        <v>0</v>
      </c>
    </row>
    <row r="414" spans="1:5" hidden="1" x14ac:dyDescent="0.25">
      <c r="A414" s="842" t="s">
        <v>2641</v>
      </c>
      <c r="B414" s="891">
        <v>259</v>
      </c>
      <c r="C414" s="891">
        <v>0</v>
      </c>
      <c r="D414" s="891">
        <v>0</v>
      </c>
      <c r="E414" s="891">
        <v>0</v>
      </c>
    </row>
    <row r="415" spans="1:5" hidden="1" x14ac:dyDescent="0.25">
      <c r="A415" s="842" t="s">
        <v>563</v>
      </c>
      <c r="B415" s="891">
        <v>412</v>
      </c>
      <c r="C415" s="891">
        <v>0</v>
      </c>
      <c r="D415" s="891">
        <v>0</v>
      </c>
      <c r="E415" s="891">
        <v>0</v>
      </c>
    </row>
    <row r="416" spans="1:5" hidden="1" x14ac:dyDescent="0.25">
      <c r="A416" s="842" t="s">
        <v>615</v>
      </c>
      <c r="B416" s="891">
        <v>359</v>
      </c>
      <c r="C416" s="891">
        <v>0</v>
      </c>
      <c r="D416" s="891">
        <v>359</v>
      </c>
      <c r="E416" s="891">
        <v>359</v>
      </c>
    </row>
    <row r="417" spans="1:5" hidden="1" x14ac:dyDescent="0.25">
      <c r="A417" s="842" t="s">
        <v>654</v>
      </c>
      <c r="B417" s="891">
        <v>102</v>
      </c>
      <c r="C417" s="891">
        <v>0</v>
      </c>
      <c r="D417" s="891">
        <v>60</v>
      </c>
      <c r="E417" s="891">
        <v>102</v>
      </c>
    </row>
    <row r="418" spans="1:5" hidden="1" x14ac:dyDescent="0.25">
      <c r="A418" s="842" t="s">
        <v>849</v>
      </c>
      <c r="B418" s="891">
        <v>1205</v>
      </c>
      <c r="C418" s="891">
        <v>0</v>
      </c>
      <c r="D418" s="891">
        <v>0</v>
      </c>
      <c r="E418" s="891">
        <v>1205</v>
      </c>
    </row>
    <row r="419" spans="1:5" hidden="1" x14ac:dyDescent="0.25">
      <c r="A419" s="842" t="s">
        <v>560</v>
      </c>
      <c r="B419" s="891">
        <v>1147</v>
      </c>
      <c r="C419" s="891">
        <v>0</v>
      </c>
      <c r="D419" s="891">
        <v>0</v>
      </c>
      <c r="E419" s="891">
        <v>0</v>
      </c>
    </row>
    <row r="420" spans="1:5" hidden="1" x14ac:dyDescent="0.25">
      <c r="A420" s="842" t="s">
        <v>906</v>
      </c>
      <c r="B420" s="891">
        <v>917</v>
      </c>
      <c r="C420" s="891">
        <v>0</v>
      </c>
      <c r="D420" s="891">
        <v>762</v>
      </c>
      <c r="E420" s="891">
        <v>917</v>
      </c>
    </row>
    <row r="421" spans="1:5" hidden="1" x14ac:dyDescent="0.25">
      <c r="A421" s="842" t="s">
        <v>2181</v>
      </c>
      <c r="B421" s="891">
        <v>367668</v>
      </c>
      <c r="C421" s="891">
        <v>89884</v>
      </c>
      <c r="D421" s="891">
        <v>199377</v>
      </c>
      <c r="E421" s="891">
        <v>259524.13333333336</v>
      </c>
    </row>
  </sheetData>
  <mergeCells count="1">
    <mergeCell ref="A1:T1"/>
  </mergeCells>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K3330"/>
  <sheetViews>
    <sheetView topLeftCell="I4" workbookViewId="0">
      <selection activeCell="C54" sqref="C54"/>
    </sheetView>
  </sheetViews>
  <sheetFormatPr defaultRowHeight="12.75" x14ac:dyDescent="0.2"/>
  <cols>
    <col min="1" max="3" width="9" style="22"/>
    <col min="4" max="4" width="9" style="342"/>
    <col min="5" max="5" width="15.875" style="341" customWidth="1"/>
    <col min="6" max="14" width="9" style="22"/>
    <col min="15" max="15" width="15.875" style="22" customWidth="1"/>
    <col min="16" max="27" width="9" style="22"/>
    <col min="28" max="28" width="13" style="337" customWidth="1"/>
    <col min="29" max="29" width="16.75" style="337" customWidth="1"/>
    <col min="30" max="31" width="9" style="22"/>
    <col min="32" max="32" width="10.625" style="337" customWidth="1"/>
    <col min="33" max="33" width="25.875" style="337" customWidth="1"/>
    <col min="34" max="16384" width="9" style="22"/>
  </cols>
  <sheetData>
    <row r="1" spans="1:37" ht="14.25" thickTop="1" thickBot="1" x14ac:dyDescent="0.25">
      <c r="A1" s="1" t="s">
        <v>1</v>
      </c>
      <c r="B1" s="1" t="s">
        <v>2</v>
      </c>
      <c r="C1" s="1" t="s">
        <v>3</v>
      </c>
      <c r="D1" s="83" t="s">
        <v>4</v>
      </c>
      <c r="E1" s="83" t="s">
        <v>5</v>
      </c>
      <c r="F1" s="1" t="s">
        <v>1346</v>
      </c>
      <c r="G1" s="1" t="s">
        <v>8</v>
      </c>
      <c r="H1" s="1" t="s">
        <v>9</v>
      </c>
      <c r="I1" s="1" t="s">
        <v>63</v>
      </c>
      <c r="J1" s="1" t="s">
        <v>64</v>
      </c>
      <c r="K1" s="1" t="s">
        <v>67</v>
      </c>
      <c r="L1" s="2" t="s">
        <v>73</v>
      </c>
      <c r="M1" s="2" t="s">
        <v>78</v>
      </c>
      <c r="N1" s="2" t="s">
        <v>244</v>
      </c>
      <c r="O1" s="2" t="s">
        <v>245</v>
      </c>
      <c r="P1" s="2" t="s">
        <v>94</v>
      </c>
      <c r="Q1" s="2" t="s">
        <v>88</v>
      </c>
      <c r="R1" s="3" t="s">
        <v>98</v>
      </c>
      <c r="S1" s="3" t="s">
        <v>1347</v>
      </c>
      <c r="T1" s="4" t="s">
        <v>108</v>
      </c>
      <c r="U1" s="3" t="s">
        <v>111</v>
      </c>
      <c r="V1" s="3" t="s">
        <v>114</v>
      </c>
      <c r="W1" s="5" t="s">
        <v>119</v>
      </c>
      <c r="X1" s="5"/>
      <c r="Y1" s="5" t="s">
        <v>1348</v>
      </c>
      <c r="Z1" s="5" t="s">
        <v>125</v>
      </c>
      <c r="AA1" s="81" t="s">
        <v>130</v>
      </c>
      <c r="AB1" s="337" t="s">
        <v>1349</v>
      </c>
      <c r="AF1" s="337" t="s">
        <v>1350</v>
      </c>
    </row>
    <row r="2" spans="1:37" ht="13.5" thickBot="1" x14ac:dyDescent="0.25">
      <c r="A2" s="11" t="s">
        <v>20</v>
      </c>
      <c r="B2" s="12" t="s">
        <v>20</v>
      </c>
      <c r="C2" s="11" t="s">
        <v>20</v>
      </c>
      <c r="D2" s="87" t="s">
        <v>20</v>
      </c>
      <c r="E2" s="84" t="s">
        <v>20</v>
      </c>
      <c r="F2" s="12" t="s">
        <v>21</v>
      </c>
      <c r="G2" s="11" t="s">
        <v>21</v>
      </c>
      <c r="H2" s="12" t="s">
        <v>66</v>
      </c>
      <c r="I2" s="11" t="s">
        <v>20</v>
      </c>
      <c r="J2" s="12" t="s">
        <v>23</v>
      </c>
      <c r="K2" s="11" t="s">
        <v>69</v>
      </c>
      <c r="L2" s="12" t="s">
        <v>21</v>
      </c>
      <c r="M2" s="11" t="s">
        <v>21</v>
      </c>
      <c r="N2" s="12" t="s">
        <v>21</v>
      </c>
      <c r="O2" s="11" t="s">
        <v>21</v>
      </c>
      <c r="P2" s="12" t="s">
        <v>69</v>
      </c>
      <c r="Q2" s="11" t="s">
        <v>21</v>
      </c>
      <c r="R2" s="12" t="s">
        <v>21</v>
      </c>
      <c r="S2" s="11" t="s">
        <v>21</v>
      </c>
      <c r="T2" s="12" t="s">
        <v>21</v>
      </c>
      <c r="U2" s="11" t="s">
        <v>1351</v>
      </c>
      <c r="V2" s="12" t="s">
        <v>1351</v>
      </c>
      <c r="W2" s="11" t="s">
        <v>21</v>
      </c>
      <c r="X2" s="11"/>
      <c r="Y2" s="12" t="s">
        <v>21</v>
      </c>
      <c r="Z2" s="11" t="s">
        <v>21</v>
      </c>
      <c r="AA2" s="82" t="s">
        <v>21</v>
      </c>
    </row>
    <row r="3" spans="1:37" ht="129" thickTop="1" thickBot="1" x14ac:dyDescent="0.25">
      <c r="A3" s="14" t="s">
        <v>24</v>
      </c>
      <c r="B3" s="13" t="s">
        <v>1352</v>
      </c>
      <c r="C3" s="14" t="s">
        <v>26</v>
      </c>
      <c r="D3" s="88" t="s">
        <v>27</v>
      </c>
      <c r="E3" s="85" t="s">
        <v>28</v>
      </c>
      <c r="F3" s="13" t="s">
        <v>30</v>
      </c>
      <c r="G3" s="14" t="s">
        <v>1353</v>
      </c>
      <c r="H3" s="13" t="s">
        <v>1354</v>
      </c>
      <c r="I3" s="14" t="s">
        <v>1355</v>
      </c>
      <c r="J3" s="13" t="s">
        <v>1356</v>
      </c>
      <c r="K3" s="14" t="s">
        <v>1357</v>
      </c>
      <c r="L3" s="13" t="s">
        <v>1358</v>
      </c>
      <c r="M3" s="14" t="s">
        <v>1359</v>
      </c>
      <c r="N3" s="13" t="s">
        <v>1360</v>
      </c>
      <c r="O3" s="14" t="s">
        <v>1361</v>
      </c>
      <c r="P3" s="13" t="s">
        <v>1362</v>
      </c>
      <c r="Q3" s="14" t="s">
        <v>1363</v>
      </c>
      <c r="R3" s="13" t="s">
        <v>1364</v>
      </c>
      <c r="S3" s="14" t="s">
        <v>1365</v>
      </c>
      <c r="T3" s="13" t="s">
        <v>1366</v>
      </c>
      <c r="U3" s="14" t="s">
        <v>1367</v>
      </c>
      <c r="V3" s="13" t="s">
        <v>1368</v>
      </c>
      <c r="W3" s="19" t="s">
        <v>1369</v>
      </c>
      <c r="X3" s="19" t="s">
        <v>1370</v>
      </c>
      <c r="Y3" s="13" t="s">
        <v>1371</v>
      </c>
      <c r="Z3" s="14" t="s">
        <v>1372</v>
      </c>
      <c r="AA3" s="241" t="s">
        <v>1373</v>
      </c>
      <c r="AB3" s="338" t="s">
        <v>1374</v>
      </c>
      <c r="AC3" s="338" t="s">
        <v>1375</v>
      </c>
      <c r="AF3" s="338" t="s">
        <v>27</v>
      </c>
      <c r="AG3" s="338" t="s">
        <v>28</v>
      </c>
    </row>
    <row r="4" spans="1:37" ht="14.25" thickTop="1" thickBot="1" x14ac:dyDescent="0.25">
      <c r="A4" s="10" t="s">
        <v>1376</v>
      </c>
      <c r="B4" s="10" t="s">
        <v>1377</v>
      </c>
      <c r="C4" s="8" t="s">
        <v>44</v>
      </c>
      <c r="D4" s="86" t="s">
        <v>496</v>
      </c>
      <c r="E4" s="86" t="s">
        <v>805</v>
      </c>
      <c r="F4" s="7"/>
      <c r="G4" s="8"/>
      <c r="H4" s="7" t="s">
        <v>48</v>
      </c>
      <c r="I4" s="71" t="s">
        <v>481</v>
      </c>
      <c r="J4" s="7"/>
      <c r="K4" s="15">
        <v>0</v>
      </c>
      <c r="L4" s="7"/>
      <c r="M4" s="8"/>
      <c r="N4" s="7"/>
      <c r="O4" s="8"/>
      <c r="P4" s="7"/>
      <c r="Q4" s="7"/>
      <c r="R4" s="8"/>
      <c r="S4" s="7"/>
      <c r="T4" s="9"/>
      <c r="U4" s="7" t="s">
        <v>293</v>
      </c>
      <c r="V4" s="7" t="s">
        <v>293</v>
      </c>
      <c r="W4" s="7"/>
      <c r="X4" s="7" t="s">
        <v>294</v>
      </c>
      <c r="Y4" s="8"/>
      <c r="Z4" s="7"/>
      <c r="AA4" s="242"/>
      <c r="AB4" s="337" t="s">
        <v>44</v>
      </c>
      <c r="AC4" s="337" t="s">
        <v>351</v>
      </c>
      <c r="AF4" s="337" t="s">
        <v>496</v>
      </c>
      <c r="AG4" s="337" t="s">
        <v>557</v>
      </c>
      <c r="AI4" s="22" t="s">
        <v>44</v>
      </c>
      <c r="AJ4" s="22" t="s">
        <v>351</v>
      </c>
      <c r="AK4" s="22" t="s">
        <v>2200</v>
      </c>
    </row>
    <row r="5" spans="1:37" ht="14.25" thickTop="1" thickBot="1" x14ac:dyDescent="0.25">
      <c r="A5" s="10" t="s">
        <v>1378</v>
      </c>
      <c r="B5" s="10" t="s">
        <v>485</v>
      </c>
      <c r="C5" s="8" t="s">
        <v>464</v>
      </c>
      <c r="D5" s="86" t="s">
        <v>351</v>
      </c>
      <c r="E5" s="86" t="s">
        <v>718</v>
      </c>
      <c r="F5" s="7"/>
      <c r="G5" s="8"/>
      <c r="H5" s="7" t="s">
        <v>292</v>
      </c>
      <c r="I5" s="71" t="s">
        <v>306</v>
      </c>
      <c r="J5" s="7"/>
      <c r="K5" s="15">
        <v>0.1</v>
      </c>
      <c r="L5" s="7"/>
      <c r="M5" s="8"/>
      <c r="N5" s="7"/>
      <c r="O5" s="8"/>
      <c r="P5" s="7"/>
      <c r="Q5" s="7"/>
      <c r="R5" s="8"/>
      <c r="S5" s="7"/>
      <c r="T5" s="9"/>
      <c r="U5" s="7" t="s">
        <v>1379</v>
      </c>
      <c r="V5" s="7" t="s">
        <v>307</v>
      </c>
      <c r="W5" s="7"/>
      <c r="X5" s="7" t="s">
        <v>386</v>
      </c>
      <c r="Y5" s="8"/>
      <c r="Z5" s="7"/>
      <c r="AA5" s="242"/>
      <c r="AB5" s="337" t="s">
        <v>44</v>
      </c>
      <c r="AC5" s="337" t="s">
        <v>302</v>
      </c>
      <c r="AF5" s="337" t="s">
        <v>496</v>
      </c>
      <c r="AG5" s="337" t="s">
        <v>569</v>
      </c>
    </row>
    <row r="6" spans="1:37" ht="14.25" thickTop="1" thickBot="1" x14ac:dyDescent="0.25">
      <c r="A6" s="10" t="s">
        <v>1380</v>
      </c>
      <c r="B6" s="10" t="s">
        <v>1381</v>
      </c>
      <c r="C6" s="8" t="s">
        <v>878</v>
      </c>
      <c r="D6" s="86" t="s">
        <v>490</v>
      </c>
      <c r="E6" s="86" t="s">
        <v>840</v>
      </c>
      <c r="F6" s="7"/>
      <c r="G6" s="8"/>
      <c r="H6" s="7" t="s">
        <v>453</v>
      </c>
      <c r="I6" s="6" t="s">
        <v>1382</v>
      </c>
      <c r="J6" s="7"/>
      <c r="K6" s="15">
        <v>0.2</v>
      </c>
      <c r="L6" s="7"/>
      <c r="M6" s="8"/>
      <c r="N6" s="7"/>
      <c r="O6" s="8"/>
      <c r="P6" s="7"/>
      <c r="Q6" s="7"/>
      <c r="R6" s="8"/>
      <c r="S6" s="7"/>
      <c r="T6" s="9"/>
      <c r="U6" s="7" t="s">
        <v>342</v>
      </c>
      <c r="V6" s="7" t="s">
        <v>342</v>
      </c>
      <c r="W6" s="7"/>
      <c r="X6" s="7" t="s">
        <v>301</v>
      </c>
      <c r="Y6" s="8"/>
      <c r="Z6" s="7"/>
      <c r="AA6" s="242"/>
      <c r="AB6" s="337" t="s">
        <v>44</v>
      </c>
      <c r="AC6" s="337" t="s">
        <v>304</v>
      </c>
      <c r="AF6" s="337" t="s">
        <v>496</v>
      </c>
      <c r="AG6" s="337" t="s">
        <v>564</v>
      </c>
    </row>
    <row r="7" spans="1:37" ht="14.25" thickTop="1" thickBot="1" x14ac:dyDescent="0.25">
      <c r="A7" s="10" t="s">
        <v>1383</v>
      </c>
      <c r="B7" s="10" t="s">
        <v>1384</v>
      </c>
      <c r="D7" s="86" t="s">
        <v>302</v>
      </c>
      <c r="E7" s="86" t="s">
        <v>757</v>
      </c>
      <c r="F7" s="7"/>
      <c r="G7" s="8"/>
      <c r="H7" s="7"/>
      <c r="I7" s="71" t="s">
        <v>498</v>
      </c>
      <c r="J7" s="7"/>
      <c r="K7" s="15">
        <v>0.3</v>
      </c>
      <c r="L7" s="7"/>
      <c r="M7" s="8"/>
      <c r="N7" s="7"/>
      <c r="O7" s="8"/>
      <c r="P7" s="7"/>
      <c r="Q7" s="7"/>
      <c r="R7" s="8"/>
      <c r="S7" s="7"/>
      <c r="T7" s="9"/>
      <c r="U7" s="7" t="s">
        <v>296</v>
      </c>
      <c r="V7" s="7" t="s">
        <v>296</v>
      </c>
      <c r="W7" s="7"/>
      <c r="X7" s="7"/>
      <c r="Y7" s="8"/>
      <c r="Z7" s="7"/>
      <c r="AA7" s="242"/>
      <c r="AB7" s="337" t="s">
        <v>44</v>
      </c>
      <c r="AC7" s="337" t="s">
        <v>960</v>
      </c>
      <c r="AF7" s="337" t="s">
        <v>496</v>
      </c>
      <c r="AG7" s="337" t="s">
        <v>566</v>
      </c>
    </row>
    <row r="8" spans="1:37" ht="14.25" thickTop="1" thickBot="1" x14ac:dyDescent="0.25">
      <c r="A8" s="10" t="s">
        <v>1385</v>
      </c>
      <c r="B8" s="10" t="s">
        <v>1386</v>
      </c>
      <c r="D8" s="86" t="s">
        <v>304</v>
      </c>
      <c r="E8" s="86" t="s">
        <v>779</v>
      </c>
      <c r="F8" s="7"/>
      <c r="G8" s="8"/>
      <c r="H8" s="7"/>
      <c r="I8" s="89" t="s">
        <v>1387</v>
      </c>
      <c r="J8" s="7"/>
      <c r="K8" s="15">
        <v>0.4</v>
      </c>
      <c r="L8" s="7"/>
      <c r="M8" s="8"/>
      <c r="N8" s="7"/>
      <c r="O8" s="8"/>
      <c r="P8" s="7"/>
      <c r="Q8" s="7"/>
      <c r="R8" s="8"/>
      <c r="S8" s="7"/>
      <c r="T8" s="9"/>
      <c r="U8" s="340"/>
      <c r="V8" s="340"/>
      <c r="W8" s="7"/>
      <c r="X8" s="7"/>
      <c r="Y8" s="8"/>
      <c r="Z8" s="7"/>
      <c r="AA8" s="242"/>
      <c r="AB8" s="337" t="s">
        <v>44</v>
      </c>
      <c r="AC8" s="337" t="s">
        <v>1263</v>
      </c>
      <c r="AF8" s="337" t="s">
        <v>496</v>
      </c>
      <c r="AG8" s="337" t="s">
        <v>546</v>
      </c>
    </row>
    <row r="9" spans="1:37" ht="13.5" thickBot="1" x14ac:dyDescent="0.25">
      <c r="A9" s="10" t="s">
        <v>1388</v>
      </c>
      <c r="B9" s="10" t="s">
        <v>475</v>
      </c>
      <c r="D9" s="86" t="s">
        <v>901</v>
      </c>
      <c r="E9" s="86" t="s">
        <v>827</v>
      </c>
      <c r="F9" s="7"/>
      <c r="G9" s="8"/>
      <c r="H9" s="7"/>
      <c r="I9" s="70" t="s">
        <v>1389</v>
      </c>
      <c r="J9" s="7"/>
      <c r="K9" s="15">
        <v>0.5</v>
      </c>
      <c r="L9" s="7"/>
      <c r="M9" s="8"/>
      <c r="N9" s="7"/>
      <c r="O9" s="8"/>
      <c r="P9" s="7"/>
      <c r="Q9" s="7"/>
      <c r="R9" s="8"/>
      <c r="S9" s="7"/>
      <c r="T9" s="9"/>
      <c r="U9" s="7"/>
      <c r="V9" s="8"/>
      <c r="W9" s="7"/>
      <c r="X9" s="7"/>
      <c r="Y9" s="8"/>
      <c r="Z9" s="7"/>
      <c r="AA9" s="242"/>
      <c r="AB9" s="337" t="s">
        <v>44</v>
      </c>
      <c r="AC9" s="337" t="s">
        <v>1268</v>
      </c>
      <c r="AF9" s="337" t="s">
        <v>496</v>
      </c>
      <c r="AG9" s="337" t="s">
        <v>555</v>
      </c>
    </row>
    <row r="10" spans="1:37" ht="13.5" thickBot="1" x14ac:dyDescent="0.25">
      <c r="A10" s="10" t="s">
        <v>1390</v>
      </c>
      <c r="B10" s="10" t="s">
        <v>1391</v>
      </c>
      <c r="D10" s="86" t="s">
        <v>925</v>
      </c>
      <c r="E10" s="86" t="s">
        <v>1127</v>
      </c>
      <c r="F10" s="7"/>
      <c r="G10" s="8"/>
      <c r="H10" s="7"/>
      <c r="I10" s="70" t="s">
        <v>1392</v>
      </c>
      <c r="J10" s="7"/>
      <c r="K10" s="15">
        <v>0.6</v>
      </c>
      <c r="L10" s="7"/>
      <c r="M10" s="8"/>
      <c r="N10" s="7"/>
      <c r="O10" s="8"/>
      <c r="P10" s="7"/>
      <c r="Q10" s="7"/>
      <c r="R10" s="8"/>
      <c r="S10" s="7"/>
      <c r="T10" s="9"/>
      <c r="U10" s="7"/>
      <c r="V10" s="8"/>
      <c r="W10" s="7"/>
      <c r="X10" s="7"/>
      <c r="Y10" s="8"/>
      <c r="Z10" s="7"/>
      <c r="AA10" s="242"/>
      <c r="AB10" s="337" t="s">
        <v>44</v>
      </c>
      <c r="AC10" s="337" t="s">
        <v>1545</v>
      </c>
      <c r="AF10" s="337" t="s">
        <v>496</v>
      </c>
      <c r="AG10" s="337" t="s">
        <v>570</v>
      </c>
    </row>
    <row r="11" spans="1:37" ht="13.5" thickBot="1" x14ac:dyDescent="0.25">
      <c r="A11" s="10" t="s">
        <v>1390</v>
      </c>
      <c r="B11" s="10" t="s">
        <v>489</v>
      </c>
      <c r="D11" s="86" t="s">
        <v>960</v>
      </c>
      <c r="E11" s="86" t="s">
        <v>716</v>
      </c>
      <c r="F11" s="7"/>
      <c r="G11" s="8"/>
      <c r="H11" s="7"/>
      <c r="I11" s="41" t="s">
        <v>468</v>
      </c>
      <c r="J11" s="7"/>
      <c r="K11" s="15">
        <v>0.7</v>
      </c>
      <c r="L11" s="7"/>
      <c r="M11" s="8"/>
      <c r="N11" s="7"/>
      <c r="O11" s="8"/>
      <c r="P11" s="7"/>
      <c r="Q11" s="7"/>
      <c r="R11" s="8"/>
      <c r="S11" s="7"/>
      <c r="T11" s="9"/>
      <c r="U11" s="7"/>
      <c r="V11" s="8"/>
      <c r="W11" s="7"/>
      <c r="X11" s="7"/>
      <c r="Y11" s="8"/>
      <c r="Z11" s="7"/>
      <c r="AA11" s="242"/>
      <c r="AB11" s="337" t="s">
        <v>44</v>
      </c>
      <c r="AC11" s="337" t="s">
        <v>45</v>
      </c>
      <c r="AF11" s="337" t="s">
        <v>496</v>
      </c>
      <c r="AG11" s="337" t="s">
        <v>562</v>
      </c>
    </row>
    <row r="12" spans="1:37" ht="13.5" thickBot="1" x14ac:dyDescent="0.25">
      <c r="A12" s="10" t="s">
        <v>1393</v>
      </c>
      <c r="B12" s="10" t="s">
        <v>1394</v>
      </c>
      <c r="D12" s="86" t="s">
        <v>1263</v>
      </c>
      <c r="E12" s="86" t="s">
        <v>745</v>
      </c>
      <c r="F12" s="7"/>
      <c r="G12" s="8"/>
      <c r="H12" s="7"/>
      <c r="I12" s="41" t="s">
        <v>385</v>
      </c>
      <c r="J12" s="7"/>
      <c r="K12" s="15">
        <v>0.8</v>
      </c>
      <c r="L12" s="7"/>
      <c r="M12" s="8"/>
      <c r="N12" s="7"/>
      <c r="O12" s="8"/>
      <c r="P12" s="7"/>
      <c r="Q12" s="7"/>
      <c r="R12" s="8"/>
      <c r="S12" s="7"/>
      <c r="T12" s="9"/>
      <c r="U12" s="7"/>
      <c r="V12" s="8"/>
      <c r="W12" s="7"/>
      <c r="X12" s="7"/>
      <c r="Y12" s="8"/>
      <c r="Z12" s="7"/>
      <c r="AA12" s="242"/>
      <c r="AB12" s="337" t="s">
        <v>44</v>
      </c>
      <c r="AC12" s="337" t="s">
        <v>308</v>
      </c>
      <c r="AF12" s="337" t="s">
        <v>496</v>
      </c>
      <c r="AG12" s="337" t="s">
        <v>554</v>
      </c>
    </row>
    <row r="13" spans="1:37" ht="13.5" thickBot="1" x14ac:dyDescent="0.25">
      <c r="A13" s="10" t="s">
        <v>1395</v>
      </c>
      <c r="B13" s="10" t="s">
        <v>1396</v>
      </c>
      <c r="C13" s="340"/>
      <c r="D13" s="86" t="s">
        <v>882</v>
      </c>
      <c r="E13" s="86" t="s">
        <v>767</v>
      </c>
      <c r="F13" s="7"/>
      <c r="G13" s="8"/>
      <c r="H13" s="7"/>
      <c r="I13" s="41" t="s">
        <v>47</v>
      </c>
      <c r="J13" s="7"/>
      <c r="K13" s="15">
        <v>0.9</v>
      </c>
      <c r="L13" s="7"/>
      <c r="M13" s="8"/>
      <c r="N13" s="7"/>
      <c r="O13" s="8"/>
      <c r="P13" s="7"/>
      <c r="Q13" s="7"/>
      <c r="R13" s="8"/>
      <c r="S13" s="7"/>
      <c r="T13" s="9"/>
      <c r="U13" s="7"/>
      <c r="V13" s="8"/>
      <c r="W13" s="7"/>
      <c r="X13" s="7"/>
      <c r="Y13" s="8"/>
      <c r="Z13" s="7"/>
      <c r="AA13" s="242"/>
      <c r="AB13" s="337" t="s">
        <v>44</v>
      </c>
      <c r="AC13" s="337" t="s">
        <v>313</v>
      </c>
      <c r="AF13" s="337" t="s">
        <v>496</v>
      </c>
      <c r="AG13" s="337" t="s">
        <v>549</v>
      </c>
    </row>
    <row r="14" spans="1:37" ht="13.5" thickBot="1" x14ac:dyDescent="0.25">
      <c r="A14" s="10" t="s">
        <v>1397</v>
      </c>
      <c r="B14" s="10" t="s">
        <v>1398</v>
      </c>
      <c r="D14" s="86" t="s">
        <v>530</v>
      </c>
      <c r="E14" s="86" t="s">
        <v>759</v>
      </c>
      <c r="F14" s="7"/>
      <c r="G14" s="8"/>
      <c r="H14" s="7"/>
      <c r="I14" s="80" t="s">
        <v>382</v>
      </c>
      <c r="J14" s="7"/>
      <c r="K14" s="15">
        <v>1</v>
      </c>
      <c r="L14" s="7"/>
      <c r="M14" s="8"/>
      <c r="N14" s="7"/>
      <c r="O14" s="8"/>
      <c r="P14" s="7"/>
      <c r="Q14" s="7"/>
      <c r="R14" s="8"/>
      <c r="S14" s="7"/>
      <c r="T14" s="9"/>
      <c r="U14" s="7"/>
      <c r="V14" s="8"/>
      <c r="W14" s="7"/>
      <c r="X14" s="7"/>
      <c r="Y14" s="8"/>
      <c r="Z14" s="7"/>
      <c r="AA14" s="242"/>
      <c r="AB14" s="337" t="s">
        <v>44</v>
      </c>
      <c r="AC14" s="337" t="s">
        <v>361</v>
      </c>
      <c r="AF14" s="337" t="s">
        <v>496</v>
      </c>
      <c r="AG14" s="337" t="s">
        <v>544</v>
      </c>
    </row>
    <row r="15" spans="1:37" ht="13.5" thickBot="1" x14ac:dyDescent="0.25">
      <c r="A15" s="10" t="s">
        <v>1399</v>
      </c>
      <c r="B15" s="10" t="s">
        <v>1400</v>
      </c>
      <c r="D15" s="86" t="s">
        <v>473</v>
      </c>
      <c r="E15" s="86" t="s">
        <v>728</v>
      </c>
      <c r="F15" s="7"/>
      <c r="G15" s="8"/>
      <c r="H15" s="7"/>
      <c r="I15" s="41" t="s">
        <v>452</v>
      </c>
      <c r="J15" s="7"/>
      <c r="K15" s="8"/>
      <c r="L15" s="7"/>
      <c r="M15" s="8"/>
      <c r="N15" s="7"/>
      <c r="O15" s="8"/>
      <c r="P15" s="7"/>
      <c r="Q15" s="7"/>
      <c r="R15" s="8"/>
      <c r="S15" s="7"/>
      <c r="T15" s="9"/>
      <c r="U15" s="7"/>
      <c r="V15" s="8"/>
      <c r="W15" s="7"/>
      <c r="X15" s="7"/>
      <c r="Y15" s="8"/>
      <c r="Z15" s="7"/>
      <c r="AA15" s="242"/>
      <c r="AB15" s="337" t="s">
        <v>44</v>
      </c>
      <c r="AC15" s="337" t="s">
        <v>315</v>
      </c>
      <c r="AF15" s="337" t="s">
        <v>496</v>
      </c>
      <c r="AG15" s="337" t="s">
        <v>497</v>
      </c>
    </row>
    <row r="16" spans="1:37" ht="13.5" thickBot="1" x14ac:dyDescent="0.25">
      <c r="A16" s="10" t="s">
        <v>1402</v>
      </c>
      <c r="B16" s="10" t="s">
        <v>583</v>
      </c>
      <c r="D16" s="86" t="s">
        <v>1268</v>
      </c>
      <c r="E16" s="86" t="s">
        <v>729</v>
      </c>
      <c r="F16" s="7"/>
      <c r="G16" s="8"/>
      <c r="H16" s="7"/>
      <c r="I16" s="41" t="s">
        <v>881</v>
      </c>
      <c r="J16" s="7"/>
      <c r="K16" s="8"/>
      <c r="L16" s="7"/>
      <c r="M16" s="8"/>
      <c r="N16" s="7"/>
      <c r="O16" s="8"/>
      <c r="P16" s="7"/>
      <c r="Q16" s="7"/>
      <c r="R16" s="8"/>
      <c r="S16" s="7"/>
      <c r="T16" s="9"/>
      <c r="U16" s="7"/>
      <c r="V16" s="8"/>
      <c r="W16" s="7"/>
      <c r="X16" s="7"/>
      <c r="Y16" s="8"/>
      <c r="Z16" s="7"/>
      <c r="AA16" s="242"/>
      <c r="AB16" s="337" t="s">
        <v>44</v>
      </c>
      <c r="AC16" s="337" t="s">
        <v>1401</v>
      </c>
      <c r="AF16" s="337" t="s">
        <v>496</v>
      </c>
      <c r="AG16" s="337" t="s">
        <v>567</v>
      </c>
    </row>
    <row r="17" spans="1:33" ht="13.5" thickBot="1" x14ac:dyDescent="0.25">
      <c r="A17" s="10" t="s">
        <v>1403</v>
      </c>
      <c r="B17" s="10" t="s">
        <v>1404</v>
      </c>
      <c r="D17" s="86" t="s">
        <v>45</v>
      </c>
      <c r="E17" s="86" t="s">
        <v>707</v>
      </c>
      <c r="F17" s="7"/>
      <c r="G17" s="8"/>
      <c r="H17" s="7"/>
      <c r="I17" s="41" t="s">
        <v>445</v>
      </c>
      <c r="J17" s="7"/>
      <c r="K17" s="8"/>
      <c r="L17" s="7"/>
      <c r="M17" s="8"/>
      <c r="N17" s="7"/>
      <c r="O17" s="8"/>
      <c r="P17" s="7"/>
      <c r="Q17" s="7"/>
      <c r="R17" s="8"/>
      <c r="S17" s="7"/>
      <c r="T17" s="9"/>
      <c r="U17" s="7"/>
      <c r="V17" s="8"/>
      <c r="W17" s="7"/>
      <c r="X17" s="7"/>
      <c r="Y17" s="8"/>
      <c r="Z17" s="7"/>
      <c r="AA17" s="242"/>
      <c r="AB17" s="337" t="s">
        <v>44</v>
      </c>
      <c r="AC17" s="337" t="s">
        <v>329</v>
      </c>
      <c r="AF17" s="337" t="s">
        <v>496</v>
      </c>
      <c r="AG17" s="337" t="s">
        <v>556</v>
      </c>
    </row>
    <row r="18" spans="1:33" ht="13.5" thickBot="1" x14ac:dyDescent="0.25">
      <c r="A18" s="72" t="s">
        <v>1405</v>
      </c>
      <c r="B18" s="10" t="s">
        <v>1406</v>
      </c>
      <c r="D18" s="86" t="s">
        <v>885</v>
      </c>
      <c r="E18" s="86" t="s">
        <v>843</v>
      </c>
      <c r="F18" s="7"/>
      <c r="G18" s="8"/>
      <c r="H18" s="7"/>
      <c r="I18" s="41" t="s">
        <v>438</v>
      </c>
      <c r="J18" s="7"/>
      <c r="K18" s="8"/>
      <c r="L18" s="7"/>
      <c r="M18" s="8"/>
      <c r="N18" s="7"/>
      <c r="O18" s="8"/>
      <c r="P18" s="7"/>
      <c r="Q18" s="7"/>
      <c r="R18" s="8"/>
      <c r="S18" s="7"/>
      <c r="T18" s="9"/>
      <c r="U18" s="7"/>
      <c r="V18" s="8"/>
      <c r="W18" s="7"/>
      <c r="X18" s="7"/>
      <c r="Y18" s="8"/>
      <c r="Z18" s="7"/>
      <c r="AA18" s="242"/>
      <c r="AB18" s="337" t="s">
        <v>44</v>
      </c>
      <c r="AC18" s="337" t="s">
        <v>370</v>
      </c>
      <c r="AF18" s="337" t="s">
        <v>496</v>
      </c>
      <c r="AG18" s="337" t="s">
        <v>545</v>
      </c>
    </row>
    <row r="19" spans="1:33" ht="13.5" thickBot="1" x14ac:dyDescent="0.25">
      <c r="A19" s="72" t="s">
        <v>1407</v>
      </c>
      <c r="B19" s="10" t="s">
        <v>297</v>
      </c>
      <c r="D19" s="86" t="s">
        <v>476</v>
      </c>
      <c r="E19" s="86" t="s">
        <v>842</v>
      </c>
      <c r="F19" s="7"/>
      <c r="G19" s="8"/>
      <c r="H19" s="7"/>
      <c r="I19" s="41" t="s">
        <v>478</v>
      </c>
      <c r="J19" s="7"/>
      <c r="K19" s="8"/>
      <c r="L19" s="7"/>
      <c r="M19" s="8"/>
      <c r="N19" s="7"/>
      <c r="O19" s="8"/>
      <c r="P19" s="7"/>
      <c r="Q19" s="7"/>
      <c r="R19" s="8"/>
      <c r="S19" s="7"/>
      <c r="T19" s="9"/>
      <c r="U19" s="7"/>
      <c r="V19" s="8"/>
      <c r="W19" s="7"/>
      <c r="X19" s="7"/>
      <c r="Y19" s="8"/>
      <c r="Z19" s="7"/>
      <c r="AA19" s="242"/>
      <c r="AB19" s="337" t="s">
        <v>44</v>
      </c>
      <c r="AC19" s="337" t="s">
        <v>340</v>
      </c>
      <c r="AF19" s="337" t="s">
        <v>496</v>
      </c>
      <c r="AG19" s="337" t="s">
        <v>551</v>
      </c>
    </row>
    <row r="20" spans="1:33" ht="13.5" thickBot="1" x14ac:dyDescent="0.25">
      <c r="A20" s="72" t="s">
        <v>42</v>
      </c>
      <c r="B20" s="10" t="s">
        <v>43</v>
      </c>
      <c r="D20" s="86" t="s">
        <v>483</v>
      </c>
      <c r="E20" s="86" t="s">
        <v>818</v>
      </c>
      <c r="F20" s="7"/>
      <c r="G20" s="8"/>
      <c r="H20" s="7"/>
      <c r="I20" s="41" t="s">
        <v>487</v>
      </c>
      <c r="J20" s="7"/>
      <c r="K20" s="8"/>
      <c r="L20" s="7"/>
      <c r="M20" s="8"/>
      <c r="N20" s="7"/>
      <c r="O20" s="8"/>
      <c r="P20" s="7"/>
      <c r="Q20" s="7"/>
      <c r="R20" s="8"/>
      <c r="S20" s="7"/>
      <c r="T20" s="9"/>
      <c r="U20" s="7"/>
      <c r="V20" s="8"/>
      <c r="W20" s="7"/>
      <c r="X20" s="7"/>
      <c r="Y20" s="8"/>
      <c r="Z20" s="7"/>
      <c r="AA20" s="242"/>
      <c r="AB20" s="337" t="s">
        <v>44</v>
      </c>
      <c r="AC20" s="337" t="s">
        <v>1330</v>
      </c>
      <c r="AF20" s="337" t="s">
        <v>496</v>
      </c>
      <c r="AG20" s="337" t="s">
        <v>558</v>
      </c>
    </row>
    <row r="21" spans="1:33" ht="13.5" thickBot="1" x14ac:dyDescent="0.25">
      <c r="A21" s="72" t="s">
        <v>1409</v>
      </c>
      <c r="B21" s="10" t="s">
        <v>1410</v>
      </c>
      <c r="D21" s="86" t="s">
        <v>308</v>
      </c>
      <c r="E21" s="86" t="s">
        <v>756</v>
      </c>
      <c r="F21" s="7"/>
      <c r="G21" s="8"/>
      <c r="H21" s="7"/>
      <c r="I21" s="70" t="s">
        <v>1411</v>
      </c>
      <c r="J21" s="7"/>
      <c r="K21" s="8"/>
      <c r="L21" s="7"/>
      <c r="M21" s="8"/>
      <c r="N21" s="7"/>
      <c r="O21" s="8"/>
      <c r="P21" s="7"/>
      <c r="Q21" s="7"/>
      <c r="R21" s="8"/>
      <c r="S21" s="7"/>
      <c r="T21" s="9"/>
      <c r="U21" s="7"/>
      <c r="V21" s="8"/>
      <c r="W21" s="7"/>
      <c r="X21" s="7"/>
      <c r="Y21" s="8"/>
      <c r="Z21" s="7"/>
      <c r="AA21" s="242"/>
      <c r="AB21" s="337" t="s">
        <v>44</v>
      </c>
      <c r="AC21" s="337" t="s">
        <v>1408</v>
      </c>
      <c r="AF21" s="337" t="s">
        <v>496</v>
      </c>
      <c r="AG21" s="337" t="s">
        <v>552</v>
      </c>
    </row>
    <row r="22" spans="1:33" ht="13.5" thickBot="1" x14ac:dyDescent="0.25">
      <c r="A22" s="72"/>
      <c r="B22" s="10" t="s">
        <v>1412</v>
      </c>
      <c r="D22" s="86" t="s">
        <v>313</v>
      </c>
      <c r="E22" s="86" t="s">
        <v>719</v>
      </c>
      <c r="F22" s="7"/>
      <c r="G22" s="8"/>
      <c r="H22" s="7"/>
      <c r="I22" s="70" t="s">
        <v>1413</v>
      </c>
      <c r="J22" s="7"/>
      <c r="K22" s="8"/>
      <c r="L22" s="7"/>
      <c r="M22" s="8"/>
      <c r="N22" s="7"/>
      <c r="O22" s="8"/>
      <c r="P22" s="7"/>
      <c r="Q22" s="7"/>
      <c r="R22" s="8"/>
      <c r="S22" s="7"/>
      <c r="T22" s="9"/>
      <c r="U22" s="7"/>
      <c r="V22" s="8"/>
      <c r="W22" s="7"/>
      <c r="X22" s="7"/>
      <c r="Y22" s="8"/>
      <c r="Z22" s="7"/>
      <c r="AA22" s="242"/>
      <c r="AB22" s="337" t="s">
        <v>44</v>
      </c>
      <c r="AC22" s="337" t="s">
        <v>298</v>
      </c>
      <c r="AF22" s="337" t="s">
        <v>496</v>
      </c>
      <c r="AG22" s="337" t="s">
        <v>568</v>
      </c>
    </row>
    <row r="23" spans="1:33" ht="13.5" thickBot="1" x14ac:dyDescent="0.25">
      <c r="A23" s="72"/>
      <c r="B23" s="10" t="s">
        <v>1414</v>
      </c>
      <c r="D23" s="86" t="s">
        <v>361</v>
      </c>
      <c r="E23" s="86" t="s">
        <v>838</v>
      </c>
      <c r="F23" s="7"/>
      <c r="G23" s="8"/>
      <c r="H23" s="7"/>
      <c r="I23" s="41" t="s">
        <v>505</v>
      </c>
      <c r="J23" s="7"/>
      <c r="K23" s="8"/>
      <c r="L23" s="7"/>
      <c r="M23" s="8"/>
      <c r="N23" s="7"/>
      <c r="O23" s="8"/>
      <c r="P23" s="7"/>
      <c r="Q23" s="7"/>
      <c r="R23" s="8"/>
      <c r="S23" s="7"/>
      <c r="T23" s="9"/>
      <c r="U23" s="7"/>
      <c r="V23" s="8"/>
      <c r="W23" s="7"/>
      <c r="X23" s="7"/>
      <c r="Y23" s="8"/>
      <c r="Z23" s="7"/>
      <c r="AA23" s="242"/>
      <c r="AB23" s="337" t="s">
        <v>464</v>
      </c>
      <c r="AC23" s="337" t="s">
        <v>496</v>
      </c>
      <c r="AF23" s="337" t="s">
        <v>496</v>
      </c>
      <c r="AG23" s="337" t="s">
        <v>559</v>
      </c>
    </row>
    <row r="24" spans="1:33" ht="13.5" thickBot="1" x14ac:dyDescent="0.25">
      <c r="A24" s="72"/>
      <c r="B24" s="10" t="s">
        <v>1415</v>
      </c>
      <c r="D24" s="86" t="s">
        <v>649</v>
      </c>
      <c r="E24" s="86" t="s">
        <v>798</v>
      </c>
      <c r="F24" s="7"/>
      <c r="G24" s="8"/>
      <c r="H24" s="7"/>
      <c r="I24" s="41" t="s">
        <v>884</v>
      </c>
      <c r="J24" s="7"/>
      <c r="K24" s="8"/>
      <c r="L24" s="7"/>
      <c r="M24" s="8"/>
      <c r="N24" s="7"/>
      <c r="O24" s="8"/>
      <c r="P24" s="7"/>
      <c r="Q24" s="7"/>
      <c r="R24" s="8"/>
      <c r="S24" s="7"/>
      <c r="T24" s="9"/>
      <c r="U24" s="7"/>
      <c r="V24" s="8"/>
      <c r="W24" s="7"/>
      <c r="X24" s="7"/>
      <c r="Y24" s="8"/>
      <c r="Z24" s="7"/>
      <c r="AA24" s="242"/>
      <c r="AB24" s="337" t="s">
        <v>464</v>
      </c>
      <c r="AC24" s="337" t="s">
        <v>490</v>
      </c>
      <c r="AF24" s="337" t="s">
        <v>496</v>
      </c>
      <c r="AG24" s="337" t="s">
        <v>561</v>
      </c>
    </row>
    <row r="25" spans="1:33" ht="13.5" thickBot="1" x14ac:dyDescent="0.25">
      <c r="A25" s="340"/>
      <c r="B25" s="10" t="s">
        <v>463</v>
      </c>
      <c r="D25" s="86" t="s">
        <v>888</v>
      </c>
      <c r="E25" s="86" t="s">
        <v>791</v>
      </c>
      <c r="F25" s="7"/>
      <c r="G25" s="8"/>
      <c r="H25" s="7"/>
      <c r="I25" s="70" t="s">
        <v>1417</v>
      </c>
      <c r="J25" s="7"/>
      <c r="K25" s="8"/>
      <c r="L25" s="7"/>
      <c r="M25" s="8"/>
      <c r="N25" s="7"/>
      <c r="O25" s="8"/>
      <c r="P25" s="7"/>
      <c r="Q25" s="7"/>
      <c r="R25" s="8"/>
      <c r="S25" s="7"/>
      <c r="T25" s="9"/>
      <c r="U25" s="7"/>
      <c r="V25" s="8"/>
      <c r="W25" s="7"/>
      <c r="X25" s="7"/>
      <c r="Y25" s="8"/>
      <c r="Z25" s="7"/>
      <c r="AA25" s="242"/>
      <c r="AB25" s="337" t="s">
        <v>464</v>
      </c>
      <c r="AC25" s="337" t="s">
        <v>1416</v>
      </c>
      <c r="AF25" s="337" t="s">
        <v>496</v>
      </c>
      <c r="AG25" s="337" t="s">
        <v>547</v>
      </c>
    </row>
    <row r="26" spans="1:33" ht="13.5" thickBot="1" x14ac:dyDescent="0.25">
      <c r="A26" s="340"/>
      <c r="B26" s="10" t="s">
        <v>479</v>
      </c>
      <c r="D26" s="86" t="s">
        <v>572</v>
      </c>
      <c r="E26" s="86" t="s">
        <v>782</v>
      </c>
      <c r="F26" s="7"/>
      <c r="G26" s="8"/>
      <c r="H26" s="7"/>
      <c r="I26" s="41" t="s">
        <v>639</v>
      </c>
      <c r="J26" s="7"/>
      <c r="K26" s="8"/>
      <c r="L26" s="7"/>
      <c r="M26" s="8"/>
      <c r="N26" s="7"/>
      <c r="O26" s="8"/>
      <c r="P26" s="7"/>
      <c r="Q26" s="7"/>
      <c r="R26" s="8"/>
      <c r="S26" s="7"/>
      <c r="T26" s="9"/>
      <c r="U26" s="7"/>
      <c r="V26" s="8"/>
      <c r="W26" s="7"/>
      <c r="X26" s="7"/>
      <c r="Y26" s="8"/>
      <c r="Z26" s="7"/>
      <c r="AA26" s="242"/>
      <c r="AB26" s="337" t="s">
        <v>464</v>
      </c>
      <c r="AC26" s="337" t="s">
        <v>530</v>
      </c>
      <c r="AF26" s="337" t="s">
        <v>496</v>
      </c>
      <c r="AG26" s="337" t="s">
        <v>553</v>
      </c>
    </row>
    <row r="27" spans="1:33" ht="13.5" thickBot="1" x14ac:dyDescent="0.25">
      <c r="B27" s="10" t="s">
        <v>1418</v>
      </c>
      <c r="D27" s="86" t="s">
        <v>315</v>
      </c>
      <c r="E27" s="86" t="s">
        <v>710</v>
      </c>
      <c r="F27" s="7"/>
      <c r="G27" s="8"/>
      <c r="H27" s="7"/>
      <c r="I27" s="41" t="s">
        <v>510</v>
      </c>
      <c r="J27" s="7"/>
      <c r="K27" s="8"/>
      <c r="L27" s="7"/>
      <c r="M27" s="8"/>
      <c r="N27" s="7"/>
      <c r="O27" s="8"/>
      <c r="P27" s="7"/>
      <c r="Q27" s="7"/>
      <c r="R27" s="8"/>
      <c r="S27" s="7"/>
      <c r="T27" s="9"/>
      <c r="U27" s="7"/>
      <c r="V27" s="8"/>
      <c r="W27" s="7"/>
      <c r="X27" s="7"/>
      <c r="Y27" s="8"/>
      <c r="Z27" s="7"/>
      <c r="AA27" s="242"/>
      <c r="AB27" s="337" t="s">
        <v>464</v>
      </c>
      <c r="AC27" s="337" t="s">
        <v>473</v>
      </c>
      <c r="AF27" s="337" t="s">
        <v>496</v>
      </c>
      <c r="AG27" s="337" t="s">
        <v>550</v>
      </c>
    </row>
    <row r="28" spans="1:33" ht="13.5" thickBot="1" x14ac:dyDescent="0.25">
      <c r="B28" s="10" t="s">
        <v>1419</v>
      </c>
      <c r="D28" s="86" t="s">
        <v>879</v>
      </c>
      <c r="E28" s="86" t="s">
        <v>758</v>
      </c>
      <c r="F28" s="7"/>
      <c r="G28" s="8"/>
      <c r="H28" s="7"/>
      <c r="I28" s="41" t="s">
        <v>467</v>
      </c>
      <c r="J28" s="7"/>
      <c r="K28" s="8"/>
      <c r="L28" s="7"/>
      <c r="M28" s="8"/>
      <c r="N28" s="7"/>
      <c r="O28" s="8"/>
      <c r="P28" s="7"/>
      <c r="Q28" s="7"/>
      <c r="R28" s="8"/>
      <c r="S28" s="7"/>
      <c r="T28" s="9"/>
      <c r="U28" s="7"/>
      <c r="V28" s="8"/>
      <c r="W28" s="7"/>
      <c r="X28" s="7"/>
      <c r="Y28" s="8"/>
      <c r="Z28" s="7"/>
      <c r="AA28" s="242"/>
      <c r="AB28" s="337" t="s">
        <v>464</v>
      </c>
      <c r="AC28" s="337" t="s">
        <v>476</v>
      </c>
      <c r="AF28" s="337" t="s">
        <v>496</v>
      </c>
      <c r="AG28" s="337" t="s">
        <v>548</v>
      </c>
    </row>
    <row r="29" spans="1:33" ht="13.5" thickBot="1" x14ac:dyDescent="0.25">
      <c r="A29" s="340"/>
      <c r="B29" s="10" t="s">
        <v>348</v>
      </c>
      <c r="C29" s="340"/>
      <c r="D29" s="86" t="s">
        <v>903</v>
      </c>
      <c r="E29" s="86" t="s">
        <v>765</v>
      </c>
      <c r="F29" s="7"/>
      <c r="G29" s="8"/>
      <c r="H29" s="7"/>
      <c r="I29" s="41" t="s">
        <v>459</v>
      </c>
      <c r="J29" s="7"/>
      <c r="K29" s="8"/>
      <c r="L29" s="7"/>
      <c r="M29" s="8"/>
      <c r="N29" s="7"/>
      <c r="O29" s="8"/>
      <c r="P29" s="7"/>
      <c r="Q29" s="7"/>
      <c r="R29" s="8"/>
      <c r="S29" s="7"/>
      <c r="T29" s="9"/>
      <c r="U29" s="7"/>
      <c r="V29" s="8"/>
      <c r="W29" s="7"/>
      <c r="X29" s="7"/>
      <c r="Y29" s="8"/>
      <c r="Z29" s="7"/>
      <c r="AA29" s="242"/>
      <c r="AB29" s="337" t="s">
        <v>464</v>
      </c>
      <c r="AC29" s="337" t="s">
        <v>483</v>
      </c>
      <c r="AF29" s="337" t="s">
        <v>496</v>
      </c>
      <c r="AG29" s="337" t="s">
        <v>565</v>
      </c>
    </row>
    <row r="30" spans="1:33" ht="13.5" thickBot="1" x14ac:dyDescent="0.25">
      <c r="A30" s="340"/>
      <c r="B30" s="10" t="s">
        <v>1420</v>
      </c>
      <c r="D30" s="86" t="s">
        <v>1317</v>
      </c>
      <c r="E30" s="86" t="s">
        <v>828</v>
      </c>
      <c r="F30" s="7"/>
      <c r="G30" s="8"/>
      <c r="H30" s="7"/>
      <c r="I30" s="70" t="s">
        <v>1421</v>
      </c>
      <c r="J30" s="7"/>
      <c r="K30" s="8"/>
      <c r="L30" s="7"/>
      <c r="M30" s="8"/>
      <c r="N30" s="7"/>
      <c r="O30" s="8"/>
      <c r="P30" s="7"/>
      <c r="Q30" s="7"/>
      <c r="R30" s="8"/>
      <c r="S30" s="7"/>
      <c r="T30" s="9"/>
      <c r="U30" s="7"/>
      <c r="V30" s="8"/>
      <c r="W30" s="7"/>
      <c r="X30" s="7"/>
      <c r="Y30" s="8"/>
      <c r="Z30" s="7"/>
      <c r="AA30" s="242"/>
      <c r="AB30" s="337" t="s">
        <v>464</v>
      </c>
      <c r="AC30" s="337" t="s">
        <v>649</v>
      </c>
      <c r="AF30" s="337" t="s">
        <v>496</v>
      </c>
      <c r="AG30" s="337" t="s">
        <v>563</v>
      </c>
    </row>
    <row r="31" spans="1:33" ht="13.5" thickBot="1" x14ac:dyDescent="0.25">
      <c r="A31" s="340"/>
      <c r="B31" s="10" t="s">
        <v>1423</v>
      </c>
      <c r="D31" s="86" t="s">
        <v>575</v>
      </c>
      <c r="E31" s="86" t="s">
        <v>829</v>
      </c>
      <c r="F31" s="7"/>
      <c r="G31" s="8"/>
      <c r="H31" s="7"/>
      <c r="I31" s="41" t="s">
        <v>401</v>
      </c>
      <c r="J31" s="7"/>
      <c r="K31" s="8"/>
      <c r="L31" s="7"/>
      <c r="M31" s="8"/>
      <c r="N31" s="7"/>
      <c r="O31" s="8"/>
      <c r="P31" s="7"/>
      <c r="Q31" s="7"/>
      <c r="R31" s="8"/>
      <c r="S31" s="7"/>
      <c r="T31" s="9"/>
      <c r="U31" s="7"/>
      <c r="V31" s="8"/>
      <c r="W31" s="7"/>
      <c r="X31" s="7"/>
      <c r="Y31" s="8"/>
      <c r="Z31" s="7"/>
      <c r="AA31" s="242"/>
      <c r="AB31" s="337" t="s">
        <v>464</v>
      </c>
      <c r="AC31" s="337" t="s">
        <v>1422</v>
      </c>
      <c r="AF31" s="337" t="s">
        <v>496</v>
      </c>
      <c r="AG31" s="337" t="s">
        <v>560</v>
      </c>
    </row>
    <row r="32" spans="1:33" ht="13.5" thickBot="1" x14ac:dyDescent="0.25">
      <c r="A32" s="340"/>
      <c r="B32" s="10" t="s">
        <v>1424</v>
      </c>
      <c r="D32" s="86" t="s">
        <v>630</v>
      </c>
      <c r="E32" s="86" t="s">
        <v>1133</v>
      </c>
      <c r="F32" s="7"/>
      <c r="G32" s="8"/>
      <c r="H32" s="7"/>
      <c r="I32" s="41" t="s">
        <v>907</v>
      </c>
      <c r="J32" s="7"/>
      <c r="K32" s="8"/>
      <c r="L32" s="7"/>
      <c r="M32" s="8"/>
      <c r="N32" s="7"/>
      <c r="O32" s="8"/>
      <c r="P32" s="7"/>
      <c r="Q32" s="7"/>
      <c r="R32" s="8"/>
      <c r="S32" s="7"/>
      <c r="T32" s="9"/>
      <c r="U32" s="7"/>
      <c r="V32" s="8"/>
      <c r="W32" s="7"/>
      <c r="X32" s="7"/>
      <c r="Y32" s="8"/>
      <c r="Z32" s="7"/>
      <c r="AA32" s="242"/>
      <c r="AB32" s="337" t="s">
        <v>464</v>
      </c>
      <c r="AC32" s="337" t="s">
        <v>572</v>
      </c>
      <c r="AF32" s="337" t="s">
        <v>351</v>
      </c>
      <c r="AG32" s="337" t="s">
        <v>1276</v>
      </c>
    </row>
    <row r="33" spans="2:33" ht="13.5" thickBot="1" x14ac:dyDescent="0.25">
      <c r="B33" s="10" t="s">
        <v>1425</v>
      </c>
      <c r="D33" s="86" t="s">
        <v>329</v>
      </c>
      <c r="E33" s="86" t="s">
        <v>709</v>
      </c>
      <c r="F33" s="7"/>
      <c r="G33" s="8"/>
      <c r="H33" s="7"/>
      <c r="I33" s="22" t="s">
        <v>457</v>
      </c>
      <c r="J33" s="7"/>
      <c r="K33" s="8"/>
      <c r="L33" s="7"/>
      <c r="M33" s="8"/>
      <c r="N33" s="7"/>
      <c r="O33" s="8"/>
      <c r="P33" s="7"/>
      <c r="Q33" s="7"/>
      <c r="R33" s="8"/>
      <c r="S33" s="7"/>
      <c r="T33" s="9"/>
      <c r="U33" s="7"/>
      <c r="V33" s="8"/>
      <c r="W33" s="7"/>
      <c r="X33" s="7"/>
      <c r="Y33" s="8"/>
      <c r="Z33" s="7"/>
      <c r="AA33" s="242"/>
      <c r="AB33" s="337" t="s">
        <v>464</v>
      </c>
      <c r="AC33" s="337" t="s">
        <v>575</v>
      </c>
      <c r="AF33" s="337" t="s">
        <v>351</v>
      </c>
      <c r="AG33" s="337" t="s">
        <v>437</v>
      </c>
    </row>
    <row r="34" spans="2:33" ht="13.5" thickBot="1" x14ac:dyDescent="0.25">
      <c r="B34" s="10" t="s">
        <v>1426</v>
      </c>
      <c r="D34" s="86" t="s">
        <v>527</v>
      </c>
      <c r="E34" s="86" t="s">
        <v>839</v>
      </c>
      <c r="F34" s="7"/>
      <c r="G34" s="8"/>
      <c r="H34" s="7"/>
      <c r="I34" s="22" t="s">
        <v>2220</v>
      </c>
      <c r="J34" s="7"/>
      <c r="K34" s="8"/>
      <c r="L34" s="7"/>
      <c r="M34" s="8"/>
      <c r="N34" s="7"/>
      <c r="O34" s="8"/>
      <c r="P34" s="7"/>
      <c r="Q34" s="7"/>
      <c r="R34" s="8"/>
      <c r="S34" s="7"/>
      <c r="T34" s="9"/>
      <c r="U34" s="7"/>
      <c r="V34" s="8"/>
      <c r="W34" s="7"/>
      <c r="X34" s="7"/>
      <c r="Y34" s="8"/>
      <c r="Z34" s="7"/>
      <c r="AA34" s="242"/>
      <c r="AB34" s="337" t="s">
        <v>464</v>
      </c>
      <c r="AC34" s="337" t="s">
        <v>630</v>
      </c>
      <c r="AF34" s="337" t="s">
        <v>351</v>
      </c>
      <c r="AG34" s="337" t="s">
        <v>352</v>
      </c>
    </row>
    <row r="35" spans="2:33" ht="13.5" thickBot="1" x14ac:dyDescent="0.25">
      <c r="B35" s="10" t="s">
        <v>542</v>
      </c>
      <c r="D35" s="86" t="s">
        <v>508</v>
      </c>
      <c r="E35" s="86" t="s">
        <v>796</v>
      </c>
      <c r="F35" s="7"/>
      <c r="G35" s="8"/>
      <c r="H35" s="7"/>
      <c r="I35" s="41" t="s">
        <v>2522</v>
      </c>
      <c r="J35" s="7"/>
      <c r="K35" s="8"/>
      <c r="L35" s="7"/>
      <c r="M35" s="8"/>
      <c r="N35" s="7"/>
      <c r="O35" s="8"/>
      <c r="P35" s="7"/>
      <c r="Q35" s="7"/>
      <c r="R35" s="8"/>
      <c r="S35" s="7"/>
      <c r="T35" s="9"/>
      <c r="U35" s="7"/>
      <c r="V35" s="8"/>
      <c r="W35" s="7"/>
      <c r="X35" s="7"/>
      <c r="Y35" s="8"/>
      <c r="Z35" s="7"/>
      <c r="AA35" s="242"/>
      <c r="AB35" s="337" t="s">
        <v>464</v>
      </c>
      <c r="AC35" s="337" t="s">
        <v>527</v>
      </c>
      <c r="AF35" s="337" t="s">
        <v>351</v>
      </c>
      <c r="AG35" s="337" t="s">
        <v>1284</v>
      </c>
    </row>
    <row r="36" spans="2:33" ht="13.5" thickBot="1" x14ac:dyDescent="0.25">
      <c r="B36" s="10" t="s">
        <v>1427</v>
      </c>
      <c r="D36" s="86" t="s">
        <v>370</v>
      </c>
      <c r="E36" s="86" t="s">
        <v>831</v>
      </c>
      <c r="F36" s="7"/>
      <c r="G36" s="8"/>
      <c r="H36" s="7"/>
      <c r="I36" s="41" t="s">
        <v>300</v>
      </c>
      <c r="J36" s="7"/>
      <c r="K36" s="8"/>
      <c r="L36" s="7"/>
      <c r="M36" s="8"/>
      <c r="N36" s="7"/>
      <c r="O36" s="8"/>
      <c r="P36" s="7"/>
      <c r="Q36" s="7"/>
      <c r="R36" s="8"/>
      <c r="S36" s="7"/>
      <c r="T36" s="9"/>
      <c r="U36" s="7"/>
      <c r="V36" s="8"/>
      <c r="W36" s="7"/>
      <c r="X36" s="7"/>
      <c r="Y36" s="8"/>
      <c r="Z36" s="7"/>
      <c r="AA36" s="242"/>
      <c r="AB36" s="337" t="s">
        <v>464</v>
      </c>
      <c r="AC36" s="337" t="s">
        <v>508</v>
      </c>
      <c r="AF36" s="337" t="s">
        <v>351</v>
      </c>
      <c r="AG36" s="337" t="s">
        <v>1197</v>
      </c>
    </row>
    <row r="37" spans="2:33" ht="13.5" thickBot="1" x14ac:dyDescent="0.25">
      <c r="B37" s="10" t="s">
        <v>470</v>
      </c>
      <c r="D37" s="86" t="s">
        <v>465</v>
      </c>
      <c r="E37" s="86" t="s">
        <v>746</v>
      </c>
      <c r="F37" s="7"/>
      <c r="G37" s="8"/>
      <c r="H37" s="7"/>
      <c r="I37" s="41" t="s">
        <v>2522</v>
      </c>
      <c r="J37" s="7"/>
      <c r="K37" s="8"/>
      <c r="L37" s="7"/>
      <c r="M37" s="8"/>
      <c r="N37" s="7"/>
      <c r="O37" s="8"/>
      <c r="P37" s="7"/>
      <c r="Q37" s="7"/>
      <c r="R37" s="8"/>
      <c r="S37" s="7"/>
      <c r="T37" s="9"/>
      <c r="U37" s="7"/>
      <c r="V37" s="8"/>
      <c r="W37" s="7"/>
      <c r="X37" s="7"/>
      <c r="Y37" s="8"/>
      <c r="Z37" s="7"/>
      <c r="AA37" s="242"/>
      <c r="AB37" s="337" t="s">
        <v>464</v>
      </c>
      <c r="AC37" s="337" t="s">
        <v>465</v>
      </c>
      <c r="AF37" s="337" t="s">
        <v>351</v>
      </c>
      <c r="AG37" s="337" t="s">
        <v>952</v>
      </c>
    </row>
    <row r="38" spans="2:33" ht="13.5" thickBot="1" x14ac:dyDescent="0.25">
      <c r="B38" s="10" t="s">
        <v>1429</v>
      </c>
      <c r="D38" s="86" t="s">
        <v>340</v>
      </c>
      <c r="E38" s="86" t="s">
        <v>780</v>
      </c>
      <c r="F38" s="7"/>
      <c r="G38" s="8"/>
      <c r="H38" s="7"/>
      <c r="I38" s="70" t="s">
        <v>979</v>
      </c>
      <c r="J38" s="7"/>
      <c r="K38" s="8"/>
      <c r="L38" s="7"/>
      <c r="M38" s="8"/>
      <c r="N38" s="7"/>
      <c r="O38" s="8"/>
      <c r="P38" s="7"/>
      <c r="Q38" s="7"/>
      <c r="R38" s="8"/>
      <c r="S38" s="7"/>
      <c r="T38" s="9"/>
      <c r="U38" s="7"/>
      <c r="V38" s="8"/>
      <c r="W38" s="7"/>
      <c r="X38" s="7"/>
      <c r="Y38" s="8"/>
      <c r="Z38" s="7"/>
      <c r="AA38" s="242"/>
      <c r="AB38" s="337" t="s">
        <v>464</v>
      </c>
      <c r="AC38" s="337" t="s">
        <v>1428</v>
      </c>
      <c r="AF38" s="337" t="s">
        <v>351</v>
      </c>
      <c r="AG38" s="337" t="s">
        <v>354</v>
      </c>
    </row>
    <row r="39" spans="2:33" ht="13.5" thickBot="1" x14ac:dyDescent="0.25">
      <c r="B39" s="10" t="s">
        <v>539</v>
      </c>
      <c r="D39" s="86" t="s">
        <v>298</v>
      </c>
      <c r="E39" s="86" t="s">
        <v>1431</v>
      </c>
      <c r="F39" s="7"/>
      <c r="G39" s="8"/>
      <c r="H39" s="7"/>
      <c r="I39" s="41" t="s">
        <v>398</v>
      </c>
      <c r="J39" s="7"/>
      <c r="K39" s="8"/>
      <c r="L39" s="7"/>
      <c r="M39" s="8"/>
      <c r="N39" s="7"/>
      <c r="O39" s="8"/>
      <c r="P39" s="7"/>
      <c r="Q39" s="7"/>
      <c r="R39" s="8"/>
      <c r="S39" s="7"/>
      <c r="T39" s="9"/>
      <c r="U39" s="7"/>
      <c r="V39" s="8"/>
      <c r="W39" s="7"/>
      <c r="X39" s="7"/>
      <c r="Y39" s="8"/>
      <c r="Z39" s="7"/>
      <c r="AA39" s="242"/>
      <c r="AB39" s="337" t="s">
        <v>464</v>
      </c>
      <c r="AC39" s="337" t="s">
        <v>1430</v>
      </c>
      <c r="AF39" s="337" t="s">
        <v>351</v>
      </c>
      <c r="AG39" s="337" t="s">
        <v>1196</v>
      </c>
    </row>
    <row r="40" spans="2:33" ht="13.5" thickBot="1" x14ac:dyDescent="0.25">
      <c r="B40" s="10" t="s">
        <v>1433</v>
      </c>
      <c r="D40" s="86"/>
      <c r="E40" s="86" t="s">
        <v>809</v>
      </c>
      <c r="F40" s="7"/>
      <c r="G40" s="8"/>
      <c r="H40" s="7"/>
      <c r="I40" s="41" t="s">
        <v>403</v>
      </c>
      <c r="J40" s="7"/>
      <c r="K40" s="8"/>
      <c r="L40" s="7"/>
      <c r="M40" s="8"/>
      <c r="N40" s="7"/>
      <c r="O40" s="8"/>
      <c r="P40" s="7"/>
      <c r="Q40" s="7"/>
      <c r="R40" s="8"/>
      <c r="S40" s="7"/>
      <c r="T40" s="9"/>
      <c r="U40" s="7"/>
      <c r="V40" s="8"/>
      <c r="W40" s="7"/>
      <c r="X40" s="7"/>
      <c r="Y40" s="8"/>
      <c r="Z40" s="7"/>
      <c r="AA40" s="242"/>
      <c r="AB40" s="337" t="s">
        <v>878</v>
      </c>
      <c r="AC40" s="337" t="s">
        <v>1432</v>
      </c>
      <c r="AF40" s="337" t="s">
        <v>351</v>
      </c>
      <c r="AG40" s="337" t="s">
        <v>356</v>
      </c>
    </row>
    <row r="41" spans="2:33" ht="13.5" thickBot="1" x14ac:dyDescent="0.25">
      <c r="B41" s="10" t="s">
        <v>1435</v>
      </c>
      <c r="D41" s="86"/>
      <c r="E41" s="86" t="s">
        <v>824</v>
      </c>
      <c r="F41" s="7"/>
      <c r="G41" s="8"/>
      <c r="H41" s="7"/>
      <c r="I41" s="41" t="s">
        <v>350</v>
      </c>
      <c r="J41" s="7"/>
      <c r="K41" s="8"/>
      <c r="L41" s="7"/>
      <c r="M41" s="8"/>
      <c r="N41" s="7"/>
      <c r="O41" s="8"/>
      <c r="P41" s="7"/>
      <c r="Q41" s="7"/>
      <c r="R41" s="8"/>
      <c r="S41" s="7"/>
      <c r="T41" s="9"/>
      <c r="U41" s="7"/>
      <c r="V41" s="8"/>
      <c r="W41" s="7"/>
      <c r="X41" s="7"/>
      <c r="Y41" s="8"/>
      <c r="Z41" s="7"/>
      <c r="AA41" s="242"/>
      <c r="AB41" s="337" t="s">
        <v>878</v>
      </c>
      <c r="AC41" s="337" t="s">
        <v>1434</v>
      </c>
      <c r="AF41" s="337" t="s">
        <v>351</v>
      </c>
      <c r="AG41" s="337" t="s">
        <v>357</v>
      </c>
    </row>
    <row r="42" spans="2:33" ht="13.5" thickBot="1" x14ac:dyDescent="0.25">
      <c r="B42" s="10" t="s">
        <v>1437</v>
      </c>
      <c r="D42" s="86"/>
      <c r="E42" s="86" t="s">
        <v>760</v>
      </c>
      <c r="F42" s="7"/>
      <c r="G42" s="8"/>
      <c r="H42" s="7"/>
      <c r="I42" s="41" t="s">
        <v>355</v>
      </c>
      <c r="J42" s="7"/>
      <c r="K42" s="8"/>
      <c r="L42" s="7"/>
      <c r="M42" s="8"/>
      <c r="N42" s="7"/>
      <c r="O42" s="8"/>
      <c r="P42" s="7"/>
      <c r="Q42" s="7"/>
      <c r="R42" s="8"/>
      <c r="S42" s="7"/>
      <c r="T42" s="9"/>
      <c r="U42" s="7"/>
      <c r="V42" s="8"/>
      <c r="W42" s="7"/>
      <c r="X42" s="7"/>
      <c r="Y42" s="8"/>
      <c r="Z42" s="7"/>
      <c r="AA42" s="242"/>
      <c r="AB42" s="337" t="s">
        <v>878</v>
      </c>
      <c r="AC42" s="337" t="s">
        <v>1436</v>
      </c>
      <c r="AF42" s="337" t="s">
        <v>351</v>
      </c>
      <c r="AG42" s="337" t="s">
        <v>359</v>
      </c>
    </row>
    <row r="43" spans="2:33" ht="13.5" thickBot="1" x14ac:dyDescent="0.25">
      <c r="B43" s="10" t="s">
        <v>571</v>
      </c>
      <c r="D43" s="86"/>
      <c r="E43" s="86" t="s">
        <v>722</v>
      </c>
      <c r="F43" s="7"/>
      <c r="G43" s="8"/>
      <c r="H43" s="7"/>
      <c r="I43" s="41" t="s">
        <v>364</v>
      </c>
      <c r="J43" s="7"/>
      <c r="K43" s="8"/>
      <c r="L43" s="7"/>
      <c r="M43" s="8"/>
      <c r="N43" s="7"/>
      <c r="O43" s="8"/>
      <c r="P43" s="7"/>
      <c r="Q43" s="7"/>
      <c r="R43" s="8"/>
      <c r="S43" s="7"/>
      <c r="T43" s="9"/>
      <c r="U43" s="7"/>
      <c r="V43" s="8"/>
      <c r="W43" s="7"/>
      <c r="X43" s="7"/>
      <c r="Y43" s="8"/>
      <c r="Z43" s="7"/>
      <c r="AA43" s="242"/>
      <c r="AB43" s="337" t="s">
        <v>878</v>
      </c>
      <c r="AC43" s="337" t="s">
        <v>1438</v>
      </c>
      <c r="AF43" s="337" t="s">
        <v>351</v>
      </c>
      <c r="AG43" s="337" t="s">
        <v>439</v>
      </c>
    </row>
    <row r="44" spans="2:33" ht="13.5" thickBot="1" x14ac:dyDescent="0.25">
      <c r="B44" s="10" t="s">
        <v>457</v>
      </c>
      <c r="D44" s="86"/>
      <c r="E44" s="86" t="s">
        <v>830</v>
      </c>
      <c r="F44" s="7"/>
      <c r="G44" s="8"/>
      <c r="H44" s="7"/>
      <c r="I44" s="41" t="s">
        <v>893</v>
      </c>
      <c r="J44" s="7"/>
      <c r="K44" s="8"/>
      <c r="L44" s="7"/>
      <c r="M44" s="8"/>
      <c r="N44" s="7"/>
      <c r="O44" s="8"/>
      <c r="P44" s="7"/>
      <c r="Q44" s="7"/>
      <c r="R44" s="8"/>
      <c r="S44" s="7"/>
      <c r="T44" s="9"/>
      <c r="U44" s="7"/>
      <c r="V44" s="8"/>
      <c r="W44" s="7"/>
      <c r="X44" s="7"/>
      <c r="Y44" s="8"/>
      <c r="Z44" s="7"/>
      <c r="AA44" s="242"/>
      <c r="AB44" s="337" t="s">
        <v>878</v>
      </c>
      <c r="AC44" s="337" t="s">
        <v>1439</v>
      </c>
      <c r="AF44" s="337" t="s">
        <v>351</v>
      </c>
      <c r="AG44" s="337" t="s">
        <v>440</v>
      </c>
    </row>
    <row r="45" spans="2:33" ht="13.5" thickBot="1" x14ac:dyDescent="0.25">
      <c r="B45" s="10" t="s">
        <v>1440</v>
      </c>
      <c r="D45" s="86"/>
      <c r="E45" s="86" t="s">
        <v>723</v>
      </c>
      <c r="F45" s="7"/>
      <c r="G45" s="8"/>
      <c r="H45" s="7"/>
      <c r="I45" s="41" t="s">
        <v>353</v>
      </c>
      <c r="J45" s="7"/>
      <c r="K45" s="8"/>
      <c r="L45" s="7"/>
      <c r="M45" s="8"/>
      <c r="N45" s="7"/>
      <c r="O45" s="8"/>
      <c r="P45" s="7"/>
      <c r="Q45" s="7"/>
      <c r="R45" s="8"/>
      <c r="S45" s="7"/>
      <c r="T45" s="9"/>
      <c r="U45" s="7"/>
      <c r="V45" s="8"/>
      <c r="W45" s="7"/>
      <c r="X45" s="7"/>
      <c r="Y45" s="8"/>
      <c r="Z45" s="7"/>
      <c r="AA45" s="242"/>
      <c r="AB45" s="337" t="s">
        <v>878</v>
      </c>
      <c r="AC45" s="337" t="s">
        <v>901</v>
      </c>
      <c r="AF45" s="337" t="s">
        <v>351</v>
      </c>
      <c r="AG45" s="337" t="s">
        <v>1199</v>
      </c>
    </row>
    <row r="46" spans="2:33" ht="13.5" thickBot="1" x14ac:dyDescent="0.25">
      <c r="B46" s="10" t="s">
        <v>1441</v>
      </c>
      <c r="D46" s="86"/>
      <c r="E46" s="86" t="s">
        <v>1132</v>
      </c>
      <c r="F46" s="7"/>
      <c r="G46" s="8"/>
      <c r="H46" s="7"/>
      <c r="I46" s="41" t="s">
        <v>368</v>
      </c>
      <c r="J46" s="7"/>
      <c r="K46" s="8"/>
      <c r="L46" s="7"/>
      <c r="M46" s="8"/>
      <c r="N46" s="7"/>
      <c r="O46" s="8"/>
      <c r="P46" s="7"/>
      <c r="Q46" s="7"/>
      <c r="R46" s="8"/>
      <c r="S46" s="7"/>
      <c r="T46" s="9"/>
      <c r="U46" s="7"/>
      <c r="V46" s="8"/>
      <c r="W46" s="7"/>
      <c r="X46" s="7"/>
      <c r="Y46" s="8"/>
      <c r="Z46" s="7"/>
      <c r="AA46" s="242"/>
      <c r="AB46" s="337" t="s">
        <v>878</v>
      </c>
      <c r="AC46" s="337" t="s">
        <v>925</v>
      </c>
      <c r="AF46" s="337" t="s">
        <v>351</v>
      </c>
      <c r="AG46" s="337" t="s">
        <v>977</v>
      </c>
    </row>
    <row r="47" spans="2:33" ht="13.5" thickBot="1" x14ac:dyDescent="0.25">
      <c r="B47" s="10" t="s">
        <v>1443</v>
      </c>
      <c r="D47" s="86"/>
      <c r="E47" s="86" t="s">
        <v>822</v>
      </c>
      <c r="F47" s="7"/>
      <c r="G47" s="8"/>
      <c r="H47" s="7"/>
      <c r="I47" s="41" t="s">
        <v>358</v>
      </c>
      <c r="J47" s="7"/>
      <c r="K47" s="8"/>
      <c r="L47" s="7"/>
      <c r="M47" s="8"/>
      <c r="N47" s="7"/>
      <c r="O47" s="8"/>
      <c r="P47" s="7"/>
      <c r="Q47" s="7"/>
      <c r="R47" s="8"/>
      <c r="S47" s="7"/>
      <c r="T47" s="9"/>
      <c r="U47" s="7"/>
      <c r="V47" s="8"/>
      <c r="W47" s="7"/>
      <c r="X47" s="7"/>
      <c r="Y47" s="8"/>
      <c r="Z47" s="7"/>
      <c r="AA47" s="242"/>
      <c r="AB47" s="337" t="s">
        <v>878</v>
      </c>
      <c r="AC47" s="337" t="s">
        <v>1442</v>
      </c>
      <c r="AF47" s="337" t="s">
        <v>351</v>
      </c>
      <c r="AG47" s="337" t="s">
        <v>360</v>
      </c>
    </row>
    <row r="48" spans="2:33" ht="13.5" thickBot="1" x14ac:dyDescent="0.25">
      <c r="B48" s="10" t="s">
        <v>399</v>
      </c>
      <c r="D48" s="86"/>
      <c r="E48" s="86" t="s">
        <v>1108</v>
      </c>
      <c r="F48" s="7"/>
      <c r="G48" s="8"/>
      <c r="H48" s="7"/>
      <c r="I48" s="41" t="s">
        <v>899</v>
      </c>
      <c r="J48" s="7"/>
      <c r="K48" s="8"/>
      <c r="L48" s="7"/>
      <c r="M48" s="8"/>
      <c r="N48" s="7"/>
      <c r="O48" s="8"/>
      <c r="P48" s="7"/>
      <c r="Q48" s="7"/>
      <c r="R48" s="8"/>
      <c r="S48" s="7"/>
      <c r="T48" s="9"/>
      <c r="U48" s="7"/>
      <c r="V48" s="8"/>
      <c r="W48" s="7"/>
      <c r="X48" s="7"/>
      <c r="Y48" s="8"/>
      <c r="Z48" s="7"/>
      <c r="AA48" s="242"/>
      <c r="AB48" s="337" t="s">
        <v>878</v>
      </c>
      <c r="AC48" s="337" t="s">
        <v>1444</v>
      </c>
      <c r="AF48" s="337" t="s">
        <v>490</v>
      </c>
      <c r="AG48" s="337" t="s">
        <v>805</v>
      </c>
    </row>
    <row r="49" spans="2:33" ht="13.5" thickBot="1" x14ac:dyDescent="0.25">
      <c r="B49" s="10" t="s">
        <v>436</v>
      </c>
      <c r="D49" s="86"/>
      <c r="E49" s="86" t="s">
        <v>762</v>
      </c>
      <c r="F49" s="7"/>
      <c r="G49" s="8"/>
      <c r="H49" s="7"/>
      <c r="I49" s="41" t="s">
        <v>921</v>
      </c>
      <c r="J49" s="7"/>
      <c r="K49" s="8"/>
      <c r="L49" s="7"/>
      <c r="M49" s="8"/>
      <c r="N49" s="7"/>
      <c r="O49" s="8"/>
      <c r="P49" s="7"/>
      <c r="Q49" s="7"/>
      <c r="R49" s="8"/>
      <c r="S49" s="7"/>
      <c r="T49" s="9"/>
      <c r="U49" s="7"/>
      <c r="V49" s="8"/>
      <c r="W49" s="7"/>
      <c r="X49" s="7"/>
      <c r="Y49" s="8"/>
      <c r="Z49" s="7"/>
      <c r="AA49" s="242"/>
      <c r="AB49" s="337" t="s">
        <v>878</v>
      </c>
      <c r="AC49" s="337" t="s">
        <v>1445</v>
      </c>
      <c r="AF49" s="337" t="s">
        <v>490</v>
      </c>
      <c r="AG49" s="337" t="s">
        <v>718</v>
      </c>
    </row>
    <row r="50" spans="2:33" ht="13.5" thickBot="1" x14ac:dyDescent="0.25">
      <c r="B50" s="10" t="s">
        <v>1447</v>
      </c>
      <c r="D50" s="86"/>
      <c r="E50" s="86" t="s">
        <v>750</v>
      </c>
      <c r="F50" s="7"/>
      <c r="G50" s="8"/>
      <c r="H50" s="7"/>
      <c r="I50" s="41" t="s">
        <v>897</v>
      </c>
      <c r="J50" s="7"/>
      <c r="K50" s="8"/>
      <c r="L50" s="7"/>
      <c r="M50" s="8"/>
      <c r="N50" s="7"/>
      <c r="O50" s="8"/>
      <c r="P50" s="7"/>
      <c r="Q50" s="7"/>
      <c r="R50" s="8"/>
      <c r="S50" s="7"/>
      <c r="T50" s="9"/>
      <c r="U50" s="7"/>
      <c r="V50" s="8"/>
      <c r="W50" s="7"/>
      <c r="X50" s="7"/>
      <c r="Y50" s="8"/>
      <c r="Z50" s="7"/>
      <c r="AA50" s="242"/>
      <c r="AB50" s="337" t="s">
        <v>878</v>
      </c>
      <c r="AC50" s="337" t="s">
        <v>1446</v>
      </c>
      <c r="AF50" s="337" t="s">
        <v>490</v>
      </c>
      <c r="AG50" s="337" t="s">
        <v>840</v>
      </c>
    </row>
    <row r="51" spans="2:33" ht="13.5" thickBot="1" x14ac:dyDescent="0.25">
      <c r="B51" s="10" t="s">
        <v>1449</v>
      </c>
      <c r="D51" s="86"/>
      <c r="E51" s="86" t="s">
        <v>711</v>
      </c>
      <c r="F51" s="7"/>
      <c r="G51" s="8"/>
      <c r="H51" s="7"/>
      <c r="I51" s="41" t="s">
        <v>374</v>
      </c>
      <c r="J51" s="7"/>
      <c r="K51" s="8"/>
      <c r="L51" s="7"/>
      <c r="M51" s="8"/>
      <c r="N51" s="7"/>
      <c r="O51" s="8"/>
      <c r="P51" s="7"/>
      <c r="Q51" s="7"/>
      <c r="R51" s="8"/>
      <c r="S51" s="7"/>
      <c r="T51" s="9"/>
      <c r="U51" s="7"/>
      <c r="V51" s="8"/>
      <c r="W51" s="7"/>
      <c r="X51" s="7"/>
      <c r="Y51" s="8"/>
      <c r="Z51" s="7"/>
      <c r="AA51" s="242"/>
      <c r="AB51" s="337" t="s">
        <v>878</v>
      </c>
      <c r="AC51" s="337" t="s">
        <v>1448</v>
      </c>
      <c r="AF51" s="337" t="s">
        <v>490</v>
      </c>
      <c r="AG51" s="337" t="s">
        <v>757</v>
      </c>
    </row>
    <row r="52" spans="2:33" ht="13.5" thickBot="1" x14ac:dyDescent="0.25">
      <c r="B52" s="10" t="s">
        <v>1450</v>
      </c>
      <c r="C52" s="340"/>
      <c r="D52" s="86"/>
      <c r="E52" s="86" t="s">
        <v>764</v>
      </c>
      <c r="F52" s="7"/>
      <c r="G52" s="8"/>
      <c r="H52" s="7"/>
      <c r="I52" s="41" t="s">
        <v>492</v>
      </c>
      <c r="J52" s="7"/>
      <c r="K52" s="8"/>
      <c r="L52" s="7"/>
      <c r="M52" s="8"/>
      <c r="N52" s="7"/>
      <c r="O52" s="8"/>
      <c r="P52" s="7"/>
      <c r="Q52" s="7"/>
      <c r="R52" s="8"/>
      <c r="S52" s="7"/>
      <c r="T52" s="9"/>
      <c r="U52" s="7"/>
      <c r="V52" s="8"/>
      <c r="W52" s="7"/>
      <c r="X52" s="7"/>
      <c r="Y52" s="8"/>
      <c r="Z52" s="7"/>
      <c r="AA52" s="242"/>
      <c r="AB52" s="337" t="s">
        <v>878</v>
      </c>
      <c r="AC52" s="337" t="s">
        <v>882</v>
      </c>
      <c r="AF52" s="337" t="s">
        <v>490</v>
      </c>
      <c r="AG52" s="337" t="s">
        <v>779</v>
      </c>
    </row>
    <row r="53" spans="2:33" ht="14.25" thickTop="1" thickBot="1" x14ac:dyDescent="0.25">
      <c r="B53" s="10" t="s">
        <v>451</v>
      </c>
      <c r="D53" s="86"/>
      <c r="E53" s="86" t="s">
        <v>834</v>
      </c>
      <c r="F53" s="7"/>
      <c r="G53" s="8"/>
      <c r="H53" s="7"/>
      <c r="I53" s="6"/>
      <c r="J53" s="7"/>
      <c r="K53" s="8"/>
      <c r="L53" s="7"/>
      <c r="M53" s="8"/>
      <c r="N53" s="7"/>
      <c r="O53" s="8"/>
      <c r="P53" s="7"/>
      <c r="Q53" s="7"/>
      <c r="R53" s="8"/>
      <c r="S53" s="7"/>
      <c r="T53" s="9"/>
      <c r="U53" s="7"/>
      <c r="V53" s="8"/>
      <c r="W53" s="7"/>
      <c r="X53" s="7"/>
      <c r="Y53" s="8"/>
      <c r="Z53" s="7"/>
      <c r="AA53" s="242"/>
      <c r="AB53" s="337" t="s">
        <v>878</v>
      </c>
      <c r="AC53" s="337" t="s">
        <v>1451</v>
      </c>
      <c r="AF53" s="337" t="s">
        <v>490</v>
      </c>
      <c r="AG53" s="337" t="s">
        <v>827</v>
      </c>
    </row>
    <row r="54" spans="2:33" ht="14.25" thickTop="1" thickBot="1" x14ac:dyDescent="0.25">
      <c r="B54" s="22" t="s">
        <v>2558</v>
      </c>
      <c r="D54" s="86"/>
      <c r="E54" s="86" t="s">
        <v>700</v>
      </c>
      <c r="F54" s="7"/>
      <c r="G54" s="8"/>
      <c r="H54" s="7"/>
      <c r="I54" s="6"/>
      <c r="J54" s="7"/>
      <c r="K54" s="8"/>
      <c r="L54" s="7"/>
      <c r="M54" s="8"/>
      <c r="N54" s="7"/>
      <c r="O54" s="8"/>
      <c r="P54" s="7"/>
      <c r="Q54" s="7"/>
      <c r="R54" s="8"/>
      <c r="S54" s="7"/>
      <c r="T54" s="9"/>
      <c r="U54" s="7"/>
      <c r="V54" s="8"/>
      <c r="W54" s="7"/>
      <c r="X54" s="7"/>
      <c r="Y54" s="8"/>
      <c r="Z54" s="7"/>
      <c r="AA54" s="242"/>
      <c r="AB54" s="337" t="s">
        <v>878</v>
      </c>
      <c r="AC54" s="337" t="s">
        <v>1452</v>
      </c>
      <c r="AF54" s="337" t="s">
        <v>490</v>
      </c>
      <c r="AG54" s="337" t="s">
        <v>795</v>
      </c>
    </row>
    <row r="55" spans="2:33" ht="14.25" thickTop="1" thickBot="1" x14ac:dyDescent="0.25">
      <c r="B55" s="10"/>
      <c r="D55" s="86"/>
      <c r="E55" s="86" t="s">
        <v>702</v>
      </c>
      <c r="F55" s="7"/>
      <c r="G55" s="8"/>
      <c r="H55" s="7"/>
      <c r="I55" s="6"/>
      <c r="J55" s="7"/>
      <c r="K55" s="8"/>
      <c r="L55" s="7"/>
      <c r="M55" s="8"/>
      <c r="N55" s="7"/>
      <c r="O55" s="8"/>
      <c r="P55" s="7"/>
      <c r="Q55" s="7"/>
      <c r="R55" s="8"/>
      <c r="S55" s="7"/>
      <c r="T55" s="9"/>
      <c r="U55" s="7"/>
      <c r="V55" s="8"/>
      <c r="W55" s="7"/>
      <c r="X55" s="7"/>
      <c r="Y55" s="8"/>
      <c r="Z55" s="7"/>
      <c r="AA55" s="242"/>
      <c r="AB55" s="337" t="s">
        <v>878</v>
      </c>
      <c r="AC55" s="337" t="s">
        <v>1453</v>
      </c>
      <c r="AF55" s="337" t="s">
        <v>490</v>
      </c>
      <c r="AG55" s="337" t="s">
        <v>491</v>
      </c>
    </row>
    <row r="56" spans="2:33" ht="14.25" thickTop="1" thickBot="1" x14ac:dyDescent="0.25">
      <c r="B56" s="10"/>
      <c r="D56" s="86"/>
      <c r="E56" s="86" t="s">
        <v>776</v>
      </c>
      <c r="F56" s="7"/>
      <c r="G56" s="8"/>
      <c r="H56" s="7"/>
      <c r="I56" s="6"/>
      <c r="J56" s="7"/>
      <c r="K56" s="8"/>
      <c r="L56" s="7"/>
      <c r="M56" s="8"/>
      <c r="N56" s="7"/>
      <c r="O56" s="8"/>
      <c r="P56" s="7"/>
      <c r="Q56" s="7"/>
      <c r="R56" s="8"/>
      <c r="S56" s="7"/>
      <c r="T56" s="9"/>
      <c r="U56" s="7"/>
      <c r="V56" s="8"/>
      <c r="W56" s="7"/>
      <c r="X56" s="7"/>
      <c r="Y56" s="8"/>
      <c r="Z56" s="7"/>
      <c r="AA56" s="242"/>
      <c r="AB56" s="337" t="s">
        <v>878</v>
      </c>
      <c r="AC56" s="337" t="s">
        <v>1454</v>
      </c>
      <c r="AF56" s="337" t="s">
        <v>490</v>
      </c>
      <c r="AG56" s="337" t="s">
        <v>716</v>
      </c>
    </row>
    <row r="57" spans="2:33" ht="14.25" thickTop="1" thickBot="1" x14ac:dyDescent="0.25">
      <c r="B57" s="10"/>
      <c r="D57" s="86"/>
      <c r="E57" s="86" t="s">
        <v>778</v>
      </c>
      <c r="F57" s="7"/>
      <c r="G57" s="8"/>
      <c r="H57" s="7"/>
      <c r="I57" s="6"/>
      <c r="J57" s="7"/>
      <c r="K57" s="8"/>
      <c r="L57" s="7"/>
      <c r="M57" s="8"/>
      <c r="N57" s="7"/>
      <c r="O57" s="8"/>
      <c r="P57" s="7"/>
      <c r="Q57" s="7"/>
      <c r="R57" s="8"/>
      <c r="S57" s="7"/>
      <c r="T57" s="9"/>
      <c r="U57" s="7"/>
      <c r="V57" s="8"/>
      <c r="W57" s="7"/>
      <c r="X57" s="7"/>
      <c r="Y57" s="8"/>
      <c r="Z57" s="7"/>
      <c r="AA57" s="242"/>
      <c r="AB57" s="337" t="s">
        <v>878</v>
      </c>
      <c r="AC57" s="337" t="s">
        <v>1455</v>
      </c>
      <c r="AF57" s="337" t="s">
        <v>490</v>
      </c>
      <c r="AG57" s="337" t="s">
        <v>745</v>
      </c>
    </row>
    <row r="58" spans="2:33" ht="14.25" thickTop="1" thickBot="1" x14ac:dyDescent="0.25">
      <c r="B58" s="10"/>
      <c r="D58" s="86"/>
      <c r="E58" s="86" t="s">
        <v>731</v>
      </c>
      <c r="F58" s="7"/>
      <c r="G58" s="8"/>
      <c r="H58" s="7"/>
      <c r="I58" s="6"/>
      <c r="J58" s="7"/>
      <c r="K58" s="8"/>
      <c r="L58" s="7"/>
      <c r="M58" s="8"/>
      <c r="N58" s="7"/>
      <c r="O58" s="8"/>
      <c r="P58" s="7"/>
      <c r="Q58" s="7"/>
      <c r="R58" s="8"/>
      <c r="S58" s="7"/>
      <c r="T58" s="9"/>
      <c r="U58" s="7"/>
      <c r="V58" s="8"/>
      <c r="W58" s="7"/>
      <c r="X58" s="7"/>
      <c r="Y58" s="8"/>
      <c r="Z58" s="7"/>
      <c r="AA58" s="242"/>
      <c r="AB58" s="337" t="s">
        <v>878</v>
      </c>
      <c r="AC58" s="337" t="s">
        <v>1456</v>
      </c>
      <c r="AF58" s="337" t="s">
        <v>490</v>
      </c>
      <c r="AG58" s="337" t="s">
        <v>767</v>
      </c>
    </row>
    <row r="59" spans="2:33" ht="14.25" thickTop="1" thickBot="1" x14ac:dyDescent="0.25">
      <c r="B59" s="10"/>
      <c r="D59" s="86"/>
      <c r="E59" s="86" t="s">
        <v>761</v>
      </c>
      <c r="F59" s="7"/>
      <c r="G59" s="8"/>
      <c r="H59" s="7"/>
      <c r="I59" s="6"/>
      <c r="J59" s="7"/>
      <c r="K59" s="8"/>
      <c r="L59" s="7"/>
      <c r="M59" s="8"/>
      <c r="N59" s="7"/>
      <c r="O59" s="8"/>
      <c r="P59" s="7"/>
      <c r="Q59" s="7"/>
      <c r="R59" s="8"/>
      <c r="S59" s="7"/>
      <c r="T59" s="9"/>
      <c r="U59" s="7"/>
      <c r="V59" s="8"/>
      <c r="W59" s="7"/>
      <c r="X59" s="7"/>
      <c r="Y59" s="8"/>
      <c r="Z59" s="7"/>
      <c r="AA59" s="242"/>
      <c r="AB59" s="337" t="s">
        <v>878</v>
      </c>
      <c r="AC59" s="337" t="s">
        <v>1457</v>
      </c>
      <c r="AF59" s="337" t="s">
        <v>490</v>
      </c>
      <c r="AG59" s="337" t="s">
        <v>826</v>
      </c>
    </row>
    <row r="60" spans="2:33" ht="14.25" thickTop="1" thickBot="1" x14ac:dyDescent="0.25">
      <c r="B60" s="10"/>
      <c r="D60" s="86"/>
      <c r="E60" s="86" t="s">
        <v>720</v>
      </c>
      <c r="F60" s="7"/>
      <c r="G60" s="8"/>
      <c r="H60" s="7"/>
      <c r="I60" s="6"/>
      <c r="J60" s="7"/>
      <c r="K60" s="8"/>
      <c r="L60" s="7"/>
      <c r="M60" s="8"/>
      <c r="N60" s="7"/>
      <c r="O60" s="8"/>
      <c r="P60" s="7"/>
      <c r="Q60" s="7"/>
      <c r="R60" s="8"/>
      <c r="S60" s="7"/>
      <c r="T60" s="9"/>
      <c r="U60" s="7"/>
      <c r="V60" s="8"/>
      <c r="W60" s="7"/>
      <c r="X60" s="7"/>
      <c r="Y60" s="8"/>
      <c r="Z60" s="7"/>
      <c r="AA60" s="242"/>
      <c r="AB60" s="337" t="s">
        <v>878</v>
      </c>
      <c r="AC60" s="337" t="s">
        <v>1458</v>
      </c>
      <c r="AF60" s="337" t="s">
        <v>490</v>
      </c>
      <c r="AG60" s="337" t="s">
        <v>759</v>
      </c>
    </row>
    <row r="61" spans="2:33" ht="14.25" thickTop="1" thickBot="1" x14ac:dyDescent="0.25">
      <c r="B61" s="10"/>
      <c r="D61" s="86"/>
      <c r="E61" s="86" t="s">
        <v>1134</v>
      </c>
      <c r="F61" s="7"/>
      <c r="G61" s="8"/>
      <c r="H61" s="7"/>
      <c r="I61" s="6"/>
      <c r="J61" s="7"/>
      <c r="K61" s="8"/>
      <c r="L61" s="7"/>
      <c r="M61" s="8"/>
      <c r="N61" s="7"/>
      <c r="O61" s="8"/>
      <c r="P61" s="7"/>
      <c r="Q61" s="7"/>
      <c r="R61" s="8"/>
      <c r="S61" s="7"/>
      <c r="T61" s="9"/>
      <c r="U61" s="7"/>
      <c r="V61" s="8"/>
      <c r="W61" s="7"/>
      <c r="X61" s="7"/>
      <c r="Y61" s="8"/>
      <c r="Z61" s="7"/>
      <c r="AA61" s="242"/>
      <c r="AB61" s="337" t="s">
        <v>878</v>
      </c>
      <c r="AC61" s="337" t="s">
        <v>1459</v>
      </c>
      <c r="AF61" s="337" t="s">
        <v>490</v>
      </c>
      <c r="AG61" s="337" t="s">
        <v>728</v>
      </c>
    </row>
    <row r="62" spans="2:33" ht="14.25" thickTop="1" thickBot="1" x14ac:dyDescent="0.25">
      <c r="B62" s="10"/>
      <c r="D62" s="86"/>
      <c r="E62" s="86" t="s">
        <v>755</v>
      </c>
      <c r="F62" s="7"/>
      <c r="G62" s="8"/>
      <c r="H62" s="7"/>
      <c r="I62" s="6"/>
      <c r="J62" s="7"/>
      <c r="K62" s="8"/>
      <c r="L62" s="7"/>
      <c r="M62" s="8"/>
      <c r="N62" s="7"/>
      <c r="O62" s="8"/>
      <c r="P62" s="7"/>
      <c r="Q62" s="7"/>
      <c r="R62" s="8"/>
      <c r="S62" s="7"/>
      <c r="T62" s="9"/>
      <c r="U62" s="7"/>
      <c r="V62" s="8"/>
      <c r="W62" s="7"/>
      <c r="X62" s="7"/>
      <c r="Y62" s="8"/>
      <c r="Z62" s="7"/>
      <c r="AA62" s="242"/>
      <c r="AB62" s="337" t="s">
        <v>878</v>
      </c>
      <c r="AC62" s="337" t="s">
        <v>885</v>
      </c>
      <c r="AF62" s="337" t="s">
        <v>490</v>
      </c>
      <c r="AG62" s="337" t="s">
        <v>729</v>
      </c>
    </row>
    <row r="63" spans="2:33" ht="14.25" thickTop="1" thickBot="1" x14ac:dyDescent="0.25">
      <c r="B63" s="10"/>
      <c r="D63" s="86"/>
      <c r="E63" s="86" t="s">
        <v>754</v>
      </c>
      <c r="F63" s="7"/>
      <c r="G63" s="8"/>
      <c r="H63" s="7"/>
      <c r="I63" s="6"/>
      <c r="J63" s="7"/>
      <c r="K63" s="8"/>
      <c r="L63" s="7"/>
      <c r="M63" s="8"/>
      <c r="N63" s="7"/>
      <c r="O63" s="8"/>
      <c r="P63" s="7"/>
      <c r="Q63" s="7"/>
      <c r="R63" s="8"/>
      <c r="S63" s="7"/>
      <c r="T63" s="9"/>
      <c r="U63" s="7"/>
      <c r="V63" s="8"/>
      <c r="W63" s="7"/>
      <c r="X63" s="7"/>
      <c r="Y63" s="8"/>
      <c r="Z63" s="7"/>
      <c r="AA63" s="242"/>
      <c r="AB63" s="337" t="s">
        <v>878</v>
      </c>
      <c r="AC63" s="337" t="s">
        <v>1460</v>
      </c>
      <c r="AF63" s="337" t="s">
        <v>490</v>
      </c>
      <c r="AG63" s="337" t="s">
        <v>707</v>
      </c>
    </row>
    <row r="64" spans="2:33" ht="14.25" thickTop="1" thickBot="1" x14ac:dyDescent="0.25">
      <c r="B64" s="10"/>
      <c r="D64" s="86"/>
      <c r="E64" s="86" t="s">
        <v>703</v>
      </c>
      <c r="F64" s="7"/>
      <c r="G64" s="8"/>
      <c r="H64" s="7"/>
      <c r="I64" s="6"/>
      <c r="J64" s="7"/>
      <c r="K64" s="8"/>
      <c r="L64" s="7"/>
      <c r="M64" s="8"/>
      <c r="N64" s="7"/>
      <c r="O64" s="8"/>
      <c r="P64" s="7"/>
      <c r="Q64" s="7"/>
      <c r="R64" s="8"/>
      <c r="S64" s="7"/>
      <c r="T64" s="9"/>
      <c r="U64" s="7"/>
      <c r="V64" s="8"/>
      <c r="W64" s="7"/>
      <c r="X64" s="7"/>
      <c r="Y64" s="8"/>
      <c r="Z64" s="7"/>
      <c r="AA64" s="242"/>
      <c r="AB64" s="337" t="s">
        <v>878</v>
      </c>
      <c r="AC64" s="337" t="s">
        <v>1461</v>
      </c>
      <c r="AF64" s="337" t="s">
        <v>490</v>
      </c>
      <c r="AG64" s="337" t="s">
        <v>1291</v>
      </c>
    </row>
    <row r="65" spans="2:33" ht="14.25" thickTop="1" thickBot="1" x14ac:dyDescent="0.25">
      <c r="B65" s="10"/>
      <c r="D65" s="86"/>
      <c r="E65" s="86" t="s">
        <v>708</v>
      </c>
      <c r="F65" s="7"/>
      <c r="G65" s="8"/>
      <c r="H65" s="7"/>
      <c r="I65" s="6"/>
      <c r="J65" s="7"/>
      <c r="K65" s="8"/>
      <c r="L65" s="7"/>
      <c r="M65" s="8"/>
      <c r="N65" s="7"/>
      <c r="O65" s="8"/>
      <c r="P65" s="7"/>
      <c r="Q65" s="7"/>
      <c r="R65" s="8"/>
      <c r="S65" s="7"/>
      <c r="T65" s="9"/>
      <c r="U65" s="7"/>
      <c r="V65" s="8"/>
      <c r="W65" s="7"/>
      <c r="X65" s="7"/>
      <c r="Y65" s="8"/>
      <c r="Z65" s="7"/>
      <c r="AA65" s="242"/>
      <c r="AB65" s="337" t="s">
        <v>878</v>
      </c>
      <c r="AC65" s="337" t="s">
        <v>1462</v>
      </c>
      <c r="AF65" s="337" t="s">
        <v>490</v>
      </c>
      <c r="AG65" s="337" t="s">
        <v>843</v>
      </c>
    </row>
    <row r="66" spans="2:33" ht="14.25" thickTop="1" thickBot="1" x14ac:dyDescent="0.25">
      <c r="B66" s="10"/>
      <c r="D66" s="86"/>
      <c r="E66" s="86" t="s">
        <v>766</v>
      </c>
      <c r="F66" s="7"/>
      <c r="G66" s="8"/>
      <c r="H66" s="7"/>
      <c r="I66" s="6"/>
      <c r="J66" s="7"/>
      <c r="K66" s="8"/>
      <c r="L66" s="7"/>
      <c r="M66" s="8"/>
      <c r="N66" s="7"/>
      <c r="O66" s="8"/>
      <c r="P66" s="7"/>
      <c r="Q66" s="7"/>
      <c r="R66" s="8"/>
      <c r="S66" s="7"/>
      <c r="T66" s="9"/>
      <c r="U66" s="7"/>
      <c r="V66" s="8"/>
      <c r="W66" s="7"/>
      <c r="X66" s="7"/>
      <c r="Y66" s="8"/>
      <c r="Z66" s="7"/>
      <c r="AA66" s="242"/>
      <c r="AB66" s="337" t="s">
        <v>878</v>
      </c>
      <c r="AC66" s="337" t="s">
        <v>1463</v>
      </c>
      <c r="AF66" s="337" t="s">
        <v>490</v>
      </c>
      <c r="AG66" s="337" t="s">
        <v>842</v>
      </c>
    </row>
    <row r="67" spans="2:33" ht="14.25" thickTop="1" thickBot="1" x14ac:dyDescent="0.25">
      <c r="B67" s="10"/>
      <c r="D67" s="86"/>
      <c r="E67" s="86" t="s">
        <v>521</v>
      </c>
      <c r="F67" s="7"/>
      <c r="G67" s="8"/>
      <c r="H67" s="7"/>
      <c r="I67" s="6"/>
      <c r="J67" s="7"/>
      <c r="K67" s="8"/>
      <c r="L67" s="7"/>
      <c r="M67" s="8"/>
      <c r="N67" s="7"/>
      <c r="O67" s="8"/>
      <c r="P67" s="7"/>
      <c r="Q67" s="7"/>
      <c r="R67" s="8"/>
      <c r="S67" s="7"/>
      <c r="T67" s="9"/>
      <c r="U67" s="7"/>
      <c r="V67" s="8"/>
      <c r="W67" s="7"/>
      <c r="X67" s="7"/>
      <c r="Y67" s="8"/>
      <c r="Z67" s="7"/>
      <c r="AA67" s="242"/>
      <c r="AB67" s="337" t="s">
        <v>878</v>
      </c>
      <c r="AC67" s="337" t="s">
        <v>888</v>
      </c>
      <c r="AF67" s="337" t="s">
        <v>490</v>
      </c>
      <c r="AG67" s="337" t="s">
        <v>812</v>
      </c>
    </row>
    <row r="68" spans="2:33" ht="14.25" thickTop="1" thickBot="1" x14ac:dyDescent="0.25">
      <c r="B68" s="10"/>
      <c r="D68" s="86"/>
      <c r="E68" s="86" t="s">
        <v>748</v>
      </c>
      <c r="F68" s="7"/>
      <c r="G68" s="8"/>
      <c r="H68" s="7"/>
      <c r="I68" s="6"/>
      <c r="J68" s="7"/>
      <c r="K68" s="8"/>
      <c r="L68" s="7"/>
      <c r="M68" s="8"/>
      <c r="N68" s="7"/>
      <c r="O68" s="8"/>
      <c r="P68" s="7"/>
      <c r="Q68" s="7"/>
      <c r="R68" s="8"/>
      <c r="S68" s="7"/>
      <c r="T68" s="9"/>
      <c r="U68" s="7"/>
      <c r="V68" s="8"/>
      <c r="W68" s="7"/>
      <c r="X68" s="7"/>
      <c r="Y68" s="8"/>
      <c r="Z68" s="7"/>
      <c r="AA68" s="242"/>
      <c r="AB68" s="337" t="s">
        <v>878</v>
      </c>
      <c r="AC68" s="337" t="s">
        <v>1464</v>
      </c>
      <c r="AF68" s="337" t="s">
        <v>490</v>
      </c>
      <c r="AG68" s="337" t="s">
        <v>818</v>
      </c>
    </row>
    <row r="69" spans="2:33" ht="14.25" thickTop="1" thickBot="1" x14ac:dyDescent="0.25">
      <c r="B69" s="10"/>
      <c r="D69" s="341"/>
      <c r="E69" s="86" t="s">
        <v>817</v>
      </c>
      <c r="F69" s="7"/>
      <c r="G69" s="8"/>
      <c r="H69" s="7"/>
      <c r="I69" s="6"/>
      <c r="J69" s="7"/>
      <c r="K69" s="8"/>
      <c r="L69" s="7"/>
      <c r="M69" s="8"/>
      <c r="N69" s="7"/>
      <c r="O69" s="8"/>
      <c r="P69" s="7"/>
      <c r="Q69" s="7"/>
      <c r="R69" s="8"/>
      <c r="S69" s="7"/>
      <c r="T69" s="9"/>
      <c r="U69" s="7"/>
      <c r="V69" s="8"/>
      <c r="W69" s="7"/>
      <c r="X69" s="7"/>
      <c r="Y69" s="8"/>
      <c r="Z69" s="7"/>
      <c r="AA69" s="242"/>
      <c r="AB69" s="337" t="s">
        <v>878</v>
      </c>
      <c r="AC69" s="337" t="s">
        <v>879</v>
      </c>
      <c r="AF69" s="337" t="s">
        <v>490</v>
      </c>
      <c r="AG69" s="337" t="s">
        <v>756</v>
      </c>
    </row>
    <row r="70" spans="2:33" ht="14.25" thickTop="1" thickBot="1" x14ac:dyDescent="0.25">
      <c r="B70" s="10"/>
      <c r="D70" s="341"/>
      <c r="E70" s="86" t="s">
        <v>1107</v>
      </c>
      <c r="F70" s="7"/>
      <c r="G70" s="8"/>
      <c r="H70" s="7"/>
      <c r="I70" s="6"/>
      <c r="J70" s="7"/>
      <c r="K70" s="8"/>
      <c r="L70" s="7"/>
      <c r="M70" s="8"/>
      <c r="N70" s="7"/>
      <c r="O70" s="8"/>
      <c r="P70" s="7"/>
      <c r="Q70" s="7"/>
      <c r="R70" s="8"/>
      <c r="S70" s="7"/>
      <c r="T70" s="9"/>
      <c r="U70" s="7"/>
      <c r="V70" s="8"/>
      <c r="W70" s="7"/>
      <c r="X70" s="7"/>
      <c r="Y70" s="8"/>
      <c r="Z70" s="7"/>
      <c r="AA70" s="242"/>
      <c r="AB70" s="337" t="s">
        <v>878</v>
      </c>
      <c r="AC70" s="337" t="s">
        <v>1465</v>
      </c>
      <c r="AF70" s="337" t="s">
        <v>490</v>
      </c>
      <c r="AG70" s="337" t="s">
        <v>719</v>
      </c>
    </row>
    <row r="71" spans="2:33" ht="14.25" thickTop="1" thickBot="1" x14ac:dyDescent="0.25">
      <c r="B71" s="10"/>
      <c r="D71" s="341"/>
      <c r="E71" s="86" t="s">
        <v>846</v>
      </c>
      <c r="F71" s="7"/>
      <c r="G71" s="8"/>
      <c r="H71" s="7"/>
      <c r="I71" s="6"/>
      <c r="J71" s="7"/>
      <c r="K71" s="8"/>
      <c r="L71" s="7"/>
      <c r="M71" s="8"/>
      <c r="N71" s="7"/>
      <c r="O71" s="8"/>
      <c r="P71" s="7"/>
      <c r="Q71" s="7"/>
      <c r="R71" s="8"/>
      <c r="S71" s="7"/>
      <c r="T71" s="9"/>
      <c r="U71" s="7"/>
      <c r="V71" s="8"/>
      <c r="W71" s="7"/>
      <c r="X71" s="7"/>
      <c r="Y71" s="8"/>
      <c r="Z71" s="7"/>
      <c r="AA71" s="242"/>
      <c r="AB71" s="337" t="s">
        <v>878</v>
      </c>
      <c r="AC71" s="337" t="s">
        <v>903</v>
      </c>
      <c r="AF71" s="337" t="s">
        <v>490</v>
      </c>
      <c r="AG71" s="337" t="s">
        <v>838</v>
      </c>
    </row>
    <row r="72" spans="2:33" ht="14.25" thickTop="1" thickBot="1" x14ac:dyDescent="0.25">
      <c r="B72" s="10"/>
      <c r="D72" s="341"/>
      <c r="E72" s="86" t="s">
        <v>753</v>
      </c>
      <c r="F72" s="7"/>
      <c r="G72" s="8"/>
      <c r="H72" s="7"/>
      <c r="I72" s="6"/>
      <c r="J72" s="7"/>
      <c r="K72" s="8"/>
      <c r="L72" s="7"/>
      <c r="M72" s="8"/>
      <c r="N72" s="7"/>
      <c r="O72" s="8"/>
      <c r="P72" s="7"/>
      <c r="Q72" s="7"/>
      <c r="R72" s="8"/>
      <c r="S72" s="7"/>
      <c r="T72" s="9"/>
      <c r="U72" s="7"/>
      <c r="V72" s="8"/>
      <c r="W72" s="7"/>
      <c r="X72" s="7"/>
      <c r="Y72" s="8"/>
      <c r="Z72" s="7"/>
      <c r="AA72" s="242"/>
      <c r="AB72" s="337" t="s">
        <v>878</v>
      </c>
      <c r="AC72" s="337" t="s">
        <v>1466</v>
      </c>
      <c r="AF72" s="337" t="s">
        <v>490</v>
      </c>
      <c r="AG72" s="337" t="s">
        <v>787</v>
      </c>
    </row>
    <row r="73" spans="2:33" ht="14.25" thickTop="1" thickBot="1" x14ac:dyDescent="0.25">
      <c r="B73" s="10"/>
      <c r="D73" s="341"/>
      <c r="E73" s="86" t="s">
        <v>533</v>
      </c>
      <c r="F73" s="7"/>
      <c r="G73" s="8"/>
      <c r="H73" s="7"/>
      <c r="I73" s="6"/>
      <c r="J73" s="7"/>
      <c r="K73" s="8"/>
      <c r="L73" s="7"/>
      <c r="M73" s="8"/>
      <c r="N73" s="7"/>
      <c r="O73" s="8"/>
      <c r="P73" s="7"/>
      <c r="Q73" s="7"/>
      <c r="R73" s="8"/>
      <c r="S73" s="7"/>
      <c r="T73" s="9"/>
      <c r="U73" s="7"/>
      <c r="V73" s="8"/>
      <c r="W73" s="7"/>
      <c r="X73" s="7"/>
      <c r="Y73" s="8"/>
      <c r="Z73" s="7"/>
      <c r="AA73" s="242"/>
      <c r="AB73" s="337" t="s">
        <v>878</v>
      </c>
      <c r="AC73" s="337" t="s">
        <v>1467</v>
      </c>
      <c r="AF73" s="337" t="s">
        <v>490</v>
      </c>
      <c r="AG73" s="337" t="s">
        <v>798</v>
      </c>
    </row>
    <row r="74" spans="2:33" ht="14.25" thickTop="1" thickBot="1" x14ac:dyDescent="0.25">
      <c r="B74" s="10"/>
      <c r="D74" s="341"/>
      <c r="E74" s="86" t="s">
        <v>535</v>
      </c>
      <c r="F74" s="7"/>
      <c r="G74" s="8"/>
      <c r="H74" s="7"/>
      <c r="I74" s="6"/>
      <c r="J74" s="7"/>
      <c r="K74" s="8"/>
      <c r="L74" s="7"/>
      <c r="M74" s="8"/>
      <c r="N74" s="7"/>
      <c r="O74" s="8"/>
      <c r="P74" s="7"/>
      <c r="Q74" s="7"/>
      <c r="R74" s="8"/>
      <c r="S74" s="7"/>
      <c r="T74" s="9"/>
      <c r="U74" s="7"/>
      <c r="V74" s="8"/>
      <c r="W74" s="7"/>
      <c r="X74" s="7"/>
      <c r="Y74" s="8"/>
      <c r="Z74" s="7"/>
      <c r="AA74" s="242"/>
      <c r="AB74" s="337" t="s">
        <v>878</v>
      </c>
      <c r="AC74" s="337" t="s">
        <v>1468</v>
      </c>
      <c r="AF74" s="337" t="s">
        <v>490</v>
      </c>
      <c r="AG74" s="337" t="s">
        <v>791</v>
      </c>
    </row>
    <row r="75" spans="2:33" ht="14.25" thickTop="1" thickBot="1" x14ac:dyDescent="0.25">
      <c r="B75" s="10"/>
      <c r="D75" s="341"/>
      <c r="E75" s="86" t="s">
        <v>540</v>
      </c>
      <c r="F75" s="7"/>
      <c r="G75" s="8"/>
      <c r="H75" s="7"/>
      <c r="I75" s="6"/>
      <c r="J75" s="7"/>
      <c r="K75" s="8"/>
      <c r="L75" s="7"/>
      <c r="M75" s="8"/>
      <c r="N75" s="7"/>
      <c r="O75" s="8"/>
      <c r="P75" s="7"/>
      <c r="Q75" s="7"/>
      <c r="R75" s="8"/>
      <c r="S75" s="7"/>
      <c r="T75" s="9"/>
      <c r="U75" s="7"/>
      <c r="V75" s="8"/>
      <c r="W75" s="7"/>
      <c r="X75" s="7"/>
      <c r="Y75" s="8"/>
      <c r="Z75" s="7"/>
      <c r="AA75" s="242"/>
      <c r="AB75" s="337" t="s">
        <v>878</v>
      </c>
      <c r="AC75" s="337" t="s">
        <v>1469</v>
      </c>
      <c r="AF75" s="337" t="s">
        <v>490</v>
      </c>
      <c r="AG75" s="337" t="s">
        <v>782</v>
      </c>
    </row>
    <row r="76" spans="2:33" ht="14.25" thickTop="1" thickBot="1" x14ac:dyDescent="0.25">
      <c r="B76" s="10"/>
      <c r="D76" s="341"/>
      <c r="E76" s="86" t="s">
        <v>532</v>
      </c>
      <c r="F76" s="7"/>
      <c r="G76" s="8"/>
      <c r="H76" s="7"/>
      <c r="I76" s="6"/>
      <c r="J76" s="7"/>
      <c r="K76" s="8"/>
      <c r="L76" s="7"/>
      <c r="M76" s="8"/>
      <c r="N76" s="7"/>
      <c r="O76" s="8"/>
      <c r="P76" s="7"/>
      <c r="Q76" s="7"/>
      <c r="R76" s="8"/>
      <c r="S76" s="7"/>
      <c r="T76" s="9"/>
      <c r="U76" s="7"/>
      <c r="V76" s="8"/>
      <c r="W76" s="7"/>
      <c r="X76" s="7"/>
      <c r="Y76" s="8"/>
      <c r="Z76" s="7"/>
      <c r="AA76" s="242"/>
      <c r="AB76" s="337" t="s">
        <v>878</v>
      </c>
      <c r="AC76" s="337" t="s">
        <v>1470</v>
      </c>
      <c r="AF76" s="337" t="s">
        <v>490</v>
      </c>
      <c r="AG76" s="337" t="s">
        <v>710</v>
      </c>
    </row>
    <row r="77" spans="2:33" ht="14.25" thickTop="1" thickBot="1" x14ac:dyDescent="0.25">
      <c r="B77" s="10"/>
      <c r="D77" s="341"/>
      <c r="E77" s="86" t="s">
        <v>987</v>
      </c>
      <c r="F77" s="7"/>
      <c r="G77" s="8"/>
      <c r="H77" s="7"/>
      <c r="I77" s="6"/>
      <c r="J77" s="7"/>
      <c r="K77" s="8"/>
      <c r="L77" s="7"/>
      <c r="M77" s="8"/>
      <c r="N77" s="7"/>
      <c r="O77" s="8"/>
      <c r="P77" s="7"/>
      <c r="Q77" s="7"/>
      <c r="R77" s="8"/>
      <c r="S77" s="7"/>
      <c r="T77" s="9"/>
      <c r="U77" s="7"/>
      <c r="V77" s="8"/>
      <c r="W77" s="7"/>
      <c r="X77" s="7"/>
      <c r="Y77" s="8"/>
      <c r="Z77" s="7"/>
      <c r="AA77" s="242"/>
      <c r="AB77" s="337" t="s">
        <v>878</v>
      </c>
      <c r="AC77" s="337" t="s">
        <v>1471</v>
      </c>
      <c r="AF77" s="337" t="s">
        <v>490</v>
      </c>
      <c r="AG77" s="337" t="s">
        <v>758</v>
      </c>
    </row>
    <row r="78" spans="2:33" ht="14.25" thickTop="1" thickBot="1" x14ac:dyDescent="0.25">
      <c r="B78" s="10"/>
      <c r="D78" s="341"/>
      <c r="E78" s="86" t="s">
        <v>986</v>
      </c>
      <c r="F78" s="7"/>
      <c r="G78" s="8"/>
      <c r="H78" s="7"/>
      <c r="I78" s="6"/>
      <c r="J78" s="7"/>
      <c r="K78" s="8"/>
      <c r="L78" s="7"/>
      <c r="M78" s="8"/>
      <c r="N78" s="7"/>
      <c r="O78" s="8"/>
      <c r="P78" s="7"/>
      <c r="Q78" s="7"/>
      <c r="R78" s="8"/>
      <c r="S78" s="7"/>
      <c r="T78" s="9"/>
      <c r="U78" s="7"/>
      <c r="V78" s="8"/>
      <c r="W78" s="7"/>
      <c r="X78" s="7"/>
      <c r="Y78" s="8"/>
      <c r="Z78" s="7"/>
      <c r="AA78" s="242"/>
      <c r="AB78" s="337" t="s">
        <v>878</v>
      </c>
      <c r="AC78" s="337" t="s">
        <v>1472</v>
      </c>
      <c r="AF78" s="337" t="s">
        <v>490</v>
      </c>
      <c r="AG78" s="337" t="s">
        <v>765</v>
      </c>
    </row>
    <row r="79" spans="2:33" ht="14.25" thickTop="1" thickBot="1" x14ac:dyDescent="0.25">
      <c r="B79" s="10"/>
      <c r="D79" s="341"/>
      <c r="E79" s="86" t="s">
        <v>537</v>
      </c>
      <c r="F79" s="7"/>
      <c r="G79" s="8"/>
      <c r="H79" s="7"/>
      <c r="I79" s="6"/>
      <c r="J79" s="7"/>
      <c r="K79" s="8"/>
      <c r="L79" s="7"/>
      <c r="M79" s="8"/>
      <c r="N79" s="7"/>
      <c r="O79" s="8"/>
      <c r="P79" s="7"/>
      <c r="Q79" s="7"/>
      <c r="R79" s="8"/>
      <c r="S79" s="7"/>
      <c r="T79" s="9"/>
      <c r="U79" s="7"/>
      <c r="V79" s="8"/>
      <c r="W79" s="7"/>
      <c r="X79" s="7"/>
      <c r="Y79" s="8"/>
      <c r="Z79" s="7"/>
      <c r="AA79" s="242"/>
      <c r="AB79" s="337" t="s">
        <v>878</v>
      </c>
      <c r="AC79" s="337" t="s">
        <v>1473</v>
      </c>
      <c r="AF79" s="337" t="s">
        <v>490</v>
      </c>
      <c r="AG79" s="337" t="s">
        <v>828</v>
      </c>
    </row>
    <row r="80" spans="2:33" ht="14.25" thickTop="1" thickBot="1" x14ac:dyDescent="0.25">
      <c r="B80" s="10"/>
      <c r="D80" s="341"/>
      <c r="E80" s="86" t="s">
        <v>534</v>
      </c>
      <c r="F80" s="7"/>
      <c r="G80" s="8"/>
      <c r="H80" s="7"/>
      <c r="I80" s="6"/>
      <c r="J80" s="7"/>
      <c r="K80" s="8"/>
      <c r="L80" s="7"/>
      <c r="M80" s="8"/>
      <c r="N80" s="7"/>
      <c r="O80" s="8"/>
      <c r="P80" s="7"/>
      <c r="Q80" s="7"/>
      <c r="R80" s="8"/>
      <c r="S80" s="7"/>
      <c r="T80" s="9"/>
      <c r="U80" s="7"/>
      <c r="V80" s="8"/>
      <c r="W80" s="7"/>
      <c r="X80" s="7"/>
      <c r="Y80" s="8"/>
      <c r="Z80" s="7"/>
      <c r="AA80" s="242"/>
      <c r="AB80" s="337" t="s">
        <v>878</v>
      </c>
      <c r="AC80" s="337" t="s">
        <v>1474</v>
      </c>
      <c r="AF80" s="337" t="s">
        <v>490</v>
      </c>
      <c r="AG80" s="337" t="s">
        <v>829</v>
      </c>
    </row>
    <row r="81" spans="2:33" ht="14.25" thickTop="1" thickBot="1" x14ac:dyDescent="0.25">
      <c r="B81" s="10"/>
      <c r="D81" s="341"/>
      <c r="E81" s="86" t="s">
        <v>536</v>
      </c>
      <c r="F81" s="7"/>
      <c r="G81" s="8"/>
      <c r="H81" s="7"/>
      <c r="I81" s="6"/>
      <c r="J81" s="7"/>
      <c r="K81" s="8"/>
      <c r="L81" s="7"/>
      <c r="M81" s="8"/>
      <c r="N81" s="7"/>
      <c r="O81" s="8"/>
      <c r="P81" s="7"/>
      <c r="Q81" s="7"/>
      <c r="R81" s="8"/>
      <c r="S81" s="7"/>
      <c r="T81" s="9"/>
      <c r="U81" s="7"/>
      <c r="V81" s="8"/>
      <c r="W81" s="7"/>
      <c r="X81" s="7"/>
      <c r="Y81" s="8"/>
      <c r="Z81" s="7"/>
      <c r="AA81" s="242"/>
      <c r="AB81" s="337" t="s">
        <v>878</v>
      </c>
      <c r="AC81" s="337" t="s">
        <v>1475</v>
      </c>
      <c r="AF81" s="337" t="s">
        <v>490</v>
      </c>
      <c r="AG81" s="337" t="s">
        <v>857</v>
      </c>
    </row>
    <row r="82" spans="2:33" ht="14.25" thickTop="1" thickBot="1" x14ac:dyDescent="0.25">
      <c r="B82" s="10"/>
      <c r="D82" s="341"/>
      <c r="E82" s="86" t="s">
        <v>538</v>
      </c>
      <c r="F82" s="7"/>
      <c r="G82" s="8"/>
      <c r="H82" s="7"/>
      <c r="I82" s="6"/>
      <c r="J82" s="7"/>
      <c r="K82" s="8"/>
      <c r="L82" s="7"/>
      <c r="M82" s="8"/>
      <c r="N82" s="7"/>
      <c r="O82" s="8"/>
      <c r="P82" s="7"/>
      <c r="Q82" s="7"/>
      <c r="R82" s="8"/>
      <c r="S82" s="7"/>
      <c r="T82" s="9"/>
      <c r="U82" s="7"/>
      <c r="V82" s="8"/>
      <c r="W82" s="7"/>
      <c r="X82" s="7"/>
      <c r="Y82" s="8"/>
      <c r="Z82" s="7"/>
      <c r="AA82" s="242"/>
      <c r="AB82" s="337" t="s">
        <v>878</v>
      </c>
      <c r="AC82" s="337" t="s">
        <v>1476</v>
      </c>
      <c r="AF82" s="337" t="s">
        <v>490</v>
      </c>
      <c r="AG82" s="337" t="s">
        <v>820</v>
      </c>
    </row>
    <row r="83" spans="2:33" ht="14.25" thickTop="1" thickBot="1" x14ac:dyDescent="0.25">
      <c r="B83" s="10"/>
      <c r="D83" s="341"/>
      <c r="E83" s="86" t="s">
        <v>531</v>
      </c>
      <c r="F83" s="7"/>
      <c r="G83" s="8"/>
      <c r="H83" s="7"/>
      <c r="I83" s="6"/>
      <c r="J83" s="7"/>
      <c r="K83" s="8"/>
      <c r="L83" s="7"/>
      <c r="M83" s="8"/>
      <c r="N83" s="7"/>
      <c r="O83" s="8"/>
      <c r="P83" s="7"/>
      <c r="Q83" s="7"/>
      <c r="R83" s="8"/>
      <c r="S83" s="7"/>
      <c r="T83" s="9"/>
      <c r="U83" s="7"/>
      <c r="V83" s="8"/>
      <c r="W83" s="7"/>
      <c r="X83" s="7"/>
      <c r="Y83" s="8"/>
      <c r="Z83" s="7"/>
      <c r="AA83" s="242"/>
      <c r="AB83" s="339" t="s">
        <v>878</v>
      </c>
      <c r="AC83" s="339" t="s">
        <v>1477</v>
      </c>
      <c r="AF83" s="337" t="s">
        <v>490</v>
      </c>
      <c r="AG83" s="337" t="s">
        <v>821</v>
      </c>
    </row>
    <row r="84" spans="2:33" ht="14.25" thickTop="1" thickBot="1" x14ac:dyDescent="0.25">
      <c r="B84" s="10"/>
      <c r="D84" s="341"/>
      <c r="E84" s="86" t="s">
        <v>1136</v>
      </c>
      <c r="F84" s="7"/>
      <c r="G84" s="8"/>
      <c r="H84" s="7"/>
      <c r="I84" s="6"/>
      <c r="J84" s="7"/>
      <c r="K84" s="8"/>
      <c r="L84" s="7"/>
      <c r="M84" s="8"/>
      <c r="N84" s="7"/>
      <c r="O84" s="8"/>
      <c r="P84" s="7"/>
      <c r="Q84" s="7"/>
      <c r="R84" s="8"/>
      <c r="S84" s="7"/>
      <c r="T84" s="9"/>
      <c r="U84" s="7"/>
      <c r="V84" s="8"/>
      <c r="W84" s="7"/>
      <c r="X84" s="7"/>
      <c r="Y84" s="8"/>
      <c r="Z84" s="7"/>
      <c r="AA84" s="8"/>
      <c r="AF84" s="337" t="s">
        <v>490</v>
      </c>
      <c r="AG84" s="337" t="s">
        <v>864</v>
      </c>
    </row>
    <row r="85" spans="2:33" ht="14.25" thickTop="1" thickBot="1" x14ac:dyDescent="0.25">
      <c r="B85" s="10"/>
      <c r="D85" s="341"/>
      <c r="E85" s="86" t="s">
        <v>1135</v>
      </c>
      <c r="F85" s="7"/>
      <c r="G85" s="8"/>
      <c r="H85" s="7"/>
      <c r="I85" s="6"/>
      <c r="J85" s="7"/>
      <c r="K85" s="8"/>
      <c r="L85" s="7"/>
      <c r="M85" s="8"/>
      <c r="N85" s="7"/>
      <c r="O85" s="8"/>
      <c r="P85" s="7"/>
      <c r="Q85" s="7"/>
      <c r="R85" s="8"/>
      <c r="S85" s="7"/>
      <c r="T85" s="9"/>
      <c r="U85" s="7"/>
      <c r="V85" s="8"/>
      <c r="W85" s="7"/>
      <c r="X85" s="7"/>
      <c r="Y85" s="8"/>
      <c r="Z85" s="7"/>
      <c r="AA85" s="8"/>
      <c r="AF85" s="337" t="s">
        <v>490</v>
      </c>
      <c r="AG85" s="337" t="s">
        <v>709</v>
      </c>
    </row>
    <row r="86" spans="2:33" ht="14.25" thickTop="1" thickBot="1" x14ac:dyDescent="0.25">
      <c r="B86" s="10"/>
      <c r="D86" s="341"/>
      <c r="E86" s="86" t="s">
        <v>744</v>
      </c>
      <c r="F86" s="7"/>
      <c r="G86" s="8"/>
      <c r="H86" s="7"/>
      <c r="I86" s="6"/>
      <c r="J86" s="7"/>
      <c r="K86" s="8"/>
      <c r="L86" s="7"/>
      <c r="M86" s="8"/>
      <c r="N86" s="7"/>
      <c r="O86" s="8"/>
      <c r="P86" s="7"/>
      <c r="Q86" s="7"/>
      <c r="R86" s="8"/>
      <c r="S86" s="7"/>
      <c r="T86" s="9"/>
      <c r="U86" s="7"/>
      <c r="V86" s="8"/>
      <c r="W86" s="7"/>
      <c r="X86" s="7"/>
      <c r="Y86" s="8"/>
      <c r="Z86" s="7"/>
      <c r="AA86" s="8"/>
      <c r="AF86" s="337" t="s">
        <v>490</v>
      </c>
      <c r="AG86" s="337" t="s">
        <v>839</v>
      </c>
    </row>
    <row r="87" spans="2:33" ht="14.25" thickTop="1" thickBot="1" x14ac:dyDescent="0.25">
      <c r="B87" s="10"/>
      <c r="D87" s="341"/>
      <c r="E87" s="86" t="s">
        <v>730</v>
      </c>
      <c r="F87" s="7"/>
      <c r="G87" s="8"/>
      <c r="H87" s="7"/>
      <c r="I87" s="6"/>
      <c r="J87" s="7"/>
      <c r="K87" s="8"/>
      <c r="L87" s="7"/>
      <c r="M87" s="8"/>
      <c r="N87" s="7"/>
      <c r="O87" s="8"/>
      <c r="P87" s="7"/>
      <c r="Q87" s="7"/>
      <c r="R87" s="8"/>
      <c r="S87" s="7"/>
      <c r="T87" s="9"/>
      <c r="U87" s="7"/>
      <c r="V87" s="8"/>
      <c r="W87" s="7"/>
      <c r="X87" s="7"/>
      <c r="Y87" s="8"/>
      <c r="Z87" s="7"/>
      <c r="AA87" s="8"/>
      <c r="AF87" s="337" t="s">
        <v>490</v>
      </c>
      <c r="AG87" s="337" t="s">
        <v>796</v>
      </c>
    </row>
    <row r="88" spans="2:33" ht="14.25" thickTop="1" thickBot="1" x14ac:dyDescent="0.25">
      <c r="B88" s="10"/>
      <c r="D88" s="341"/>
      <c r="E88" s="86" t="s">
        <v>734</v>
      </c>
      <c r="F88" s="7"/>
      <c r="G88" s="8"/>
      <c r="H88" s="7"/>
      <c r="I88" s="6"/>
      <c r="J88" s="7"/>
      <c r="K88" s="8"/>
      <c r="L88" s="7"/>
      <c r="M88" s="8"/>
      <c r="N88" s="7"/>
      <c r="O88" s="8"/>
      <c r="P88" s="7"/>
      <c r="Q88" s="7"/>
      <c r="R88" s="8"/>
      <c r="S88" s="7"/>
      <c r="T88" s="9"/>
      <c r="U88" s="7"/>
      <c r="V88" s="8"/>
      <c r="W88" s="7"/>
      <c r="X88" s="7"/>
      <c r="Y88" s="8"/>
      <c r="Z88" s="7"/>
      <c r="AA88" s="8"/>
      <c r="AF88" s="337" t="s">
        <v>490</v>
      </c>
      <c r="AG88" s="337" t="s">
        <v>831</v>
      </c>
    </row>
    <row r="89" spans="2:33" ht="14.25" thickTop="1" thickBot="1" x14ac:dyDescent="0.25">
      <c r="B89" s="10"/>
      <c r="D89" s="341"/>
      <c r="E89" s="86" t="s">
        <v>785</v>
      </c>
      <c r="F89" s="7"/>
      <c r="G89" s="8"/>
      <c r="H89" s="7"/>
      <c r="I89" s="6"/>
      <c r="J89" s="7"/>
      <c r="K89" s="8"/>
      <c r="L89" s="7"/>
      <c r="M89" s="8"/>
      <c r="N89" s="7"/>
      <c r="O89" s="8"/>
      <c r="P89" s="7"/>
      <c r="Q89" s="7"/>
      <c r="R89" s="8"/>
      <c r="S89" s="7"/>
      <c r="T89" s="9"/>
      <c r="U89" s="7"/>
      <c r="V89" s="8"/>
      <c r="W89" s="7"/>
      <c r="X89" s="7"/>
      <c r="Y89" s="8"/>
      <c r="Z89" s="7"/>
      <c r="AA89" s="8"/>
      <c r="AF89" s="337" t="s">
        <v>490</v>
      </c>
      <c r="AG89" s="337" t="s">
        <v>815</v>
      </c>
    </row>
    <row r="90" spans="2:33" ht="14.25" thickTop="1" thickBot="1" x14ac:dyDescent="0.25">
      <c r="B90" s="10"/>
      <c r="D90" s="341"/>
      <c r="E90" s="86" t="s">
        <v>1114</v>
      </c>
      <c r="F90" s="7"/>
      <c r="G90" s="8"/>
      <c r="H90" s="7"/>
      <c r="I90" s="6"/>
      <c r="J90" s="7"/>
      <c r="K90" s="8"/>
      <c r="L90" s="7"/>
      <c r="M90" s="8"/>
      <c r="N90" s="7"/>
      <c r="O90" s="8"/>
      <c r="P90" s="7"/>
      <c r="Q90" s="7"/>
      <c r="R90" s="8"/>
      <c r="S90" s="7"/>
      <c r="T90" s="9"/>
      <c r="U90" s="7"/>
      <c r="V90" s="8"/>
      <c r="W90" s="7"/>
      <c r="X90" s="7"/>
      <c r="Y90" s="8"/>
      <c r="Z90" s="7"/>
      <c r="AA90" s="8"/>
      <c r="AF90" s="337" t="s">
        <v>490</v>
      </c>
      <c r="AG90" s="337" t="s">
        <v>770</v>
      </c>
    </row>
    <row r="91" spans="2:33" ht="14.25" thickTop="1" thickBot="1" x14ac:dyDescent="0.25">
      <c r="B91" s="10"/>
      <c r="D91" s="341"/>
      <c r="E91" s="86" t="s">
        <v>823</v>
      </c>
      <c r="F91" s="7"/>
      <c r="G91" s="8"/>
      <c r="H91" s="7"/>
      <c r="I91" s="6"/>
      <c r="J91" s="7"/>
      <c r="K91" s="8"/>
      <c r="L91" s="7"/>
      <c r="M91" s="8"/>
      <c r="N91" s="7"/>
      <c r="O91" s="8"/>
      <c r="P91" s="7"/>
      <c r="Q91" s="7"/>
      <c r="R91" s="8"/>
      <c r="S91" s="7"/>
      <c r="T91" s="9"/>
      <c r="U91" s="7"/>
      <c r="V91" s="8"/>
      <c r="W91" s="7"/>
      <c r="X91" s="7"/>
      <c r="Y91" s="8"/>
      <c r="Z91" s="7"/>
      <c r="AA91" s="8"/>
      <c r="AF91" s="337" t="s">
        <v>490</v>
      </c>
      <c r="AG91" s="337" t="s">
        <v>811</v>
      </c>
    </row>
    <row r="92" spans="2:33" ht="14.25" thickTop="1" thickBot="1" x14ac:dyDescent="0.25">
      <c r="B92" s="10"/>
      <c r="D92" s="341"/>
      <c r="E92" s="86" t="s">
        <v>1106</v>
      </c>
      <c r="F92" s="7"/>
      <c r="G92" s="8"/>
      <c r="H92" s="7"/>
      <c r="I92" s="6"/>
      <c r="J92" s="7"/>
      <c r="K92" s="8"/>
      <c r="L92" s="7"/>
      <c r="M92" s="8"/>
      <c r="N92" s="7"/>
      <c r="O92" s="8"/>
      <c r="P92" s="7"/>
      <c r="Q92" s="7"/>
      <c r="R92" s="8"/>
      <c r="S92" s="7"/>
      <c r="T92" s="9"/>
      <c r="U92" s="7"/>
      <c r="V92" s="8"/>
      <c r="W92" s="7"/>
      <c r="X92" s="7"/>
      <c r="Y92" s="8"/>
      <c r="Z92" s="7"/>
      <c r="AA92" s="8"/>
      <c r="AF92" s="337" t="s">
        <v>490</v>
      </c>
      <c r="AG92" s="337" t="s">
        <v>495</v>
      </c>
    </row>
    <row r="93" spans="2:33" ht="14.25" thickTop="1" thickBot="1" x14ac:dyDescent="0.25">
      <c r="B93" s="10"/>
      <c r="D93" s="341"/>
      <c r="E93" s="86" t="s">
        <v>788</v>
      </c>
      <c r="F93" s="7"/>
      <c r="G93" s="8"/>
      <c r="H93" s="7"/>
      <c r="I93" s="6"/>
      <c r="J93" s="7"/>
      <c r="K93" s="8"/>
      <c r="L93" s="7"/>
      <c r="M93" s="8"/>
      <c r="N93" s="7"/>
      <c r="O93" s="8"/>
      <c r="P93" s="7"/>
      <c r="Q93" s="7"/>
      <c r="R93" s="8"/>
      <c r="S93" s="7"/>
      <c r="T93" s="9"/>
      <c r="U93" s="7"/>
      <c r="V93" s="8"/>
      <c r="W93" s="7"/>
      <c r="X93" s="7"/>
      <c r="Y93" s="8"/>
      <c r="Z93" s="7"/>
      <c r="AA93" s="8"/>
      <c r="AF93" s="337" t="s">
        <v>490</v>
      </c>
      <c r="AG93" s="337" t="s">
        <v>746</v>
      </c>
    </row>
    <row r="94" spans="2:33" ht="14.25" thickTop="1" thickBot="1" x14ac:dyDescent="0.25">
      <c r="B94" s="10"/>
      <c r="D94" s="341"/>
      <c r="E94" s="86" t="s">
        <v>1131</v>
      </c>
      <c r="F94" s="7"/>
      <c r="G94" s="8"/>
      <c r="H94" s="7"/>
      <c r="I94" s="6"/>
      <c r="J94" s="7"/>
      <c r="K94" s="8"/>
      <c r="L94" s="7"/>
      <c r="M94" s="8"/>
      <c r="N94" s="7"/>
      <c r="O94" s="8"/>
      <c r="P94" s="7"/>
      <c r="Q94" s="7"/>
      <c r="R94" s="8"/>
      <c r="S94" s="7"/>
      <c r="T94" s="9"/>
      <c r="U94" s="7"/>
      <c r="V94" s="8"/>
      <c r="W94" s="7"/>
      <c r="X94" s="7"/>
      <c r="Y94" s="8"/>
      <c r="Z94" s="7"/>
      <c r="AA94" s="8"/>
      <c r="AF94" s="337" t="s">
        <v>490</v>
      </c>
      <c r="AG94" s="337" t="s">
        <v>841</v>
      </c>
    </row>
    <row r="95" spans="2:33" ht="14.25" thickTop="1" thickBot="1" x14ac:dyDescent="0.25">
      <c r="B95" s="10"/>
      <c r="D95" s="341"/>
      <c r="E95" s="86" t="s">
        <v>1324</v>
      </c>
      <c r="F95" s="7"/>
      <c r="G95" s="8"/>
      <c r="H95" s="7"/>
      <c r="I95" s="6"/>
      <c r="J95" s="7"/>
      <c r="K95" s="8"/>
      <c r="L95" s="7"/>
      <c r="M95" s="8"/>
      <c r="N95" s="7"/>
      <c r="O95" s="8"/>
      <c r="P95" s="7"/>
      <c r="Q95" s="7"/>
      <c r="R95" s="8"/>
      <c r="S95" s="7"/>
      <c r="T95" s="9"/>
      <c r="U95" s="7"/>
      <c r="V95" s="8"/>
      <c r="W95" s="7"/>
      <c r="X95" s="7"/>
      <c r="Y95" s="8"/>
      <c r="Z95" s="7"/>
      <c r="AA95" s="8"/>
      <c r="AF95" s="337" t="s">
        <v>490</v>
      </c>
      <c r="AG95" s="337" t="s">
        <v>780</v>
      </c>
    </row>
    <row r="96" spans="2:33" ht="14.25" thickTop="1" thickBot="1" x14ac:dyDescent="0.25">
      <c r="B96" s="10"/>
      <c r="D96" s="341"/>
      <c r="E96" s="86" t="s">
        <v>771</v>
      </c>
      <c r="F96" s="7"/>
      <c r="G96" s="8"/>
      <c r="H96" s="7"/>
      <c r="I96" s="6"/>
      <c r="J96" s="7"/>
      <c r="K96" s="8"/>
      <c r="L96" s="7"/>
      <c r="M96" s="8"/>
      <c r="N96" s="7"/>
      <c r="O96" s="8"/>
      <c r="P96" s="7"/>
      <c r="Q96" s="7"/>
      <c r="R96" s="8"/>
      <c r="S96" s="7"/>
      <c r="T96" s="9"/>
      <c r="U96" s="7"/>
      <c r="V96" s="8"/>
      <c r="W96" s="7"/>
      <c r="X96" s="7"/>
      <c r="Y96" s="8"/>
      <c r="Z96" s="7"/>
      <c r="AA96" s="8"/>
      <c r="AF96" s="337" t="s">
        <v>490</v>
      </c>
      <c r="AG96" s="337" t="s">
        <v>809</v>
      </c>
    </row>
    <row r="97" spans="2:33" ht="14.25" thickTop="1" thickBot="1" x14ac:dyDescent="0.25">
      <c r="B97" s="10"/>
      <c r="D97" s="341"/>
      <c r="E97" s="86" t="s">
        <v>773</v>
      </c>
      <c r="F97" s="7"/>
      <c r="G97" s="8"/>
      <c r="H97" s="7"/>
      <c r="I97" s="6"/>
      <c r="J97" s="7"/>
      <c r="K97" s="8"/>
      <c r="L97" s="7"/>
      <c r="M97" s="8"/>
      <c r="N97" s="7"/>
      <c r="O97" s="8"/>
      <c r="P97" s="7"/>
      <c r="Q97" s="7"/>
      <c r="R97" s="8"/>
      <c r="S97" s="7"/>
      <c r="T97" s="9"/>
      <c r="U97" s="7"/>
      <c r="V97" s="8"/>
      <c r="W97" s="7"/>
      <c r="X97" s="7"/>
      <c r="Y97" s="8"/>
      <c r="Z97" s="7"/>
      <c r="AA97" s="8"/>
      <c r="AF97" s="337" t="s">
        <v>490</v>
      </c>
      <c r="AG97" s="337" t="s">
        <v>824</v>
      </c>
    </row>
    <row r="98" spans="2:33" ht="14.25" thickTop="1" thickBot="1" x14ac:dyDescent="0.25">
      <c r="B98" s="10"/>
      <c r="D98" s="341"/>
      <c r="E98" s="86" t="s">
        <v>1137</v>
      </c>
      <c r="F98" s="7"/>
      <c r="G98" s="8"/>
      <c r="H98" s="7"/>
      <c r="I98" s="6"/>
      <c r="J98" s="7"/>
      <c r="K98" s="8"/>
      <c r="L98" s="7"/>
      <c r="M98" s="8"/>
      <c r="N98" s="7"/>
      <c r="O98" s="8"/>
      <c r="P98" s="7"/>
      <c r="Q98" s="7"/>
      <c r="R98" s="8"/>
      <c r="S98" s="7"/>
      <c r="T98" s="9"/>
      <c r="U98" s="7"/>
      <c r="V98" s="8"/>
      <c r="W98" s="7"/>
      <c r="X98" s="7"/>
      <c r="Y98" s="8"/>
      <c r="Z98" s="7"/>
      <c r="AA98" s="8"/>
      <c r="AF98" s="337" t="s">
        <v>490</v>
      </c>
      <c r="AG98" s="337" t="s">
        <v>760</v>
      </c>
    </row>
    <row r="99" spans="2:33" ht="14.25" thickTop="1" thickBot="1" x14ac:dyDescent="0.25">
      <c r="B99" s="10"/>
      <c r="D99" s="341"/>
      <c r="E99" s="86" t="s">
        <v>792</v>
      </c>
      <c r="F99" s="7"/>
      <c r="G99" s="8"/>
      <c r="H99" s="7"/>
      <c r="I99" s="6"/>
      <c r="J99" s="7"/>
      <c r="K99" s="8"/>
      <c r="L99" s="7"/>
      <c r="M99" s="8"/>
      <c r="N99" s="7"/>
      <c r="O99" s="8"/>
      <c r="P99" s="7"/>
      <c r="Q99" s="7"/>
      <c r="R99" s="8"/>
      <c r="S99" s="7"/>
      <c r="T99" s="9"/>
      <c r="U99" s="7"/>
      <c r="V99" s="8"/>
      <c r="W99" s="7"/>
      <c r="X99" s="7"/>
      <c r="Y99" s="8"/>
      <c r="Z99" s="7"/>
      <c r="AA99" s="8"/>
      <c r="AF99" s="337" t="s">
        <v>490</v>
      </c>
      <c r="AG99" s="337" t="s">
        <v>722</v>
      </c>
    </row>
    <row r="100" spans="2:33" ht="14.25" thickTop="1" thickBot="1" x14ac:dyDescent="0.25">
      <c r="B100" s="10"/>
      <c r="D100" s="341"/>
      <c r="E100" s="86" t="s">
        <v>1141</v>
      </c>
      <c r="F100" s="7"/>
      <c r="G100" s="8"/>
      <c r="H100" s="7"/>
      <c r="I100" s="6"/>
      <c r="J100" s="7"/>
      <c r="K100" s="8"/>
      <c r="L100" s="7"/>
      <c r="M100" s="8"/>
      <c r="N100" s="7"/>
      <c r="O100" s="8"/>
      <c r="P100" s="7"/>
      <c r="Q100" s="7"/>
      <c r="R100" s="8"/>
      <c r="S100" s="7"/>
      <c r="T100" s="9"/>
      <c r="U100" s="7"/>
      <c r="V100" s="8"/>
      <c r="W100" s="7"/>
      <c r="X100" s="7"/>
      <c r="Y100" s="8"/>
      <c r="Z100" s="7"/>
      <c r="AA100" s="8"/>
      <c r="AF100" s="337" t="s">
        <v>490</v>
      </c>
      <c r="AG100" s="337" t="s">
        <v>830</v>
      </c>
    </row>
    <row r="101" spans="2:33" ht="14.25" thickTop="1" thickBot="1" x14ac:dyDescent="0.25">
      <c r="B101" s="10"/>
      <c r="D101" s="341"/>
      <c r="E101" s="86" t="s">
        <v>1118</v>
      </c>
      <c r="F101" s="7"/>
      <c r="G101" s="8"/>
      <c r="H101" s="7"/>
      <c r="I101" s="6"/>
      <c r="J101" s="7"/>
      <c r="K101" s="8"/>
      <c r="L101" s="7"/>
      <c r="M101" s="8"/>
      <c r="N101" s="7"/>
      <c r="O101" s="8"/>
      <c r="P101" s="7"/>
      <c r="Q101" s="7"/>
      <c r="R101" s="8"/>
      <c r="S101" s="7"/>
      <c r="T101" s="9"/>
      <c r="U101" s="7"/>
      <c r="V101" s="8"/>
      <c r="W101" s="7"/>
      <c r="X101" s="7"/>
      <c r="Y101" s="8"/>
      <c r="Z101" s="7"/>
      <c r="AA101" s="8"/>
      <c r="AF101" s="337" t="s">
        <v>490</v>
      </c>
      <c r="AG101" s="337" t="s">
        <v>837</v>
      </c>
    </row>
    <row r="102" spans="2:33" ht="14.25" thickTop="1" thickBot="1" x14ac:dyDescent="0.25">
      <c r="B102" s="10"/>
      <c r="D102" s="341"/>
      <c r="E102" s="86" t="s">
        <v>982</v>
      </c>
      <c r="F102" s="7"/>
      <c r="G102" s="8"/>
      <c r="H102" s="7"/>
      <c r="I102" s="6"/>
      <c r="J102" s="7"/>
      <c r="K102" s="8"/>
      <c r="L102" s="7"/>
      <c r="M102" s="8"/>
      <c r="N102" s="7"/>
      <c r="O102" s="8"/>
      <c r="P102" s="7"/>
      <c r="Q102" s="7"/>
      <c r="R102" s="8"/>
      <c r="S102" s="7"/>
      <c r="T102" s="9"/>
      <c r="U102" s="7"/>
      <c r="V102" s="8"/>
      <c r="W102" s="7"/>
      <c r="X102" s="7"/>
      <c r="Y102" s="8"/>
      <c r="Z102" s="7"/>
      <c r="AA102" s="8"/>
      <c r="AF102" s="337" t="s">
        <v>490</v>
      </c>
      <c r="AG102" s="337" t="s">
        <v>723</v>
      </c>
    </row>
    <row r="103" spans="2:33" ht="14.25" thickTop="1" thickBot="1" x14ac:dyDescent="0.25">
      <c r="B103" s="10"/>
      <c r="D103" s="341"/>
      <c r="E103" s="86" t="s">
        <v>751</v>
      </c>
      <c r="F103" s="7"/>
      <c r="G103" s="8"/>
      <c r="H103" s="7"/>
      <c r="I103" s="6"/>
      <c r="J103" s="7"/>
      <c r="K103" s="8"/>
      <c r="L103" s="7"/>
      <c r="M103" s="8"/>
      <c r="N103" s="7"/>
      <c r="O103" s="8"/>
      <c r="P103" s="7"/>
      <c r="Q103" s="7"/>
      <c r="R103" s="8"/>
      <c r="S103" s="7"/>
      <c r="T103" s="9"/>
      <c r="U103" s="7"/>
      <c r="V103" s="8"/>
      <c r="W103" s="7"/>
      <c r="X103" s="7"/>
      <c r="Y103" s="8"/>
      <c r="Z103" s="7"/>
      <c r="AA103" s="8"/>
      <c r="AF103" s="337" t="s">
        <v>490</v>
      </c>
      <c r="AG103" s="337" t="s">
        <v>822</v>
      </c>
    </row>
    <row r="104" spans="2:33" ht="14.25" thickTop="1" thickBot="1" x14ac:dyDescent="0.25">
      <c r="B104" s="10"/>
      <c r="D104" s="341"/>
      <c r="E104" s="86" t="s">
        <v>747</v>
      </c>
      <c r="F104" s="7"/>
      <c r="G104" s="8"/>
      <c r="H104" s="7"/>
      <c r="I104" s="6"/>
      <c r="J104" s="7"/>
      <c r="K104" s="8"/>
      <c r="L104" s="7"/>
      <c r="M104" s="8"/>
      <c r="N104" s="7"/>
      <c r="O104" s="8"/>
      <c r="P104" s="7"/>
      <c r="Q104" s="7"/>
      <c r="R104" s="8"/>
      <c r="S104" s="7"/>
      <c r="T104" s="9"/>
      <c r="U104" s="7"/>
      <c r="V104" s="8"/>
      <c r="W104" s="7"/>
      <c r="X104" s="7"/>
      <c r="Y104" s="8"/>
      <c r="Z104" s="7"/>
      <c r="AA104" s="8"/>
      <c r="AF104" s="337" t="s">
        <v>490</v>
      </c>
      <c r="AG104" s="337" t="s">
        <v>699</v>
      </c>
    </row>
    <row r="105" spans="2:33" ht="14.25" thickTop="1" thickBot="1" x14ac:dyDescent="0.25">
      <c r="B105" s="10"/>
      <c r="D105" s="341"/>
      <c r="E105" s="86" t="s">
        <v>1123</v>
      </c>
      <c r="F105" s="7"/>
      <c r="G105" s="8"/>
      <c r="H105" s="7"/>
      <c r="I105" s="6"/>
      <c r="J105" s="7"/>
      <c r="K105" s="8"/>
      <c r="L105" s="7"/>
      <c r="M105" s="8"/>
      <c r="N105" s="7"/>
      <c r="O105" s="8"/>
      <c r="P105" s="7"/>
      <c r="Q105" s="7"/>
      <c r="R105" s="8"/>
      <c r="S105" s="7"/>
      <c r="T105" s="9"/>
      <c r="U105" s="7"/>
      <c r="V105" s="8"/>
      <c r="W105" s="7"/>
      <c r="X105" s="7"/>
      <c r="Y105" s="8"/>
      <c r="Z105" s="7"/>
      <c r="AA105" s="8"/>
      <c r="AF105" s="337" t="s">
        <v>490</v>
      </c>
      <c r="AG105" s="337" t="s">
        <v>752</v>
      </c>
    </row>
    <row r="106" spans="2:33" ht="14.25" thickTop="1" thickBot="1" x14ac:dyDescent="0.25">
      <c r="B106" s="10"/>
      <c r="D106" s="341"/>
      <c r="E106" s="86" t="s">
        <v>477</v>
      </c>
      <c r="F106" s="7"/>
      <c r="G106" s="8"/>
      <c r="H106" s="7"/>
      <c r="I106" s="6"/>
      <c r="J106" s="7"/>
      <c r="K106" s="8"/>
      <c r="L106" s="7"/>
      <c r="M106" s="8"/>
      <c r="N106" s="7"/>
      <c r="O106" s="8"/>
      <c r="P106" s="7"/>
      <c r="Q106" s="7"/>
      <c r="R106" s="8"/>
      <c r="S106" s="7"/>
      <c r="T106" s="9"/>
      <c r="U106" s="7"/>
      <c r="V106" s="8"/>
      <c r="W106" s="7"/>
      <c r="X106" s="7"/>
      <c r="Y106" s="8"/>
      <c r="Z106" s="7"/>
      <c r="AA106" s="8"/>
      <c r="AF106" s="337" t="s">
        <v>490</v>
      </c>
      <c r="AG106" s="337" t="s">
        <v>762</v>
      </c>
    </row>
    <row r="107" spans="2:33" ht="14.25" thickTop="1" thickBot="1" x14ac:dyDescent="0.25">
      <c r="B107" s="10"/>
      <c r="D107" s="341"/>
      <c r="E107" s="86" t="s">
        <v>1478</v>
      </c>
      <c r="F107" s="7"/>
      <c r="G107" s="8"/>
      <c r="H107" s="7"/>
      <c r="I107" s="6"/>
      <c r="J107" s="7"/>
      <c r="K107" s="8"/>
      <c r="L107" s="7"/>
      <c r="M107" s="8"/>
      <c r="N107" s="7"/>
      <c r="O107" s="8"/>
      <c r="P107" s="7"/>
      <c r="Q107" s="7"/>
      <c r="R107" s="8"/>
      <c r="S107" s="7"/>
      <c r="T107" s="9"/>
      <c r="U107" s="7"/>
      <c r="V107" s="8"/>
      <c r="W107" s="7"/>
      <c r="X107" s="7"/>
      <c r="Y107" s="8"/>
      <c r="Z107" s="7"/>
      <c r="AA107" s="8"/>
      <c r="AF107" s="337" t="s">
        <v>490</v>
      </c>
      <c r="AG107" s="337" t="s">
        <v>750</v>
      </c>
    </row>
    <row r="108" spans="2:33" ht="14.25" thickTop="1" thickBot="1" x14ac:dyDescent="0.25">
      <c r="B108" s="10"/>
      <c r="D108" s="341"/>
      <c r="E108" s="86" t="s">
        <v>1122</v>
      </c>
      <c r="F108" s="7"/>
      <c r="G108" s="8"/>
      <c r="H108" s="7"/>
      <c r="I108" s="6"/>
      <c r="J108" s="7"/>
      <c r="K108" s="8"/>
      <c r="L108" s="7"/>
      <c r="M108" s="8"/>
      <c r="N108" s="7"/>
      <c r="O108" s="8"/>
      <c r="P108" s="7"/>
      <c r="Q108" s="7"/>
      <c r="R108" s="8"/>
      <c r="S108" s="7"/>
      <c r="T108" s="9"/>
      <c r="U108" s="7"/>
      <c r="V108" s="8"/>
      <c r="W108" s="7"/>
      <c r="X108" s="7"/>
      <c r="Y108" s="8"/>
      <c r="Z108" s="7"/>
      <c r="AA108" s="8"/>
      <c r="AF108" s="337" t="s">
        <v>490</v>
      </c>
      <c r="AG108" s="337" t="s">
        <v>711</v>
      </c>
    </row>
    <row r="109" spans="2:33" ht="14.25" thickTop="1" thickBot="1" x14ac:dyDescent="0.25">
      <c r="B109" s="10"/>
      <c r="D109" s="341"/>
      <c r="E109" s="86" t="s">
        <v>480</v>
      </c>
      <c r="F109" s="7"/>
      <c r="G109" s="8"/>
      <c r="H109" s="7"/>
      <c r="I109" s="6"/>
      <c r="J109" s="7"/>
      <c r="K109" s="8"/>
      <c r="L109" s="7"/>
      <c r="M109" s="8"/>
      <c r="N109" s="7"/>
      <c r="O109" s="8"/>
      <c r="P109" s="7"/>
      <c r="Q109" s="7"/>
      <c r="R109" s="8"/>
      <c r="S109" s="7"/>
      <c r="T109" s="9"/>
      <c r="U109" s="7"/>
      <c r="V109" s="8"/>
      <c r="W109" s="7"/>
      <c r="X109" s="7"/>
      <c r="Y109" s="8"/>
      <c r="Z109" s="7"/>
      <c r="AA109" s="8"/>
      <c r="AF109" s="337" t="s">
        <v>490</v>
      </c>
      <c r="AG109" s="337" t="s">
        <v>769</v>
      </c>
    </row>
    <row r="110" spans="2:33" ht="14.25" thickTop="1" thickBot="1" x14ac:dyDescent="0.25">
      <c r="B110" s="10"/>
      <c r="D110" s="341"/>
      <c r="E110" s="86" t="s">
        <v>1281</v>
      </c>
      <c r="F110" s="7"/>
      <c r="G110" s="8"/>
      <c r="H110" s="7"/>
      <c r="I110" s="6"/>
      <c r="J110" s="7"/>
      <c r="K110" s="8"/>
      <c r="L110" s="7"/>
      <c r="M110" s="8"/>
      <c r="N110" s="7"/>
      <c r="O110" s="8"/>
      <c r="P110" s="7"/>
      <c r="Q110" s="7"/>
      <c r="R110" s="8"/>
      <c r="S110" s="7"/>
      <c r="T110" s="9"/>
      <c r="U110" s="7"/>
      <c r="V110" s="8"/>
      <c r="W110" s="7"/>
      <c r="X110" s="7"/>
      <c r="Y110" s="8"/>
      <c r="Z110" s="7"/>
      <c r="AA110" s="8"/>
      <c r="AF110" s="337" t="s">
        <v>490</v>
      </c>
      <c r="AG110" s="337" t="s">
        <v>764</v>
      </c>
    </row>
    <row r="111" spans="2:33" ht="14.25" thickTop="1" thickBot="1" x14ac:dyDescent="0.25">
      <c r="B111" s="10"/>
      <c r="D111" s="341"/>
      <c r="E111" s="86" t="s">
        <v>1143</v>
      </c>
      <c r="F111" s="7"/>
      <c r="G111" s="8"/>
      <c r="H111" s="7"/>
      <c r="I111" s="6"/>
      <c r="J111" s="7"/>
      <c r="K111" s="8"/>
      <c r="L111" s="7"/>
      <c r="M111" s="8"/>
      <c r="N111" s="7"/>
      <c r="O111" s="8"/>
      <c r="P111" s="7"/>
      <c r="Q111" s="7"/>
      <c r="R111" s="8"/>
      <c r="S111" s="7"/>
      <c r="T111" s="9"/>
      <c r="U111" s="7"/>
      <c r="V111" s="8"/>
      <c r="W111" s="7"/>
      <c r="X111" s="7"/>
      <c r="Y111" s="8"/>
      <c r="Z111" s="7"/>
      <c r="AA111" s="8"/>
      <c r="AF111" s="337" t="s">
        <v>490</v>
      </c>
      <c r="AG111" s="337" t="s">
        <v>834</v>
      </c>
    </row>
    <row r="112" spans="2:33" ht="14.25" thickTop="1" thickBot="1" x14ac:dyDescent="0.25">
      <c r="B112" s="10"/>
      <c r="D112" s="341"/>
      <c r="E112" s="86" t="s">
        <v>847</v>
      </c>
      <c r="F112" s="7"/>
      <c r="G112" s="8"/>
      <c r="H112" s="7"/>
      <c r="I112" s="6"/>
      <c r="J112" s="7"/>
      <c r="K112" s="8"/>
      <c r="L112" s="7"/>
      <c r="M112" s="8"/>
      <c r="N112" s="7"/>
      <c r="O112" s="8"/>
      <c r="P112" s="7"/>
      <c r="Q112" s="7"/>
      <c r="R112" s="8"/>
      <c r="S112" s="7"/>
      <c r="T112" s="9"/>
      <c r="U112" s="7"/>
      <c r="V112" s="8"/>
      <c r="W112" s="7"/>
      <c r="X112" s="7"/>
      <c r="Y112" s="8"/>
      <c r="Z112" s="7"/>
      <c r="AA112" s="8"/>
      <c r="AF112" s="337" t="s">
        <v>490</v>
      </c>
      <c r="AG112" s="337" t="s">
        <v>819</v>
      </c>
    </row>
    <row r="113" spans="2:33" ht="14.25" thickTop="1" thickBot="1" x14ac:dyDescent="0.25">
      <c r="B113" s="10"/>
      <c r="D113" s="341"/>
      <c r="E113" s="86" t="s">
        <v>743</v>
      </c>
      <c r="F113" s="7"/>
      <c r="G113" s="8"/>
      <c r="H113" s="7"/>
      <c r="I113" s="6"/>
      <c r="J113" s="7"/>
      <c r="K113" s="8"/>
      <c r="L113" s="7"/>
      <c r="M113" s="8"/>
      <c r="N113" s="7"/>
      <c r="O113" s="8"/>
      <c r="P113" s="7"/>
      <c r="Q113" s="7"/>
      <c r="R113" s="8"/>
      <c r="S113" s="7"/>
      <c r="T113" s="9"/>
      <c r="U113" s="7"/>
      <c r="V113" s="8"/>
      <c r="W113" s="7"/>
      <c r="X113" s="7"/>
      <c r="Y113" s="8"/>
      <c r="Z113" s="7"/>
      <c r="AA113" s="8"/>
      <c r="AF113" s="337" t="s">
        <v>490</v>
      </c>
      <c r="AG113" s="337" t="s">
        <v>700</v>
      </c>
    </row>
    <row r="114" spans="2:33" ht="14.25" thickTop="1" thickBot="1" x14ac:dyDescent="0.25">
      <c r="B114" s="10"/>
      <c r="D114" s="341"/>
      <c r="E114" s="86" t="s">
        <v>486</v>
      </c>
      <c r="F114" s="7"/>
      <c r="G114" s="8"/>
      <c r="H114" s="7"/>
      <c r="I114" s="6"/>
      <c r="J114" s="7"/>
      <c r="K114" s="8"/>
      <c r="L114" s="7"/>
      <c r="M114" s="8"/>
      <c r="N114" s="7"/>
      <c r="O114" s="8"/>
      <c r="P114" s="7"/>
      <c r="Q114" s="7"/>
      <c r="R114" s="8"/>
      <c r="S114" s="7"/>
      <c r="T114" s="9"/>
      <c r="U114" s="7"/>
      <c r="V114" s="8"/>
      <c r="W114" s="7"/>
      <c r="X114" s="7"/>
      <c r="Y114" s="8"/>
      <c r="Z114" s="7"/>
      <c r="AA114" s="8"/>
      <c r="AF114" s="337" t="s">
        <v>490</v>
      </c>
      <c r="AG114" s="337" t="s">
        <v>702</v>
      </c>
    </row>
    <row r="115" spans="2:33" ht="14.25" thickTop="1" thickBot="1" x14ac:dyDescent="0.25">
      <c r="B115" s="10"/>
      <c r="D115" s="341"/>
      <c r="E115" s="86" t="s">
        <v>488</v>
      </c>
      <c r="F115" s="7"/>
      <c r="G115" s="8"/>
      <c r="H115" s="7"/>
      <c r="I115" s="6"/>
      <c r="J115" s="7"/>
      <c r="K115" s="8"/>
      <c r="L115" s="7"/>
      <c r="M115" s="8"/>
      <c r="N115" s="7"/>
      <c r="O115" s="8"/>
      <c r="P115" s="7"/>
      <c r="Q115" s="7"/>
      <c r="R115" s="8"/>
      <c r="S115" s="7"/>
      <c r="T115" s="9"/>
      <c r="U115" s="7"/>
      <c r="V115" s="8"/>
      <c r="W115" s="7"/>
      <c r="X115" s="7"/>
      <c r="Y115" s="8"/>
      <c r="Z115" s="7"/>
      <c r="AA115" s="8"/>
      <c r="AF115" s="337" t="s">
        <v>490</v>
      </c>
      <c r="AG115" s="337" t="s">
        <v>776</v>
      </c>
    </row>
    <row r="116" spans="2:33" ht="14.25" thickTop="1" thickBot="1" x14ac:dyDescent="0.25">
      <c r="B116" s="10"/>
      <c r="D116" s="341"/>
      <c r="E116" s="86" t="s">
        <v>736</v>
      </c>
      <c r="F116" s="7"/>
      <c r="G116" s="8"/>
      <c r="H116" s="7"/>
      <c r="I116" s="6"/>
      <c r="J116" s="7"/>
      <c r="K116" s="8"/>
      <c r="L116" s="7"/>
      <c r="M116" s="8"/>
      <c r="N116" s="7"/>
      <c r="O116" s="8"/>
      <c r="P116" s="7"/>
      <c r="Q116" s="7"/>
      <c r="R116" s="8"/>
      <c r="S116" s="7"/>
      <c r="T116" s="9"/>
      <c r="U116" s="7"/>
      <c r="V116" s="8"/>
      <c r="W116" s="7"/>
      <c r="X116" s="7"/>
      <c r="Y116" s="8"/>
      <c r="Z116" s="7"/>
      <c r="AA116" s="8"/>
      <c r="AF116" s="337" t="s">
        <v>490</v>
      </c>
      <c r="AG116" s="337" t="s">
        <v>778</v>
      </c>
    </row>
    <row r="117" spans="2:33" ht="14.25" thickTop="1" thickBot="1" x14ac:dyDescent="0.25">
      <c r="B117" s="10"/>
      <c r="D117" s="341"/>
      <c r="E117" s="86" t="s">
        <v>858</v>
      </c>
      <c r="F117" s="7"/>
      <c r="G117" s="8"/>
      <c r="H117" s="7"/>
      <c r="I117" s="6"/>
      <c r="J117" s="7"/>
      <c r="K117" s="8"/>
      <c r="L117" s="7"/>
      <c r="M117" s="8"/>
      <c r="N117" s="7"/>
      <c r="O117" s="8"/>
      <c r="P117" s="7"/>
      <c r="Q117" s="7"/>
      <c r="R117" s="8"/>
      <c r="S117" s="7"/>
      <c r="T117" s="9"/>
      <c r="U117" s="7"/>
      <c r="V117" s="8"/>
      <c r="W117" s="7"/>
      <c r="X117" s="7"/>
      <c r="Y117" s="8"/>
      <c r="Z117" s="7"/>
      <c r="AA117" s="8"/>
      <c r="AF117" s="337" t="s">
        <v>490</v>
      </c>
      <c r="AG117" s="337" t="s">
        <v>731</v>
      </c>
    </row>
    <row r="118" spans="2:33" ht="14.25" thickTop="1" thickBot="1" x14ac:dyDescent="0.25">
      <c r="B118" s="10"/>
      <c r="D118" s="341"/>
      <c r="E118" s="86" t="s">
        <v>1116</v>
      </c>
      <c r="F118" s="7"/>
      <c r="G118" s="8"/>
      <c r="H118" s="7"/>
      <c r="I118" s="6"/>
      <c r="J118" s="7"/>
      <c r="K118" s="8"/>
      <c r="L118" s="7"/>
      <c r="M118" s="8"/>
      <c r="N118" s="7"/>
      <c r="O118" s="8"/>
      <c r="P118" s="7"/>
      <c r="Q118" s="7"/>
      <c r="R118" s="8"/>
      <c r="S118" s="7"/>
      <c r="T118" s="9"/>
      <c r="U118" s="7"/>
      <c r="V118" s="8"/>
      <c r="W118" s="7"/>
      <c r="X118" s="7"/>
      <c r="Y118" s="8"/>
      <c r="Z118" s="7"/>
      <c r="AA118" s="8"/>
      <c r="AF118" s="337" t="s">
        <v>490</v>
      </c>
      <c r="AG118" s="337" t="s">
        <v>761</v>
      </c>
    </row>
    <row r="119" spans="2:33" ht="14.25" thickTop="1" thickBot="1" x14ac:dyDescent="0.25">
      <c r="B119" s="10"/>
      <c r="D119" s="341"/>
      <c r="E119" s="86" t="s">
        <v>807</v>
      </c>
      <c r="F119" s="7"/>
      <c r="G119" s="8"/>
      <c r="H119" s="7"/>
      <c r="I119" s="6"/>
      <c r="J119" s="7"/>
      <c r="K119" s="8"/>
      <c r="L119" s="7"/>
      <c r="M119" s="8"/>
      <c r="N119" s="7"/>
      <c r="O119" s="8"/>
      <c r="P119" s="7"/>
      <c r="Q119" s="7"/>
      <c r="R119" s="8"/>
      <c r="S119" s="7"/>
      <c r="T119" s="9"/>
      <c r="U119" s="7"/>
      <c r="V119" s="8"/>
      <c r="W119" s="7"/>
      <c r="X119" s="7"/>
      <c r="Y119" s="8"/>
      <c r="Z119" s="7"/>
      <c r="AA119" s="8"/>
      <c r="AF119" s="337" t="s">
        <v>490</v>
      </c>
      <c r="AG119" s="337" t="s">
        <v>720</v>
      </c>
    </row>
    <row r="120" spans="2:33" ht="14.25" thickTop="1" thickBot="1" x14ac:dyDescent="0.25">
      <c r="B120" s="10"/>
      <c r="D120" s="341"/>
      <c r="E120" s="86" t="s">
        <v>803</v>
      </c>
      <c r="F120" s="7"/>
      <c r="G120" s="8"/>
      <c r="H120" s="7"/>
      <c r="I120" s="6"/>
      <c r="J120" s="7"/>
      <c r="K120" s="8"/>
      <c r="L120" s="7"/>
      <c r="M120" s="8"/>
      <c r="N120" s="7"/>
      <c r="O120" s="8"/>
      <c r="P120" s="7"/>
      <c r="Q120" s="7"/>
      <c r="R120" s="8"/>
      <c r="S120" s="7"/>
      <c r="T120" s="9"/>
      <c r="U120" s="7"/>
      <c r="V120" s="8"/>
      <c r="W120" s="7"/>
      <c r="X120" s="7"/>
      <c r="Y120" s="8"/>
      <c r="Z120" s="7"/>
      <c r="AA120" s="8"/>
      <c r="AF120" s="337" t="s">
        <v>490</v>
      </c>
      <c r="AG120" s="337" t="s">
        <v>825</v>
      </c>
    </row>
    <row r="121" spans="2:33" ht="14.25" thickTop="1" thickBot="1" x14ac:dyDescent="0.25">
      <c r="B121" s="10"/>
      <c r="D121" s="341"/>
      <c r="E121" s="86" t="s">
        <v>799</v>
      </c>
      <c r="F121" s="7"/>
      <c r="G121" s="8"/>
      <c r="H121" s="7"/>
      <c r="I121" s="6"/>
      <c r="J121" s="7"/>
      <c r="K121" s="8"/>
      <c r="L121" s="7"/>
      <c r="M121" s="8"/>
      <c r="N121" s="7"/>
      <c r="O121" s="8"/>
      <c r="P121" s="7"/>
      <c r="Q121" s="7"/>
      <c r="R121" s="8"/>
      <c r="S121" s="7"/>
      <c r="T121" s="9"/>
      <c r="U121" s="7"/>
      <c r="V121" s="8"/>
      <c r="W121" s="7"/>
      <c r="X121" s="7"/>
      <c r="Y121" s="8"/>
      <c r="Z121" s="7"/>
      <c r="AA121" s="8"/>
      <c r="AF121" s="337" t="s">
        <v>490</v>
      </c>
      <c r="AG121" s="337" t="s">
        <v>755</v>
      </c>
    </row>
    <row r="122" spans="2:33" ht="14.25" thickTop="1" thickBot="1" x14ac:dyDescent="0.25">
      <c r="B122" s="10"/>
      <c r="D122" s="341"/>
      <c r="E122" s="86" t="s">
        <v>781</v>
      </c>
      <c r="F122" s="7"/>
      <c r="G122" s="8"/>
      <c r="H122" s="7"/>
      <c r="I122" s="6"/>
      <c r="J122" s="7"/>
      <c r="K122" s="8"/>
      <c r="L122" s="7"/>
      <c r="M122" s="8"/>
      <c r="N122" s="7"/>
      <c r="O122" s="8"/>
      <c r="P122" s="7"/>
      <c r="Q122" s="7"/>
      <c r="R122" s="8"/>
      <c r="S122" s="7"/>
      <c r="T122" s="9"/>
      <c r="U122" s="7"/>
      <c r="V122" s="8"/>
      <c r="W122" s="7"/>
      <c r="X122" s="7"/>
      <c r="Y122" s="8"/>
      <c r="Z122" s="7"/>
      <c r="AA122" s="8"/>
      <c r="AF122" s="337" t="s">
        <v>490</v>
      </c>
      <c r="AG122" s="337" t="s">
        <v>754</v>
      </c>
    </row>
    <row r="123" spans="2:33" ht="14.25" thickTop="1" thickBot="1" x14ac:dyDescent="0.25">
      <c r="B123" s="10"/>
      <c r="D123" s="341"/>
      <c r="E123" s="86" t="s">
        <v>1121</v>
      </c>
      <c r="F123" s="7"/>
      <c r="G123" s="8"/>
      <c r="H123" s="7"/>
      <c r="I123" s="6"/>
      <c r="J123" s="7"/>
      <c r="K123" s="8"/>
      <c r="L123" s="7"/>
      <c r="M123" s="8"/>
      <c r="N123" s="7"/>
      <c r="O123" s="8"/>
      <c r="P123" s="7"/>
      <c r="Q123" s="7"/>
      <c r="R123" s="8"/>
      <c r="S123" s="7"/>
      <c r="T123" s="9"/>
      <c r="U123" s="7"/>
      <c r="V123" s="8"/>
      <c r="W123" s="7"/>
      <c r="X123" s="7"/>
      <c r="Y123" s="8"/>
      <c r="Z123" s="7"/>
      <c r="AA123" s="8"/>
      <c r="AF123" s="337" t="s">
        <v>490</v>
      </c>
      <c r="AG123" s="337" t="s">
        <v>703</v>
      </c>
    </row>
    <row r="124" spans="2:33" ht="14.25" thickTop="1" thickBot="1" x14ac:dyDescent="0.25">
      <c r="B124" s="10"/>
      <c r="D124" s="341"/>
      <c r="E124" s="86" t="s">
        <v>853</v>
      </c>
      <c r="F124" s="7"/>
      <c r="G124" s="8"/>
      <c r="H124" s="7"/>
      <c r="I124" s="6"/>
      <c r="J124" s="7"/>
      <c r="K124" s="8"/>
      <c r="L124" s="7"/>
      <c r="M124" s="8"/>
      <c r="N124" s="7"/>
      <c r="O124" s="8"/>
      <c r="P124" s="7"/>
      <c r="Q124" s="7"/>
      <c r="R124" s="8"/>
      <c r="S124" s="7"/>
      <c r="T124" s="9"/>
      <c r="U124" s="7"/>
      <c r="V124" s="8"/>
      <c r="W124" s="7"/>
      <c r="X124" s="7"/>
      <c r="Y124" s="8"/>
      <c r="Z124" s="7"/>
      <c r="AA124" s="8"/>
      <c r="AF124" s="337" t="s">
        <v>490</v>
      </c>
      <c r="AG124" s="337" t="s">
        <v>708</v>
      </c>
    </row>
    <row r="125" spans="2:33" ht="14.25" thickTop="1" thickBot="1" x14ac:dyDescent="0.25">
      <c r="B125" s="10"/>
      <c r="D125" s="341"/>
      <c r="E125" s="86" t="s">
        <v>859</v>
      </c>
      <c r="F125" s="7"/>
      <c r="G125" s="8"/>
      <c r="H125" s="7"/>
      <c r="I125" s="6"/>
      <c r="J125" s="7"/>
      <c r="K125" s="8"/>
      <c r="L125" s="7"/>
      <c r="M125" s="8"/>
      <c r="N125" s="7"/>
      <c r="O125" s="8"/>
      <c r="P125" s="7"/>
      <c r="Q125" s="7"/>
      <c r="R125" s="8"/>
      <c r="S125" s="7"/>
      <c r="T125" s="9"/>
      <c r="U125" s="7"/>
      <c r="V125" s="8"/>
      <c r="W125" s="7"/>
      <c r="X125" s="7"/>
      <c r="Y125" s="8"/>
      <c r="Z125" s="7"/>
      <c r="AA125" s="8"/>
      <c r="AF125" s="337" t="s">
        <v>490</v>
      </c>
      <c r="AG125" s="337" t="s">
        <v>766</v>
      </c>
    </row>
    <row r="126" spans="2:33" ht="14.25" thickTop="1" thickBot="1" x14ac:dyDescent="0.25">
      <c r="B126" s="10"/>
      <c r="D126" s="341"/>
      <c r="E126" s="86" t="s">
        <v>670</v>
      </c>
      <c r="F126" s="7"/>
      <c r="G126" s="8"/>
      <c r="H126" s="7"/>
      <c r="I126" s="6"/>
      <c r="J126" s="7"/>
      <c r="K126" s="8"/>
      <c r="L126" s="7"/>
      <c r="M126" s="8"/>
      <c r="N126" s="7"/>
      <c r="O126" s="8"/>
      <c r="P126" s="7"/>
      <c r="Q126" s="7"/>
      <c r="R126" s="8"/>
      <c r="S126" s="7"/>
      <c r="T126" s="9"/>
      <c r="U126" s="7"/>
      <c r="V126" s="8"/>
      <c r="W126" s="7"/>
      <c r="X126" s="7"/>
      <c r="Y126" s="8"/>
      <c r="Z126" s="7"/>
      <c r="AA126" s="8"/>
      <c r="AF126" s="337" t="s">
        <v>490</v>
      </c>
      <c r="AG126" s="337" t="s">
        <v>521</v>
      </c>
    </row>
    <row r="127" spans="2:33" ht="14.25" thickTop="1" thickBot="1" x14ac:dyDescent="0.25">
      <c r="B127" s="10"/>
      <c r="D127" s="341"/>
      <c r="E127" s="86" t="s">
        <v>694</v>
      </c>
      <c r="F127" s="7"/>
      <c r="G127" s="8"/>
      <c r="H127" s="7"/>
      <c r="I127" s="6"/>
      <c r="J127" s="7"/>
      <c r="K127" s="8"/>
      <c r="L127" s="7"/>
      <c r="M127" s="8"/>
      <c r="N127" s="7"/>
      <c r="O127" s="8"/>
      <c r="P127" s="7"/>
      <c r="Q127" s="7"/>
      <c r="R127" s="8"/>
      <c r="S127" s="7"/>
      <c r="T127" s="9"/>
      <c r="U127" s="7"/>
      <c r="V127" s="8"/>
      <c r="W127" s="7"/>
      <c r="X127" s="7"/>
      <c r="Y127" s="8"/>
      <c r="Z127" s="7"/>
      <c r="AA127" s="8"/>
      <c r="AF127" s="337" t="s">
        <v>490</v>
      </c>
      <c r="AG127" s="337" t="s">
        <v>748</v>
      </c>
    </row>
    <row r="128" spans="2:33" ht="14.25" thickTop="1" thickBot="1" x14ac:dyDescent="0.25">
      <c r="B128" s="10"/>
      <c r="D128" s="341"/>
      <c r="E128" s="86" t="s">
        <v>855</v>
      </c>
      <c r="F128" s="7"/>
      <c r="G128" s="8"/>
      <c r="H128" s="7"/>
      <c r="I128" s="6"/>
      <c r="J128" s="7"/>
      <c r="K128" s="8"/>
      <c r="L128" s="7"/>
      <c r="M128" s="8"/>
      <c r="N128" s="7"/>
      <c r="O128" s="8"/>
      <c r="P128" s="7"/>
      <c r="Q128" s="7"/>
      <c r="R128" s="8"/>
      <c r="S128" s="7"/>
      <c r="T128" s="9"/>
      <c r="U128" s="7"/>
      <c r="V128" s="8"/>
      <c r="W128" s="7"/>
      <c r="X128" s="7"/>
      <c r="Y128" s="8"/>
      <c r="Z128" s="7"/>
      <c r="AA128" s="8"/>
      <c r="AF128" s="337" t="s">
        <v>490</v>
      </c>
      <c r="AG128" s="337" t="s">
        <v>817</v>
      </c>
    </row>
    <row r="129" spans="2:33" ht="14.25" thickTop="1" thickBot="1" x14ac:dyDescent="0.25">
      <c r="B129" s="10"/>
      <c r="D129" s="341"/>
      <c r="E129" s="86" t="s">
        <v>742</v>
      </c>
      <c r="F129" s="7"/>
      <c r="G129" s="8"/>
      <c r="H129" s="7"/>
      <c r="I129" s="6"/>
      <c r="J129" s="7"/>
      <c r="K129" s="8"/>
      <c r="L129" s="7"/>
      <c r="M129" s="8"/>
      <c r="N129" s="7"/>
      <c r="O129" s="8"/>
      <c r="P129" s="7"/>
      <c r="Q129" s="7"/>
      <c r="R129" s="8"/>
      <c r="S129" s="7"/>
      <c r="T129" s="9"/>
      <c r="U129" s="7"/>
      <c r="V129" s="8"/>
      <c r="W129" s="7"/>
      <c r="X129" s="7"/>
      <c r="Y129" s="8"/>
      <c r="Z129" s="7"/>
      <c r="AA129" s="8"/>
      <c r="AF129" s="337" t="s">
        <v>490</v>
      </c>
      <c r="AG129" s="337" t="s">
        <v>848</v>
      </c>
    </row>
    <row r="130" spans="2:33" ht="14.25" thickTop="1" thickBot="1" x14ac:dyDescent="0.25">
      <c r="B130" s="10"/>
      <c r="D130" s="341"/>
      <c r="E130" s="86" t="s">
        <v>854</v>
      </c>
      <c r="F130" s="7"/>
      <c r="G130" s="8"/>
      <c r="H130" s="7"/>
      <c r="I130" s="6"/>
      <c r="J130" s="7"/>
      <c r="K130" s="8"/>
      <c r="L130" s="7"/>
      <c r="M130" s="8"/>
      <c r="N130" s="7"/>
      <c r="O130" s="8"/>
      <c r="P130" s="7"/>
      <c r="Q130" s="7"/>
      <c r="R130" s="8"/>
      <c r="S130" s="7"/>
      <c r="T130" s="9"/>
      <c r="U130" s="7"/>
      <c r="V130" s="8"/>
      <c r="W130" s="7"/>
      <c r="X130" s="7"/>
      <c r="Y130" s="8"/>
      <c r="Z130" s="7"/>
      <c r="AA130" s="8"/>
      <c r="AF130" s="337" t="s">
        <v>490</v>
      </c>
      <c r="AG130" s="337" t="s">
        <v>846</v>
      </c>
    </row>
    <row r="131" spans="2:33" ht="14.25" thickTop="1" thickBot="1" x14ac:dyDescent="0.25">
      <c r="B131" s="10"/>
      <c r="D131" s="341"/>
      <c r="E131" s="86" t="s">
        <v>494</v>
      </c>
      <c r="F131" s="7"/>
      <c r="G131" s="8"/>
      <c r="H131" s="7"/>
      <c r="I131" s="6"/>
      <c r="J131" s="7"/>
      <c r="K131" s="8"/>
      <c r="L131" s="7"/>
      <c r="M131" s="8"/>
      <c r="N131" s="7"/>
      <c r="O131" s="8"/>
      <c r="P131" s="7"/>
      <c r="Q131" s="7"/>
      <c r="R131" s="8"/>
      <c r="S131" s="7"/>
      <c r="T131" s="9"/>
      <c r="U131" s="7"/>
      <c r="V131" s="8"/>
      <c r="W131" s="7"/>
      <c r="X131" s="7"/>
      <c r="Y131" s="8"/>
      <c r="Z131" s="7"/>
      <c r="AA131" s="8"/>
      <c r="AF131" s="337" t="s">
        <v>490</v>
      </c>
      <c r="AG131" s="337" t="s">
        <v>753</v>
      </c>
    </row>
    <row r="132" spans="2:33" ht="14.25" thickTop="1" thickBot="1" x14ac:dyDescent="0.25">
      <c r="B132" s="10"/>
      <c r="D132" s="341"/>
      <c r="E132" s="86" t="s">
        <v>775</v>
      </c>
      <c r="F132" s="7"/>
      <c r="G132" s="8"/>
      <c r="H132" s="7"/>
      <c r="I132" s="6"/>
      <c r="J132" s="7"/>
      <c r="K132" s="8"/>
      <c r="L132" s="7"/>
      <c r="M132" s="8"/>
      <c r="N132" s="7"/>
      <c r="O132" s="8"/>
      <c r="P132" s="7"/>
      <c r="Q132" s="7"/>
      <c r="R132" s="8"/>
      <c r="S132" s="7"/>
      <c r="T132" s="9"/>
      <c r="U132" s="7"/>
      <c r="V132" s="8"/>
      <c r="W132" s="7"/>
      <c r="X132" s="7"/>
      <c r="Y132" s="8"/>
      <c r="Z132" s="7"/>
      <c r="AA132" s="8"/>
      <c r="AF132" s="337" t="s">
        <v>490</v>
      </c>
      <c r="AG132" s="337" t="s">
        <v>697</v>
      </c>
    </row>
    <row r="133" spans="2:33" ht="14.25" thickTop="1" thickBot="1" x14ac:dyDescent="0.25">
      <c r="B133" s="10"/>
      <c r="D133" s="341"/>
      <c r="E133" s="86" t="s">
        <v>1125</v>
      </c>
      <c r="F133" s="7"/>
      <c r="G133" s="8"/>
      <c r="H133" s="7"/>
      <c r="I133" s="6"/>
      <c r="J133" s="7"/>
      <c r="K133" s="8"/>
      <c r="L133" s="7"/>
      <c r="M133" s="8"/>
      <c r="N133" s="7"/>
      <c r="O133" s="8"/>
      <c r="P133" s="7"/>
      <c r="Q133" s="7"/>
      <c r="R133" s="8"/>
      <c r="S133" s="7"/>
      <c r="T133" s="9"/>
      <c r="U133" s="7"/>
      <c r="V133" s="8"/>
      <c r="W133" s="7"/>
      <c r="X133" s="7"/>
      <c r="Y133" s="8"/>
      <c r="Z133" s="7"/>
      <c r="AA133" s="8"/>
      <c r="AF133" s="337" t="s">
        <v>302</v>
      </c>
      <c r="AG133" s="337" t="s">
        <v>1288</v>
      </c>
    </row>
    <row r="134" spans="2:33" ht="14.25" thickTop="1" thickBot="1" x14ac:dyDescent="0.25">
      <c r="B134" s="10"/>
      <c r="D134" s="341"/>
      <c r="E134" s="86" t="s">
        <v>1307</v>
      </c>
      <c r="F134" s="7"/>
      <c r="G134" s="8"/>
      <c r="H134" s="7"/>
      <c r="I134" s="6"/>
      <c r="J134" s="7"/>
      <c r="K134" s="8"/>
      <c r="L134" s="7"/>
      <c r="M134" s="8"/>
      <c r="N134" s="7"/>
      <c r="O134" s="8"/>
      <c r="P134" s="7"/>
      <c r="Q134" s="7"/>
      <c r="R134" s="8"/>
      <c r="S134" s="7"/>
      <c r="T134" s="9"/>
      <c r="U134" s="7"/>
      <c r="V134" s="8"/>
      <c r="W134" s="7"/>
      <c r="X134" s="7"/>
      <c r="Y134" s="8"/>
      <c r="Z134" s="7"/>
      <c r="AA134" s="8"/>
      <c r="AF134" s="337" t="s">
        <v>302</v>
      </c>
      <c r="AG134" s="337" t="s">
        <v>402</v>
      </c>
    </row>
    <row r="135" spans="2:33" ht="14.25" thickTop="1" thickBot="1" x14ac:dyDescent="0.25">
      <c r="B135" s="10"/>
      <c r="D135" s="341"/>
      <c r="E135" s="86" t="s">
        <v>1309</v>
      </c>
      <c r="F135" s="7"/>
      <c r="G135" s="8"/>
      <c r="H135" s="7"/>
      <c r="I135" s="6"/>
      <c r="J135" s="7"/>
      <c r="K135" s="8"/>
      <c r="L135" s="7"/>
      <c r="M135" s="8"/>
      <c r="N135" s="7"/>
      <c r="O135" s="8"/>
      <c r="P135" s="7"/>
      <c r="Q135" s="7"/>
      <c r="R135" s="8"/>
      <c r="S135" s="7"/>
      <c r="T135" s="9"/>
      <c r="U135" s="7"/>
      <c r="V135" s="8"/>
      <c r="W135" s="7"/>
      <c r="X135" s="7"/>
      <c r="Y135" s="8"/>
      <c r="Z135" s="7"/>
      <c r="AA135" s="8"/>
      <c r="AF135" s="337" t="s">
        <v>302</v>
      </c>
      <c r="AG135" s="337" t="s">
        <v>953</v>
      </c>
    </row>
    <row r="136" spans="2:33" ht="14.25" thickTop="1" thickBot="1" x14ac:dyDescent="0.25">
      <c r="B136" s="10"/>
      <c r="D136" s="341"/>
      <c r="E136" s="86" t="s">
        <v>1308</v>
      </c>
      <c r="F136" s="7"/>
      <c r="G136" s="8"/>
      <c r="H136" s="7"/>
      <c r="I136" s="6"/>
      <c r="J136" s="7"/>
      <c r="K136" s="8"/>
      <c r="L136" s="7"/>
      <c r="M136" s="8"/>
      <c r="N136" s="7"/>
      <c r="O136" s="8"/>
      <c r="P136" s="7"/>
      <c r="Q136" s="7"/>
      <c r="R136" s="8"/>
      <c r="S136" s="7"/>
      <c r="T136" s="9"/>
      <c r="U136" s="7"/>
      <c r="V136" s="8"/>
      <c r="W136" s="7"/>
      <c r="X136" s="7"/>
      <c r="Y136" s="8"/>
      <c r="Z136" s="7"/>
      <c r="AA136" s="8"/>
      <c r="AF136" s="337" t="s">
        <v>302</v>
      </c>
      <c r="AG136" s="337" t="s">
        <v>303</v>
      </c>
    </row>
    <row r="137" spans="2:33" ht="14.25" thickTop="1" thickBot="1" x14ac:dyDescent="0.25">
      <c r="B137" s="10"/>
      <c r="D137" s="341"/>
      <c r="E137" s="86" t="s">
        <v>1479</v>
      </c>
      <c r="F137" s="7"/>
      <c r="G137" s="8"/>
      <c r="H137" s="7"/>
      <c r="I137" s="6"/>
      <c r="J137" s="7"/>
      <c r="K137" s="8"/>
      <c r="L137" s="7"/>
      <c r="M137" s="8"/>
      <c r="N137" s="7"/>
      <c r="O137" s="8"/>
      <c r="P137" s="7"/>
      <c r="Q137" s="7"/>
      <c r="R137" s="8"/>
      <c r="S137" s="7"/>
      <c r="T137" s="9"/>
      <c r="U137" s="7"/>
      <c r="V137" s="8"/>
      <c r="W137" s="7"/>
      <c r="X137" s="7"/>
      <c r="Y137" s="8"/>
      <c r="Z137" s="7"/>
      <c r="AA137" s="8"/>
      <c r="AF137" s="337" t="s">
        <v>302</v>
      </c>
      <c r="AG137" s="337" t="s">
        <v>1252</v>
      </c>
    </row>
    <row r="138" spans="2:33" ht="14.25" thickTop="1" thickBot="1" x14ac:dyDescent="0.25">
      <c r="B138" s="10"/>
      <c r="D138" s="341"/>
      <c r="E138" s="86" t="s">
        <v>502</v>
      </c>
      <c r="F138" s="7"/>
      <c r="G138" s="8"/>
      <c r="H138" s="7"/>
      <c r="I138" s="6"/>
      <c r="J138" s="7"/>
      <c r="K138" s="8"/>
      <c r="L138" s="7"/>
      <c r="M138" s="8"/>
      <c r="N138" s="7"/>
      <c r="O138" s="8"/>
      <c r="P138" s="7"/>
      <c r="Q138" s="7"/>
      <c r="R138" s="8"/>
      <c r="S138" s="7"/>
      <c r="T138" s="9"/>
      <c r="U138" s="7"/>
      <c r="V138" s="8"/>
      <c r="W138" s="7"/>
      <c r="X138" s="7"/>
      <c r="Y138" s="8"/>
      <c r="Z138" s="7"/>
      <c r="AA138" s="8"/>
      <c r="AF138" s="337" t="s">
        <v>302</v>
      </c>
      <c r="AG138" s="337" t="s">
        <v>405</v>
      </c>
    </row>
    <row r="139" spans="2:33" ht="14.25" thickTop="1" thickBot="1" x14ac:dyDescent="0.25">
      <c r="B139" s="10"/>
      <c r="D139" s="341"/>
      <c r="E139" s="86" t="s">
        <v>503</v>
      </c>
      <c r="F139" s="7"/>
      <c r="G139" s="8"/>
      <c r="H139" s="7"/>
      <c r="I139" s="6"/>
      <c r="J139" s="7"/>
      <c r="K139" s="8"/>
      <c r="L139" s="7"/>
      <c r="M139" s="8"/>
      <c r="N139" s="7"/>
      <c r="O139" s="8"/>
      <c r="P139" s="7"/>
      <c r="Q139" s="7"/>
      <c r="R139" s="8"/>
      <c r="S139" s="7"/>
      <c r="T139" s="9"/>
      <c r="U139" s="7"/>
      <c r="V139" s="8"/>
      <c r="W139" s="7"/>
      <c r="X139" s="7"/>
      <c r="Y139" s="8"/>
      <c r="Z139" s="7"/>
      <c r="AA139" s="8"/>
      <c r="AF139" s="337" t="s">
        <v>302</v>
      </c>
      <c r="AG139" s="337" t="s">
        <v>381</v>
      </c>
    </row>
    <row r="140" spans="2:33" ht="14.25" thickTop="1" thickBot="1" x14ac:dyDescent="0.25">
      <c r="B140" s="10"/>
      <c r="D140" s="341"/>
      <c r="E140" s="86" t="s">
        <v>695</v>
      </c>
      <c r="F140" s="7"/>
      <c r="G140" s="8"/>
      <c r="H140" s="7"/>
      <c r="I140" s="6"/>
      <c r="J140" s="7"/>
      <c r="K140" s="8"/>
      <c r="L140" s="7"/>
      <c r="M140" s="8"/>
      <c r="N140" s="7"/>
      <c r="O140" s="8"/>
      <c r="P140" s="7"/>
      <c r="Q140" s="7"/>
      <c r="R140" s="8"/>
      <c r="S140" s="7"/>
      <c r="T140" s="9"/>
      <c r="U140" s="7"/>
      <c r="V140" s="8"/>
      <c r="W140" s="7"/>
      <c r="X140" s="7"/>
      <c r="Y140" s="8"/>
      <c r="Z140" s="7"/>
      <c r="AA140" s="8"/>
      <c r="AF140" s="337" t="s">
        <v>302</v>
      </c>
      <c r="AG140" s="337" t="s">
        <v>384</v>
      </c>
    </row>
    <row r="141" spans="2:33" ht="14.25" thickTop="1" thickBot="1" x14ac:dyDescent="0.25">
      <c r="B141" s="10"/>
      <c r="D141" s="341"/>
      <c r="E141" s="86" t="s">
        <v>772</v>
      </c>
      <c r="F141" s="7"/>
      <c r="G141" s="8"/>
      <c r="H141" s="7"/>
      <c r="I141" s="6"/>
      <c r="J141" s="7"/>
      <c r="K141" s="8"/>
      <c r="L141" s="7"/>
      <c r="M141" s="8"/>
      <c r="N141" s="7"/>
      <c r="O141" s="8"/>
      <c r="P141" s="7"/>
      <c r="Q141" s="7"/>
      <c r="R141" s="8"/>
      <c r="S141" s="7"/>
      <c r="T141" s="9"/>
      <c r="U141" s="7"/>
      <c r="V141" s="8"/>
      <c r="W141" s="7"/>
      <c r="X141" s="7"/>
      <c r="Y141" s="8"/>
      <c r="Z141" s="7"/>
      <c r="AA141" s="8"/>
      <c r="AF141" s="337" t="s">
        <v>304</v>
      </c>
      <c r="AG141" s="337" t="s">
        <v>1248</v>
      </c>
    </row>
    <row r="142" spans="2:33" ht="14.25" thickTop="1" thickBot="1" x14ac:dyDescent="0.25">
      <c r="B142" s="10"/>
      <c r="D142" s="341"/>
      <c r="E142" s="86" t="s">
        <v>506</v>
      </c>
      <c r="F142" s="7"/>
      <c r="G142" s="8"/>
      <c r="H142" s="7"/>
      <c r="I142" s="6"/>
      <c r="J142" s="7"/>
      <c r="K142" s="8"/>
      <c r="L142" s="7"/>
      <c r="M142" s="8"/>
      <c r="N142" s="7"/>
      <c r="O142" s="8"/>
      <c r="P142" s="7"/>
      <c r="Q142" s="7"/>
      <c r="R142" s="8"/>
      <c r="S142" s="7"/>
      <c r="T142" s="9"/>
      <c r="U142" s="7"/>
      <c r="V142" s="8"/>
      <c r="W142" s="7"/>
      <c r="X142" s="7"/>
      <c r="Y142" s="8"/>
      <c r="Z142" s="7"/>
      <c r="AA142" s="8"/>
      <c r="AF142" s="337" t="s">
        <v>304</v>
      </c>
      <c r="AG142" s="337" t="s">
        <v>387</v>
      </c>
    </row>
    <row r="143" spans="2:33" ht="14.25" thickTop="1" thickBot="1" x14ac:dyDescent="0.25">
      <c r="B143" s="10"/>
      <c r="D143" s="341"/>
      <c r="E143" s="86" t="s">
        <v>777</v>
      </c>
      <c r="F143" s="7"/>
      <c r="G143" s="8"/>
      <c r="H143" s="7"/>
      <c r="I143" s="6"/>
      <c r="J143" s="7"/>
      <c r="K143" s="8"/>
      <c r="L143" s="7"/>
      <c r="M143" s="8"/>
      <c r="N143" s="7"/>
      <c r="O143" s="8"/>
      <c r="P143" s="7"/>
      <c r="Q143" s="7"/>
      <c r="R143" s="8"/>
      <c r="S143" s="7"/>
      <c r="T143" s="9"/>
      <c r="U143" s="7"/>
      <c r="V143" s="8"/>
      <c r="W143" s="7"/>
      <c r="X143" s="7"/>
      <c r="Y143" s="8"/>
      <c r="Z143" s="7"/>
      <c r="AA143" s="8"/>
      <c r="AF143" s="337" t="s">
        <v>304</v>
      </c>
      <c r="AG143" s="337" t="s">
        <v>1258</v>
      </c>
    </row>
    <row r="144" spans="2:33" ht="14.25" thickTop="1" thickBot="1" x14ac:dyDescent="0.25">
      <c r="B144" s="10"/>
      <c r="D144" s="341"/>
      <c r="E144" s="86" t="s">
        <v>464</v>
      </c>
      <c r="F144" s="7"/>
      <c r="G144" s="8"/>
      <c r="H144" s="7"/>
      <c r="I144" s="6"/>
      <c r="J144" s="7"/>
      <c r="K144" s="8"/>
      <c r="L144" s="7"/>
      <c r="M144" s="8"/>
      <c r="N144" s="7"/>
      <c r="O144" s="8"/>
      <c r="P144" s="7"/>
      <c r="Q144" s="7"/>
      <c r="R144" s="8"/>
      <c r="S144" s="7"/>
      <c r="T144" s="9"/>
      <c r="U144" s="7"/>
      <c r="V144" s="8"/>
      <c r="W144" s="7"/>
      <c r="X144" s="7"/>
      <c r="Y144" s="8"/>
      <c r="Z144" s="7"/>
      <c r="AA144" s="8"/>
      <c r="AF144" s="337" t="s">
        <v>304</v>
      </c>
      <c r="AG144" s="337" t="s">
        <v>406</v>
      </c>
    </row>
    <row r="145" spans="2:33" ht="14.25" thickTop="1" thickBot="1" x14ac:dyDescent="0.25">
      <c r="B145" s="10"/>
      <c r="D145" s="341"/>
      <c r="E145" s="86" t="s">
        <v>511</v>
      </c>
      <c r="F145" s="7"/>
      <c r="G145" s="8"/>
      <c r="H145" s="7"/>
      <c r="I145" s="6"/>
      <c r="J145" s="7"/>
      <c r="K145" s="8"/>
      <c r="L145" s="7"/>
      <c r="M145" s="8"/>
      <c r="N145" s="7"/>
      <c r="O145" s="8"/>
      <c r="P145" s="7"/>
      <c r="Q145" s="7"/>
      <c r="R145" s="8"/>
      <c r="S145" s="7"/>
      <c r="T145" s="9"/>
      <c r="U145" s="7"/>
      <c r="V145" s="8"/>
      <c r="W145" s="7"/>
      <c r="X145" s="7"/>
      <c r="Y145" s="8"/>
      <c r="Z145" s="7"/>
      <c r="AA145" s="8"/>
      <c r="AF145" s="337" t="s">
        <v>304</v>
      </c>
      <c r="AG145" s="337" t="s">
        <v>407</v>
      </c>
    </row>
    <row r="146" spans="2:33" ht="14.25" thickTop="1" thickBot="1" x14ac:dyDescent="0.25">
      <c r="B146" s="10"/>
      <c r="D146" s="341"/>
      <c r="E146" s="86" t="s">
        <v>513</v>
      </c>
      <c r="F146" s="7"/>
      <c r="G146" s="8"/>
      <c r="H146" s="7"/>
      <c r="I146" s="6"/>
      <c r="J146" s="7"/>
      <c r="K146" s="8"/>
      <c r="L146" s="7"/>
      <c r="M146" s="8"/>
      <c r="N146" s="7"/>
      <c r="O146" s="8"/>
      <c r="P146" s="7"/>
      <c r="Q146" s="7"/>
      <c r="R146" s="8"/>
      <c r="S146" s="7"/>
      <c r="T146" s="9"/>
      <c r="U146" s="7"/>
      <c r="V146" s="8"/>
      <c r="W146" s="7"/>
      <c r="X146" s="7"/>
      <c r="Y146" s="8"/>
      <c r="Z146" s="7"/>
      <c r="AA146" s="8"/>
      <c r="AF146" s="337" t="s">
        <v>304</v>
      </c>
      <c r="AG146" s="337" t="s">
        <v>408</v>
      </c>
    </row>
    <row r="147" spans="2:33" ht="14.25" thickTop="1" thickBot="1" x14ac:dyDescent="0.25">
      <c r="B147" s="10"/>
      <c r="D147" s="341"/>
      <c r="E147" s="86" t="s">
        <v>850</v>
      </c>
      <c r="F147" s="7"/>
      <c r="G147" s="8"/>
      <c r="H147" s="7"/>
      <c r="I147" s="6"/>
      <c r="J147" s="7"/>
      <c r="K147" s="8"/>
      <c r="L147" s="7"/>
      <c r="M147" s="8"/>
      <c r="N147" s="7"/>
      <c r="O147" s="8"/>
      <c r="P147" s="7"/>
      <c r="Q147" s="7"/>
      <c r="R147" s="8"/>
      <c r="S147" s="7"/>
      <c r="T147" s="9"/>
      <c r="U147" s="7"/>
      <c r="V147" s="8"/>
      <c r="W147" s="7"/>
      <c r="X147" s="7"/>
      <c r="Y147" s="8"/>
      <c r="Z147" s="7"/>
      <c r="AA147" s="8"/>
      <c r="AF147" s="337" t="s">
        <v>304</v>
      </c>
      <c r="AG147" s="337" t="s">
        <v>1254</v>
      </c>
    </row>
    <row r="148" spans="2:33" ht="14.25" thickTop="1" thickBot="1" x14ac:dyDescent="0.25">
      <c r="B148" s="10"/>
      <c r="D148" s="341"/>
      <c r="E148" s="86" t="s">
        <v>740</v>
      </c>
      <c r="F148" s="7"/>
      <c r="G148" s="8"/>
      <c r="H148" s="7"/>
      <c r="I148" s="6"/>
      <c r="J148" s="7"/>
      <c r="K148" s="8"/>
      <c r="L148" s="7"/>
      <c r="M148" s="8"/>
      <c r="N148" s="7"/>
      <c r="O148" s="8"/>
      <c r="P148" s="7"/>
      <c r="Q148" s="7"/>
      <c r="R148" s="8"/>
      <c r="S148" s="7"/>
      <c r="T148" s="9"/>
      <c r="U148" s="7"/>
      <c r="V148" s="8"/>
      <c r="W148" s="7"/>
      <c r="X148" s="7"/>
      <c r="Y148" s="8"/>
      <c r="Z148" s="7"/>
      <c r="AA148" s="8"/>
      <c r="AF148" s="337" t="s">
        <v>304</v>
      </c>
      <c r="AG148" s="337" t="s">
        <v>1251</v>
      </c>
    </row>
    <row r="149" spans="2:33" ht="14.25" thickTop="1" thickBot="1" x14ac:dyDescent="0.25">
      <c r="B149" s="10"/>
      <c r="D149" s="341"/>
      <c r="E149" s="86" t="s">
        <v>515</v>
      </c>
      <c r="F149" s="7"/>
      <c r="G149" s="8"/>
      <c r="H149" s="7"/>
      <c r="I149" s="6"/>
      <c r="J149" s="7"/>
      <c r="K149" s="8"/>
      <c r="L149" s="7"/>
      <c r="M149" s="8"/>
      <c r="N149" s="7"/>
      <c r="O149" s="8"/>
      <c r="P149" s="7"/>
      <c r="Q149" s="7"/>
      <c r="R149" s="8"/>
      <c r="S149" s="7"/>
      <c r="T149" s="9"/>
      <c r="U149" s="7"/>
      <c r="V149" s="8"/>
      <c r="W149" s="7"/>
      <c r="X149" s="7"/>
      <c r="Y149" s="8"/>
      <c r="Z149" s="7"/>
      <c r="AA149" s="8"/>
      <c r="AF149" s="337" t="s">
        <v>304</v>
      </c>
      <c r="AG149" s="337" t="s">
        <v>410</v>
      </c>
    </row>
    <row r="150" spans="2:33" ht="14.25" thickTop="1" thickBot="1" x14ac:dyDescent="0.25">
      <c r="B150" s="10"/>
      <c r="D150" s="341"/>
      <c r="E150" s="86" t="s">
        <v>768</v>
      </c>
      <c r="F150" s="7"/>
      <c r="G150" s="8"/>
      <c r="H150" s="7"/>
      <c r="I150" s="6"/>
      <c r="J150" s="7"/>
      <c r="K150" s="8"/>
      <c r="L150" s="7"/>
      <c r="M150" s="8"/>
      <c r="N150" s="7"/>
      <c r="O150" s="8"/>
      <c r="P150" s="7"/>
      <c r="Q150" s="7"/>
      <c r="R150" s="8"/>
      <c r="S150" s="7"/>
      <c r="T150" s="9"/>
      <c r="U150" s="7"/>
      <c r="V150" s="8"/>
      <c r="W150" s="7"/>
      <c r="X150" s="7"/>
      <c r="Y150" s="8"/>
      <c r="Z150" s="7"/>
      <c r="AA150" s="8"/>
      <c r="AF150" s="337" t="s">
        <v>304</v>
      </c>
      <c r="AG150" s="337" t="s">
        <v>412</v>
      </c>
    </row>
    <row r="151" spans="2:33" ht="14.25" thickTop="1" thickBot="1" x14ac:dyDescent="0.25">
      <c r="B151" s="10"/>
      <c r="D151" s="341"/>
      <c r="E151" s="86" t="s">
        <v>1128</v>
      </c>
      <c r="F151" s="7"/>
      <c r="G151" s="8"/>
      <c r="H151" s="7"/>
      <c r="I151" s="6"/>
      <c r="J151" s="7"/>
      <c r="K151" s="8"/>
      <c r="L151" s="7"/>
      <c r="M151" s="8"/>
      <c r="N151" s="7"/>
      <c r="O151" s="8"/>
      <c r="P151" s="7"/>
      <c r="Q151" s="7"/>
      <c r="R151" s="8"/>
      <c r="S151" s="7"/>
      <c r="T151" s="9"/>
      <c r="U151" s="7"/>
      <c r="V151" s="8"/>
      <c r="W151" s="7"/>
      <c r="X151" s="7"/>
      <c r="Y151" s="8"/>
      <c r="Z151" s="7"/>
      <c r="AA151" s="8"/>
      <c r="AF151" s="337" t="s">
        <v>304</v>
      </c>
      <c r="AG151" s="337" t="s">
        <v>305</v>
      </c>
    </row>
    <row r="152" spans="2:33" ht="14.25" thickTop="1" thickBot="1" x14ac:dyDescent="0.25">
      <c r="B152" s="10"/>
      <c r="D152" s="341"/>
      <c r="E152" s="86" t="s">
        <v>1144</v>
      </c>
      <c r="F152" s="7"/>
      <c r="G152" s="8"/>
      <c r="H152" s="7"/>
      <c r="I152" s="6"/>
      <c r="J152" s="7"/>
      <c r="K152" s="8"/>
      <c r="L152" s="7"/>
      <c r="M152" s="8"/>
      <c r="N152" s="7"/>
      <c r="O152" s="8"/>
      <c r="P152" s="7"/>
      <c r="Q152" s="7"/>
      <c r="R152" s="8"/>
      <c r="S152" s="7"/>
      <c r="T152" s="9"/>
      <c r="U152" s="7"/>
      <c r="V152" s="8"/>
      <c r="W152" s="7"/>
      <c r="X152" s="7"/>
      <c r="Y152" s="8"/>
      <c r="Z152" s="7"/>
      <c r="AA152" s="8"/>
      <c r="AF152" s="337" t="s">
        <v>304</v>
      </c>
      <c r="AG152" s="337" t="s">
        <v>413</v>
      </c>
    </row>
    <row r="153" spans="2:33" ht="14.25" thickTop="1" thickBot="1" x14ac:dyDescent="0.25">
      <c r="B153" s="10"/>
      <c r="D153" s="341"/>
      <c r="E153" s="86" t="s">
        <v>1145</v>
      </c>
      <c r="F153" s="7"/>
      <c r="G153" s="8"/>
      <c r="H153" s="7"/>
      <c r="I153" s="6"/>
      <c r="J153" s="7"/>
      <c r="K153" s="8"/>
      <c r="L153" s="7"/>
      <c r="M153" s="8"/>
      <c r="N153" s="7"/>
      <c r="O153" s="8"/>
      <c r="P153" s="7"/>
      <c r="Q153" s="7"/>
      <c r="R153" s="8"/>
      <c r="S153" s="7"/>
      <c r="T153" s="9"/>
      <c r="U153" s="7"/>
      <c r="V153" s="8"/>
      <c r="W153" s="7"/>
      <c r="X153" s="7"/>
      <c r="Y153" s="8"/>
      <c r="Z153" s="7"/>
      <c r="AA153" s="8"/>
      <c r="AF153" s="337" t="s">
        <v>304</v>
      </c>
      <c r="AG153" s="337" t="s">
        <v>414</v>
      </c>
    </row>
    <row r="154" spans="2:33" ht="14.25" thickTop="1" thickBot="1" x14ac:dyDescent="0.25">
      <c r="B154" s="10"/>
      <c r="D154" s="341"/>
      <c r="E154" s="86" t="s">
        <v>1146</v>
      </c>
      <c r="F154" s="7"/>
      <c r="G154" s="8"/>
      <c r="H154" s="7"/>
      <c r="I154" s="6"/>
      <c r="J154" s="7"/>
      <c r="K154" s="8"/>
      <c r="L154" s="7"/>
      <c r="M154" s="8"/>
      <c r="N154" s="7"/>
      <c r="O154" s="8"/>
      <c r="P154" s="7"/>
      <c r="Q154" s="7"/>
      <c r="R154" s="8"/>
      <c r="S154" s="7"/>
      <c r="T154" s="9"/>
      <c r="U154" s="7"/>
      <c r="V154" s="8"/>
      <c r="W154" s="7"/>
      <c r="X154" s="7"/>
      <c r="Y154" s="8"/>
      <c r="Z154" s="7"/>
      <c r="AA154" s="8"/>
      <c r="AF154" s="337" t="s">
        <v>304</v>
      </c>
      <c r="AG154" s="337" t="s">
        <v>1255</v>
      </c>
    </row>
    <row r="155" spans="2:33" ht="14.25" thickTop="1" thickBot="1" x14ac:dyDescent="0.25">
      <c r="B155" s="10"/>
      <c r="D155" s="341"/>
      <c r="E155" s="86" t="s">
        <v>516</v>
      </c>
      <c r="F155" s="7"/>
      <c r="G155" s="8"/>
      <c r="H155" s="7"/>
      <c r="I155" s="6"/>
      <c r="J155" s="7"/>
      <c r="K155" s="8"/>
      <c r="L155" s="7"/>
      <c r="M155" s="8"/>
      <c r="N155" s="7"/>
      <c r="O155" s="8"/>
      <c r="P155" s="7"/>
      <c r="Q155" s="7"/>
      <c r="R155" s="8"/>
      <c r="S155" s="7"/>
      <c r="T155" s="9"/>
      <c r="U155" s="7"/>
      <c r="V155" s="8"/>
      <c r="W155" s="7"/>
      <c r="X155" s="7"/>
      <c r="Y155" s="8"/>
      <c r="Z155" s="7"/>
      <c r="AA155" s="8"/>
      <c r="AF155" s="337" t="s">
        <v>304</v>
      </c>
      <c r="AG155" s="337" t="s">
        <v>400</v>
      </c>
    </row>
    <row r="156" spans="2:33" ht="14.25" thickTop="1" thickBot="1" x14ac:dyDescent="0.25">
      <c r="D156" s="341"/>
      <c r="E156" s="86" t="s">
        <v>518</v>
      </c>
      <c r="F156" s="7"/>
      <c r="G156" s="8"/>
      <c r="H156" s="7"/>
      <c r="I156" s="6"/>
      <c r="J156" s="7"/>
      <c r="K156" s="8"/>
      <c r="L156" s="7"/>
      <c r="M156" s="8"/>
      <c r="N156" s="7"/>
      <c r="O156" s="8"/>
      <c r="P156" s="7"/>
      <c r="Q156" s="7"/>
      <c r="R156" s="8"/>
      <c r="S156" s="7"/>
      <c r="T156" s="9"/>
      <c r="U156" s="7"/>
      <c r="V156" s="8"/>
      <c r="W156" s="7"/>
      <c r="X156" s="7"/>
      <c r="Y156" s="8"/>
      <c r="Z156" s="7"/>
      <c r="AA156" s="8"/>
      <c r="AF156" s="337" t="s">
        <v>304</v>
      </c>
      <c r="AG156" s="337" t="s">
        <v>415</v>
      </c>
    </row>
    <row r="157" spans="2:33" ht="14.25" thickTop="1" thickBot="1" x14ac:dyDescent="0.25">
      <c r="D157" s="341"/>
      <c r="E157" s="86" t="s">
        <v>524</v>
      </c>
      <c r="F157" s="7"/>
      <c r="G157" s="8"/>
      <c r="H157" s="7"/>
      <c r="I157" s="6"/>
      <c r="J157" s="7"/>
      <c r="K157" s="8"/>
      <c r="L157" s="7"/>
      <c r="M157" s="8"/>
      <c r="N157" s="7"/>
      <c r="O157" s="8"/>
      <c r="P157" s="7"/>
      <c r="Q157" s="7"/>
      <c r="R157" s="8"/>
      <c r="S157" s="7"/>
      <c r="T157" s="9"/>
      <c r="U157" s="7"/>
      <c r="V157" s="8"/>
      <c r="W157" s="7"/>
      <c r="X157" s="7"/>
      <c r="Y157" s="8"/>
      <c r="Z157" s="7"/>
      <c r="AA157" s="8"/>
      <c r="AF157" s="337" t="s">
        <v>304</v>
      </c>
      <c r="AG157" s="337" t="s">
        <v>416</v>
      </c>
    </row>
    <row r="158" spans="2:33" ht="14.25" thickTop="1" thickBot="1" x14ac:dyDescent="0.25">
      <c r="D158" s="341"/>
      <c r="E158" s="86" t="s">
        <v>1342</v>
      </c>
      <c r="F158" s="7"/>
      <c r="G158" s="8"/>
      <c r="H158" s="7"/>
      <c r="I158" s="6"/>
      <c r="J158" s="7"/>
      <c r="K158" s="8"/>
      <c r="L158" s="7"/>
      <c r="M158" s="8"/>
      <c r="N158" s="7"/>
      <c r="O158" s="8"/>
      <c r="P158" s="7"/>
      <c r="Q158" s="7"/>
      <c r="R158" s="8"/>
      <c r="S158" s="7"/>
      <c r="T158" s="9"/>
      <c r="U158" s="7"/>
      <c r="V158" s="8"/>
      <c r="W158" s="7"/>
      <c r="X158" s="7"/>
      <c r="Y158" s="8"/>
      <c r="Z158" s="7"/>
      <c r="AA158" s="8"/>
      <c r="AF158" s="337" t="s">
        <v>304</v>
      </c>
      <c r="AG158" s="337" t="s">
        <v>417</v>
      </c>
    </row>
    <row r="159" spans="2:33" ht="14.25" thickTop="1" thickBot="1" x14ac:dyDescent="0.25">
      <c r="D159" s="341"/>
      <c r="E159" s="86" t="s">
        <v>861</v>
      </c>
      <c r="F159" s="7"/>
      <c r="G159" s="8"/>
      <c r="H159" s="7"/>
      <c r="I159" s="6"/>
      <c r="J159" s="7"/>
      <c r="K159" s="8"/>
      <c r="L159" s="7"/>
      <c r="M159" s="8"/>
      <c r="N159" s="7"/>
      <c r="O159" s="8"/>
      <c r="P159" s="7"/>
      <c r="Q159" s="7"/>
      <c r="R159" s="8"/>
      <c r="S159" s="7"/>
      <c r="T159" s="9"/>
      <c r="U159" s="7"/>
      <c r="V159" s="8"/>
      <c r="W159" s="7"/>
      <c r="X159" s="7"/>
      <c r="Y159" s="8"/>
      <c r="Z159" s="7"/>
      <c r="AA159" s="8"/>
      <c r="AF159" s="337" t="s">
        <v>304</v>
      </c>
      <c r="AG159" s="337" t="s">
        <v>1250</v>
      </c>
    </row>
    <row r="160" spans="2:33" ht="14.25" thickTop="1" thickBot="1" x14ac:dyDescent="0.25">
      <c r="D160" s="341"/>
      <c r="E160" s="86" t="s">
        <v>1124</v>
      </c>
      <c r="F160" s="7"/>
      <c r="G160" s="8"/>
      <c r="H160" s="7"/>
      <c r="I160" s="6"/>
      <c r="J160" s="7"/>
      <c r="K160" s="8"/>
      <c r="L160" s="7"/>
      <c r="M160" s="8"/>
      <c r="N160" s="7"/>
      <c r="O160" s="8"/>
      <c r="P160" s="7"/>
      <c r="Q160" s="7"/>
      <c r="R160" s="8"/>
      <c r="S160" s="7"/>
      <c r="T160" s="9"/>
      <c r="U160" s="7"/>
      <c r="V160" s="8"/>
      <c r="W160" s="7"/>
      <c r="X160" s="7"/>
      <c r="Y160" s="8"/>
      <c r="Z160" s="7"/>
      <c r="AA160" s="8"/>
      <c r="AF160" s="337" t="s">
        <v>304</v>
      </c>
      <c r="AG160" s="337" t="s">
        <v>346</v>
      </c>
    </row>
    <row r="161" spans="4:33" ht="14.25" thickTop="1" thickBot="1" x14ac:dyDescent="0.25">
      <c r="D161" s="341"/>
      <c r="E161" s="86" t="s">
        <v>1129</v>
      </c>
      <c r="F161" s="7"/>
      <c r="G161" s="8"/>
      <c r="H161" s="7"/>
      <c r="I161" s="6"/>
      <c r="J161" s="7"/>
      <c r="K161" s="8"/>
      <c r="L161" s="7"/>
      <c r="M161" s="8"/>
      <c r="N161" s="7"/>
      <c r="O161" s="8"/>
      <c r="P161" s="7"/>
      <c r="Q161" s="7"/>
      <c r="R161" s="8"/>
      <c r="S161" s="7"/>
      <c r="T161" s="9"/>
      <c r="U161" s="7"/>
      <c r="V161" s="8"/>
      <c r="W161" s="7"/>
      <c r="X161" s="7"/>
      <c r="Y161" s="8"/>
      <c r="Z161" s="7"/>
      <c r="AA161" s="8"/>
      <c r="AF161" s="337" t="s">
        <v>304</v>
      </c>
      <c r="AG161" s="337" t="s">
        <v>418</v>
      </c>
    </row>
    <row r="162" spans="4:33" ht="14.25" thickTop="1" thickBot="1" x14ac:dyDescent="0.25">
      <c r="D162" s="341"/>
      <c r="E162" s="86" t="s">
        <v>525</v>
      </c>
      <c r="F162" s="7"/>
      <c r="G162" s="8"/>
      <c r="H162" s="7"/>
      <c r="I162" s="6"/>
      <c r="J162" s="7"/>
      <c r="K162" s="8"/>
      <c r="L162" s="7"/>
      <c r="M162" s="8"/>
      <c r="N162" s="7"/>
      <c r="O162" s="8"/>
      <c r="P162" s="7"/>
      <c r="Q162" s="7"/>
      <c r="R162" s="8"/>
      <c r="S162" s="7"/>
      <c r="T162" s="9"/>
      <c r="U162" s="7"/>
      <c r="V162" s="8"/>
      <c r="W162" s="7"/>
      <c r="X162" s="7"/>
      <c r="Y162" s="8"/>
      <c r="Z162" s="7"/>
      <c r="AA162" s="8"/>
      <c r="AF162" s="337" t="s">
        <v>304</v>
      </c>
      <c r="AG162" s="337" t="s">
        <v>388</v>
      </c>
    </row>
    <row r="163" spans="4:33" ht="14.25" thickTop="1" thickBot="1" x14ac:dyDescent="0.25">
      <c r="D163" s="341"/>
      <c r="E163" s="86" t="s">
        <v>526</v>
      </c>
      <c r="F163" s="7"/>
      <c r="G163" s="8"/>
      <c r="H163" s="7"/>
      <c r="I163" s="6"/>
      <c r="J163" s="7"/>
      <c r="K163" s="8"/>
      <c r="L163" s="7"/>
      <c r="M163" s="8"/>
      <c r="N163" s="7"/>
      <c r="O163" s="8"/>
      <c r="P163" s="7"/>
      <c r="Q163" s="7"/>
      <c r="R163" s="8"/>
      <c r="S163" s="7"/>
      <c r="T163" s="9"/>
      <c r="U163" s="7"/>
      <c r="V163" s="8"/>
      <c r="W163" s="7"/>
      <c r="X163" s="7"/>
      <c r="Y163" s="8"/>
      <c r="Z163" s="7"/>
      <c r="AA163" s="8"/>
      <c r="AF163" s="337" t="s">
        <v>304</v>
      </c>
      <c r="AG163" s="337" t="s">
        <v>419</v>
      </c>
    </row>
    <row r="164" spans="4:33" ht="14.25" thickTop="1" thickBot="1" x14ac:dyDescent="0.25">
      <c r="D164" s="341"/>
      <c r="E164" s="86" t="s">
        <v>741</v>
      </c>
      <c r="F164" s="7"/>
      <c r="G164" s="8"/>
      <c r="H164" s="7"/>
      <c r="I164" s="6"/>
      <c r="J164" s="7"/>
      <c r="K164" s="8"/>
      <c r="L164" s="7"/>
      <c r="M164" s="8"/>
      <c r="N164" s="7"/>
      <c r="O164" s="8"/>
      <c r="P164" s="7"/>
      <c r="Q164" s="7"/>
      <c r="R164" s="8"/>
      <c r="S164" s="7"/>
      <c r="T164" s="9"/>
      <c r="U164" s="7"/>
      <c r="V164" s="8"/>
      <c r="W164" s="7"/>
      <c r="X164" s="7"/>
      <c r="Y164" s="8"/>
      <c r="Z164" s="7"/>
      <c r="AA164" s="8"/>
      <c r="AF164" s="337" t="s">
        <v>304</v>
      </c>
      <c r="AG164" s="337" t="s">
        <v>420</v>
      </c>
    </row>
    <row r="165" spans="4:33" ht="14.25" thickTop="1" thickBot="1" x14ac:dyDescent="0.25">
      <c r="D165" s="341"/>
      <c r="E165" s="86" t="s">
        <v>1111</v>
      </c>
      <c r="F165" s="7"/>
      <c r="G165" s="8"/>
      <c r="H165" s="7"/>
      <c r="I165" s="6"/>
      <c r="J165" s="7"/>
      <c r="K165" s="8"/>
      <c r="L165" s="7"/>
      <c r="M165" s="8"/>
      <c r="N165" s="7"/>
      <c r="O165" s="8"/>
      <c r="P165" s="7"/>
      <c r="Q165" s="7"/>
      <c r="R165" s="8"/>
      <c r="S165" s="7"/>
      <c r="T165" s="9"/>
      <c r="U165" s="7"/>
      <c r="V165" s="8"/>
      <c r="W165" s="7"/>
      <c r="X165" s="7"/>
      <c r="Y165" s="8"/>
      <c r="Z165" s="7"/>
      <c r="AA165" s="8"/>
      <c r="AF165" s="337" t="s">
        <v>304</v>
      </c>
      <c r="AG165" s="337" t="s">
        <v>344</v>
      </c>
    </row>
    <row r="166" spans="4:33" ht="14.25" thickTop="1" thickBot="1" x14ac:dyDescent="0.25">
      <c r="D166" s="341"/>
      <c r="E166" s="86" t="s">
        <v>1098</v>
      </c>
      <c r="F166" s="7"/>
      <c r="G166" s="8"/>
      <c r="H166" s="7"/>
      <c r="I166" s="6"/>
      <c r="J166" s="7"/>
      <c r="K166" s="8"/>
      <c r="L166" s="7"/>
      <c r="M166" s="8"/>
      <c r="N166" s="7"/>
      <c r="O166" s="8"/>
      <c r="P166" s="7"/>
      <c r="Q166" s="7"/>
      <c r="R166" s="8"/>
      <c r="S166" s="7"/>
      <c r="T166" s="9"/>
      <c r="U166" s="7"/>
      <c r="V166" s="8"/>
      <c r="W166" s="7"/>
      <c r="X166" s="7"/>
      <c r="Y166" s="8"/>
      <c r="Z166" s="7"/>
      <c r="AA166" s="8"/>
      <c r="AF166" s="337" t="s">
        <v>304</v>
      </c>
      <c r="AG166" s="337" t="s">
        <v>345</v>
      </c>
    </row>
    <row r="167" spans="4:33" ht="14.25" thickTop="1" thickBot="1" x14ac:dyDescent="0.25">
      <c r="D167" s="341"/>
      <c r="E167" s="86" t="s">
        <v>1002</v>
      </c>
      <c r="F167" s="7"/>
      <c r="G167" s="8"/>
      <c r="H167" s="7"/>
      <c r="I167" s="6"/>
      <c r="J167" s="7"/>
      <c r="K167" s="8"/>
      <c r="L167" s="7"/>
      <c r="M167" s="8"/>
      <c r="N167" s="7"/>
      <c r="O167" s="8"/>
      <c r="P167" s="7"/>
      <c r="Q167" s="7"/>
      <c r="R167" s="8"/>
      <c r="S167" s="7"/>
      <c r="T167" s="9"/>
      <c r="U167" s="7"/>
      <c r="V167" s="8"/>
      <c r="W167" s="7"/>
      <c r="X167" s="7"/>
      <c r="Y167" s="8"/>
      <c r="Z167" s="7"/>
      <c r="AA167" s="8"/>
      <c r="AF167" s="337" t="s">
        <v>304</v>
      </c>
      <c r="AG167" s="337" t="s">
        <v>347</v>
      </c>
    </row>
    <row r="168" spans="4:33" ht="14.25" thickTop="1" thickBot="1" x14ac:dyDescent="0.25">
      <c r="D168" s="341"/>
      <c r="E168" s="86" t="s">
        <v>1003</v>
      </c>
      <c r="F168" s="7"/>
      <c r="G168" s="8"/>
      <c r="H168" s="7"/>
      <c r="I168" s="6"/>
      <c r="J168" s="7"/>
      <c r="K168" s="8"/>
      <c r="L168" s="7"/>
      <c r="M168" s="8"/>
      <c r="N168" s="7"/>
      <c r="O168" s="8"/>
      <c r="P168" s="7"/>
      <c r="Q168" s="7"/>
      <c r="R168" s="8"/>
      <c r="S168" s="7"/>
      <c r="T168" s="9"/>
      <c r="U168" s="7"/>
      <c r="V168" s="8"/>
      <c r="W168" s="7"/>
      <c r="X168" s="7"/>
      <c r="Y168" s="8"/>
      <c r="Z168" s="7"/>
      <c r="AA168" s="8"/>
      <c r="AF168" s="337" t="s">
        <v>304</v>
      </c>
      <c r="AG168" s="337" t="s">
        <v>1259</v>
      </c>
    </row>
    <row r="169" spans="4:33" ht="14.25" thickTop="1" thickBot="1" x14ac:dyDescent="0.25">
      <c r="D169" s="341"/>
      <c r="E169" s="86" t="s">
        <v>1005</v>
      </c>
      <c r="F169" s="7"/>
      <c r="G169" s="8"/>
      <c r="H169" s="7"/>
      <c r="I169" s="6"/>
      <c r="J169" s="7"/>
      <c r="K169" s="8"/>
      <c r="L169" s="7"/>
      <c r="M169" s="8"/>
      <c r="N169" s="7"/>
      <c r="O169" s="8"/>
      <c r="P169" s="7"/>
      <c r="Q169" s="7"/>
      <c r="R169" s="8"/>
      <c r="S169" s="7"/>
      <c r="T169" s="9"/>
      <c r="U169" s="7"/>
      <c r="V169" s="8"/>
      <c r="W169" s="7"/>
      <c r="X169" s="7"/>
      <c r="Y169" s="8"/>
      <c r="Z169" s="7"/>
      <c r="AA169" s="8"/>
      <c r="AF169" s="337" t="s">
        <v>304</v>
      </c>
      <c r="AG169" s="337" t="s">
        <v>1256</v>
      </c>
    </row>
    <row r="170" spans="4:33" ht="14.25" thickTop="1" thickBot="1" x14ac:dyDescent="0.25">
      <c r="D170" s="341"/>
      <c r="E170" s="86" t="s">
        <v>1020</v>
      </c>
      <c r="F170" s="7"/>
      <c r="G170" s="8"/>
      <c r="H170" s="7"/>
      <c r="I170" s="6"/>
      <c r="J170" s="7"/>
      <c r="K170" s="8"/>
      <c r="L170" s="7"/>
      <c r="M170" s="8"/>
      <c r="N170" s="7"/>
      <c r="O170" s="8"/>
      <c r="P170" s="7"/>
      <c r="Q170" s="7"/>
      <c r="R170" s="8"/>
      <c r="S170" s="7"/>
      <c r="T170" s="9"/>
      <c r="U170" s="7"/>
      <c r="V170" s="8"/>
      <c r="W170" s="7"/>
      <c r="X170" s="7"/>
      <c r="Y170" s="8"/>
      <c r="Z170" s="7"/>
      <c r="AA170" s="8"/>
      <c r="AF170" s="337" t="s">
        <v>304</v>
      </c>
      <c r="AG170" s="337" t="s">
        <v>1246</v>
      </c>
    </row>
    <row r="171" spans="4:33" ht="14.25" thickTop="1" thickBot="1" x14ac:dyDescent="0.25">
      <c r="D171" s="341"/>
      <c r="E171" s="86" t="s">
        <v>1018</v>
      </c>
      <c r="F171" s="7"/>
      <c r="G171" s="8"/>
      <c r="H171" s="7"/>
      <c r="I171" s="6"/>
      <c r="J171" s="7"/>
      <c r="K171" s="8"/>
      <c r="L171" s="7"/>
      <c r="M171" s="8"/>
      <c r="N171" s="7"/>
      <c r="O171" s="8"/>
      <c r="P171" s="7"/>
      <c r="Q171" s="7"/>
      <c r="R171" s="8"/>
      <c r="S171" s="7"/>
      <c r="T171" s="9"/>
      <c r="U171" s="7"/>
      <c r="V171" s="8"/>
      <c r="W171" s="7"/>
      <c r="X171" s="7"/>
      <c r="Y171" s="8"/>
      <c r="Z171" s="7"/>
      <c r="AA171" s="8"/>
      <c r="AF171" s="337" t="s">
        <v>304</v>
      </c>
      <c r="AG171" s="337" t="s">
        <v>421</v>
      </c>
    </row>
    <row r="172" spans="4:33" ht="14.25" thickTop="1" thickBot="1" x14ac:dyDescent="0.25">
      <c r="D172" s="341"/>
      <c r="E172" s="86" t="s">
        <v>574</v>
      </c>
      <c r="F172" s="7"/>
      <c r="G172" s="8"/>
      <c r="H172" s="7"/>
      <c r="I172" s="6"/>
      <c r="J172" s="7"/>
      <c r="K172" s="8"/>
      <c r="L172" s="7"/>
      <c r="M172" s="8"/>
      <c r="N172" s="7"/>
      <c r="O172" s="8"/>
      <c r="P172" s="7"/>
      <c r="Q172" s="7"/>
      <c r="R172" s="8"/>
      <c r="S172" s="7"/>
      <c r="T172" s="9"/>
      <c r="U172" s="7"/>
      <c r="V172" s="8"/>
      <c r="W172" s="7"/>
      <c r="X172" s="7"/>
      <c r="Y172" s="8"/>
      <c r="Z172" s="7"/>
      <c r="AA172" s="8"/>
      <c r="AF172" s="337" t="s">
        <v>304</v>
      </c>
      <c r="AG172" s="337" t="s">
        <v>422</v>
      </c>
    </row>
    <row r="173" spans="4:33" ht="14.25" thickTop="1" thickBot="1" x14ac:dyDescent="0.25">
      <c r="D173" s="341"/>
      <c r="E173" s="86" t="s">
        <v>1034</v>
      </c>
      <c r="F173" s="7"/>
      <c r="G173" s="8"/>
      <c r="H173" s="7"/>
      <c r="I173" s="6"/>
      <c r="J173" s="7"/>
      <c r="K173" s="8"/>
      <c r="L173" s="7"/>
      <c r="M173" s="8"/>
      <c r="N173" s="7"/>
      <c r="O173" s="8"/>
      <c r="P173" s="7"/>
      <c r="Q173" s="7"/>
      <c r="R173" s="8"/>
      <c r="S173" s="7"/>
      <c r="T173" s="9"/>
      <c r="U173" s="7"/>
      <c r="V173" s="8"/>
      <c r="W173" s="7"/>
      <c r="X173" s="7"/>
      <c r="Y173" s="8"/>
      <c r="Z173" s="7"/>
      <c r="AA173" s="8"/>
      <c r="AF173" s="337" t="s">
        <v>901</v>
      </c>
      <c r="AG173" s="337" t="s">
        <v>902</v>
      </c>
    </row>
    <row r="174" spans="4:33" ht="14.25" thickTop="1" thickBot="1" x14ac:dyDescent="0.25">
      <c r="D174" s="341"/>
      <c r="E174" s="86" t="s">
        <v>1001</v>
      </c>
      <c r="F174" s="7"/>
      <c r="G174" s="8"/>
      <c r="H174" s="7"/>
      <c r="I174" s="6"/>
      <c r="J174" s="7"/>
      <c r="K174" s="8"/>
      <c r="L174" s="7"/>
      <c r="M174" s="8"/>
      <c r="N174" s="7"/>
      <c r="O174" s="8"/>
      <c r="P174" s="7"/>
      <c r="Q174" s="7"/>
      <c r="R174" s="8"/>
      <c r="S174" s="7"/>
      <c r="T174" s="9"/>
      <c r="U174" s="7"/>
      <c r="V174" s="8"/>
      <c r="W174" s="7"/>
      <c r="X174" s="7"/>
      <c r="Y174" s="8"/>
      <c r="Z174" s="7"/>
      <c r="AA174" s="8"/>
      <c r="AF174" s="337" t="s">
        <v>901</v>
      </c>
      <c r="AG174" s="337" t="s">
        <v>927</v>
      </c>
    </row>
    <row r="175" spans="4:33" ht="14.25" thickTop="1" thickBot="1" x14ac:dyDescent="0.25">
      <c r="D175" s="341"/>
      <c r="E175" s="86" t="s">
        <v>1004</v>
      </c>
      <c r="F175" s="7"/>
      <c r="G175" s="8"/>
      <c r="H175" s="7"/>
      <c r="I175" s="6"/>
      <c r="J175" s="7"/>
      <c r="K175" s="8"/>
      <c r="L175" s="7"/>
      <c r="M175" s="8"/>
      <c r="N175" s="7"/>
      <c r="O175" s="8"/>
      <c r="P175" s="7"/>
      <c r="Q175" s="7"/>
      <c r="R175" s="8"/>
      <c r="S175" s="7"/>
      <c r="T175" s="9"/>
      <c r="U175" s="7"/>
      <c r="V175" s="8"/>
      <c r="W175" s="7"/>
      <c r="X175" s="7"/>
      <c r="Y175" s="8"/>
      <c r="Z175" s="7"/>
      <c r="AA175" s="8"/>
      <c r="AF175" s="337" t="s">
        <v>901</v>
      </c>
      <c r="AG175" s="337" t="s">
        <v>934</v>
      </c>
    </row>
    <row r="176" spans="4:33" ht="14.25" thickTop="1" thickBot="1" x14ac:dyDescent="0.25">
      <c r="D176" s="341"/>
      <c r="E176" s="86" t="s">
        <v>1006</v>
      </c>
      <c r="F176" s="7"/>
      <c r="G176" s="8"/>
      <c r="H176" s="7"/>
      <c r="I176" s="6"/>
      <c r="J176" s="7"/>
      <c r="K176" s="8"/>
      <c r="L176" s="7"/>
      <c r="M176" s="8"/>
      <c r="N176" s="7"/>
      <c r="O176" s="8"/>
      <c r="P176" s="7"/>
      <c r="Q176" s="7"/>
      <c r="R176" s="8"/>
      <c r="S176" s="7"/>
      <c r="T176" s="9"/>
      <c r="U176" s="7"/>
      <c r="V176" s="8"/>
      <c r="W176" s="7"/>
      <c r="X176" s="7"/>
      <c r="Y176" s="8"/>
      <c r="Z176" s="7"/>
      <c r="AA176" s="8"/>
      <c r="AF176" s="337" t="s">
        <v>925</v>
      </c>
      <c r="AG176" s="337" t="s">
        <v>926</v>
      </c>
    </row>
    <row r="177" spans="4:33" ht="14.25" thickTop="1" thickBot="1" x14ac:dyDescent="0.25">
      <c r="D177" s="341"/>
      <c r="E177" s="86" t="s">
        <v>573</v>
      </c>
      <c r="F177" s="7"/>
      <c r="G177" s="8"/>
      <c r="H177" s="7"/>
      <c r="I177" s="6"/>
      <c r="J177" s="7"/>
      <c r="K177" s="8"/>
      <c r="L177" s="7"/>
      <c r="M177" s="8"/>
      <c r="N177" s="7"/>
      <c r="O177" s="8"/>
      <c r="P177" s="7"/>
      <c r="Q177" s="7"/>
      <c r="R177" s="8"/>
      <c r="S177" s="7"/>
      <c r="T177" s="9"/>
      <c r="U177" s="7"/>
      <c r="V177" s="8"/>
      <c r="W177" s="7"/>
      <c r="X177" s="7"/>
      <c r="Y177" s="8"/>
      <c r="Z177" s="7"/>
      <c r="AA177" s="8"/>
      <c r="AF177" s="337" t="s">
        <v>960</v>
      </c>
      <c r="AG177" s="337" t="s">
        <v>959</v>
      </c>
    </row>
    <row r="178" spans="4:33" ht="14.25" thickTop="1" thickBot="1" x14ac:dyDescent="0.25">
      <c r="D178" s="341"/>
      <c r="E178" s="86" t="s">
        <v>1011</v>
      </c>
      <c r="F178" s="7"/>
      <c r="G178" s="8"/>
      <c r="H178" s="7"/>
      <c r="I178" s="6"/>
      <c r="J178" s="7"/>
      <c r="K178" s="8"/>
      <c r="L178" s="7"/>
      <c r="M178" s="8"/>
      <c r="N178" s="7"/>
      <c r="O178" s="8"/>
      <c r="P178" s="7"/>
      <c r="Q178" s="7"/>
      <c r="R178" s="8"/>
      <c r="S178" s="7"/>
      <c r="T178" s="9"/>
      <c r="U178" s="7"/>
      <c r="V178" s="8"/>
      <c r="W178" s="7"/>
      <c r="X178" s="7"/>
      <c r="Y178" s="8"/>
      <c r="Z178" s="7"/>
      <c r="AA178" s="8"/>
      <c r="AF178" s="337" t="s">
        <v>1263</v>
      </c>
      <c r="AG178" s="337" t="s">
        <v>1262</v>
      </c>
    </row>
    <row r="179" spans="4:33" ht="14.25" thickTop="1" thickBot="1" x14ac:dyDescent="0.25">
      <c r="D179" s="341"/>
      <c r="E179" s="86" t="s">
        <v>1024</v>
      </c>
      <c r="F179" s="7"/>
      <c r="G179" s="8"/>
      <c r="H179" s="7"/>
      <c r="I179" s="6"/>
      <c r="J179" s="7"/>
      <c r="K179" s="8"/>
      <c r="L179" s="7"/>
      <c r="M179" s="8"/>
      <c r="N179" s="7"/>
      <c r="O179" s="8"/>
      <c r="P179" s="7"/>
      <c r="Q179" s="7"/>
      <c r="R179" s="8"/>
      <c r="S179" s="7"/>
      <c r="T179" s="9"/>
      <c r="U179" s="7"/>
      <c r="V179" s="8"/>
      <c r="W179" s="7"/>
      <c r="X179" s="7"/>
      <c r="Y179" s="8"/>
      <c r="Z179" s="7"/>
      <c r="AA179" s="8"/>
      <c r="AF179" s="337" t="s">
        <v>882</v>
      </c>
      <c r="AG179" s="337" t="s">
        <v>908</v>
      </c>
    </row>
    <row r="180" spans="4:33" ht="14.25" thickTop="1" thickBot="1" x14ac:dyDescent="0.25">
      <c r="D180" s="341"/>
      <c r="E180" s="86" t="s">
        <v>1019</v>
      </c>
      <c r="F180" s="7"/>
      <c r="G180" s="8"/>
      <c r="H180" s="7"/>
      <c r="I180" s="6"/>
      <c r="J180" s="7"/>
      <c r="K180" s="8"/>
      <c r="L180" s="7"/>
      <c r="M180" s="8"/>
      <c r="N180" s="7"/>
      <c r="O180" s="8"/>
      <c r="P180" s="7"/>
      <c r="Q180" s="7"/>
      <c r="R180" s="8"/>
      <c r="S180" s="7"/>
      <c r="T180" s="9"/>
      <c r="U180" s="7"/>
      <c r="V180" s="8"/>
      <c r="W180" s="7"/>
      <c r="X180" s="7"/>
      <c r="Y180" s="8"/>
      <c r="Z180" s="7"/>
      <c r="AA180" s="8"/>
      <c r="AF180" s="337" t="s">
        <v>882</v>
      </c>
      <c r="AG180" s="337" t="s">
        <v>1294</v>
      </c>
    </row>
    <row r="181" spans="4:33" ht="14.25" thickTop="1" thickBot="1" x14ac:dyDescent="0.25">
      <c r="D181" s="341"/>
      <c r="E181" s="86" t="s">
        <v>1023</v>
      </c>
      <c r="F181" s="7"/>
      <c r="G181" s="8"/>
      <c r="H181" s="7"/>
      <c r="I181" s="6"/>
      <c r="J181" s="7"/>
      <c r="K181" s="8"/>
      <c r="L181" s="7"/>
      <c r="M181" s="8"/>
      <c r="N181" s="7"/>
      <c r="O181" s="8"/>
      <c r="P181" s="7"/>
      <c r="Q181" s="7"/>
      <c r="R181" s="8"/>
      <c r="S181" s="7"/>
      <c r="T181" s="9"/>
      <c r="U181" s="7"/>
      <c r="V181" s="8"/>
      <c r="W181" s="7"/>
      <c r="X181" s="7"/>
      <c r="Y181" s="8"/>
      <c r="Z181" s="7"/>
      <c r="AA181" s="8"/>
      <c r="AF181" s="337" t="s">
        <v>882</v>
      </c>
      <c r="AG181" s="337" t="s">
        <v>909</v>
      </c>
    </row>
    <row r="182" spans="4:33" ht="14.25" thickTop="1" thickBot="1" x14ac:dyDescent="0.25">
      <c r="D182" s="341"/>
      <c r="E182" s="86" t="s">
        <v>1047</v>
      </c>
      <c r="F182" s="7"/>
      <c r="G182" s="8"/>
      <c r="H182" s="7"/>
      <c r="I182" s="6"/>
      <c r="J182" s="7"/>
      <c r="K182" s="8"/>
      <c r="L182" s="7"/>
      <c r="M182" s="8"/>
      <c r="N182" s="7"/>
      <c r="O182" s="8"/>
      <c r="P182" s="7"/>
      <c r="Q182" s="7"/>
      <c r="R182" s="8"/>
      <c r="S182" s="7"/>
      <c r="T182" s="9"/>
      <c r="U182" s="7"/>
      <c r="V182" s="8"/>
      <c r="W182" s="7"/>
      <c r="X182" s="7"/>
      <c r="Y182" s="8"/>
      <c r="Z182" s="7"/>
      <c r="AA182" s="8"/>
      <c r="AF182" s="337" t="s">
        <v>882</v>
      </c>
      <c r="AG182" s="337" t="s">
        <v>914</v>
      </c>
    </row>
    <row r="183" spans="4:33" ht="14.25" thickTop="1" thickBot="1" x14ac:dyDescent="0.25">
      <c r="D183" s="341"/>
      <c r="E183" s="86" t="s">
        <v>584</v>
      </c>
      <c r="F183" s="7"/>
      <c r="G183" s="8"/>
      <c r="H183" s="7"/>
      <c r="I183" s="6"/>
      <c r="J183" s="7"/>
      <c r="K183" s="8"/>
      <c r="L183" s="7"/>
      <c r="M183" s="8"/>
      <c r="N183" s="7"/>
      <c r="O183" s="8"/>
      <c r="P183" s="7"/>
      <c r="Q183" s="7"/>
      <c r="R183" s="8"/>
      <c r="S183" s="7"/>
      <c r="T183" s="9"/>
      <c r="U183" s="7"/>
      <c r="V183" s="8"/>
      <c r="W183" s="7"/>
      <c r="X183" s="7"/>
      <c r="Y183" s="8"/>
      <c r="Z183" s="7"/>
      <c r="AA183" s="8"/>
      <c r="AF183" s="337" t="s">
        <v>882</v>
      </c>
      <c r="AG183" s="337" t="s">
        <v>883</v>
      </c>
    </row>
    <row r="184" spans="4:33" ht="14.25" thickTop="1" thickBot="1" x14ac:dyDescent="0.25">
      <c r="D184" s="341"/>
      <c r="E184" s="86" t="s">
        <v>580</v>
      </c>
      <c r="F184" s="7"/>
      <c r="G184" s="8"/>
      <c r="H184" s="7"/>
      <c r="I184" s="6"/>
      <c r="J184" s="7"/>
      <c r="K184" s="8"/>
      <c r="L184" s="7"/>
      <c r="M184" s="8"/>
      <c r="N184" s="7"/>
      <c r="O184" s="8"/>
      <c r="P184" s="7"/>
      <c r="Q184" s="7"/>
      <c r="R184" s="8"/>
      <c r="S184" s="7"/>
      <c r="T184" s="9"/>
      <c r="U184" s="7"/>
      <c r="V184" s="8"/>
      <c r="W184" s="7"/>
      <c r="X184" s="7"/>
      <c r="Y184" s="8"/>
      <c r="Z184" s="7"/>
      <c r="AA184" s="8"/>
      <c r="AF184" s="337" t="s">
        <v>882</v>
      </c>
      <c r="AG184" s="337" t="s">
        <v>935</v>
      </c>
    </row>
    <row r="185" spans="4:33" ht="14.25" thickTop="1" thickBot="1" x14ac:dyDescent="0.25">
      <c r="D185" s="341"/>
      <c r="E185" s="86" t="s">
        <v>581</v>
      </c>
      <c r="F185" s="7"/>
      <c r="G185" s="8"/>
      <c r="H185" s="7"/>
      <c r="I185" s="6"/>
      <c r="J185" s="7"/>
      <c r="K185" s="8"/>
      <c r="L185" s="7"/>
      <c r="M185" s="8"/>
      <c r="N185" s="7"/>
      <c r="O185" s="8"/>
      <c r="P185" s="7"/>
      <c r="Q185" s="7"/>
      <c r="R185" s="8"/>
      <c r="S185" s="7"/>
      <c r="T185" s="9"/>
      <c r="U185" s="7"/>
      <c r="V185" s="8"/>
      <c r="W185" s="7"/>
      <c r="X185" s="7"/>
      <c r="Y185" s="8"/>
      <c r="Z185" s="7"/>
      <c r="AA185" s="8"/>
      <c r="AF185" s="337" t="s">
        <v>882</v>
      </c>
      <c r="AG185" s="337" t="s">
        <v>915</v>
      </c>
    </row>
    <row r="186" spans="4:33" ht="14.25" thickTop="1" thickBot="1" x14ac:dyDescent="0.25">
      <c r="D186" s="341"/>
      <c r="E186" s="86" t="s">
        <v>1014</v>
      </c>
      <c r="F186" s="7"/>
      <c r="G186" s="8"/>
      <c r="H186" s="7"/>
      <c r="I186" s="6"/>
      <c r="J186" s="7"/>
      <c r="K186" s="8"/>
      <c r="L186" s="7"/>
      <c r="M186" s="8"/>
      <c r="N186" s="7"/>
      <c r="O186" s="8"/>
      <c r="P186" s="7"/>
      <c r="Q186" s="7"/>
      <c r="R186" s="8"/>
      <c r="S186" s="7"/>
      <c r="T186" s="9"/>
      <c r="U186" s="7"/>
      <c r="V186" s="8"/>
      <c r="W186" s="7"/>
      <c r="X186" s="7"/>
      <c r="Y186" s="8"/>
      <c r="Z186" s="7"/>
      <c r="AA186" s="8"/>
      <c r="AF186" s="337" t="s">
        <v>882</v>
      </c>
      <c r="AG186" s="337" t="s">
        <v>923</v>
      </c>
    </row>
    <row r="187" spans="4:33" ht="14.25" thickTop="1" thickBot="1" x14ac:dyDescent="0.25">
      <c r="D187" s="341"/>
      <c r="E187" s="86" t="s">
        <v>582</v>
      </c>
      <c r="F187" s="7"/>
      <c r="G187" s="8"/>
      <c r="H187" s="7"/>
      <c r="I187" s="6"/>
      <c r="J187" s="7"/>
      <c r="K187" s="8"/>
      <c r="L187" s="7"/>
      <c r="M187" s="8"/>
      <c r="N187" s="7"/>
      <c r="O187" s="8"/>
      <c r="P187" s="7"/>
      <c r="Q187" s="7"/>
      <c r="R187" s="8"/>
      <c r="S187" s="7"/>
      <c r="T187" s="9"/>
      <c r="U187" s="7"/>
      <c r="V187" s="8"/>
      <c r="W187" s="7"/>
      <c r="X187" s="7"/>
      <c r="Y187" s="8"/>
      <c r="Z187" s="7"/>
      <c r="AA187" s="8"/>
      <c r="AF187" s="337" t="s">
        <v>882</v>
      </c>
      <c r="AG187" s="337" t="s">
        <v>918</v>
      </c>
    </row>
    <row r="188" spans="4:33" ht="14.25" thickTop="1" thickBot="1" x14ac:dyDescent="0.25">
      <c r="D188" s="341"/>
      <c r="E188" s="86" t="s">
        <v>579</v>
      </c>
      <c r="F188" s="7"/>
      <c r="G188" s="8"/>
      <c r="H188" s="7"/>
      <c r="I188" s="6"/>
      <c r="J188" s="7"/>
      <c r="K188" s="8"/>
      <c r="L188" s="7"/>
      <c r="M188" s="8"/>
      <c r="N188" s="7"/>
      <c r="O188" s="8"/>
      <c r="P188" s="7"/>
      <c r="Q188" s="7"/>
      <c r="R188" s="8"/>
      <c r="S188" s="7"/>
      <c r="T188" s="9"/>
      <c r="U188" s="7"/>
      <c r="V188" s="8"/>
      <c r="W188" s="7"/>
      <c r="X188" s="7"/>
      <c r="Y188" s="8"/>
      <c r="Z188" s="7"/>
      <c r="AA188" s="8"/>
      <c r="AF188" s="337" t="s">
        <v>882</v>
      </c>
      <c r="AG188" s="337" t="s">
        <v>1306</v>
      </c>
    </row>
    <row r="189" spans="4:33" ht="14.25" thickTop="1" thickBot="1" x14ac:dyDescent="0.25">
      <c r="D189" s="341"/>
      <c r="E189" s="86" t="s">
        <v>578</v>
      </c>
      <c r="F189" s="7"/>
      <c r="G189" s="8"/>
      <c r="H189" s="7"/>
      <c r="I189" s="6"/>
      <c r="J189" s="7"/>
      <c r="K189" s="8"/>
      <c r="L189" s="7"/>
      <c r="M189" s="8"/>
      <c r="N189" s="7"/>
      <c r="O189" s="8"/>
      <c r="P189" s="7"/>
      <c r="Q189" s="7"/>
      <c r="R189" s="8"/>
      <c r="S189" s="7"/>
      <c r="T189" s="9"/>
      <c r="U189" s="7"/>
      <c r="V189" s="8"/>
      <c r="W189" s="7"/>
      <c r="X189" s="7"/>
      <c r="Y189" s="8"/>
      <c r="Z189" s="7"/>
      <c r="AA189" s="8"/>
      <c r="AF189" s="337" t="s">
        <v>882</v>
      </c>
      <c r="AG189" s="337" t="s">
        <v>913</v>
      </c>
    </row>
    <row r="190" spans="4:33" ht="14.25" thickTop="1" thickBot="1" x14ac:dyDescent="0.25">
      <c r="D190" s="341"/>
      <c r="E190" s="86" t="s">
        <v>576</v>
      </c>
      <c r="F190" s="7"/>
      <c r="G190" s="8"/>
      <c r="H190" s="7"/>
      <c r="I190" s="6"/>
      <c r="J190" s="7"/>
      <c r="K190" s="8"/>
      <c r="L190" s="7"/>
      <c r="M190" s="8"/>
      <c r="N190" s="7"/>
      <c r="O190" s="8"/>
      <c r="P190" s="7"/>
      <c r="Q190" s="7"/>
      <c r="R190" s="8"/>
      <c r="S190" s="7"/>
      <c r="T190" s="9"/>
      <c r="U190" s="7"/>
      <c r="V190" s="8"/>
      <c r="W190" s="7"/>
      <c r="X190" s="7"/>
      <c r="Y190" s="8"/>
      <c r="Z190" s="7"/>
      <c r="AA190" s="8"/>
      <c r="AF190" s="337" t="s">
        <v>882</v>
      </c>
      <c r="AG190" s="337" t="s">
        <v>892</v>
      </c>
    </row>
    <row r="191" spans="4:33" ht="14.25" thickTop="1" thickBot="1" x14ac:dyDescent="0.25">
      <c r="D191" s="341"/>
      <c r="E191" s="86" t="s">
        <v>1087</v>
      </c>
      <c r="F191" s="7"/>
      <c r="G191" s="8"/>
      <c r="H191" s="7"/>
      <c r="I191" s="6"/>
      <c r="J191" s="7"/>
      <c r="K191" s="8"/>
      <c r="L191" s="7"/>
      <c r="M191" s="8"/>
      <c r="N191" s="7"/>
      <c r="O191" s="8"/>
      <c r="P191" s="7"/>
      <c r="Q191" s="7"/>
      <c r="R191" s="8"/>
      <c r="S191" s="7"/>
      <c r="T191" s="9"/>
      <c r="U191" s="7"/>
      <c r="V191" s="8"/>
      <c r="W191" s="7"/>
      <c r="X191" s="7"/>
      <c r="Y191" s="8"/>
      <c r="Z191" s="7"/>
      <c r="AA191" s="8"/>
      <c r="AF191" s="337" t="s">
        <v>882</v>
      </c>
      <c r="AG191" s="337" t="s">
        <v>1156</v>
      </c>
    </row>
    <row r="192" spans="4:33" ht="14.25" thickTop="1" thickBot="1" x14ac:dyDescent="0.25">
      <c r="D192" s="341"/>
      <c r="E192" s="86" t="s">
        <v>1102</v>
      </c>
      <c r="F192" s="7"/>
      <c r="G192" s="8"/>
      <c r="H192" s="7"/>
      <c r="I192" s="6"/>
      <c r="J192" s="7"/>
      <c r="K192" s="8"/>
      <c r="L192" s="7"/>
      <c r="M192" s="8"/>
      <c r="N192" s="7"/>
      <c r="O192" s="8"/>
      <c r="P192" s="7"/>
      <c r="Q192" s="7"/>
      <c r="R192" s="8"/>
      <c r="S192" s="7"/>
      <c r="T192" s="9"/>
      <c r="U192" s="7"/>
      <c r="V192" s="8"/>
      <c r="W192" s="7"/>
      <c r="X192" s="7"/>
      <c r="Y192" s="8"/>
      <c r="Z192" s="7"/>
      <c r="AA192" s="8"/>
      <c r="AF192" s="337" t="s">
        <v>882</v>
      </c>
      <c r="AG192" s="337" t="s">
        <v>887</v>
      </c>
    </row>
    <row r="193" spans="4:33" ht="14.25" thickTop="1" thickBot="1" x14ac:dyDescent="0.25">
      <c r="D193" s="341"/>
      <c r="E193" s="86" t="s">
        <v>1071</v>
      </c>
      <c r="F193" s="7"/>
      <c r="G193" s="8"/>
      <c r="H193" s="7"/>
      <c r="I193" s="6"/>
      <c r="J193" s="7"/>
      <c r="K193" s="8"/>
      <c r="L193" s="7"/>
      <c r="M193" s="8"/>
      <c r="N193" s="7"/>
      <c r="O193" s="8"/>
      <c r="P193" s="7"/>
      <c r="Q193" s="7"/>
      <c r="R193" s="8"/>
      <c r="S193" s="7"/>
      <c r="T193" s="9"/>
      <c r="U193" s="7"/>
      <c r="V193" s="8"/>
      <c r="W193" s="7"/>
      <c r="X193" s="7"/>
      <c r="Y193" s="8"/>
      <c r="Z193" s="7"/>
      <c r="AA193" s="8"/>
      <c r="AF193" s="337" t="s">
        <v>882</v>
      </c>
      <c r="AG193" s="337" t="s">
        <v>1310</v>
      </c>
    </row>
    <row r="194" spans="4:33" ht="14.25" thickTop="1" thickBot="1" x14ac:dyDescent="0.25">
      <c r="D194" s="341"/>
      <c r="E194" s="86" t="s">
        <v>1104</v>
      </c>
      <c r="F194" s="7"/>
      <c r="G194" s="8"/>
      <c r="H194" s="7"/>
      <c r="I194" s="6"/>
      <c r="J194" s="7"/>
      <c r="K194" s="8"/>
      <c r="L194" s="7"/>
      <c r="M194" s="8"/>
      <c r="N194" s="7"/>
      <c r="O194" s="8"/>
      <c r="P194" s="7"/>
      <c r="Q194" s="7"/>
      <c r="R194" s="8"/>
      <c r="S194" s="7"/>
      <c r="T194" s="9"/>
      <c r="U194" s="7"/>
      <c r="V194" s="8"/>
      <c r="W194" s="7"/>
      <c r="X194" s="7"/>
      <c r="Y194" s="8"/>
      <c r="Z194" s="7"/>
      <c r="AA194" s="8"/>
      <c r="AF194" s="337" t="s">
        <v>882</v>
      </c>
      <c r="AG194" s="337" t="s">
        <v>896</v>
      </c>
    </row>
    <row r="195" spans="4:33" ht="14.25" thickTop="1" thickBot="1" x14ac:dyDescent="0.25">
      <c r="D195" s="341"/>
      <c r="E195" s="86" t="s">
        <v>693</v>
      </c>
      <c r="F195" s="7"/>
      <c r="G195" s="8"/>
      <c r="H195" s="7"/>
      <c r="I195" s="6"/>
      <c r="J195" s="7"/>
      <c r="K195" s="8"/>
      <c r="L195" s="7"/>
      <c r="M195" s="8"/>
      <c r="N195" s="7"/>
      <c r="O195" s="8"/>
      <c r="P195" s="7"/>
      <c r="Q195" s="7"/>
      <c r="R195" s="8"/>
      <c r="S195" s="7"/>
      <c r="T195" s="9"/>
      <c r="U195" s="7"/>
      <c r="V195" s="8"/>
      <c r="W195" s="7"/>
      <c r="X195" s="7"/>
      <c r="Y195" s="8"/>
      <c r="Z195" s="7"/>
      <c r="AA195" s="8"/>
      <c r="AF195" s="337" t="s">
        <v>882</v>
      </c>
      <c r="AG195" s="337" t="s">
        <v>898</v>
      </c>
    </row>
    <row r="196" spans="4:33" ht="14.25" thickTop="1" thickBot="1" x14ac:dyDescent="0.25">
      <c r="D196" s="341"/>
      <c r="E196" s="86" t="s">
        <v>1068</v>
      </c>
      <c r="F196" s="7"/>
      <c r="G196" s="8"/>
      <c r="H196" s="7"/>
      <c r="I196" s="6"/>
      <c r="J196" s="7"/>
      <c r="K196" s="8"/>
      <c r="L196" s="7"/>
      <c r="M196" s="8"/>
      <c r="N196" s="7"/>
      <c r="O196" s="8"/>
      <c r="P196" s="7"/>
      <c r="Q196" s="7"/>
      <c r="R196" s="8"/>
      <c r="S196" s="7"/>
      <c r="T196" s="9"/>
      <c r="U196" s="7"/>
      <c r="V196" s="8"/>
      <c r="W196" s="7"/>
      <c r="X196" s="7"/>
      <c r="Y196" s="8"/>
      <c r="Z196" s="7"/>
      <c r="AA196" s="8"/>
      <c r="AF196" s="337" t="s">
        <v>882</v>
      </c>
      <c r="AG196" s="337" t="s">
        <v>2508</v>
      </c>
    </row>
    <row r="197" spans="4:33" ht="14.25" thickTop="1" thickBot="1" x14ac:dyDescent="0.25">
      <c r="D197" s="341"/>
      <c r="E197" s="86" t="s">
        <v>659</v>
      </c>
      <c r="F197" s="7"/>
      <c r="G197" s="8"/>
      <c r="H197" s="7"/>
      <c r="I197" s="6"/>
      <c r="J197" s="7"/>
      <c r="K197" s="8"/>
      <c r="L197" s="7"/>
      <c r="M197" s="8"/>
      <c r="N197" s="7"/>
      <c r="O197" s="8"/>
      <c r="P197" s="7"/>
      <c r="Q197" s="7"/>
      <c r="R197" s="8"/>
      <c r="S197" s="7"/>
      <c r="T197" s="9"/>
      <c r="U197" s="7"/>
      <c r="V197" s="8"/>
      <c r="W197" s="7"/>
      <c r="X197" s="7"/>
      <c r="Y197" s="8"/>
      <c r="Z197" s="7"/>
      <c r="AA197" s="8"/>
      <c r="AF197" s="337" t="s">
        <v>882</v>
      </c>
      <c r="AG197" s="337" t="s">
        <v>910</v>
      </c>
    </row>
    <row r="198" spans="4:33" ht="14.25" thickTop="1" thickBot="1" x14ac:dyDescent="0.25">
      <c r="D198" s="341"/>
      <c r="E198" s="86" t="s">
        <v>1067</v>
      </c>
      <c r="F198" s="7"/>
      <c r="G198" s="8"/>
      <c r="H198" s="7"/>
      <c r="I198" s="6"/>
      <c r="J198" s="7"/>
      <c r="K198" s="8"/>
      <c r="L198" s="7"/>
      <c r="M198" s="8"/>
      <c r="N198" s="7"/>
      <c r="O198" s="8"/>
      <c r="P198" s="7"/>
      <c r="Q198" s="7"/>
      <c r="R198" s="8"/>
      <c r="S198" s="7"/>
      <c r="T198" s="9"/>
      <c r="U198" s="7"/>
      <c r="V198" s="8"/>
      <c r="W198" s="7"/>
      <c r="X198" s="7"/>
      <c r="Y198" s="8"/>
      <c r="Z198" s="7"/>
      <c r="AA198" s="8"/>
      <c r="AF198" s="337" t="s">
        <v>882</v>
      </c>
      <c r="AG198" s="337" t="s">
        <v>931</v>
      </c>
    </row>
    <row r="199" spans="4:33" ht="14.25" thickTop="1" thickBot="1" x14ac:dyDescent="0.25">
      <c r="D199" s="341"/>
      <c r="E199" s="86" t="s">
        <v>1105</v>
      </c>
      <c r="F199" s="7"/>
      <c r="G199" s="8"/>
      <c r="H199" s="7"/>
      <c r="I199" s="6"/>
      <c r="J199" s="7"/>
      <c r="K199" s="8"/>
      <c r="L199" s="7"/>
      <c r="M199" s="8"/>
      <c r="N199" s="7"/>
      <c r="O199" s="8"/>
      <c r="P199" s="7"/>
      <c r="Q199" s="7"/>
      <c r="R199" s="8"/>
      <c r="S199" s="7"/>
      <c r="T199" s="9"/>
      <c r="U199" s="7"/>
      <c r="V199" s="8"/>
      <c r="W199" s="7"/>
      <c r="X199" s="7"/>
      <c r="Y199" s="8"/>
      <c r="Z199" s="7"/>
      <c r="AA199" s="8"/>
      <c r="AF199" s="337" t="s">
        <v>882</v>
      </c>
      <c r="AG199" s="337" t="s">
        <v>906</v>
      </c>
    </row>
    <row r="200" spans="4:33" ht="14.25" thickTop="1" thickBot="1" x14ac:dyDescent="0.25">
      <c r="D200" s="341"/>
      <c r="E200" s="86" t="s">
        <v>685</v>
      </c>
      <c r="F200" s="7"/>
      <c r="G200" s="8"/>
      <c r="H200" s="7"/>
      <c r="I200" s="6"/>
      <c r="J200" s="7"/>
      <c r="K200" s="8"/>
      <c r="L200" s="7"/>
      <c r="M200" s="8"/>
      <c r="N200" s="7"/>
      <c r="O200" s="8"/>
      <c r="P200" s="7"/>
      <c r="Q200" s="7"/>
      <c r="R200" s="8"/>
      <c r="S200" s="7"/>
      <c r="T200" s="9"/>
      <c r="U200" s="7"/>
      <c r="V200" s="8"/>
      <c r="W200" s="7"/>
      <c r="X200" s="7"/>
      <c r="Y200" s="8"/>
      <c r="Z200" s="7"/>
      <c r="AA200" s="8"/>
      <c r="AF200" s="337" t="s">
        <v>530</v>
      </c>
      <c r="AG200" s="337" t="s">
        <v>533</v>
      </c>
    </row>
    <row r="201" spans="4:33" ht="14.25" thickTop="1" thickBot="1" x14ac:dyDescent="0.25">
      <c r="D201" s="341"/>
      <c r="E201" s="86" t="s">
        <v>1066</v>
      </c>
      <c r="F201" s="7"/>
      <c r="G201" s="8"/>
      <c r="H201" s="7"/>
      <c r="I201" s="6"/>
      <c r="J201" s="7"/>
      <c r="K201" s="8"/>
      <c r="L201" s="7"/>
      <c r="M201" s="8"/>
      <c r="N201" s="7"/>
      <c r="O201" s="8"/>
      <c r="P201" s="7"/>
      <c r="Q201" s="7"/>
      <c r="R201" s="8"/>
      <c r="S201" s="7"/>
      <c r="T201" s="9"/>
      <c r="U201" s="7"/>
      <c r="V201" s="8"/>
      <c r="W201" s="7"/>
      <c r="X201" s="7"/>
      <c r="Y201" s="8"/>
      <c r="Z201" s="7"/>
      <c r="AA201" s="8"/>
      <c r="AF201" s="337" t="s">
        <v>530</v>
      </c>
      <c r="AG201" s="337" t="s">
        <v>535</v>
      </c>
    </row>
    <row r="202" spans="4:33" ht="14.25" thickTop="1" thickBot="1" x14ac:dyDescent="0.25">
      <c r="D202" s="341"/>
      <c r="E202" s="86" t="s">
        <v>631</v>
      </c>
      <c r="F202" s="7"/>
      <c r="G202" s="8"/>
      <c r="H202" s="7"/>
      <c r="I202" s="6"/>
      <c r="J202" s="7"/>
      <c r="K202" s="8"/>
      <c r="L202" s="7"/>
      <c r="M202" s="8"/>
      <c r="N202" s="7"/>
      <c r="O202" s="8"/>
      <c r="P202" s="7"/>
      <c r="Q202" s="7"/>
      <c r="R202" s="8"/>
      <c r="S202" s="7"/>
      <c r="T202" s="9"/>
      <c r="U202" s="7"/>
      <c r="V202" s="8"/>
      <c r="W202" s="7"/>
      <c r="X202" s="7"/>
      <c r="Y202" s="8"/>
      <c r="Z202" s="7"/>
      <c r="AA202" s="8"/>
      <c r="AF202" s="337" t="s">
        <v>530</v>
      </c>
      <c r="AG202" s="337" t="s">
        <v>540</v>
      </c>
    </row>
    <row r="203" spans="4:33" ht="14.25" thickTop="1" thickBot="1" x14ac:dyDescent="0.25">
      <c r="D203" s="341"/>
      <c r="E203" s="86" t="s">
        <v>634</v>
      </c>
      <c r="F203" s="7"/>
      <c r="G203" s="8"/>
      <c r="H203" s="7"/>
      <c r="I203" s="6"/>
      <c r="J203" s="7"/>
      <c r="K203" s="8"/>
      <c r="L203" s="7"/>
      <c r="M203" s="8"/>
      <c r="N203" s="7"/>
      <c r="O203" s="8"/>
      <c r="P203" s="7"/>
      <c r="Q203" s="7"/>
      <c r="R203" s="8"/>
      <c r="S203" s="7"/>
      <c r="T203" s="9"/>
      <c r="U203" s="7"/>
      <c r="V203" s="8"/>
      <c r="W203" s="7"/>
      <c r="X203" s="7"/>
      <c r="Y203" s="8"/>
      <c r="Z203" s="7"/>
      <c r="AA203" s="8"/>
      <c r="AF203" s="337" t="s">
        <v>530</v>
      </c>
      <c r="AG203" s="337" t="s">
        <v>532</v>
      </c>
    </row>
    <row r="204" spans="4:33" ht="14.25" thickTop="1" thickBot="1" x14ac:dyDescent="0.25">
      <c r="D204" s="341"/>
      <c r="E204" s="86" t="s">
        <v>665</v>
      </c>
      <c r="F204" s="7"/>
      <c r="G204" s="8"/>
      <c r="H204" s="7"/>
      <c r="I204" s="6"/>
      <c r="J204" s="7"/>
      <c r="K204" s="8"/>
      <c r="L204" s="7"/>
      <c r="M204" s="8"/>
      <c r="N204" s="7"/>
      <c r="O204" s="8"/>
      <c r="P204" s="7"/>
      <c r="Q204" s="7"/>
      <c r="R204" s="8"/>
      <c r="S204" s="7"/>
      <c r="T204" s="9"/>
      <c r="U204" s="7"/>
      <c r="V204" s="8"/>
      <c r="W204" s="7"/>
      <c r="X204" s="7"/>
      <c r="Y204" s="8"/>
      <c r="Z204" s="7"/>
      <c r="AA204" s="8"/>
      <c r="AF204" s="337" t="s">
        <v>530</v>
      </c>
      <c r="AG204" s="337" t="s">
        <v>541</v>
      </c>
    </row>
    <row r="205" spans="4:33" ht="14.25" thickTop="1" thickBot="1" x14ac:dyDescent="0.25">
      <c r="D205" s="341"/>
      <c r="E205" s="86" t="s">
        <v>637</v>
      </c>
      <c r="F205" s="7"/>
      <c r="G205" s="8"/>
      <c r="H205" s="7"/>
      <c r="I205" s="6"/>
      <c r="J205" s="7"/>
      <c r="K205" s="8"/>
      <c r="L205" s="7"/>
      <c r="M205" s="8"/>
      <c r="N205" s="7"/>
      <c r="O205" s="8"/>
      <c r="P205" s="7"/>
      <c r="Q205" s="7"/>
      <c r="R205" s="8"/>
      <c r="S205" s="7"/>
      <c r="T205" s="9"/>
      <c r="U205" s="7"/>
      <c r="V205" s="8"/>
      <c r="W205" s="7"/>
      <c r="X205" s="7"/>
      <c r="Y205" s="8"/>
      <c r="Z205" s="7"/>
      <c r="AA205" s="8"/>
      <c r="AF205" s="337" t="s">
        <v>530</v>
      </c>
      <c r="AG205" s="337" t="s">
        <v>986</v>
      </c>
    </row>
    <row r="206" spans="4:33" ht="14.25" thickTop="1" thickBot="1" x14ac:dyDescent="0.25">
      <c r="D206" s="341"/>
      <c r="E206" s="86" t="s">
        <v>664</v>
      </c>
      <c r="F206" s="7"/>
      <c r="G206" s="8"/>
      <c r="H206" s="7"/>
      <c r="I206" s="6"/>
      <c r="J206" s="7"/>
      <c r="K206" s="8"/>
      <c r="L206" s="7"/>
      <c r="M206" s="8"/>
      <c r="N206" s="7"/>
      <c r="O206" s="8"/>
      <c r="P206" s="7"/>
      <c r="Q206" s="7"/>
      <c r="R206" s="8"/>
      <c r="S206" s="7"/>
      <c r="T206" s="9"/>
      <c r="U206" s="7"/>
      <c r="V206" s="8"/>
      <c r="W206" s="7"/>
      <c r="X206" s="7"/>
      <c r="Y206" s="8"/>
      <c r="Z206" s="7"/>
      <c r="AA206" s="8"/>
      <c r="AF206" s="337" t="s">
        <v>530</v>
      </c>
      <c r="AG206" s="337" t="s">
        <v>537</v>
      </c>
    </row>
    <row r="207" spans="4:33" ht="14.25" thickTop="1" thickBot="1" x14ac:dyDescent="0.25">
      <c r="D207" s="341"/>
      <c r="E207" s="86" t="s">
        <v>678</v>
      </c>
      <c r="F207" s="7"/>
      <c r="G207" s="8"/>
      <c r="H207" s="7"/>
      <c r="I207" s="6"/>
      <c r="J207" s="7"/>
      <c r="K207" s="8"/>
      <c r="L207" s="7"/>
      <c r="M207" s="8"/>
      <c r="N207" s="7"/>
      <c r="O207" s="8"/>
      <c r="P207" s="7"/>
      <c r="Q207" s="7"/>
      <c r="R207" s="8"/>
      <c r="S207" s="7"/>
      <c r="T207" s="9"/>
      <c r="U207" s="7"/>
      <c r="V207" s="8"/>
      <c r="W207" s="7"/>
      <c r="X207" s="7"/>
      <c r="Y207" s="8"/>
      <c r="Z207" s="7"/>
      <c r="AA207" s="8"/>
      <c r="AF207" s="337" t="s">
        <v>530</v>
      </c>
      <c r="AG207" s="337" t="s">
        <v>534</v>
      </c>
    </row>
    <row r="208" spans="4:33" ht="14.25" thickTop="1" thickBot="1" x14ac:dyDescent="0.25">
      <c r="D208" s="341"/>
      <c r="E208" s="86" t="s">
        <v>646</v>
      </c>
      <c r="F208" s="7"/>
      <c r="G208" s="8"/>
      <c r="H208" s="7"/>
      <c r="I208" s="6"/>
      <c r="J208" s="7"/>
      <c r="K208" s="8"/>
      <c r="L208" s="7"/>
      <c r="M208" s="8"/>
      <c r="N208" s="7"/>
      <c r="O208" s="8"/>
      <c r="P208" s="7"/>
      <c r="Q208" s="7"/>
      <c r="R208" s="8"/>
      <c r="S208" s="7"/>
      <c r="T208" s="9"/>
      <c r="U208" s="7"/>
      <c r="V208" s="8"/>
      <c r="W208" s="7"/>
      <c r="X208" s="7"/>
      <c r="Y208" s="8"/>
      <c r="Z208" s="7"/>
      <c r="AA208" s="8"/>
      <c r="AF208" s="337" t="s">
        <v>530</v>
      </c>
      <c r="AG208" s="337" t="s">
        <v>536</v>
      </c>
    </row>
    <row r="209" spans="4:33" ht="14.25" thickTop="1" thickBot="1" x14ac:dyDescent="0.25">
      <c r="D209" s="341"/>
      <c r="E209" s="86" t="s">
        <v>529</v>
      </c>
      <c r="F209" s="7"/>
      <c r="G209" s="8"/>
      <c r="H209" s="7"/>
      <c r="I209" s="6"/>
      <c r="J209" s="7"/>
      <c r="K209" s="8"/>
      <c r="L209" s="7"/>
      <c r="M209" s="8"/>
      <c r="N209" s="7"/>
      <c r="O209" s="8"/>
      <c r="P209" s="7"/>
      <c r="Q209" s="7"/>
      <c r="R209" s="8"/>
      <c r="S209" s="7"/>
      <c r="T209" s="9"/>
      <c r="U209" s="7"/>
      <c r="V209" s="8"/>
      <c r="W209" s="7"/>
      <c r="X209" s="7"/>
      <c r="Y209" s="8"/>
      <c r="Z209" s="7"/>
      <c r="AA209" s="8"/>
      <c r="AF209" s="337" t="s">
        <v>530</v>
      </c>
      <c r="AG209" s="337" t="s">
        <v>538</v>
      </c>
    </row>
    <row r="210" spans="4:33" ht="14.25" thickTop="1" thickBot="1" x14ac:dyDescent="0.25">
      <c r="D210" s="341"/>
      <c r="E210" s="86" t="s">
        <v>673</v>
      </c>
      <c r="F210" s="7"/>
      <c r="G210" s="8"/>
      <c r="H210" s="7"/>
      <c r="I210" s="6"/>
      <c r="J210" s="7"/>
      <c r="K210" s="8"/>
      <c r="L210" s="7"/>
      <c r="M210" s="8"/>
      <c r="N210" s="7"/>
      <c r="O210" s="8"/>
      <c r="P210" s="7"/>
      <c r="Q210" s="7"/>
      <c r="R210" s="8"/>
      <c r="S210" s="7"/>
      <c r="T210" s="9"/>
      <c r="U210" s="7"/>
      <c r="V210" s="8"/>
      <c r="W210" s="7"/>
      <c r="X210" s="7"/>
      <c r="Y210" s="8"/>
      <c r="Z210" s="7"/>
      <c r="AA210" s="8"/>
      <c r="AF210" s="337" t="s">
        <v>530</v>
      </c>
      <c r="AG210" s="337" t="s">
        <v>531</v>
      </c>
    </row>
    <row r="211" spans="4:33" ht="14.25" thickTop="1" thickBot="1" x14ac:dyDescent="0.25">
      <c r="D211" s="341"/>
      <c r="E211" s="86" t="s">
        <v>679</v>
      </c>
      <c r="F211" s="7"/>
      <c r="G211" s="8"/>
      <c r="H211" s="7"/>
      <c r="I211" s="6"/>
      <c r="J211" s="7"/>
      <c r="K211" s="8"/>
      <c r="L211" s="7"/>
      <c r="M211" s="8"/>
      <c r="N211" s="7"/>
      <c r="O211" s="8"/>
      <c r="P211" s="7"/>
      <c r="Q211" s="7"/>
      <c r="R211" s="8"/>
      <c r="S211" s="7"/>
      <c r="T211" s="9"/>
      <c r="U211" s="7"/>
      <c r="V211" s="8"/>
      <c r="W211" s="7"/>
      <c r="X211" s="7"/>
      <c r="Y211" s="8"/>
      <c r="Z211" s="7"/>
      <c r="AA211" s="8"/>
      <c r="AF211" s="337" t="s">
        <v>473</v>
      </c>
      <c r="AG211" s="337" t="s">
        <v>814</v>
      </c>
    </row>
    <row r="212" spans="4:33" ht="14.25" thickTop="1" thickBot="1" x14ac:dyDescent="0.25">
      <c r="D212" s="341"/>
      <c r="E212" s="86" t="s">
        <v>644</v>
      </c>
      <c r="F212" s="7"/>
      <c r="G212" s="8"/>
      <c r="H212" s="7"/>
      <c r="I212" s="6"/>
      <c r="J212" s="7"/>
      <c r="K212" s="8"/>
      <c r="L212" s="7"/>
      <c r="M212" s="8"/>
      <c r="N212" s="7"/>
      <c r="O212" s="8"/>
      <c r="P212" s="7"/>
      <c r="Q212" s="7"/>
      <c r="R212" s="8"/>
      <c r="S212" s="7"/>
      <c r="T212" s="9"/>
      <c r="U212" s="7"/>
      <c r="V212" s="8"/>
      <c r="W212" s="7"/>
      <c r="X212" s="7"/>
      <c r="Y212" s="8"/>
      <c r="Z212" s="7"/>
      <c r="AA212" s="8"/>
      <c r="AF212" s="337" t="s">
        <v>473</v>
      </c>
      <c r="AG212" s="337" t="s">
        <v>1136</v>
      </c>
    </row>
    <row r="213" spans="4:33" ht="14.25" thickTop="1" thickBot="1" x14ac:dyDescent="0.25">
      <c r="D213" s="341"/>
      <c r="E213" s="86" t="s">
        <v>1093</v>
      </c>
      <c r="F213" s="7"/>
      <c r="G213" s="8"/>
      <c r="H213" s="7"/>
      <c r="I213" s="6"/>
      <c r="J213" s="7"/>
      <c r="K213" s="8"/>
      <c r="L213" s="7"/>
      <c r="M213" s="8"/>
      <c r="N213" s="7"/>
      <c r="O213" s="8"/>
      <c r="P213" s="7"/>
      <c r="Q213" s="7"/>
      <c r="R213" s="8"/>
      <c r="S213" s="7"/>
      <c r="T213" s="9"/>
      <c r="U213" s="7"/>
      <c r="V213" s="8"/>
      <c r="W213" s="7"/>
      <c r="X213" s="7"/>
      <c r="Y213" s="8"/>
      <c r="Z213" s="7"/>
      <c r="AA213" s="8"/>
      <c r="AF213" s="337" t="s">
        <v>473</v>
      </c>
      <c r="AG213" s="337" t="s">
        <v>1135</v>
      </c>
    </row>
    <row r="214" spans="4:33" ht="14.25" thickTop="1" thickBot="1" x14ac:dyDescent="0.25">
      <c r="D214" s="341"/>
      <c r="E214" s="86" t="s">
        <v>1282</v>
      </c>
      <c r="F214" s="7"/>
      <c r="G214" s="8"/>
      <c r="H214" s="7"/>
      <c r="I214" s="6"/>
      <c r="J214" s="7"/>
      <c r="K214" s="8"/>
      <c r="L214" s="7"/>
      <c r="M214" s="8"/>
      <c r="N214" s="7"/>
      <c r="O214" s="8"/>
      <c r="P214" s="7"/>
      <c r="Q214" s="7"/>
      <c r="R214" s="8"/>
      <c r="S214" s="7"/>
      <c r="T214" s="9"/>
      <c r="U214" s="7"/>
      <c r="V214" s="8"/>
      <c r="W214" s="7"/>
      <c r="X214" s="7"/>
      <c r="Y214" s="8"/>
      <c r="Z214" s="7"/>
      <c r="AA214" s="8"/>
      <c r="AF214" s="337" t="s">
        <v>473</v>
      </c>
      <c r="AG214" s="337" t="s">
        <v>474</v>
      </c>
    </row>
    <row r="215" spans="4:33" ht="14.25" thickTop="1" thickBot="1" x14ac:dyDescent="0.25">
      <c r="D215" s="341"/>
      <c r="E215" s="86" t="s">
        <v>672</v>
      </c>
      <c r="F215" s="7"/>
      <c r="G215" s="8"/>
      <c r="H215" s="7"/>
      <c r="I215" s="6"/>
      <c r="J215" s="7"/>
      <c r="K215" s="8"/>
      <c r="L215" s="7"/>
      <c r="M215" s="8"/>
      <c r="N215" s="7"/>
      <c r="O215" s="8"/>
      <c r="P215" s="7"/>
      <c r="Q215" s="7"/>
      <c r="R215" s="8"/>
      <c r="S215" s="7"/>
      <c r="T215" s="9"/>
      <c r="U215" s="7"/>
      <c r="V215" s="8"/>
      <c r="W215" s="7"/>
      <c r="X215" s="7"/>
      <c r="Y215" s="8"/>
      <c r="Z215" s="7"/>
      <c r="AA215" s="8"/>
      <c r="AF215" s="337" t="s">
        <v>473</v>
      </c>
      <c r="AG215" s="337" t="s">
        <v>744</v>
      </c>
    </row>
    <row r="216" spans="4:33" ht="14.25" thickTop="1" thickBot="1" x14ac:dyDescent="0.25">
      <c r="D216" s="341"/>
      <c r="E216" s="86" t="s">
        <v>645</v>
      </c>
      <c r="F216" s="7"/>
      <c r="G216" s="8"/>
      <c r="H216" s="7"/>
      <c r="I216" s="6"/>
      <c r="J216" s="7"/>
      <c r="K216" s="8"/>
      <c r="L216" s="7"/>
      <c r="M216" s="8"/>
      <c r="N216" s="7"/>
      <c r="O216" s="8"/>
      <c r="P216" s="7"/>
      <c r="Q216" s="7"/>
      <c r="R216" s="8"/>
      <c r="S216" s="7"/>
      <c r="T216" s="9"/>
      <c r="U216" s="7"/>
      <c r="V216" s="8"/>
      <c r="W216" s="7"/>
      <c r="X216" s="7"/>
      <c r="Y216" s="8"/>
      <c r="Z216" s="7"/>
      <c r="AA216" s="8"/>
      <c r="AF216" s="337" t="s">
        <v>473</v>
      </c>
      <c r="AG216" s="337" t="s">
        <v>2507</v>
      </c>
    </row>
    <row r="217" spans="4:33" ht="14.25" thickTop="1" thickBot="1" x14ac:dyDescent="0.25">
      <c r="D217" s="341"/>
      <c r="E217" s="86" t="s">
        <v>681</v>
      </c>
      <c r="F217" s="7"/>
      <c r="G217" s="8"/>
      <c r="H217" s="7"/>
      <c r="I217" s="6"/>
      <c r="J217" s="7"/>
      <c r="K217" s="8"/>
      <c r="L217" s="7"/>
      <c r="M217" s="8"/>
      <c r="N217" s="7"/>
      <c r="O217" s="8"/>
      <c r="P217" s="7"/>
      <c r="Q217" s="7"/>
      <c r="R217" s="8"/>
      <c r="S217" s="7"/>
      <c r="T217" s="9"/>
      <c r="U217" s="7"/>
      <c r="V217" s="8"/>
      <c r="W217" s="7"/>
      <c r="X217" s="7"/>
      <c r="Y217" s="8"/>
      <c r="Z217" s="7"/>
      <c r="AA217" s="8"/>
      <c r="AF217" s="337" t="s">
        <v>473</v>
      </c>
      <c r="AG217" s="337" t="s">
        <v>1117</v>
      </c>
    </row>
    <row r="218" spans="4:33" ht="14.25" thickTop="1" thickBot="1" x14ac:dyDescent="0.25">
      <c r="D218" s="341"/>
      <c r="E218" s="86" t="s">
        <v>680</v>
      </c>
      <c r="F218" s="7"/>
      <c r="G218" s="8"/>
      <c r="H218" s="7"/>
      <c r="I218" s="6"/>
      <c r="J218" s="7"/>
      <c r="K218" s="8"/>
      <c r="L218" s="7"/>
      <c r="M218" s="8"/>
      <c r="N218" s="7"/>
      <c r="O218" s="8"/>
      <c r="P218" s="7"/>
      <c r="Q218" s="7"/>
      <c r="R218" s="8"/>
      <c r="S218" s="7"/>
      <c r="T218" s="9"/>
      <c r="U218" s="7"/>
      <c r="V218" s="8"/>
      <c r="W218" s="7"/>
      <c r="X218" s="7"/>
      <c r="Y218" s="8"/>
      <c r="Z218" s="7"/>
      <c r="AA218" s="8"/>
      <c r="AF218" s="337" t="s">
        <v>473</v>
      </c>
      <c r="AG218" s="337" t="s">
        <v>876</v>
      </c>
    </row>
    <row r="219" spans="4:33" ht="14.25" thickTop="1" thickBot="1" x14ac:dyDescent="0.25">
      <c r="D219" s="341"/>
      <c r="E219" s="86" t="s">
        <v>1099</v>
      </c>
      <c r="F219" s="7"/>
      <c r="G219" s="8"/>
      <c r="H219" s="7"/>
      <c r="I219" s="6"/>
      <c r="J219" s="7"/>
      <c r="K219" s="8"/>
      <c r="L219" s="7"/>
      <c r="M219" s="8"/>
      <c r="N219" s="7"/>
      <c r="O219" s="8"/>
      <c r="P219" s="7"/>
      <c r="Q219" s="7"/>
      <c r="R219" s="8"/>
      <c r="S219" s="7"/>
      <c r="T219" s="9"/>
      <c r="U219" s="7"/>
      <c r="V219" s="8"/>
      <c r="W219" s="7"/>
      <c r="X219" s="7"/>
      <c r="Y219" s="8"/>
      <c r="Z219" s="7"/>
      <c r="AA219" s="8"/>
      <c r="AF219" s="337" t="s">
        <v>473</v>
      </c>
      <c r="AG219" s="337" t="s">
        <v>730</v>
      </c>
    </row>
    <row r="220" spans="4:33" ht="14.25" thickTop="1" thickBot="1" x14ac:dyDescent="0.25">
      <c r="D220" s="341"/>
      <c r="E220" s="86" t="s">
        <v>647</v>
      </c>
      <c r="F220" s="7"/>
      <c r="G220" s="8"/>
      <c r="H220" s="7"/>
      <c r="I220" s="6"/>
      <c r="J220" s="7"/>
      <c r="K220" s="8"/>
      <c r="L220" s="7"/>
      <c r="M220" s="8"/>
      <c r="N220" s="7"/>
      <c r="O220" s="8"/>
      <c r="P220" s="7"/>
      <c r="Q220" s="7"/>
      <c r="R220" s="8"/>
      <c r="S220" s="7"/>
      <c r="T220" s="9"/>
      <c r="U220" s="7"/>
      <c r="V220" s="8"/>
      <c r="W220" s="7"/>
      <c r="X220" s="7"/>
      <c r="Y220" s="8"/>
      <c r="Z220" s="7"/>
      <c r="AA220" s="8"/>
      <c r="AF220" s="337" t="s">
        <v>473</v>
      </c>
      <c r="AG220" s="337" t="s">
        <v>813</v>
      </c>
    </row>
    <row r="221" spans="4:33" ht="14.25" thickTop="1" thickBot="1" x14ac:dyDescent="0.25">
      <c r="D221" s="341"/>
      <c r="E221" s="86" t="s">
        <v>1092</v>
      </c>
      <c r="F221" s="7"/>
      <c r="G221" s="8"/>
      <c r="H221" s="7"/>
      <c r="I221" s="6"/>
      <c r="J221" s="7"/>
      <c r="K221" s="8"/>
      <c r="L221" s="7"/>
      <c r="M221" s="8"/>
      <c r="N221" s="7"/>
      <c r="O221" s="8"/>
      <c r="P221" s="7"/>
      <c r="Q221" s="7"/>
      <c r="R221" s="8"/>
      <c r="S221" s="7"/>
      <c r="T221" s="9"/>
      <c r="U221" s="7"/>
      <c r="V221" s="8"/>
      <c r="W221" s="7"/>
      <c r="X221" s="7"/>
      <c r="Y221" s="8"/>
      <c r="Z221" s="7"/>
      <c r="AA221" s="8"/>
      <c r="AF221" s="337" t="s">
        <v>473</v>
      </c>
      <c r="AG221" s="337" t="s">
        <v>692</v>
      </c>
    </row>
    <row r="222" spans="4:33" ht="14.25" thickTop="1" thickBot="1" x14ac:dyDescent="0.25">
      <c r="D222" s="341"/>
      <c r="E222" s="86" t="s">
        <v>682</v>
      </c>
      <c r="F222" s="7"/>
      <c r="G222" s="8"/>
      <c r="H222" s="7"/>
      <c r="I222" s="6"/>
      <c r="J222" s="7"/>
      <c r="K222" s="8"/>
      <c r="L222" s="7"/>
      <c r="M222" s="8"/>
      <c r="N222" s="7"/>
      <c r="O222" s="8"/>
      <c r="P222" s="7"/>
      <c r="Q222" s="7"/>
      <c r="R222" s="8"/>
      <c r="S222" s="7"/>
      <c r="T222" s="9"/>
      <c r="U222" s="7"/>
      <c r="V222" s="8"/>
      <c r="W222" s="7"/>
      <c r="X222" s="7"/>
      <c r="Y222" s="8"/>
      <c r="Z222" s="7"/>
      <c r="AA222" s="8"/>
      <c r="AF222" s="337" t="s">
        <v>473</v>
      </c>
      <c r="AG222" s="337" t="s">
        <v>734</v>
      </c>
    </row>
    <row r="223" spans="4:33" ht="14.25" thickTop="1" thickBot="1" x14ac:dyDescent="0.25">
      <c r="D223" s="341"/>
      <c r="E223" s="86" t="s">
        <v>666</v>
      </c>
      <c r="F223" s="7"/>
      <c r="G223" s="8"/>
      <c r="H223" s="7"/>
      <c r="I223" s="6"/>
      <c r="J223" s="7"/>
      <c r="K223" s="8"/>
      <c r="L223" s="7"/>
      <c r="M223" s="8"/>
      <c r="N223" s="7"/>
      <c r="O223" s="8"/>
      <c r="P223" s="7"/>
      <c r="Q223" s="7"/>
      <c r="R223" s="8"/>
      <c r="S223" s="7"/>
      <c r="T223" s="9"/>
      <c r="U223" s="7"/>
      <c r="V223" s="8"/>
      <c r="W223" s="7"/>
      <c r="X223" s="7"/>
      <c r="Y223" s="8"/>
      <c r="Z223" s="7"/>
      <c r="AA223" s="8"/>
      <c r="AF223" s="337" t="s">
        <v>473</v>
      </c>
      <c r="AG223" s="337" t="s">
        <v>732</v>
      </c>
    </row>
    <row r="224" spans="4:33" ht="14.25" thickTop="1" thickBot="1" x14ac:dyDescent="0.25">
      <c r="D224" s="341"/>
      <c r="E224" s="86" t="s">
        <v>675</v>
      </c>
      <c r="F224" s="7"/>
      <c r="G224" s="8"/>
      <c r="H224" s="7"/>
      <c r="I224" s="6"/>
      <c r="J224" s="7"/>
      <c r="K224" s="8"/>
      <c r="L224" s="7"/>
      <c r="M224" s="8"/>
      <c r="N224" s="7"/>
      <c r="O224" s="8"/>
      <c r="P224" s="7"/>
      <c r="Q224" s="7"/>
      <c r="R224" s="8"/>
      <c r="S224" s="7"/>
      <c r="T224" s="9"/>
      <c r="U224" s="7"/>
      <c r="V224" s="8"/>
      <c r="W224" s="7"/>
      <c r="X224" s="7"/>
      <c r="Y224" s="8"/>
      <c r="Z224" s="7"/>
      <c r="AA224" s="8"/>
      <c r="AF224" s="337" t="s">
        <v>473</v>
      </c>
      <c r="AG224" s="337" t="s">
        <v>785</v>
      </c>
    </row>
    <row r="225" spans="4:33" ht="14.25" thickTop="1" thickBot="1" x14ac:dyDescent="0.25">
      <c r="D225" s="341"/>
      <c r="E225" s="86" t="s">
        <v>1070</v>
      </c>
      <c r="F225" s="7"/>
      <c r="G225" s="8"/>
      <c r="H225" s="7"/>
      <c r="I225" s="6"/>
      <c r="J225" s="7"/>
      <c r="K225" s="8"/>
      <c r="L225" s="7"/>
      <c r="M225" s="8"/>
      <c r="N225" s="7"/>
      <c r="O225" s="8"/>
      <c r="P225" s="7"/>
      <c r="Q225" s="7"/>
      <c r="R225" s="8"/>
      <c r="S225" s="7"/>
      <c r="T225" s="9"/>
      <c r="U225" s="7"/>
      <c r="V225" s="8"/>
      <c r="W225" s="7"/>
      <c r="X225" s="7"/>
      <c r="Y225" s="8"/>
      <c r="Z225" s="7"/>
      <c r="AA225" s="8"/>
      <c r="AF225" s="337" t="s">
        <v>473</v>
      </c>
      <c r="AG225" s="337" t="s">
        <v>725</v>
      </c>
    </row>
    <row r="226" spans="4:33" ht="14.25" thickTop="1" thickBot="1" x14ac:dyDescent="0.25">
      <c r="D226" s="341"/>
      <c r="E226" s="86" t="s">
        <v>653</v>
      </c>
      <c r="F226" s="7"/>
      <c r="G226" s="8"/>
      <c r="H226" s="7"/>
      <c r="I226" s="6"/>
      <c r="J226" s="7"/>
      <c r="K226" s="8"/>
      <c r="L226" s="7"/>
      <c r="M226" s="8"/>
      <c r="N226" s="7"/>
      <c r="O226" s="8"/>
      <c r="P226" s="7"/>
      <c r="Q226" s="7"/>
      <c r="R226" s="8"/>
      <c r="S226" s="7"/>
      <c r="T226" s="9"/>
      <c r="U226" s="7"/>
      <c r="V226" s="8"/>
      <c r="W226" s="7"/>
      <c r="X226" s="7"/>
      <c r="Y226" s="8"/>
      <c r="Z226" s="7"/>
      <c r="AA226" s="8"/>
      <c r="AF226" s="337" t="s">
        <v>473</v>
      </c>
      <c r="AG226" s="337" t="s">
        <v>823</v>
      </c>
    </row>
    <row r="227" spans="4:33" ht="14.25" thickTop="1" thickBot="1" x14ac:dyDescent="0.25">
      <c r="D227" s="341"/>
      <c r="E227" s="86" t="s">
        <v>1097</v>
      </c>
      <c r="F227" s="7"/>
      <c r="G227" s="8"/>
      <c r="H227" s="7"/>
      <c r="I227" s="6"/>
      <c r="J227" s="7"/>
      <c r="K227" s="8"/>
      <c r="L227" s="7"/>
      <c r="M227" s="8"/>
      <c r="N227" s="7"/>
      <c r="O227" s="8"/>
      <c r="P227" s="7"/>
      <c r="Q227" s="7"/>
      <c r="R227" s="8"/>
      <c r="S227" s="7"/>
      <c r="T227" s="9"/>
      <c r="U227" s="7"/>
      <c r="V227" s="8"/>
      <c r="W227" s="7"/>
      <c r="X227" s="7"/>
      <c r="Y227" s="8"/>
      <c r="Z227" s="7"/>
      <c r="AA227" s="8"/>
      <c r="AF227" s="337" t="s">
        <v>473</v>
      </c>
      <c r="AG227" s="337" t="s">
        <v>833</v>
      </c>
    </row>
    <row r="228" spans="4:33" ht="14.25" thickTop="1" thickBot="1" x14ac:dyDescent="0.25">
      <c r="D228" s="341"/>
      <c r="E228" s="86" t="s">
        <v>667</v>
      </c>
      <c r="F228" s="7"/>
      <c r="G228" s="8"/>
      <c r="H228" s="7"/>
      <c r="I228" s="6"/>
      <c r="J228" s="7"/>
      <c r="K228" s="8"/>
      <c r="L228" s="7"/>
      <c r="M228" s="8"/>
      <c r="N228" s="7"/>
      <c r="O228" s="8"/>
      <c r="P228" s="7"/>
      <c r="Q228" s="7"/>
      <c r="R228" s="8"/>
      <c r="S228" s="7"/>
      <c r="T228" s="9"/>
      <c r="U228" s="7"/>
      <c r="V228" s="8"/>
      <c r="W228" s="7"/>
      <c r="X228" s="7"/>
      <c r="Y228" s="8"/>
      <c r="Z228" s="7"/>
      <c r="AA228" s="8"/>
      <c r="AF228" s="337" t="s">
        <v>473</v>
      </c>
      <c r="AG228" s="337" t="s">
        <v>793</v>
      </c>
    </row>
    <row r="229" spans="4:33" ht="14.25" thickTop="1" thickBot="1" x14ac:dyDescent="0.25">
      <c r="D229" s="341"/>
      <c r="E229" s="86" t="s">
        <v>671</v>
      </c>
      <c r="F229" s="7"/>
      <c r="G229" s="8"/>
      <c r="H229" s="7"/>
      <c r="I229" s="6"/>
      <c r="J229" s="7"/>
      <c r="K229" s="8"/>
      <c r="L229" s="7"/>
      <c r="M229" s="8"/>
      <c r="N229" s="7"/>
      <c r="O229" s="8"/>
      <c r="P229" s="7"/>
      <c r="Q229" s="7"/>
      <c r="R229" s="8"/>
      <c r="S229" s="7"/>
      <c r="T229" s="9"/>
      <c r="U229" s="7"/>
      <c r="V229" s="8"/>
      <c r="W229" s="7"/>
      <c r="X229" s="7"/>
      <c r="Y229" s="8"/>
      <c r="Z229" s="7"/>
      <c r="AA229" s="8"/>
      <c r="AF229" s="337" t="s">
        <v>473</v>
      </c>
      <c r="AG229" s="337" t="s">
        <v>877</v>
      </c>
    </row>
    <row r="230" spans="4:33" ht="14.25" thickTop="1" thickBot="1" x14ac:dyDescent="0.25">
      <c r="D230" s="341"/>
      <c r="E230" s="86" t="s">
        <v>699</v>
      </c>
      <c r="F230" s="7"/>
      <c r="G230" s="8"/>
      <c r="H230" s="7"/>
      <c r="I230" s="6"/>
      <c r="J230" s="7"/>
      <c r="K230" s="8"/>
      <c r="L230" s="7"/>
      <c r="M230" s="8"/>
      <c r="N230" s="7"/>
      <c r="O230" s="8"/>
      <c r="P230" s="7"/>
      <c r="Q230" s="7"/>
      <c r="R230" s="8"/>
      <c r="S230" s="7"/>
      <c r="T230" s="9"/>
      <c r="U230" s="7"/>
      <c r="V230" s="8"/>
      <c r="W230" s="7"/>
      <c r="X230" s="7"/>
      <c r="Y230" s="8"/>
      <c r="Z230" s="7"/>
      <c r="AA230" s="8"/>
      <c r="AF230" s="337" t="s">
        <v>473</v>
      </c>
      <c r="AG230" s="337" t="s">
        <v>875</v>
      </c>
    </row>
    <row r="231" spans="4:33" ht="14.25" thickTop="1" thickBot="1" x14ac:dyDescent="0.25">
      <c r="D231" s="341"/>
      <c r="E231" s="86" t="s">
        <v>684</v>
      </c>
      <c r="F231" s="7"/>
      <c r="G231" s="8"/>
      <c r="H231" s="7"/>
      <c r="I231" s="6"/>
      <c r="J231" s="7"/>
      <c r="K231" s="8"/>
      <c r="L231" s="7"/>
      <c r="M231" s="8"/>
      <c r="N231" s="7"/>
      <c r="O231" s="8"/>
      <c r="P231" s="7"/>
      <c r="Q231" s="7"/>
      <c r="R231" s="8"/>
      <c r="S231" s="7"/>
      <c r="T231" s="9"/>
      <c r="U231" s="7"/>
      <c r="V231" s="8"/>
      <c r="W231" s="7"/>
      <c r="X231" s="7"/>
      <c r="Y231" s="8"/>
      <c r="Z231" s="7"/>
      <c r="AA231" s="8"/>
      <c r="AF231" s="337" t="s">
        <v>473</v>
      </c>
      <c r="AG231" s="337" t="s">
        <v>1106</v>
      </c>
    </row>
    <row r="232" spans="4:33" ht="14.25" thickTop="1" thickBot="1" x14ac:dyDescent="0.25">
      <c r="D232" s="341"/>
      <c r="E232" s="86" t="s">
        <v>1100</v>
      </c>
      <c r="F232" s="7"/>
      <c r="G232" s="8"/>
      <c r="H232" s="7"/>
      <c r="I232" s="6"/>
      <c r="J232" s="7"/>
      <c r="K232" s="8"/>
      <c r="L232" s="7"/>
      <c r="M232" s="8"/>
      <c r="N232" s="7"/>
      <c r="O232" s="8"/>
      <c r="P232" s="7"/>
      <c r="Q232" s="7"/>
      <c r="R232" s="8"/>
      <c r="S232" s="7"/>
      <c r="T232" s="9"/>
      <c r="U232" s="7"/>
      <c r="V232" s="8"/>
      <c r="W232" s="7"/>
      <c r="X232" s="7"/>
      <c r="Y232" s="8"/>
      <c r="Z232" s="7"/>
      <c r="AA232" s="8"/>
      <c r="AF232" s="337" t="s">
        <v>473</v>
      </c>
      <c r="AG232" s="337" t="s">
        <v>788</v>
      </c>
    </row>
    <row r="233" spans="4:33" ht="14.25" thickTop="1" thickBot="1" x14ac:dyDescent="0.25">
      <c r="D233" s="341"/>
      <c r="E233" s="86" t="s">
        <v>1073</v>
      </c>
      <c r="F233" s="7"/>
      <c r="G233" s="8"/>
      <c r="H233" s="7"/>
      <c r="I233" s="6"/>
      <c r="J233" s="7"/>
      <c r="K233" s="8"/>
      <c r="L233" s="7"/>
      <c r="M233" s="8"/>
      <c r="N233" s="7"/>
      <c r="O233" s="8"/>
      <c r="P233" s="7"/>
      <c r="Q233" s="7"/>
      <c r="R233" s="8"/>
      <c r="S233" s="7"/>
      <c r="T233" s="9"/>
      <c r="U233" s="7"/>
      <c r="V233" s="8"/>
      <c r="W233" s="7"/>
      <c r="X233" s="7"/>
      <c r="Y233" s="8"/>
      <c r="Z233" s="7"/>
      <c r="AA233" s="8"/>
      <c r="AF233" s="337" t="s">
        <v>473</v>
      </c>
      <c r="AG233" s="337" t="s">
        <v>774</v>
      </c>
    </row>
    <row r="234" spans="4:33" ht="14.25" thickTop="1" thickBot="1" x14ac:dyDescent="0.25">
      <c r="D234" s="341"/>
      <c r="E234" s="86" t="s">
        <v>669</v>
      </c>
      <c r="F234" s="7"/>
      <c r="G234" s="8"/>
      <c r="H234" s="7"/>
      <c r="I234" s="6"/>
      <c r="J234" s="7"/>
      <c r="K234" s="8"/>
      <c r="L234" s="7"/>
      <c r="M234" s="8"/>
      <c r="N234" s="7"/>
      <c r="O234" s="8"/>
      <c r="P234" s="7"/>
      <c r="Q234" s="7"/>
      <c r="R234" s="8"/>
      <c r="S234" s="7"/>
      <c r="T234" s="9"/>
      <c r="U234" s="7"/>
      <c r="V234" s="8"/>
      <c r="W234" s="7"/>
      <c r="X234" s="7"/>
      <c r="Y234" s="8"/>
      <c r="Z234" s="7"/>
      <c r="AA234" s="8"/>
      <c r="AF234" s="337" t="s">
        <v>473</v>
      </c>
      <c r="AG234" s="337" t="s">
        <v>733</v>
      </c>
    </row>
    <row r="235" spans="4:33" ht="14.25" thickTop="1" thickBot="1" x14ac:dyDescent="0.25">
      <c r="D235" s="341"/>
      <c r="E235" s="86" t="s">
        <v>674</v>
      </c>
      <c r="F235" s="7"/>
      <c r="G235" s="8"/>
      <c r="H235" s="7"/>
      <c r="I235" s="6"/>
      <c r="J235" s="7"/>
      <c r="K235" s="8"/>
      <c r="L235" s="7"/>
      <c r="M235" s="8"/>
      <c r="N235" s="7"/>
      <c r="O235" s="8"/>
      <c r="P235" s="7"/>
      <c r="Q235" s="7"/>
      <c r="R235" s="8"/>
      <c r="S235" s="7"/>
      <c r="T235" s="9"/>
      <c r="U235" s="7"/>
      <c r="V235" s="8"/>
      <c r="W235" s="7"/>
      <c r="X235" s="7"/>
      <c r="Y235" s="8"/>
      <c r="Z235" s="7"/>
      <c r="AA235" s="8"/>
      <c r="AF235" s="337" t="s">
        <v>473</v>
      </c>
      <c r="AG235" s="337" t="s">
        <v>871</v>
      </c>
    </row>
    <row r="236" spans="4:33" ht="14.25" thickTop="1" thickBot="1" x14ac:dyDescent="0.25">
      <c r="D236" s="341"/>
      <c r="E236" s="86" t="s">
        <v>626</v>
      </c>
      <c r="F236" s="7"/>
      <c r="G236" s="8"/>
      <c r="H236" s="7"/>
      <c r="I236" s="6"/>
      <c r="J236" s="7"/>
      <c r="K236" s="8"/>
      <c r="L236" s="7"/>
      <c r="M236" s="8"/>
      <c r="N236" s="7"/>
      <c r="O236" s="8"/>
      <c r="P236" s="7"/>
      <c r="Q236" s="7"/>
      <c r="R236" s="8"/>
      <c r="S236" s="7"/>
      <c r="T236" s="9"/>
      <c r="U236" s="7"/>
      <c r="V236" s="8"/>
      <c r="W236" s="7"/>
      <c r="X236" s="7"/>
      <c r="Y236" s="8"/>
      <c r="Z236" s="7"/>
      <c r="AA236" s="8"/>
      <c r="AF236" s="337" t="s">
        <v>473</v>
      </c>
      <c r="AG236" s="337" t="s">
        <v>794</v>
      </c>
    </row>
    <row r="237" spans="4:33" ht="14.25" thickTop="1" thickBot="1" x14ac:dyDescent="0.25">
      <c r="D237" s="341"/>
      <c r="E237" s="86" t="s">
        <v>627</v>
      </c>
      <c r="F237" s="7"/>
      <c r="G237" s="8"/>
      <c r="H237" s="7"/>
      <c r="I237" s="6"/>
      <c r="J237" s="7"/>
      <c r="K237" s="8"/>
      <c r="L237" s="7"/>
      <c r="M237" s="8"/>
      <c r="N237" s="7"/>
      <c r="O237" s="8"/>
      <c r="P237" s="7"/>
      <c r="Q237" s="7"/>
      <c r="R237" s="8"/>
      <c r="S237" s="7"/>
      <c r="T237" s="9"/>
      <c r="U237" s="7"/>
      <c r="V237" s="8"/>
      <c r="W237" s="7"/>
      <c r="X237" s="7"/>
      <c r="Y237" s="8"/>
      <c r="Z237" s="7"/>
      <c r="AA237" s="8"/>
      <c r="AF237" s="337" t="s">
        <v>473</v>
      </c>
      <c r="AG237" s="337" t="s">
        <v>1130</v>
      </c>
    </row>
    <row r="238" spans="4:33" ht="14.25" thickTop="1" thickBot="1" x14ac:dyDescent="0.25">
      <c r="D238" s="341"/>
      <c r="E238" s="86" t="s">
        <v>587</v>
      </c>
      <c r="F238" s="7"/>
      <c r="G238" s="8"/>
      <c r="H238" s="7"/>
      <c r="I238" s="6"/>
      <c r="J238" s="7"/>
      <c r="K238" s="8"/>
      <c r="L238" s="7"/>
      <c r="M238" s="8"/>
      <c r="N238" s="7"/>
      <c r="O238" s="8"/>
      <c r="P238" s="7"/>
      <c r="Q238" s="7"/>
      <c r="R238" s="8"/>
      <c r="S238" s="7"/>
      <c r="T238" s="9"/>
      <c r="U238" s="7"/>
      <c r="V238" s="8"/>
      <c r="W238" s="7"/>
      <c r="X238" s="7"/>
      <c r="Y238" s="8"/>
      <c r="Z238" s="7"/>
      <c r="AA238" s="8"/>
      <c r="AF238" s="337" t="s">
        <v>473</v>
      </c>
      <c r="AG238" s="337" t="s">
        <v>714</v>
      </c>
    </row>
    <row r="239" spans="4:33" ht="14.25" thickTop="1" thickBot="1" x14ac:dyDescent="0.25">
      <c r="D239" s="341"/>
      <c r="E239" s="86" t="s">
        <v>1026</v>
      </c>
      <c r="F239" s="7"/>
      <c r="G239" s="8"/>
      <c r="H239" s="7"/>
      <c r="I239" s="6"/>
      <c r="J239" s="7"/>
      <c r="K239" s="8"/>
      <c r="L239" s="7"/>
      <c r="M239" s="8"/>
      <c r="N239" s="7"/>
      <c r="O239" s="8"/>
      <c r="P239" s="7"/>
      <c r="Q239" s="7"/>
      <c r="R239" s="8"/>
      <c r="S239" s="7"/>
      <c r="T239" s="9"/>
      <c r="U239" s="7"/>
      <c r="V239" s="8"/>
      <c r="W239" s="7"/>
      <c r="X239" s="7"/>
      <c r="Y239" s="8"/>
      <c r="Z239" s="7"/>
      <c r="AA239" s="8"/>
      <c r="AF239" s="337" t="s">
        <v>473</v>
      </c>
      <c r="AG239" s="337" t="s">
        <v>835</v>
      </c>
    </row>
    <row r="240" spans="4:33" ht="14.25" thickTop="1" thickBot="1" x14ac:dyDescent="0.25">
      <c r="D240" s="341"/>
      <c r="E240" s="86" t="s">
        <v>1051</v>
      </c>
      <c r="F240" s="7"/>
      <c r="G240" s="8"/>
      <c r="H240" s="7"/>
      <c r="I240" s="6"/>
      <c r="J240" s="7"/>
      <c r="K240" s="8"/>
      <c r="L240" s="7"/>
      <c r="M240" s="8"/>
      <c r="N240" s="7"/>
      <c r="O240" s="8"/>
      <c r="P240" s="7"/>
      <c r="Q240" s="7"/>
      <c r="R240" s="8"/>
      <c r="S240" s="7"/>
      <c r="T240" s="9"/>
      <c r="U240" s="7"/>
      <c r="V240" s="8"/>
      <c r="W240" s="7"/>
      <c r="X240" s="7"/>
      <c r="Y240" s="8"/>
      <c r="Z240" s="7"/>
      <c r="AA240" s="8"/>
      <c r="AF240" s="337" t="s">
        <v>473</v>
      </c>
      <c r="AG240" s="337" t="s">
        <v>504</v>
      </c>
    </row>
    <row r="241" spans="4:33" ht="14.25" thickTop="1" thickBot="1" x14ac:dyDescent="0.25">
      <c r="D241" s="341"/>
      <c r="E241" s="86" t="s">
        <v>1283</v>
      </c>
      <c r="F241" s="7"/>
      <c r="G241" s="8"/>
      <c r="H241" s="7"/>
      <c r="I241" s="6"/>
      <c r="J241" s="7"/>
      <c r="K241" s="8"/>
      <c r="L241" s="7"/>
      <c r="M241" s="8"/>
      <c r="N241" s="7"/>
      <c r="O241" s="8"/>
      <c r="P241" s="7"/>
      <c r="Q241" s="7"/>
      <c r="R241" s="8"/>
      <c r="S241" s="7"/>
      <c r="T241" s="9"/>
      <c r="U241" s="7"/>
      <c r="V241" s="8"/>
      <c r="W241" s="7"/>
      <c r="X241" s="7"/>
      <c r="Y241" s="8"/>
      <c r="Z241" s="7"/>
      <c r="AA241" s="8"/>
      <c r="AF241" s="337" t="s">
        <v>473</v>
      </c>
      <c r="AG241" s="337" t="s">
        <v>1324</v>
      </c>
    </row>
    <row r="242" spans="4:33" ht="14.25" thickTop="1" thickBot="1" x14ac:dyDescent="0.25">
      <c r="D242" s="341"/>
      <c r="E242" s="86" t="s">
        <v>598</v>
      </c>
      <c r="F242" s="7"/>
      <c r="G242" s="8"/>
      <c r="H242" s="7"/>
      <c r="I242" s="6"/>
      <c r="J242" s="7"/>
      <c r="K242" s="8"/>
      <c r="L242" s="7"/>
      <c r="M242" s="8"/>
      <c r="N242" s="7"/>
      <c r="O242" s="8"/>
      <c r="P242" s="7"/>
      <c r="Q242" s="7"/>
      <c r="R242" s="8"/>
      <c r="S242" s="7"/>
      <c r="T242" s="9"/>
      <c r="U242" s="7"/>
      <c r="V242" s="8"/>
      <c r="W242" s="7"/>
      <c r="X242" s="7"/>
      <c r="Y242" s="8"/>
      <c r="Z242" s="7"/>
      <c r="AA242" s="8"/>
      <c r="AF242" s="337" t="s">
        <v>473</v>
      </c>
      <c r="AG242" s="337" t="s">
        <v>507</v>
      </c>
    </row>
    <row r="243" spans="4:33" ht="14.25" thickTop="1" thickBot="1" x14ac:dyDescent="0.25">
      <c r="D243" s="341"/>
      <c r="E243" s="86" t="s">
        <v>469</v>
      </c>
      <c r="F243" s="7"/>
      <c r="G243" s="8"/>
      <c r="H243" s="7"/>
      <c r="I243" s="6"/>
      <c r="J243" s="7"/>
      <c r="K243" s="8"/>
      <c r="L243" s="7"/>
      <c r="M243" s="8"/>
      <c r="N243" s="7"/>
      <c r="O243" s="8"/>
      <c r="P243" s="7"/>
      <c r="Q243" s="7"/>
      <c r="R243" s="8"/>
      <c r="S243" s="7"/>
      <c r="T243" s="9"/>
      <c r="U243" s="7"/>
      <c r="V243" s="8"/>
      <c r="W243" s="7"/>
      <c r="X243" s="7"/>
      <c r="Y243" s="8"/>
      <c r="Z243" s="7"/>
      <c r="AA243" s="8"/>
      <c r="AF243" s="337" t="s">
        <v>473</v>
      </c>
      <c r="AG243" s="337" t="s">
        <v>832</v>
      </c>
    </row>
    <row r="244" spans="4:33" ht="14.25" thickTop="1" thickBot="1" x14ac:dyDescent="0.25">
      <c r="D244" s="341"/>
      <c r="E244" s="86" t="s">
        <v>621</v>
      </c>
      <c r="F244" s="7"/>
      <c r="G244" s="8"/>
      <c r="H244" s="7"/>
      <c r="I244" s="6"/>
      <c r="J244" s="7"/>
      <c r="K244" s="8"/>
      <c r="L244" s="7"/>
      <c r="M244" s="8"/>
      <c r="N244" s="7"/>
      <c r="O244" s="8"/>
      <c r="P244" s="7"/>
      <c r="Q244" s="7"/>
      <c r="R244" s="8"/>
      <c r="S244" s="7"/>
      <c r="T244" s="9"/>
      <c r="U244" s="7"/>
      <c r="V244" s="8"/>
      <c r="W244" s="7"/>
      <c r="X244" s="7"/>
      <c r="Y244" s="8"/>
      <c r="Z244" s="7"/>
      <c r="AA244" s="8"/>
      <c r="AF244" s="337" t="s">
        <v>473</v>
      </c>
      <c r="AG244" s="337" t="s">
        <v>874</v>
      </c>
    </row>
    <row r="245" spans="4:33" ht="14.25" thickTop="1" thickBot="1" x14ac:dyDescent="0.25">
      <c r="D245" s="341"/>
      <c r="E245" s="86" t="s">
        <v>1050</v>
      </c>
      <c r="F245" s="7"/>
      <c r="G245" s="8"/>
      <c r="H245" s="7"/>
      <c r="I245" s="6"/>
      <c r="J245" s="7"/>
      <c r="K245" s="8"/>
      <c r="L245" s="7"/>
      <c r="M245" s="8"/>
      <c r="N245" s="7"/>
      <c r="O245" s="8"/>
      <c r="P245" s="7"/>
      <c r="Q245" s="7"/>
      <c r="R245" s="8"/>
      <c r="S245" s="7"/>
      <c r="T245" s="9"/>
      <c r="U245" s="7"/>
      <c r="V245" s="8"/>
      <c r="W245" s="7"/>
      <c r="X245" s="7"/>
      <c r="Y245" s="8"/>
      <c r="Z245" s="7"/>
      <c r="AA245" s="8"/>
      <c r="AF245" s="337" t="s">
        <v>473</v>
      </c>
      <c r="AG245" s="337" t="s">
        <v>873</v>
      </c>
    </row>
    <row r="246" spans="4:33" ht="14.25" thickTop="1" thickBot="1" x14ac:dyDescent="0.25">
      <c r="D246" s="341"/>
      <c r="E246" s="86" t="s">
        <v>1052</v>
      </c>
      <c r="F246" s="7"/>
      <c r="G246" s="8"/>
      <c r="H246" s="7"/>
      <c r="I246" s="6"/>
      <c r="J246" s="7"/>
      <c r="K246" s="8"/>
      <c r="L246" s="7"/>
      <c r="M246" s="8"/>
      <c r="N246" s="7"/>
      <c r="O246" s="8"/>
      <c r="P246" s="7"/>
      <c r="Q246" s="7"/>
      <c r="R246" s="8"/>
      <c r="S246" s="7"/>
      <c r="T246" s="9"/>
      <c r="U246" s="7"/>
      <c r="V246" s="8"/>
      <c r="W246" s="7"/>
      <c r="X246" s="7"/>
      <c r="Y246" s="8"/>
      <c r="Z246" s="7"/>
      <c r="AA246" s="8"/>
      <c r="AF246" s="337" t="s">
        <v>473</v>
      </c>
      <c r="AG246" s="337" t="s">
        <v>514</v>
      </c>
    </row>
    <row r="247" spans="4:33" ht="14.25" thickTop="1" thickBot="1" x14ac:dyDescent="0.25">
      <c r="D247" s="341"/>
      <c r="E247" s="86" t="s">
        <v>628</v>
      </c>
      <c r="F247" s="7"/>
      <c r="G247" s="8"/>
      <c r="H247" s="7"/>
      <c r="I247" s="6"/>
      <c r="J247" s="7"/>
      <c r="K247" s="8"/>
      <c r="L247" s="7"/>
      <c r="M247" s="8"/>
      <c r="N247" s="7"/>
      <c r="O247" s="8"/>
      <c r="P247" s="7"/>
      <c r="Q247" s="7"/>
      <c r="R247" s="8"/>
      <c r="S247" s="7"/>
      <c r="T247" s="9"/>
      <c r="U247" s="7"/>
      <c r="V247" s="8"/>
      <c r="W247" s="7"/>
      <c r="X247" s="7"/>
      <c r="Y247" s="8"/>
      <c r="Z247" s="7"/>
      <c r="AA247" s="8"/>
      <c r="AF247" s="337" t="s">
        <v>473</v>
      </c>
      <c r="AG247" s="337" t="s">
        <v>808</v>
      </c>
    </row>
    <row r="248" spans="4:33" ht="14.25" thickTop="1" thickBot="1" x14ac:dyDescent="0.25">
      <c r="D248" s="341"/>
      <c r="E248" s="86" t="s">
        <v>1055</v>
      </c>
      <c r="F248" s="7"/>
      <c r="G248" s="8"/>
      <c r="H248" s="7"/>
      <c r="I248" s="6"/>
      <c r="J248" s="7"/>
      <c r="K248" s="8"/>
      <c r="L248" s="7"/>
      <c r="M248" s="8"/>
      <c r="N248" s="7"/>
      <c r="O248" s="8"/>
      <c r="P248" s="7"/>
      <c r="Q248" s="7"/>
      <c r="R248" s="8"/>
      <c r="S248" s="7"/>
      <c r="T248" s="9"/>
      <c r="U248" s="7"/>
      <c r="V248" s="8"/>
      <c r="W248" s="7"/>
      <c r="X248" s="7"/>
      <c r="Y248" s="8"/>
      <c r="Z248" s="7"/>
      <c r="AA248" s="8"/>
      <c r="AF248" s="337" t="s">
        <v>473</v>
      </c>
      <c r="AG248" s="337" t="s">
        <v>771</v>
      </c>
    </row>
    <row r="249" spans="4:33" ht="14.25" thickTop="1" thickBot="1" x14ac:dyDescent="0.25">
      <c r="D249" s="341"/>
      <c r="E249" s="86" t="s">
        <v>625</v>
      </c>
      <c r="F249" s="7"/>
      <c r="G249" s="8"/>
      <c r="H249" s="7"/>
      <c r="I249" s="6"/>
      <c r="J249" s="7"/>
      <c r="K249" s="8"/>
      <c r="L249" s="7"/>
      <c r="M249" s="8"/>
      <c r="N249" s="7"/>
      <c r="O249" s="8"/>
      <c r="P249" s="7"/>
      <c r="Q249" s="7"/>
      <c r="R249" s="8"/>
      <c r="S249" s="7"/>
      <c r="T249" s="9"/>
      <c r="U249" s="7"/>
      <c r="V249" s="8"/>
      <c r="W249" s="7"/>
      <c r="X249" s="7"/>
      <c r="Y249" s="8"/>
      <c r="Z249" s="7"/>
      <c r="AA249" s="8"/>
      <c r="AF249" s="337" t="s">
        <v>473</v>
      </c>
      <c r="AG249" s="337" t="s">
        <v>773</v>
      </c>
    </row>
    <row r="250" spans="4:33" ht="14.25" thickTop="1" thickBot="1" x14ac:dyDescent="0.25">
      <c r="D250" s="341"/>
      <c r="E250" s="86" t="s">
        <v>623</v>
      </c>
      <c r="F250" s="7"/>
      <c r="G250" s="8"/>
      <c r="H250" s="7"/>
      <c r="I250" s="6"/>
      <c r="J250" s="7"/>
      <c r="K250" s="8"/>
      <c r="L250" s="7"/>
      <c r="M250" s="8"/>
      <c r="N250" s="7"/>
      <c r="O250" s="8"/>
      <c r="P250" s="7"/>
      <c r="Q250" s="7"/>
      <c r="R250" s="8"/>
      <c r="S250" s="7"/>
      <c r="T250" s="9"/>
      <c r="U250" s="7"/>
      <c r="V250" s="8"/>
      <c r="W250" s="7"/>
      <c r="X250" s="7"/>
      <c r="Y250" s="8"/>
      <c r="Z250" s="7"/>
      <c r="AA250" s="8"/>
      <c r="AF250" s="337" t="s">
        <v>473</v>
      </c>
      <c r="AG250" s="337" t="s">
        <v>1137</v>
      </c>
    </row>
    <row r="251" spans="4:33" ht="14.25" thickTop="1" thickBot="1" x14ac:dyDescent="0.25">
      <c r="D251" s="341"/>
      <c r="E251" s="86" t="s">
        <v>620</v>
      </c>
      <c r="F251" s="7"/>
      <c r="G251" s="8"/>
      <c r="H251" s="7"/>
      <c r="I251" s="6"/>
      <c r="J251" s="7"/>
      <c r="K251" s="8"/>
      <c r="L251" s="7"/>
      <c r="M251" s="8"/>
      <c r="N251" s="7"/>
      <c r="O251" s="8"/>
      <c r="P251" s="7"/>
      <c r="Q251" s="7"/>
      <c r="R251" s="8"/>
      <c r="S251" s="7"/>
      <c r="T251" s="9"/>
      <c r="U251" s="7"/>
      <c r="V251" s="8"/>
      <c r="W251" s="7"/>
      <c r="X251" s="7"/>
      <c r="Y251" s="8"/>
      <c r="Z251" s="7"/>
      <c r="AA251" s="8"/>
      <c r="AF251" s="337" t="s">
        <v>473</v>
      </c>
      <c r="AG251" s="337" t="s">
        <v>870</v>
      </c>
    </row>
    <row r="252" spans="4:33" ht="14.25" thickTop="1" thickBot="1" x14ac:dyDescent="0.25">
      <c r="D252" s="341"/>
      <c r="E252" s="86" t="s">
        <v>618</v>
      </c>
      <c r="F252" s="7"/>
      <c r="G252" s="8"/>
      <c r="H252" s="7"/>
      <c r="I252" s="6"/>
      <c r="J252" s="7"/>
      <c r="K252" s="8"/>
      <c r="L252" s="7"/>
      <c r="M252" s="8"/>
      <c r="N252" s="7"/>
      <c r="O252" s="8"/>
      <c r="P252" s="7"/>
      <c r="Q252" s="7"/>
      <c r="R252" s="8"/>
      <c r="S252" s="7"/>
      <c r="T252" s="9"/>
      <c r="U252" s="7"/>
      <c r="V252" s="8"/>
      <c r="W252" s="7"/>
      <c r="X252" s="7"/>
      <c r="Y252" s="8"/>
      <c r="Z252" s="7"/>
      <c r="AA252" s="8"/>
      <c r="AF252" s="337" t="s">
        <v>473</v>
      </c>
      <c r="AG252" s="337" t="s">
        <v>816</v>
      </c>
    </row>
    <row r="253" spans="4:33" ht="14.25" thickTop="1" thickBot="1" x14ac:dyDescent="0.25">
      <c r="D253" s="341"/>
      <c r="E253" s="86" t="s">
        <v>613</v>
      </c>
      <c r="F253" s="7"/>
      <c r="G253" s="8"/>
      <c r="H253" s="7"/>
      <c r="I253" s="6"/>
      <c r="J253" s="7"/>
      <c r="K253" s="8"/>
      <c r="L253" s="7"/>
      <c r="M253" s="8"/>
      <c r="N253" s="7"/>
      <c r="O253" s="8"/>
      <c r="P253" s="7"/>
      <c r="Q253" s="7"/>
      <c r="R253" s="8"/>
      <c r="S253" s="7"/>
      <c r="T253" s="9"/>
      <c r="U253" s="7"/>
      <c r="V253" s="8"/>
      <c r="W253" s="7"/>
      <c r="X253" s="7"/>
      <c r="Y253" s="8"/>
      <c r="Z253" s="7"/>
      <c r="AA253" s="8"/>
      <c r="AF253" s="337" t="s">
        <v>473</v>
      </c>
      <c r="AG253" s="337" t="s">
        <v>792</v>
      </c>
    </row>
    <row r="254" spans="4:33" ht="14.25" thickTop="1" thickBot="1" x14ac:dyDescent="0.25">
      <c r="D254" s="341"/>
      <c r="E254" s="86" t="s">
        <v>1056</v>
      </c>
      <c r="F254" s="7"/>
      <c r="G254" s="8"/>
      <c r="H254" s="7"/>
      <c r="I254" s="6"/>
      <c r="J254" s="7"/>
      <c r="K254" s="8"/>
      <c r="L254" s="7"/>
      <c r="M254" s="8"/>
      <c r="N254" s="7"/>
      <c r="O254" s="8"/>
      <c r="P254" s="7"/>
      <c r="Q254" s="7"/>
      <c r="R254" s="8"/>
      <c r="S254" s="7"/>
      <c r="T254" s="9"/>
      <c r="U254" s="7"/>
      <c r="V254" s="8"/>
      <c r="W254" s="7"/>
      <c r="X254" s="7"/>
      <c r="Y254" s="8"/>
      <c r="Z254" s="7"/>
      <c r="AA254" s="8"/>
      <c r="AF254" s="337" t="s">
        <v>473</v>
      </c>
      <c r="AG254" s="337" t="s">
        <v>1141</v>
      </c>
    </row>
    <row r="255" spans="4:33" ht="14.25" thickTop="1" thickBot="1" x14ac:dyDescent="0.25">
      <c r="D255" s="341"/>
      <c r="E255" s="86" t="s">
        <v>1054</v>
      </c>
      <c r="F255" s="7"/>
      <c r="G255" s="8"/>
      <c r="H255" s="7"/>
      <c r="I255" s="6"/>
      <c r="J255" s="7"/>
      <c r="K255" s="8"/>
      <c r="L255" s="7"/>
      <c r="M255" s="8"/>
      <c r="N255" s="7"/>
      <c r="O255" s="8"/>
      <c r="P255" s="7"/>
      <c r="Q255" s="7"/>
      <c r="R255" s="8"/>
      <c r="S255" s="7"/>
      <c r="T255" s="9"/>
      <c r="U255" s="7"/>
      <c r="V255" s="8"/>
      <c r="W255" s="7"/>
      <c r="X255" s="7"/>
      <c r="Y255" s="8"/>
      <c r="Z255" s="7"/>
      <c r="AA255" s="8"/>
      <c r="AF255" s="337" t="s">
        <v>473</v>
      </c>
      <c r="AG255" s="337" t="s">
        <v>872</v>
      </c>
    </row>
    <row r="256" spans="4:33" ht="14.25" thickTop="1" thickBot="1" x14ac:dyDescent="0.25">
      <c r="D256" s="341"/>
      <c r="E256" s="86" t="s">
        <v>1031</v>
      </c>
      <c r="F256" s="7"/>
      <c r="G256" s="8"/>
      <c r="H256" s="7"/>
      <c r="I256" s="6"/>
      <c r="J256" s="7"/>
      <c r="K256" s="8"/>
      <c r="L256" s="7"/>
      <c r="M256" s="8"/>
      <c r="N256" s="7"/>
      <c r="O256" s="8"/>
      <c r="P256" s="7"/>
      <c r="Q256" s="7"/>
      <c r="R256" s="8"/>
      <c r="S256" s="7"/>
      <c r="T256" s="9"/>
      <c r="U256" s="7"/>
      <c r="V256" s="8"/>
      <c r="W256" s="7"/>
      <c r="X256" s="7"/>
      <c r="Y256" s="8"/>
      <c r="Z256" s="7"/>
      <c r="AA256" s="8"/>
      <c r="AF256" s="337" t="s">
        <v>473</v>
      </c>
      <c r="AG256" s="337" t="s">
        <v>1126</v>
      </c>
    </row>
    <row r="257" spans="4:33" ht="14.25" thickTop="1" thickBot="1" x14ac:dyDescent="0.25">
      <c r="D257" s="341"/>
      <c r="E257" s="86" t="s">
        <v>1025</v>
      </c>
      <c r="F257" s="7"/>
      <c r="G257" s="8"/>
      <c r="H257" s="7"/>
      <c r="I257" s="6"/>
      <c r="J257" s="7"/>
      <c r="K257" s="8"/>
      <c r="L257" s="7"/>
      <c r="M257" s="8"/>
      <c r="N257" s="7"/>
      <c r="O257" s="8"/>
      <c r="P257" s="7"/>
      <c r="Q257" s="7"/>
      <c r="R257" s="8"/>
      <c r="S257" s="7"/>
      <c r="T257" s="9"/>
      <c r="U257" s="7"/>
      <c r="V257" s="8"/>
      <c r="W257" s="7"/>
      <c r="X257" s="7"/>
      <c r="Y257" s="8"/>
      <c r="Z257" s="7"/>
      <c r="AA257" s="8"/>
      <c r="AF257" s="337" t="s">
        <v>473</v>
      </c>
      <c r="AG257" s="337" t="s">
        <v>520</v>
      </c>
    </row>
    <row r="258" spans="4:33" ht="14.25" thickTop="1" thickBot="1" x14ac:dyDescent="0.25">
      <c r="D258" s="341"/>
      <c r="E258" s="86" t="s">
        <v>1027</v>
      </c>
      <c r="F258" s="7"/>
      <c r="G258" s="8"/>
      <c r="H258" s="7"/>
      <c r="I258" s="6"/>
      <c r="J258" s="7"/>
      <c r="K258" s="8"/>
      <c r="L258" s="7"/>
      <c r="M258" s="8"/>
      <c r="N258" s="7"/>
      <c r="O258" s="8"/>
      <c r="P258" s="7"/>
      <c r="Q258" s="7"/>
      <c r="R258" s="8"/>
      <c r="S258" s="7"/>
      <c r="T258" s="9"/>
      <c r="U258" s="7"/>
      <c r="V258" s="8"/>
      <c r="W258" s="7"/>
      <c r="X258" s="7"/>
      <c r="Y258" s="8"/>
      <c r="Z258" s="7"/>
      <c r="AA258" s="8"/>
      <c r="AF258" s="337" t="s">
        <v>473</v>
      </c>
      <c r="AG258" s="337" t="s">
        <v>1118</v>
      </c>
    </row>
    <row r="259" spans="4:33" ht="14.25" thickTop="1" thickBot="1" x14ac:dyDescent="0.25">
      <c r="D259" s="341"/>
      <c r="E259" s="86" t="s">
        <v>1028</v>
      </c>
      <c r="F259" s="7"/>
      <c r="G259" s="8"/>
      <c r="H259" s="7"/>
      <c r="I259" s="6"/>
      <c r="J259" s="7"/>
      <c r="K259" s="8"/>
      <c r="L259" s="7"/>
      <c r="M259" s="8"/>
      <c r="N259" s="7"/>
      <c r="O259" s="8"/>
      <c r="P259" s="7"/>
      <c r="Q259" s="7"/>
      <c r="R259" s="8"/>
      <c r="S259" s="7"/>
      <c r="T259" s="9"/>
      <c r="U259" s="7"/>
      <c r="V259" s="8"/>
      <c r="W259" s="7"/>
      <c r="X259" s="7"/>
      <c r="Y259" s="8"/>
      <c r="Z259" s="7"/>
      <c r="AA259" s="8"/>
      <c r="AF259" s="337" t="s">
        <v>473</v>
      </c>
      <c r="AG259" s="337" t="s">
        <v>522</v>
      </c>
    </row>
    <row r="260" spans="4:33" ht="14.25" thickTop="1" thickBot="1" x14ac:dyDescent="0.25">
      <c r="D260" s="341"/>
      <c r="E260" s="86" t="s">
        <v>1059</v>
      </c>
      <c r="F260" s="7"/>
      <c r="G260" s="8"/>
      <c r="H260" s="7"/>
      <c r="I260" s="6"/>
      <c r="J260" s="7"/>
      <c r="K260" s="8"/>
      <c r="L260" s="7"/>
      <c r="M260" s="8"/>
      <c r="N260" s="7"/>
      <c r="O260" s="8"/>
      <c r="P260" s="7"/>
      <c r="Q260" s="7"/>
      <c r="R260" s="8"/>
      <c r="S260" s="7"/>
      <c r="T260" s="9"/>
      <c r="U260" s="7"/>
      <c r="V260" s="8"/>
      <c r="W260" s="7"/>
      <c r="X260" s="7"/>
      <c r="Y260" s="8"/>
      <c r="Z260" s="7"/>
      <c r="AA260" s="8"/>
      <c r="AF260" s="337" t="s">
        <v>473</v>
      </c>
      <c r="AG260" s="337" t="s">
        <v>523</v>
      </c>
    </row>
    <row r="261" spans="4:33" ht="14.25" thickTop="1" thickBot="1" x14ac:dyDescent="0.25">
      <c r="D261" s="341"/>
      <c r="E261" s="86" t="s">
        <v>1029</v>
      </c>
      <c r="F261" s="7"/>
      <c r="G261" s="8"/>
      <c r="H261" s="7"/>
      <c r="I261" s="6"/>
      <c r="J261" s="7"/>
      <c r="K261" s="8"/>
      <c r="L261" s="7"/>
      <c r="M261" s="8"/>
      <c r="N261" s="7"/>
      <c r="O261" s="8"/>
      <c r="P261" s="7"/>
      <c r="Q261" s="7"/>
      <c r="R261" s="8"/>
      <c r="S261" s="7"/>
      <c r="T261" s="9"/>
      <c r="U261" s="7"/>
      <c r="V261" s="8"/>
      <c r="W261" s="7"/>
      <c r="X261" s="7"/>
      <c r="Y261" s="8"/>
      <c r="Z261" s="7"/>
      <c r="AA261" s="8"/>
      <c r="AF261" s="337" t="s">
        <v>473</v>
      </c>
      <c r="AG261" s="337" t="s">
        <v>751</v>
      </c>
    </row>
    <row r="262" spans="4:33" ht="14.25" thickTop="1" thickBot="1" x14ac:dyDescent="0.25">
      <c r="D262" s="341"/>
      <c r="E262" s="86" t="s">
        <v>1030</v>
      </c>
      <c r="F262" s="7"/>
      <c r="G262" s="8"/>
      <c r="H262" s="7"/>
      <c r="I262" s="6"/>
      <c r="J262" s="7"/>
      <c r="K262" s="8"/>
      <c r="L262" s="7"/>
      <c r="M262" s="8"/>
      <c r="N262" s="7"/>
      <c r="O262" s="8"/>
      <c r="P262" s="7"/>
      <c r="Q262" s="7"/>
      <c r="R262" s="8"/>
      <c r="S262" s="7"/>
      <c r="T262" s="9"/>
      <c r="U262" s="7"/>
      <c r="V262" s="8"/>
      <c r="W262" s="7"/>
      <c r="X262" s="7"/>
      <c r="Y262" s="8"/>
      <c r="Z262" s="7"/>
      <c r="AA262" s="8"/>
      <c r="AF262" s="337" t="s">
        <v>473</v>
      </c>
      <c r="AG262" s="337" t="s">
        <v>747</v>
      </c>
    </row>
    <row r="263" spans="4:33" ht="14.25" thickTop="1" thickBot="1" x14ac:dyDescent="0.25">
      <c r="D263" s="341"/>
      <c r="E263" s="86" t="s">
        <v>592</v>
      </c>
      <c r="F263" s="7"/>
      <c r="G263" s="8"/>
      <c r="H263" s="7"/>
      <c r="I263" s="6"/>
      <c r="J263" s="7"/>
      <c r="K263" s="8"/>
      <c r="L263" s="7"/>
      <c r="M263" s="8"/>
      <c r="N263" s="7"/>
      <c r="O263" s="8"/>
      <c r="P263" s="7"/>
      <c r="Q263" s="7"/>
      <c r="R263" s="8"/>
      <c r="S263" s="7"/>
      <c r="T263" s="9"/>
      <c r="U263" s="7"/>
      <c r="V263" s="8"/>
      <c r="W263" s="7"/>
      <c r="X263" s="7"/>
      <c r="Y263" s="8"/>
      <c r="Z263" s="7"/>
      <c r="AA263" s="8"/>
      <c r="AF263" s="337" t="s">
        <v>1452</v>
      </c>
      <c r="AG263" s="337" t="s">
        <v>1543</v>
      </c>
    </row>
    <row r="264" spans="4:33" ht="14.25" thickTop="1" thickBot="1" x14ac:dyDescent="0.25">
      <c r="D264" s="341"/>
      <c r="E264" s="86" t="s">
        <v>616</v>
      </c>
      <c r="F264" s="7"/>
      <c r="G264" s="8"/>
      <c r="H264" s="7"/>
      <c r="I264" s="6"/>
      <c r="J264" s="7"/>
      <c r="K264" s="8"/>
      <c r="L264" s="7"/>
      <c r="M264" s="8"/>
      <c r="N264" s="7"/>
      <c r="O264" s="8"/>
      <c r="P264" s="7"/>
      <c r="Q264" s="7"/>
      <c r="R264" s="8"/>
      <c r="S264" s="7"/>
      <c r="T264" s="9"/>
      <c r="U264" s="7"/>
      <c r="V264" s="8"/>
      <c r="W264" s="7"/>
      <c r="X264" s="7"/>
      <c r="Y264" s="8"/>
      <c r="Z264" s="7"/>
      <c r="AA264" s="8"/>
      <c r="AF264" s="337" t="s">
        <v>1268</v>
      </c>
      <c r="AG264" s="337" t="s">
        <v>1267</v>
      </c>
    </row>
    <row r="265" spans="4:33" ht="14.25" thickTop="1" thickBot="1" x14ac:dyDescent="0.25">
      <c r="D265" s="341"/>
      <c r="E265" s="86" t="s">
        <v>610</v>
      </c>
      <c r="F265" s="7"/>
      <c r="G265" s="8"/>
      <c r="H265" s="7"/>
      <c r="I265" s="6"/>
      <c r="J265" s="7"/>
      <c r="K265" s="8"/>
      <c r="L265" s="7"/>
      <c r="M265" s="8"/>
      <c r="N265" s="7"/>
      <c r="O265" s="8"/>
      <c r="P265" s="7"/>
      <c r="Q265" s="7"/>
      <c r="R265" s="8"/>
      <c r="S265" s="7"/>
      <c r="T265" s="9"/>
      <c r="U265" s="7"/>
      <c r="V265" s="8"/>
      <c r="W265" s="7"/>
      <c r="X265" s="7"/>
      <c r="Y265" s="8"/>
      <c r="Z265" s="7"/>
      <c r="AA265" s="8"/>
      <c r="AF265" s="337" t="s">
        <v>1545</v>
      </c>
      <c r="AG265" s="337" t="s">
        <v>2518</v>
      </c>
    </row>
    <row r="266" spans="4:33" ht="14.25" thickTop="1" thickBot="1" x14ac:dyDescent="0.25">
      <c r="D266" s="341"/>
      <c r="E266" s="86" t="s">
        <v>590</v>
      </c>
      <c r="F266" s="7"/>
      <c r="G266" s="8"/>
      <c r="H266" s="7"/>
      <c r="I266" s="6"/>
      <c r="J266" s="7"/>
      <c r="K266" s="8"/>
      <c r="L266" s="7"/>
      <c r="M266" s="8"/>
      <c r="N266" s="7"/>
      <c r="O266" s="8"/>
      <c r="P266" s="7"/>
      <c r="Q266" s="7"/>
      <c r="R266" s="8"/>
      <c r="S266" s="7"/>
      <c r="T266" s="9"/>
      <c r="U266" s="7"/>
      <c r="V266" s="8"/>
      <c r="W266" s="7"/>
      <c r="X266" s="7"/>
      <c r="Y266" s="8"/>
      <c r="Z266" s="7"/>
      <c r="AA266" s="8"/>
      <c r="AF266" s="337" t="s">
        <v>1545</v>
      </c>
      <c r="AG266" s="337" t="s">
        <v>1548</v>
      </c>
    </row>
    <row r="267" spans="4:33" ht="14.25" thickTop="1" thickBot="1" x14ac:dyDescent="0.25">
      <c r="D267" s="341"/>
      <c r="E267" s="86" t="s">
        <v>594</v>
      </c>
      <c r="F267" s="7"/>
      <c r="G267" s="8"/>
      <c r="H267" s="7"/>
      <c r="I267" s="6"/>
      <c r="J267" s="7"/>
      <c r="K267" s="8"/>
      <c r="L267" s="7"/>
      <c r="M267" s="8"/>
      <c r="N267" s="7"/>
      <c r="O267" s="8"/>
      <c r="P267" s="7"/>
      <c r="Q267" s="7"/>
      <c r="R267" s="8"/>
      <c r="S267" s="7"/>
      <c r="T267" s="9"/>
      <c r="U267" s="7"/>
      <c r="V267" s="8"/>
      <c r="W267" s="7"/>
      <c r="X267" s="7"/>
      <c r="Y267" s="8"/>
      <c r="Z267" s="7"/>
      <c r="AA267" s="8"/>
      <c r="AF267" s="337" t="s">
        <v>1545</v>
      </c>
      <c r="AG267" s="337" t="s">
        <v>1549</v>
      </c>
    </row>
    <row r="268" spans="4:33" ht="14.25" thickTop="1" thickBot="1" x14ac:dyDescent="0.25">
      <c r="D268" s="341"/>
      <c r="E268" s="86" t="s">
        <v>1042</v>
      </c>
      <c r="F268" s="7"/>
      <c r="G268" s="8"/>
      <c r="H268" s="7"/>
      <c r="I268" s="6"/>
      <c r="J268" s="7"/>
      <c r="K268" s="8"/>
      <c r="L268" s="7"/>
      <c r="M268" s="8"/>
      <c r="N268" s="7"/>
      <c r="O268" s="8"/>
      <c r="P268" s="7"/>
      <c r="Q268" s="7"/>
      <c r="R268" s="8"/>
      <c r="S268" s="7"/>
      <c r="T268" s="9"/>
      <c r="U268" s="7"/>
      <c r="V268" s="8"/>
      <c r="W268" s="7"/>
      <c r="X268" s="7"/>
      <c r="Y268" s="8"/>
      <c r="Z268" s="7"/>
      <c r="AA268" s="8"/>
      <c r="AF268" s="337" t="s">
        <v>1545</v>
      </c>
      <c r="AG268" s="337" t="s">
        <v>1550</v>
      </c>
    </row>
    <row r="269" spans="4:33" ht="14.25" thickTop="1" thickBot="1" x14ac:dyDescent="0.25">
      <c r="D269" s="341"/>
      <c r="E269" s="86" t="s">
        <v>1049</v>
      </c>
      <c r="F269" s="7"/>
      <c r="G269" s="8"/>
      <c r="H269" s="7"/>
      <c r="I269" s="6"/>
      <c r="J269" s="7"/>
      <c r="K269" s="8"/>
      <c r="L269" s="7"/>
      <c r="M269" s="8"/>
      <c r="N269" s="7"/>
      <c r="O269" s="8"/>
      <c r="P269" s="7"/>
      <c r="Q269" s="7"/>
      <c r="R269" s="8"/>
      <c r="S269" s="7"/>
      <c r="T269" s="9"/>
      <c r="U269" s="7"/>
      <c r="V269" s="8"/>
      <c r="W269" s="7"/>
      <c r="X269" s="7"/>
      <c r="Y269" s="8"/>
      <c r="Z269" s="7"/>
      <c r="AA269" s="8"/>
      <c r="AF269" s="337" t="s">
        <v>1545</v>
      </c>
      <c r="AG269" s="337" t="s">
        <v>1546</v>
      </c>
    </row>
    <row r="270" spans="4:33" ht="14.25" thickTop="1" thickBot="1" x14ac:dyDescent="0.25">
      <c r="D270" s="341"/>
      <c r="E270" s="86" t="s">
        <v>1480</v>
      </c>
      <c r="F270" s="7"/>
      <c r="G270" s="8"/>
      <c r="H270" s="7"/>
      <c r="I270" s="6"/>
      <c r="J270" s="7"/>
      <c r="K270" s="8"/>
      <c r="L270" s="7"/>
      <c r="M270" s="8"/>
      <c r="N270" s="7"/>
      <c r="O270" s="8"/>
      <c r="P270" s="7"/>
      <c r="Q270" s="7"/>
      <c r="R270" s="8"/>
      <c r="S270" s="7"/>
      <c r="T270" s="9"/>
      <c r="U270" s="7"/>
      <c r="V270" s="8"/>
      <c r="W270" s="7"/>
      <c r="X270" s="7"/>
      <c r="Y270" s="8"/>
      <c r="Z270" s="7"/>
      <c r="AA270" s="8"/>
      <c r="AF270" s="337" t="s">
        <v>1545</v>
      </c>
      <c r="AG270" s="337" t="s">
        <v>1547</v>
      </c>
    </row>
    <row r="271" spans="4:33" ht="14.25" thickTop="1" thickBot="1" x14ac:dyDescent="0.25">
      <c r="D271" s="341"/>
      <c r="E271" s="86" t="s">
        <v>615</v>
      </c>
      <c r="F271" s="7"/>
      <c r="G271" s="8"/>
      <c r="H271" s="7"/>
      <c r="I271" s="6"/>
      <c r="J271" s="7"/>
      <c r="K271" s="8"/>
      <c r="L271" s="7"/>
      <c r="M271" s="8"/>
      <c r="N271" s="7"/>
      <c r="O271" s="8"/>
      <c r="P271" s="7"/>
      <c r="Q271" s="7"/>
      <c r="R271" s="8"/>
      <c r="S271" s="7"/>
      <c r="T271" s="9"/>
      <c r="U271" s="7"/>
      <c r="V271" s="8"/>
      <c r="W271" s="7"/>
      <c r="X271" s="7"/>
      <c r="Y271" s="8"/>
      <c r="Z271" s="7"/>
      <c r="AA271" s="8"/>
      <c r="AF271" s="337" t="s">
        <v>1545</v>
      </c>
      <c r="AG271" s="337" t="s">
        <v>455</v>
      </c>
    </row>
    <row r="272" spans="4:33" ht="14.25" thickTop="1" thickBot="1" x14ac:dyDescent="0.25">
      <c r="D272" s="341"/>
      <c r="E272" s="86" t="s">
        <v>1276</v>
      </c>
      <c r="F272" s="7"/>
      <c r="G272" s="8"/>
      <c r="H272" s="7"/>
      <c r="I272" s="6"/>
      <c r="J272" s="7"/>
      <c r="K272" s="8"/>
      <c r="L272" s="7"/>
      <c r="M272" s="8"/>
      <c r="N272" s="7"/>
      <c r="O272" s="8"/>
      <c r="P272" s="7"/>
      <c r="Q272" s="7"/>
      <c r="R272" s="8"/>
      <c r="S272" s="7"/>
      <c r="T272" s="9"/>
      <c r="U272" s="7"/>
      <c r="V272" s="8"/>
      <c r="W272" s="7"/>
      <c r="X272" s="7"/>
      <c r="Y272" s="8"/>
      <c r="Z272" s="7"/>
      <c r="AA272" s="8"/>
      <c r="AF272" s="337" t="s">
        <v>1545</v>
      </c>
      <c r="AG272" s="337" t="s">
        <v>456</v>
      </c>
    </row>
    <row r="273" spans="4:33" ht="14.25" thickTop="1" thickBot="1" x14ac:dyDescent="0.25">
      <c r="D273" s="341"/>
      <c r="E273" s="86" t="s">
        <v>1481</v>
      </c>
      <c r="F273" s="7"/>
      <c r="G273" s="8"/>
      <c r="H273" s="7"/>
      <c r="I273" s="6"/>
      <c r="J273" s="7"/>
      <c r="K273" s="8"/>
      <c r="L273" s="7"/>
      <c r="M273" s="8"/>
      <c r="N273" s="7"/>
      <c r="O273" s="8"/>
      <c r="P273" s="7"/>
      <c r="Q273" s="7"/>
      <c r="R273" s="8"/>
      <c r="S273" s="7"/>
      <c r="T273" s="9"/>
      <c r="U273" s="7"/>
      <c r="V273" s="8"/>
      <c r="W273" s="7"/>
      <c r="X273" s="7"/>
      <c r="Y273" s="8"/>
      <c r="Z273" s="7"/>
      <c r="AA273" s="8"/>
      <c r="AF273" s="337" t="s">
        <v>45</v>
      </c>
      <c r="AG273" s="337" t="s">
        <v>948</v>
      </c>
    </row>
    <row r="274" spans="4:33" ht="14.25" thickTop="1" thickBot="1" x14ac:dyDescent="0.25">
      <c r="D274" s="341"/>
      <c r="E274" s="86" t="s">
        <v>352</v>
      </c>
      <c r="F274" s="7"/>
      <c r="G274" s="8"/>
      <c r="H274" s="7"/>
      <c r="I274" s="6"/>
      <c r="J274" s="7"/>
      <c r="K274" s="8"/>
      <c r="L274" s="7"/>
      <c r="M274" s="8"/>
      <c r="N274" s="7"/>
      <c r="O274" s="8"/>
      <c r="P274" s="7"/>
      <c r="Q274" s="7"/>
      <c r="R274" s="8"/>
      <c r="S274" s="7"/>
      <c r="T274" s="9"/>
      <c r="U274" s="7"/>
      <c r="V274" s="8"/>
      <c r="W274" s="7"/>
      <c r="X274" s="7"/>
      <c r="Y274" s="8"/>
      <c r="Z274" s="7"/>
      <c r="AA274" s="8"/>
      <c r="AF274" s="337" t="s">
        <v>45</v>
      </c>
      <c r="AG274" s="337" t="s">
        <v>950</v>
      </c>
    </row>
    <row r="275" spans="4:33" ht="14.25" thickTop="1" thickBot="1" x14ac:dyDescent="0.25">
      <c r="D275" s="341"/>
      <c r="E275" s="86" t="s">
        <v>1284</v>
      </c>
      <c r="F275" s="7"/>
      <c r="G275" s="8"/>
      <c r="H275" s="7"/>
      <c r="I275" s="6"/>
      <c r="J275" s="7"/>
      <c r="K275" s="8"/>
      <c r="L275" s="7"/>
      <c r="M275" s="8"/>
      <c r="N275" s="7"/>
      <c r="O275" s="8"/>
      <c r="P275" s="7"/>
      <c r="Q275" s="7"/>
      <c r="R275" s="8"/>
      <c r="S275" s="7"/>
      <c r="T275" s="9"/>
      <c r="U275" s="7"/>
      <c r="V275" s="8"/>
      <c r="W275" s="7"/>
      <c r="X275" s="7"/>
      <c r="Y275" s="8"/>
      <c r="Z275" s="7"/>
      <c r="AA275" s="8"/>
      <c r="AF275" s="337" t="s">
        <v>45</v>
      </c>
      <c r="AG275" s="337" t="s">
        <v>951</v>
      </c>
    </row>
    <row r="276" spans="4:33" ht="14.25" thickTop="1" thickBot="1" x14ac:dyDescent="0.25">
      <c r="D276" s="341"/>
      <c r="E276" s="86" t="s">
        <v>356</v>
      </c>
      <c r="F276" s="7"/>
      <c r="G276" s="8"/>
      <c r="H276" s="7"/>
      <c r="I276" s="6"/>
      <c r="J276" s="7"/>
      <c r="K276" s="8"/>
      <c r="L276" s="7"/>
      <c r="M276" s="8"/>
      <c r="N276" s="7"/>
      <c r="O276" s="8"/>
      <c r="P276" s="7"/>
      <c r="Q276" s="7"/>
      <c r="R276" s="8"/>
      <c r="S276" s="7"/>
      <c r="T276" s="9"/>
      <c r="U276" s="7"/>
      <c r="V276" s="8"/>
      <c r="W276" s="7"/>
      <c r="X276" s="7"/>
      <c r="Y276" s="8"/>
      <c r="Z276" s="7"/>
      <c r="AA276" s="8"/>
      <c r="AF276" s="337" t="s">
        <v>45</v>
      </c>
      <c r="AG276" s="337" t="s">
        <v>2519</v>
      </c>
    </row>
    <row r="277" spans="4:33" ht="14.25" thickTop="1" thickBot="1" x14ac:dyDescent="0.25">
      <c r="D277" s="341"/>
      <c r="E277" s="86" t="s">
        <v>357</v>
      </c>
      <c r="F277" s="7"/>
      <c r="G277" s="8"/>
      <c r="H277" s="7"/>
      <c r="I277" s="6"/>
      <c r="J277" s="7"/>
      <c r="K277" s="8"/>
      <c r="L277" s="7"/>
      <c r="M277" s="8"/>
      <c r="N277" s="7"/>
      <c r="O277" s="8"/>
      <c r="P277" s="7"/>
      <c r="Q277" s="7"/>
      <c r="R277" s="8"/>
      <c r="S277" s="7"/>
      <c r="T277" s="9"/>
      <c r="U277" s="7"/>
      <c r="V277" s="8"/>
      <c r="W277" s="7"/>
      <c r="X277" s="7"/>
      <c r="Y277" s="8"/>
      <c r="Z277" s="7"/>
      <c r="AA277" s="8"/>
      <c r="AF277" s="337" t="s">
        <v>45</v>
      </c>
      <c r="AG277" s="337" t="s">
        <v>2520</v>
      </c>
    </row>
    <row r="278" spans="4:33" ht="14.25" thickTop="1" thickBot="1" x14ac:dyDescent="0.25">
      <c r="D278" s="341"/>
      <c r="E278" s="86" t="s">
        <v>359</v>
      </c>
      <c r="F278" s="7"/>
      <c r="G278" s="8"/>
      <c r="H278" s="7"/>
      <c r="I278" s="6"/>
      <c r="J278" s="7"/>
      <c r="K278" s="8"/>
      <c r="L278" s="7"/>
      <c r="M278" s="8"/>
      <c r="N278" s="7"/>
      <c r="O278" s="8"/>
      <c r="P278" s="7"/>
      <c r="Q278" s="7"/>
      <c r="R278" s="8"/>
      <c r="S278" s="7"/>
      <c r="T278" s="9"/>
      <c r="U278" s="7"/>
      <c r="V278" s="8"/>
      <c r="W278" s="7"/>
      <c r="X278" s="7"/>
      <c r="Y278" s="8"/>
      <c r="Z278" s="7"/>
      <c r="AA278" s="8"/>
      <c r="AF278" s="337" t="s">
        <v>45</v>
      </c>
      <c r="AG278" s="337" t="s">
        <v>2521</v>
      </c>
    </row>
    <row r="279" spans="4:33" ht="14.25" thickTop="1" thickBot="1" x14ac:dyDescent="0.25">
      <c r="D279" s="341"/>
      <c r="E279" s="86" t="s">
        <v>1482</v>
      </c>
      <c r="F279" s="7"/>
      <c r="G279" s="8"/>
      <c r="H279" s="7"/>
      <c r="I279" s="6"/>
      <c r="J279" s="7"/>
      <c r="K279" s="8"/>
      <c r="L279" s="7"/>
      <c r="M279" s="8"/>
      <c r="N279" s="7"/>
      <c r="O279" s="8"/>
      <c r="P279" s="7"/>
      <c r="Q279" s="7"/>
      <c r="R279" s="8"/>
      <c r="S279" s="7"/>
      <c r="T279" s="9"/>
      <c r="U279" s="7"/>
      <c r="V279" s="8"/>
      <c r="W279" s="7"/>
      <c r="X279" s="7"/>
      <c r="Y279" s="8"/>
      <c r="Z279" s="7"/>
      <c r="AA279" s="8"/>
      <c r="AF279" s="337" t="s">
        <v>45</v>
      </c>
      <c r="AG279" s="337" t="s">
        <v>1170</v>
      </c>
    </row>
    <row r="280" spans="4:33" ht="14.25" thickTop="1" thickBot="1" x14ac:dyDescent="0.25">
      <c r="D280" s="341"/>
      <c r="E280" s="86" t="s">
        <v>1483</v>
      </c>
      <c r="F280" s="7"/>
      <c r="G280" s="8"/>
      <c r="H280" s="7"/>
      <c r="I280" s="6"/>
      <c r="J280" s="7"/>
      <c r="K280" s="8"/>
      <c r="L280" s="7"/>
      <c r="M280" s="8"/>
      <c r="N280" s="7"/>
      <c r="O280" s="8"/>
      <c r="P280" s="7"/>
      <c r="Q280" s="7"/>
      <c r="R280" s="8"/>
      <c r="S280" s="7"/>
      <c r="T280" s="9"/>
      <c r="U280" s="7"/>
      <c r="V280" s="8"/>
      <c r="W280" s="7"/>
      <c r="X280" s="7"/>
      <c r="Y280" s="8"/>
      <c r="Z280" s="7"/>
      <c r="AA280" s="8"/>
      <c r="AF280" s="337" t="s">
        <v>45</v>
      </c>
      <c r="AG280" s="337" t="s">
        <v>454</v>
      </c>
    </row>
    <row r="281" spans="4:33" ht="14.25" thickTop="1" thickBot="1" x14ac:dyDescent="0.25">
      <c r="D281" s="341"/>
      <c r="E281" s="86" t="s">
        <v>1199</v>
      </c>
      <c r="F281" s="7"/>
      <c r="G281" s="8"/>
      <c r="H281" s="7"/>
      <c r="I281" s="6"/>
      <c r="J281" s="7"/>
      <c r="K281" s="8"/>
      <c r="L281" s="7"/>
      <c r="M281" s="8"/>
      <c r="N281" s="7"/>
      <c r="O281" s="8"/>
      <c r="P281" s="7"/>
      <c r="Q281" s="7"/>
      <c r="R281" s="8"/>
      <c r="S281" s="7"/>
      <c r="T281" s="9"/>
      <c r="U281" s="7"/>
      <c r="V281" s="8"/>
      <c r="W281" s="7"/>
      <c r="X281" s="7"/>
      <c r="Y281" s="8"/>
      <c r="Z281" s="7"/>
      <c r="AA281" s="8"/>
      <c r="AF281" s="337" t="s">
        <v>45</v>
      </c>
      <c r="AG281" s="337" t="s">
        <v>1171</v>
      </c>
    </row>
    <row r="282" spans="4:33" ht="14.25" thickTop="1" thickBot="1" x14ac:dyDescent="0.25">
      <c r="D282" s="341"/>
      <c r="E282" s="86" t="s">
        <v>360</v>
      </c>
      <c r="F282" s="7"/>
      <c r="G282" s="8"/>
      <c r="H282" s="7"/>
      <c r="I282" s="6"/>
      <c r="J282" s="7"/>
      <c r="K282" s="8"/>
      <c r="L282" s="7"/>
      <c r="M282" s="8"/>
      <c r="N282" s="7"/>
      <c r="O282" s="8"/>
      <c r="P282" s="7"/>
      <c r="Q282" s="7"/>
      <c r="R282" s="8"/>
      <c r="S282" s="7"/>
      <c r="T282" s="9"/>
      <c r="U282" s="7"/>
      <c r="V282" s="8"/>
      <c r="W282" s="7"/>
      <c r="X282" s="7"/>
      <c r="Y282" s="8"/>
      <c r="Z282" s="7"/>
      <c r="AA282" s="8"/>
      <c r="AF282" s="337" t="s">
        <v>45</v>
      </c>
      <c r="AG282" s="337" t="s">
        <v>339</v>
      </c>
    </row>
    <row r="283" spans="4:33" ht="14.25" thickTop="1" thickBot="1" x14ac:dyDescent="0.25">
      <c r="D283" s="341"/>
      <c r="E283" s="86" t="s">
        <v>1288</v>
      </c>
      <c r="F283" s="7"/>
      <c r="G283" s="8"/>
      <c r="H283" s="7"/>
      <c r="I283" s="6"/>
      <c r="J283" s="7"/>
      <c r="K283" s="8"/>
      <c r="L283" s="7"/>
      <c r="M283" s="8"/>
      <c r="N283" s="7"/>
      <c r="O283" s="8"/>
      <c r="P283" s="7"/>
      <c r="Q283" s="7"/>
      <c r="R283" s="8"/>
      <c r="S283" s="7"/>
      <c r="T283" s="9"/>
      <c r="U283" s="7"/>
      <c r="V283" s="8"/>
      <c r="W283" s="7"/>
      <c r="X283" s="7"/>
      <c r="Y283" s="8"/>
      <c r="Z283" s="7"/>
      <c r="AA283" s="8"/>
      <c r="AF283" s="337" t="s">
        <v>45</v>
      </c>
      <c r="AG283" s="337" t="s">
        <v>46</v>
      </c>
    </row>
    <row r="284" spans="4:33" ht="14.25" thickTop="1" thickBot="1" x14ac:dyDescent="0.25">
      <c r="D284" s="341"/>
      <c r="E284" s="86" t="s">
        <v>402</v>
      </c>
      <c r="F284" s="7"/>
      <c r="G284" s="8"/>
      <c r="H284" s="7"/>
      <c r="I284" s="6"/>
      <c r="J284" s="7"/>
      <c r="K284" s="8"/>
      <c r="L284" s="7"/>
      <c r="M284" s="8"/>
      <c r="N284" s="7"/>
      <c r="O284" s="8"/>
      <c r="P284" s="7"/>
      <c r="Q284" s="7"/>
      <c r="R284" s="8"/>
      <c r="S284" s="7"/>
      <c r="T284" s="9"/>
      <c r="U284" s="7"/>
      <c r="V284" s="8"/>
      <c r="W284" s="7"/>
      <c r="X284" s="7"/>
      <c r="Y284" s="8"/>
      <c r="Z284" s="7"/>
      <c r="AA284" s="8"/>
      <c r="AF284" s="337" t="s">
        <v>45</v>
      </c>
      <c r="AG284" s="337" t="s">
        <v>1174</v>
      </c>
    </row>
    <row r="285" spans="4:33" ht="14.25" thickTop="1" thickBot="1" x14ac:dyDescent="0.25">
      <c r="D285" s="341"/>
      <c r="E285" s="86" t="s">
        <v>303</v>
      </c>
      <c r="F285" s="7"/>
      <c r="G285" s="8"/>
      <c r="H285" s="7"/>
      <c r="I285" s="6"/>
      <c r="J285" s="7"/>
      <c r="K285" s="8"/>
      <c r="L285" s="7"/>
      <c r="M285" s="8"/>
      <c r="N285" s="7"/>
      <c r="O285" s="8"/>
      <c r="P285" s="7"/>
      <c r="Q285" s="7"/>
      <c r="R285" s="8"/>
      <c r="S285" s="7"/>
      <c r="T285" s="9"/>
      <c r="U285" s="7"/>
      <c r="V285" s="8"/>
      <c r="W285" s="7"/>
      <c r="X285" s="7"/>
      <c r="Y285" s="8"/>
      <c r="Z285" s="7"/>
      <c r="AA285" s="8"/>
      <c r="AF285" s="337" t="s">
        <v>45</v>
      </c>
      <c r="AG285" s="337" t="s">
        <v>1186</v>
      </c>
    </row>
    <row r="286" spans="4:33" ht="14.25" thickTop="1" thickBot="1" x14ac:dyDescent="0.25">
      <c r="D286" s="341"/>
      <c r="E286" s="86" t="s">
        <v>405</v>
      </c>
      <c r="F286" s="7"/>
      <c r="G286" s="8"/>
      <c r="H286" s="7"/>
      <c r="I286" s="6"/>
      <c r="J286" s="7"/>
      <c r="K286" s="8"/>
      <c r="L286" s="7"/>
      <c r="M286" s="8"/>
      <c r="N286" s="7"/>
      <c r="O286" s="8"/>
      <c r="P286" s="7"/>
      <c r="Q286" s="7"/>
      <c r="R286" s="8"/>
      <c r="S286" s="7"/>
      <c r="T286" s="9"/>
      <c r="U286" s="7"/>
      <c r="V286" s="8"/>
      <c r="W286" s="7"/>
      <c r="X286" s="7"/>
      <c r="Y286" s="8"/>
      <c r="Z286" s="7"/>
      <c r="AA286" s="8"/>
      <c r="AF286" s="337" t="s">
        <v>45</v>
      </c>
      <c r="AG286" s="337" t="s">
        <v>1188</v>
      </c>
    </row>
    <row r="287" spans="4:33" ht="14.25" thickTop="1" thickBot="1" x14ac:dyDescent="0.25">
      <c r="D287" s="341"/>
      <c r="E287" s="86" t="s">
        <v>381</v>
      </c>
      <c r="F287" s="7"/>
      <c r="G287" s="8"/>
      <c r="H287" s="7"/>
      <c r="I287" s="6"/>
      <c r="J287" s="7"/>
      <c r="K287" s="8"/>
      <c r="L287" s="7"/>
      <c r="M287" s="8"/>
      <c r="N287" s="7"/>
      <c r="O287" s="8"/>
      <c r="P287" s="7"/>
      <c r="Q287" s="7"/>
      <c r="R287" s="8"/>
      <c r="S287" s="7"/>
      <c r="T287" s="9"/>
      <c r="U287" s="7"/>
      <c r="V287" s="8"/>
      <c r="W287" s="7"/>
      <c r="X287" s="7"/>
      <c r="Y287" s="8"/>
      <c r="Z287" s="7"/>
      <c r="AA287" s="8"/>
      <c r="AF287" s="337" t="s">
        <v>45</v>
      </c>
      <c r="AG287" s="337" t="s">
        <v>458</v>
      </c>
    </row>
    <row r="288" spans="4:33" ht="14.25" thickTop="1" thickBot="1" x14ac:dyDescent="0.25">
      <c r="D288" s="341"/>
      <c r="E288" s="86" t="s">
        <v>1247</v>
      </c>
      <c r="F288" s="7"/>
      <c r="G288" s="8"/>
      <c r="H288" s="7"/>
      <c r="I288" s="6"/>
      <c r="J288" s="7"/>
      <c r="K288" s="8"/>
      <c r="L288" s="7"/>
      <c r="M288" s="8"/>
      <c r="N288" s="7"/>
      <c r="O288" s="8"/>
      <c r="P288" s="7"/>
      <c r="Q288" s="7"/>
      <c r="R288" s="8"/>
      <c r="S288" s="7"/>
      <c r="T288" s="9"/>
      <c r="U288" s="7"/>
      <c r="V288" s="8"/>
      <c r="W288" s="7"/>
      <c r="X288" s="7"/>
      <c r="Y288" s="8"/>
      <c r="Z288" s="7"/>
      <c r="AA288" s="8"/>
      <c r="AF288" s="337" t="s">
        <v>45</v>
      </c>
      <c r="AG288" s="337" t="s">
        <v>1304</v>
      </c>
    </row>
    <row r="289" spans="4:33" ht="14.25" thickTop="1" thickBot="1" x14ac:dyDescent="0.25">
      <c r="D289" s="341"/>
      <c r="E289" s="86" t="s">
        <v>1248</v>
      </c>
      <c r="F289" s="7"/>
      <c r="G289" s="8"/>
      <c r="H289" s="7"/>
      <c r="I289" s="6"/>
      <c r="J289" s="7"/>
      <c r="K289" s="8"/>
      <c r="L289" s="7"/>
      <c r="M289" s="8"/>
      <c r="N289" s="7"/>
      <c r="O289" s="8"/>
      <c r="P289" s="7"/>
      <c r="Q289" s="7"/>
      <c r="R289" s="8"/>
      <c r="S289" s="7"/>
      <c r="T289" s="9"/>
      <c r="U289" s="7"/>
      <c r="V289" s="8"/>
      <c r="W289" s="7"/>
      <c r="X289" s="7"/>
      <c r="Y289" s="8"/>
      <c r="Z289" s="7"/>
      <c r="AA289" s="8"/>
      <c r="AF289" s="337" t="s">
        <v>45</v>
      </c>
      <c r="AG289" s="337" t="s">
        <v>460</v>
      </c>
    </row>
    <row r="290" spans="4:33" ht="14.25" thickTop="1" thickBot="1" x14ac:dyDescent="0.25">
      <c r="D290" s="341"/>
      <c r="E290" s="86" t="s">
        <v>387</v>
      </c>
      <c r="F290" s="7"/>
      <c r="G290" s="8"/>
      <c r="H290" s="7"/>
      <c r="I290" s="6"/>
      <c r="J290" s="7"/>
      <c r="K290" s="8"/>
      <c r="L290" s="7"/>
      <c r="M290" s="8"/>
      <c r="N290" s="7"/>
      <c r="O290" s="8"/>
      <c r="P290" s="7"/>
      <c r="Q290" s="7"/>
      <c r="R290" s="8"/>
      <c r="S290" s="7"/>
      <c r="T290" s="9"/>
      <c r="U290" s="7"/>
      <c r="V290" s="8"/>
      <c r="W290" s="7"/>
      <c r="X290" s="7"/>
      <c r="Y290" s="8"/>
      <c r="Z290" s="7"/>
      <c r="AA290" s="8"/>
      <c r="AF290" s="337" t="s">
        <v>45</v>
      </c>
      <c r="AG290" s="337" t="s">
        <v>461</v>
      </c>
    </row>
    <row r="291" spans="4:33" ht="14.25" thickTop="1" thickBot="1" x14ac:dyDescent="0.25">
      <c r="D291" s="341"/>
      <c r="E291" s="86" t="s">
        <v>406</v>
      </c>
      <c r="F291" s="7"/>
      <c r="G291" s="8"/>
      <c r="H291" s="7"/>
      <c r="I291" s="6"/>
      <c r="J291" s="7"/>
      <c r="K291" s="8"/>
      <c r="L291" s="7"/>
      <c r="M291" s="8"/>
      <c r="N291" s="7"/>
      <c r="O291" s="8"/>
      <c r="P291" s="7"/>
      <c r="Q291" s="7"/>
      <c r="R291" s="8"/>
      <c r="S291" s="7"/>
      <c r="T291" s="9"/>
      <c r="U291" s="7"/>
      <c r="V291" s="8"/>
      <c r="W291" s="7"/>
      <c r="X291" s="7"/>
      <c r="Y291" s="8"/>
      <c r="Z291" s="7"/>
      <c r="AA291" s="8"/>
      <c r="AF291" s="337" t="s">
        <v>45</v>
      </c>
      <c r="AG291" s="337" t="s">
        <v>462</v>
      </c>
    </row>
    <row r="292" spans="4:33" ht="14.25" thickTop="1" thickBot="1" x14ac:dyDescent="0.25">
      <c r="D292" s="341"/>
      <c r="E292" s="86" t="s">
        <v>407</v>
      </c>
      <c r="F292" s="7"/>
      <c r="G292" s="8"/>
      <c r="H292" s="7"/>
      <c r="I292" s="6"/>
      <c r="J292" s="7"/>
      <c r="K292" s="8"/>
      <c r="L292" s="7"/>
      <c r="M292" s="8"/>
      <c r="N292" s="7"/>
      <c r="O292" s="8"/>
      <c r="P292" s="7"/>
      <c r="Q292" s="7"/>
      <c r="R292" s="8"/>
      <c r="S292" s="7"/>
      <c r="T292" s="9"/>
      <c r="U292" s="7"/>
      <c r="V292" s="8"/>
      <c r="W292" s="7"/>
      <c r="X292" s="7"/>
      <c r="Y292" s="8"/>
      <c r="Z292" s="7"/>
      <c r="AA292" s="8"/>
      <c r="AF292" s="337" t="s">
        <v>45</v>
      </c>
      <c r="AG292" s="337" t="s">
        <v>1305</v>
      </c>
    </row>
    <row r="293" spans="4:33" ht="14.25" thickTop="1" thickBot="1" x14ac:dyDescent="0.25">
      <c r="D293" s="341"/>
      <c r="E293" s="86" t="s">
        <v>408</v>
      </c>
      <c r="F293" s="7"/>
      <c r="G293" s="8"/>
      <c r="H293" s="7"/>
      <c r="I293" s="6"/>
      <c r="J293" s="7"/>
      <c r="K293" s="8"/>
      <c r="L293" s="7"/>
      <c r="M293" s="8"/>
      <c r="N293" s="7"/>
      <c r="O293" s="8"/>
      <c r="P293" s="7"/>
      <c r="Q293" s="7"/>
      <c r="R293" s="8"/>
      <c r="S293" s="7"/>
      <c r="T293" s="9"/>
      <c r="U293" s="7"/>
      <c r="V293" s="8"/>
      <c r="W293" s="7"/>
      <c r="X293" s="7"/>
      <c r="Y293" s="8"/>
      <c r="Z293" s="7"/>
      <c r="AA293" s="8"/>
      <c r="AF293" s="337" t="s">
        <v>45</v>
      </c>
      <c r="AG293" s="337" t="s">
        <v>1164</v>
      </c>
    </row>
    <row r="294" spans="4:33" ht="14.25" thickTop="1" thickBot="1" x14ac:dyDescent="0.25">
      <c r="D294" s="341"/>
      <c r="E294" s="86" t="s">
        <v>1254</v>
      </c>
      <c r="F294" s="7"/>
      <c r="G294" s="8"/>
      <c r="H294" s="7"/>
      <c r="I294" s="6"/>
      <c r="J294" s="7"/>
      <c r="K294" s="8"/>
      <c r="L294" s="7"/>
      <c r="M294" s="8"/>
      <c r="N294" s="7"/>
      <c r="O294" s="8"/>
      <c r="P294" s="7"/>
      <c r="Q294" s="7"/>
      <c r="R294" s="8"/>
      <c r="S294" s="7"/>
      <c r="T294" s="9"/>
      <c r="U294" s="7"/>
      <c r="V294" s="8"/>
      <c r="W294" s="7"/>
      <c r="X294" s="7"/>
      <c r="Y294" s="8"/>
      <c r="Z294" s="7"/>
      <c r="AA294" s="8"/>
      <c r="AF294" s="337" t="s">
        <v>45</v>
      </c>
      <c r="AG294" s="337" t="s">
        <v>349</v>
      </c>
    </row>
    <row r="295" spans="4:33" ht="14.25" thickTop="1" thickBot="1" x14ac:dyDescent="0.25">
      <c r="D295" s="341"/>
      <c r="E295" s="86" t="s">
        <v>410</v>
      </c>
      <c r="F295" s="7"/>
      <c r="G295" s="8"/>
      <c r="H295" s="7"/>
      <c r="I295" s="6"/>
      <c r="J295" s="7"/>
      <c r="K295" s="8"/>
      <c r="L295" s="7"/>
      <c r="M295" s="8"/>
      <c r="N295" s="7"/>
      <c r="O295" s="8"/>
      <c r="P295" s="7"/>
      <c r="Q295" s="7"/>
      <c r="R295" s="8"/>
      <c r="S295" s="7"/>
      <c r="T295" s="9"/>
      <c r="U295" s="7"/>
      <c r="V295" s="8"/>
      <c r="W295" s="7"/>
      <c r="X295" s="7"/>
      <c r="Y295" s="8"/>
      <c r="Z295" s="7"/>
      <c r="AA295" s="8"/>
      <c r="AF295" s="337" t="s">
        <v>45</v>
      </c>
      <c r="AG295" s="337" t="s">
        <v>1183</v>
      </c>
    </row>
    <row r="296" spans="4:33" ht="14.25" thickTop="1" thickBot="1" x14ac:dyDescent="0.25">
      <c r="D296" s="341"/>
      <c r="E296" s="86" t="s">
        <v>412</v>
      </c>
      <c r="F296" s="7"/>
      <c r="G296" s="8"/>
      <c r="H296" s="7"/>
      <c r="I296" s="6"/>
      <c r="J296" s="7"/>
      <c r="K296" s="8"/>
      <c r="L296" s="7"/>
      <c r="M296" s="8"/>
      <c r="N296" s="7"/>
      <c r="O296" s="8"/>
      <c r="P296" s="7"/>
      <c r="Q296" s="7"/>
      <c r="R296" s="8"/>
      <c r="S296" s="7"/>
      <c r="T296" s="9"/>
      <c r="U296" s="7"/>
      <c r="V296" s="8"/>
      <c r="W296" s="7"/>
      <c r="X296" s="7"/>
      <c r="Y296" s="8"/>
      <c r="Z296" s="7"/>
      <c r="AA296" s="8"/>
      <c r="AF296" s="337" t="s">
        <v>45</v>
      </c>
      <c r="AG296" s="337" t="s">
        <v>1189</v>
      </c>
    </row>
    <row r="297" spans="4:33" ht="14.25" thickTop="1" thickBot="1" x14ac:dyDescent="0.25">
      <c r="D297" s="341"/>
      <c r="E297" s="86" t="s">
        <v>305</v>
      </c>
      <c r="F297" s="7"/>
      <c r="G297" s="8"/>
      <c r="H297" s="7"/>
      <c r="I297" s="6"/>
      <c r="J297" s="7"/>
      <c r="K297" s="8"/>
      <c r="L297" s="7"/>
      <c r="M297" s="8"/>
      <c r="N297" s="7"/>
      <c r="O297" s="8"/>
      <c r="P297" s="7"/>
      <c r="Q297" s="7"/>
      <c r="R297" s="8"/>
      <c r="S297" s="7"/>
      <c r="T297" s="9"/>
      <c r="U297" s="7"/>
      <c r="V297" s="8"/>
      <c r="W297" s="7"/>
      <c r="X297" s="7"/>
      <c r="Y297" s="8"/>
      <c r="Z297" s="7"/>
      <c r="AA297" s="8"/>
      <c r="AF297" s="337" t="s">
        <v>45</v>
      </c>
      <c r="AG297" s="337" t="s">
        <v>963</v>
      </c>
    </row>
    <row r="298" spans="4:33" ht="14.25" thickTop="1" thickBot="1" x14ac:dyDescent="0.25">
      <c r="D298" s="341"/>
      <c r="E298" s="86" t="s">
        <v>413</v>
      </c>
      <c r="F298" s="7"/>
      <c r="G298" s="8"/>
      <c r="H298" s="7"/>
      <c r="I298" s="6"/>
      <c r="J298" s="7"/>
      <c r="K298" s="8"/>
      <c r="L298" s="7"/>
      <c r="M298" s="8"/>
      <c r="N298" s="7"/>
      <c r="O298" s="8"/>
      <c r="P298" s="7"/>
      <c r="Q298" s="7"/>
      <c r="R298" s="8"/>
      <c r="S298" s="7"/>
      <c r="T298" s="9"/>
      <c r="U298" s="7"/>
      <c r="V298" s="8"/>
      <c r="W298" s="7"/>
      <c r="X298" s="7"/>
      <c r="Y298" s="8"/>
      <c r="Z298" s="7"/>
      <c r="AA298" s="8"/>
      <c r="AF298" s="337" t="s">
        <v>45</v>
      </c>
      <c r="AG298" s="337" t="s">
        <v>1162</v>
      </c>
    </row>
    <row r="299" spans="4:33" ht="14.25" thickTop="1" thickBot="1" x14ac:dyDescent="0.25">
      <c r="D299" s="341"/>
      <c r="E299" s="86" t="s">
        <v>414</v>
      </c>
      <c r="F299" s="7"/>
      <c r="G299" s="8"/>
      <c r="H299" s="7"/>
      <c r="I299" s="6"/>
      <c r="J299" s="7"/>
      <c r="K299" s="8"/>
      <c r="L299" s="7"/>
      <c r="M299" s="8"/>
      <c r="N299" s="7"/>
      <c r="O299" s="8"/>
      <c r="P299" s="7"/>
      <c r="Q299" s="7"/>
      <c r="R299" s="8"/>
      <c r="S299" s="7"/>
      <c r="T299" s="9"/>
      <c r="U299" s="7"/>
      <c r="V299" s="8"/>
      <c r="W299" s="7"/>
      <c r="X299" s="7"/>
      <c r="Y299" s="8"/>
      <c r="Z299" s="7"/>
      <c r="AA299" s="8"/>
      <c r="AF299" s="337" t="s">
        <v>45</v>
      </c>
      <c r="AG299" s="337" t="s">
        <v>967</v>
      </c>
    </row>
    <row r="300" spans="4:33" ht="14.25" thickTop="1" thickBot="1" x14ac:dyDescent="0.25">
      <c r="D300" s="341"/>
      <c r="E300" s="86" t="s">
        <v>1255</v>
      </c>
      <c r="F300" s="7"/>
      <c r="G300" s="8"/>
      <c r="H300" s="7"/>
      <c r="I300" s="6"/>
      <c r="J300" s="7"/>
      <c r="K300" s="8"/>
      <c r="L300" s="7"/>
      <c r="M300" s="8"/>
      <c r="N300" s="7"/>
      <c r="O300" s="8"/>
      <c r="P300" s="7"/>
      <c r="Q300" s="7"/>
      <c r="R300" s="8"/>
      <c r="S300" s="7"/>
      <c r="T300" s="9"/>
      <c r="U300" s="7"/>
      <c r="V300" s="8"/>
      <c r="W300" s="7"/>
      <c r="X300" s="7"/>
      <c r="Y300" s="8"/>
      <c r="Z300" s="7"/>
      <c r="AA300" s="8"/>
      <c r="AF300" s="337" t="s">
        <v>45</v>
      </c>
      <c r="AG300" s="337" t="s">
        <v>1163</v>
      </c>
    </row>
    <row r="301" spans="4:33" ht="14.25" thickTop="1" thickBot="1" x14ac:dyDescent="0.25">
      <c r="D301" s="341"/>
      <c r="E301" s="86" t="s">
        <v>415</v>
      </c>
      <c r="F301" s="7"/>
      <c r="G301" s="8"/>
      <c r="H301" s="7"/>
      <c r="I301" s="6"/>
      <c r="J301" s="7"/>
      <c r="K301" s="8"/>
      <c r="L301" s="7"/>
      <c r="M301" s="8"/>
      <c r="N301" s="7"/>
      <c r="O301" s="8"/>
      <c r="P301" s="7"/>
      <c r="Q301" s="7"/>
      <c r="R301" s="8"/>
      <c r="S301" s="7"/>
      <c r="T301" s="9"/>
      <c r="U301" s="7"/>
      <c r="V301" s="8"/>
      <c r="W301" s="7"/>
      <c r="X301" s="7"/>
      <c r="Y301" s="8"/>
      <c r="Z301" s="7"/>
      <c r="AA301" s="8"/>
      <c r="AF301" s="337" t="s">
        <v>45</v>
      </c>
      <c r="AG301" s="337" t="s">
        <v>975</v>
      </c>
    </row>
    <row r="302" spans="4:33" ht="14.25" thickTop="1" thickBot="1" x14ac:dyDescent="0.25">
      <c r="D302" s="341"/>
      <c r="E302" s="86" t="s">
        <v>416</v>
      </c>
      <c r="F302" s="7"/>
      <c r="G302" s="8"/>
      <c r="H302" s="7"/>
      <c r="I302" s="6"/>
      <c r="J302" s="7"/>
      <c r="K302" s="8"/>
      <c r="L302" s="7"/>
      <c r="M302" s="8"/>
      <c r="N302" s="7"/>
      <c r="O302" s="8"/>
      <c r="P302" s="7"/>
      <c r="Q302" s="7"/>
      <c r="R302" s="8"/>
      <c r="S302" s="7"/>
      <c r="T302" s="9"/>
      <c r="U302" s="7"/>
      <c r="V302" s="8"/>
      <c r="W302" s="7"/>
      <c r="X302" s="7"/>
      <c r="Y302" s="8"/>
      <c r="Z302" s="7"/>
      <c r="AA302" s="8"/>
      <c r="AF302" s="337" t="s">
        <v>45</v>
      </c>
      <c r="AG302" s="337" t="s">
        <v>295</v>
      </c>
    </row>
    <row r="303" spans="4:33" ht="14.25" thickTop="1" thickBot="1" x14ac:dyDescent="0.25">
      <c r="D303" s="341"/>
      <c r="E303" s="86" t="s">
        <v>417</v>
      </c>
      <c r="F303" s="7"/>
      <c r="G303" s="8"/>
      <c r="H303" s="7"/>
      <c r="I303" s="6"/>
      <c r="J303" s="7"/>
      <c r="K303" s="8"/>
      <c r="L303" s="7"/>
      <c r="M303" s="8"/>
      <c r="N303" s="7"/>
      <c r="O303" s="8"/>
      <c r="P303" s="7"/>
      <c r="Q303" s="7"/>
      <c r="R303" s="8"/>
      <c r="S303" s="7"/>
      <c r="T303" s="9"/>
      <c r="U303" s="7"/>
      <c r="V303" s="8"/>
      <c r="W303" s="7"/>
      <c r="X303" s="7"/>
      <c r="Y303" s="8"/>
      <c r="Z303" s="7"/>
      <c r="AA303" s="8"/>
      <c r="AF303" s="337" t="s">
        <v>885</v>
      </c>
      <c r="AG303" s="337" t="s">
        <v>1274</v>
      </c>
    </row>
    <row r="304" spans="4:33" ht="14.25" thickTop="1" thickBot="1" x14ac:dyDescent="0.25">
      <c r="D304" s="341"/>
      <c r="E304" s="86" t="s">
        <v>418</v>
      </c>
      <c r="F304" s="7"/>
      <c r="G304" s="8"/>
      <c r="H304" s="7"/>
      <c r="I304" s="6"/>
      <c r="J304" s="7"/>
      <c r="K304" s="8"/>
      <c r="L304" s="7"/>
      <c r="M304" s="8"/>
      <c r="N304" s="7"/>
      <c r="O304" s="8"/>
      <c r="P304" s="7"/>
      <c r="Q304" s="7"/>
      <c r="R304" s="8"/>
      <c r="S304" s="7"/>
      <c r="T304" s="9"/>
      <c r="U304" s="7"/>
      <c r="V304" s="8"/>
      <c r="W304" s="7"/>
      <c r="X304" s="7"/>
      <c r="Y304" s="8"/>
      <c r="Z304" s="7"/>
      <c r="AA304" s="8"/>
      <c r="AF304" s="337" t="s">
        <v>885</v>
      </c>
      <c r="AG304" s="337" t="s">
        <v>929</v>
      </c>
    </row>
    <row r="305" spans="4:33" ht="14.25" thickTop="1" thickBot="1" x14ac:dyDescent="0.25">
      <c r="D305" s="341"/>
      <c r="E305" s="86" t="s">
        <v>388</v>
      </c>
      <c r="F305" s="7"/>
      <c r="G305" s="8"/>
      <c r="H305" s="7"/>
      <c r="I305" s="6"/>
      <c r="J305" s="7"/>
      <c r="K305" s="8"/>
      <c r="L305" s="7"/>
      <c r="M305" s="8"/>
      <c r="N305" s="7"/>
      <c r="O305" s="8"/>
      <c r="P305" s="7"/>
      <c r="Q305" s="7"/>
      <c r="R305" s="8"/>
      <c r="S305" s="7"/>
      <c r="T305" s="9"/>
      <c r="U305" s="7"/>
      <c r="V305" s="8"/>
      <c r="W305" s="7"/>
      <c r="X305" s="7"/>
      <c r="Y305" s="8"/>
      <c r="Z305" s="7"/>
      <c r="AA305" s="8"/>
      <c r="AF305" s="337" t="s">
        <v>885</v>
      </c>
      <c r="AG305" s="337" t="s">
        <v>917</v>
      </c>
    </row>
    <row r="306" spans="4:33" ht="14.25" thickTop="1" thickBot="1" x14ac:dyDescent="0.25">
      <c r="D306" s="341"/>
      <c r="E306" s="86" t="s">
        <v>419</v>
      </c>
      <c r="F306" s="7"/>
      <c r="G306" s="8"/>
      <c r="H306" s="7"/>
      <c r="I306" s="6"/>
      <c r="J306" s="7"/>
      <c r="K306" s="8"/>
      <c r="L306" s="7"/>
      <c r="M306" s="8"/>
      <c r="N306" s="7"/>
      <c r="O306" s="8"/>
      <c r="P306" s="7"/>
      <c r="Q306" s="7"/>
      <c r="R306" s="8"/>
      <c r="S306" s="7"/>
      <c r="T306" s="9"/>
      <c r="U306" s="7"/>
      <c r="V306" s="8"/>
      <c r="W306" s="7"/>
      <c r="X306" s="7"/>
      <c r="Y306" s="8"/>
      <c r="Z306" s="7"/>
      <c r="AA306" s="8"/>
      <c r="AF306" s="337" t="s">
        <v>885</v>
      </c>
      <c r="AG306" s="337" t="s">
        <v>886</v>
      </c>
    </row>
    <row r="307" spans="4:33" ht="14.25" thickTop="1" thickBot="1" x14ac:dyDescent="0.25">
      <c r="D307" s="341"/>
      <c r="E307" s="86" t="s">
        <v>420</v>
      </c>
      <c r="F307" s="7"/>
      <c r="G307" s="8"/>
      <c r="H307" s="7"/>
      <c r="I307" s="6"/>
      <c r="J307" s="7"/>
      <c r="K307" s="8"/>
      <c r="L307" s="7"/>
      <c r="M307" s="8"/>
      <c r="N307" s="7"/>
      <c r="O307" s="8"/>
      <c r="P307" s="7"/>
      <c r="Q307" s="7"/>
      <c r="R307" s="8"/>
      <c r="S307" s="7"/>
      <c r="T307" s="9"/>
      <c r="U307" s="7"/>
      <c r="V307" s="8"/>
      <c r="W307" s="7"/>
      <c r="X307" s="7"/>
      <c r="Y307" s="8"/>
      <c r="Z307" s="7"/>
      <c r="AA307" s="8"/>
      <c r="AF307" s="337" t="s">
        <v>476</v>
      </c>
      <c r="AG307" s="337" t="s">
        <v>786</v>
      </c>
    </row>
    <row r="308" spans="4:33" ht="14.25" thickTop="1" thickBot="1" x14ac:dyDescent="0.25">
      <c r="D308" s="341"/>
      <c r="E308" s="86" t="s">
        <v>421</v>
      </c>
      <c r="F308" s="7"/>
      <c r="G308" s="8"/>
      <c r="H308" s="7"/>
      <c r="I308" s="6"/>
      <c r="J308" s="7"/>
      <c r="K308" s="8"/>
      <c r="L308" s="7"/>
      <c r="M308" s="8"/>
      <c r="N308" s="7"/>
      <c r="O308" s="8"/>
      <c r="P308" s="7"/>
      <c r="Q308" s="7"/>
      <c r="R308" s="8"/>
      <c r="S308" s="7"/>
      <c r="T308" s="9"/>
      <c r="U308" s="7"/>
      <c r="V308" s="8"/>
      <c r="W308" s="7"/>
      <c r="X308" s="7"/>
      <c r="Y308" s="8"/>
      <c r="Z308" s="7"/>
      <c r="AA308" s="8"/>
      <c r="AF308" s="337" t="s">
        <v>476</v>
      </c>
      <c r="AG308" s="337" t="s">
        <v>868</v>
      </c>
    </row>
    <row r="309" spans="4:33" ht="14.25" thickTop="1" thickBot="1" x14ac:dyDescent="0.25">
      <c r="D309" s="341"/>
      <c r="E309" s="86" t="s">
        <v>422</v>
      </c>
      <c r="F309" s="7"/>
      <c r="G309" s="8"/>
      <c r="H309" s="7"/>
      <c r="I309" s="6"/>
      <c r="J309" s="7"/>
      <c r="K309" s="8"/>
      <c r="L309" s="7"/>
      <c r="M309" s="8"/>
      <c r="N309" s="7"/>
      <c r="O309" s="8"/>
      <c r="P309" s="7"/>
      <c r="Q309" s="7"/>
      <c r="R309" s="8"/>
      <c r="S309" s="7"/>
      <c r="T309" s="9"/>
      <c r="U309" s="7"/>
      <c r="V309" s="8"/>
      <c r="W309" s="7"/>
      <c r="X309" s="7"/>
      <c r="Y309" s="8"/>
      <c r="Z309" s="7"/>
      <c r="AA309" s="8"/>
      <c r="AF309" s="337" t="s">
        <v>476</v>
      </c>
      <c r="AG309" s="337" t="s">
        <v>1148</v>
      </c>
    </row>
    <row r="310" spans="4:33" ht="14.25" thickTop="1" thickBot="1" x14ac:dyDescent="0.25">
      <c r="D310" s="341"/>
      <c r="E310" s="86" t="s">
        <v>902</v>
      </c>
      <c r="F310" s="7"/>
      <c r="G310" s="8"/>
      <c r="H310" s="7"/>
      <c r="I310" s="6"/>
      <c r="J310" s="7"/>
      <c r="K310" s="8"/>
      <c r="L310" s="7"/>
      <c r="M310" s="8"/>
      <c r="N310" s="7"/>
      <c r="O310" s="8"/>
      <c r="P310" s="7"/>
      <c r="Q310" s="7"/>
      <c r="R310" s="8"/>
      <c r="S310" s="7"/>
      <c r="T310" s="9"/>
      <c r="U310" s="7"/>
      <c r="V310" s="8"/>
      <c r="W310" s="7"/>
      <c r="X310" s="7"/>
      <c r="Y310" s="8"/>
      <c r="Z310" s="7"/>
      <c r="AA310" s="8"/>
      <c r="AF310" s="337" t="s">
        <v>476</v>
      </c>
      <c r="AG310" s="337" t="s">
        <v>477</v>
      </c>
    </row>
    <row r="311" spans="4:33" ht="14.25" thickTop="1" thickBot="1" x14ac:dyDescent="0.25">
      <c r="D311" s="341"/>
      <c r="E311" s="86" t="s">
        <v>927</v>
      </c>
      <c r="F311" s="7"/>
      <c r="G311" s="8"/>
      <c r="H311" s="7"/>
      <c r="I311" s="6"/>
      <c r="J311" s="7"/>
      <c r="K311" s="8"/>
      <c r="L311" s="7"/>
      <c r="M311" s="8"/>
      <c r="N311" s="7"/>
      <c r="O311" s="8"/>
      <c r="P311" s="7"/>
      <c r="Q311" s="7"/>
      <c r="R311" s="8"/>
      <c r="S311" s="7"/>
      <c r="T311" s="9"/>
      <c r="U311" s="7"/>
      <c r="V311" s="8"/>
      <c r="W311" s="7"/>
      <c r="X311" s="7"/>
      <c r="Y311" s="8"/>
      <c r="Z311" s="7"/>
      <c r="AA311" s="8"/>
      <c r="AF311" s="337" t="s">
        <v>476</v>
      </c>
      <c r="AG311" s="337" t="s">
        <v>783</v>
      </c>
    </row>
    <row r="312" spans="4:33" ht="14.25" thickTop="1" thickBot="1" x14ac:dyDescent="0.25">
      <c r="D312" s="341"/>
      <c r="E312" s="86" t="s">
        <v>1262</v>
      </c>
      <c r="F312" s="7"/>
      <c r="G312" s="8"/>
      <c r="H312" s="7"/>
      <c r="I312" s="6"/>
      <c r="J312" s="7"/>
      <c r="K312" s="8"/>
      <c r="L312" s="7"/>
      <c r="M312" s="8"/>
      <c r="N312" s="7"/>
      <c r="O312" s="8"/>
      <c r="P312" s="7"/>
      <c r="Q312" s="7"/>
      <c r="R312" s="8"/>
      <c r="S312" s="7"/>
      <c r="T312" s="9"/>
      <c r="U312" s="7"/>
      <c r="V312" s="8"/>
      <c r="W312" s="7"/>
      <c r="X312" s="7"/>
      <c r="Y312" s="8"/>
      <c r="Z312" s="7"/>
      <c r="AA312" s="8"/>
      <c r="AF312" s="337" t="s">
        <v>476</v>
      </c>
      <c r="AG312" s="337" t="s">
        <v>784</v>
      </c>
    </row>
    <row r="313" spans="4:33" ht="14.25" thickTop="1" thickBot="1" x14ac:dyDescent="0.25">
      <c r="D313" s="341"/>
      <c r="E313" s="86" t="s">
        <v>908</v>
      </c>
      <c r="F313" s="7"/>
      <c r="G313" s="8"/>
      <c r="H313" s="7"/>
      <c r="I313" s="6"/>
      <c r="J313" s="7"/>
      <c r="K313" s="8"/>
      <c r="L313" s="7"/>
      <c r="M313" s="8"/>
      <c r="N313" s="7"/>
      <c r="O313" s="8"/>
      <c r="P313" s="7"/>
      <c r="Q313" s="7"/>
      <c r="R313" s="8"/>
      <c r="S313" s="7"/>
      <c r="T313" s="9"/>
      <c r="U313" s="7"/>
      <c r="V313" s="8"/>
      <c r="W313" s="7"/>
      <c r="X313" s="7"/>
      <c r="Y313" s="8"/>
      <c r="Z313" s="7"/>
      <c r="AA313" s="8"/>
      <c r="AF313" s="337" t="s">
        <v>476</v>
      </c>
      <c r="AG313" s="337" t="s">
        <v>836</v>
      </c>
    </row>
    <row r="314" spans="4:33" ht="14.25" thickTop="1" thickBot="1" x14ac:dyDescent="0.25">
      <c r="D314" s="341"/>
      <c r="E314" s="86" t="s">
        <v>1294</v>
      </c>
      <c r="F314" s="7"/>
      <c r="G314" s="8"/>
      <c r="H314" s="7"/>
      <c r="I314" s="6"/>
      <c r="J314" s="7"/>
      <c r="K314" s="8"/>
      <c r="L314" s="7"/>
      <c r="M314" s="8"/>
      <c r="N314" s="7"/>
      <c r="O314" s="8"/>
      <c r="P314" s="7"/>
      <c r="Q314" s="7"/>
      <c r="R314" s="8"/>
      <c r="S314" s="7"/>
      <c r="T314" s="9"/>
      <c r="U314" s="7"/>
      <c r="V314" s="8"/>
      <c r="W314" s="7"/>
      <c r="X314" s="7"/>
      <c r="Y314" s="8"/>
      <c r="Z314" s="7"/>
      <c r="AA314" s="8"/>
      <c r="AF314" s="337" t="s">
        <v>476</v>
      </c>
      <c r="AG314" s="337" t="s">
        <v>480</v>
      </c>
    </row>
    <row r="315" spans="4:33" ht="14.25" thickTop="1" thickBot="1" x14ac:dyDescent="0.25">
      <c r="D315" s="341"/>
      <c r="E315" s="86" t="s">
        <v>909</v>
      </c>
      <c r="F315" s="7"/>
      <c r="G315" s="8"/>
      <c r="H315" s="7"/>
      <c r="I315" s="6"/>
      <c r="J315" s="7"/>
      <c r="K315" s="8"/>
      <c r="L315" s="7"/>
      <c r="M315" s="8"/>
      <c r="N315" s="7"/>
      <c r="O315" s="8"/>
      <c r="P315" s="7"/>
      <c r="Q315" s="7"/>
      <c r="R315" s="8"/>
      <c r="S315" s="7"/>
      <c r="T315" s="9"/>
      <c r="U315" s="7"/>
      <c r="V315" s="8"/>
      <c r="W315" s="7"/>
      <c r="X315" s="7"/>
      <c r="Y315" s="8"/>
      <c r="Z315" s="7"/>
      <c r="AA315" s="8"/>
      <c r="AF315" s="337" t="s">
        <v>476</v>
      </c>
      <c r="AG315" s="337" t="s">
        <v>482</v>
      </c>
    </row>
    <row r="316" spans="4:33" ht="14.25" thickTop="1" thickBot="1" x14ac:dyDescent="0.25">
      <c r="D316" s="341"/>
      <c r="E316" s="86" t="s">
        <v>883</v>
      </c>
      <c r="F316" s="7"/>
      <c r="G316" s="8"/>
      <c r="H316" s="7"/>
      <c r="I316" s="6"/>
      <c r="J316" s="7"/>
      <c r="K316" s="8"/>
      <c r="L316" s="7"/>
      <c r="M316" s="8"/>
      <c r="N316" s="7"/>
      <c r="O316" s="8"/>
      <c r="P316" s="7"/>
      <c r="Q316" s="7"/>
      <c r="R316" s="8"/>
      <c r="S316" s="7"/>
      <c r="T316" s="9"/>
      <c r="U316" s="7"/>
      <c r="V316" s="8"/>
      <c r="W316" s="7"/>
      <c r="X316" s="7"/>
      <c r="Y316" s="8"/>
      <c r="Z316" s="7"/>
      <c r="AA316" s="8"/>
      <c r="AF316" s="337" t="s">
        <v>476</v>
      </c>
      <c r="AG316" s="337" t="s">
        <v>797</v>
      </c>
    </row>
    <row r="317" spans="4:33" ht="14.25" thickTop="1" thickBot="1" x14ac:dyDescent="0.25">
      <c r="D317" s="341"/>
      <c r="E317" s="86" t="s">
        <v>918</v>
      </c>
      <c r="F317" s="7"/>
      <c r="G317" s="8"/>
      <c r="H317" s="7"/>
      <c r="I317" s="6"/>
      <c r="J317" s="7"/>
      <c r="K317" s="8"/>
      <c r="L317" s="7"/>
      <c r="M317" s="8"/>
      <c r="N317" s="7"/>
      <c r="O317" s="8"/>
      <c r="P317" s="7"/>
      <c r="Q317" s="7"/>
      <c r="R317" s="8"/>
      <c r="S317" s="7"/>
      <c r="T317" s="9"/>
      <c r="U317" s="7"/>
      <c r="V317" s="8"/>
      <c r="W317" s="7"/>
      <c r="X317" s="7"/>
      <c r="Y317" s="8"/>
      <c r="Z317" s="7"/>
      <c r="AA317" s="8"/>
      <c r="AF317" s="337" t="s">
        <v>476</v>
      </c>
      <c r="AG317" s="337" t="s">
        <v>847</v>
      </c>
    </row>
    <row r="318" spans="4:33" ht="14.25" thickTop="1" thickBot="1" x14ac:dyDescent="0.25">
      <c r="D318" s="341"/>
      <c r="E318" s="86" t="s">
        <v>1156</v>
      </c>
      <c r="F318" s="7"/>
      <c r="G318" s="8"/>
      <c r="H318" s="7"/>
      <c r="I318" s="6"/>
      <c r="J318" s="7"/>
      <c r="K318" s="8"/>
      <c r="L318" s="7"/>
      <c r="M318" s="8"/>
      <c r="N318" s="7"/>
      <c r="O318" s="8"/>
      <c r="P318" s="7"/>
      <c r="Q318" s="7"/>
      <c r="R318" s="8"/>
      <c r="S318" s="7"/>
      <c r="T318" s="9"/>
      <c r="U318" s="7"/>
      <c r="V318" s="8"/>
      <c r="W318" s="7"/>
      <c r="X318" s="7"/>
      <c r="Y318" s="8"/>
      <c r="Z318" s="7"/>
      <c r="AA318" s="8"/>
      <c r="AF318" s="337" t="s">
        <v>476</v>
      </c>
      <c r="AG318" s="337" t="s">
        <v>743</v>
      </c>
    </row>
    <row r="319" spans="4:33" ht="14.25" thickTop="1" thickBot="1" x14ac:dyDescent="0.25">
      <c r="D319" s="341"/>
      <c r="E319" s="86" t="s">
        <v>1159</v>
      </c>
      <c r="F319" s="7"/>
      <c r="G319" s="8"/>
      <c r="H319" s="7"/>
      <c r="I319" s="6"/>
      <c r="J319" s="7"/>
      <c r="K319" s="8"/>
      <c r="L319" s="7"/>
      <c r="M319" s="8"/>
      <c r="N319" s="7"/>
      <c r="O319" s="8"/>
      <c r="P319" s="7"/>
      <c r="Q319" s="7"/>
      <c r="R319" s="8"/>
      <c r="S319" s="7"/>
      <c r="T319" s="9"/>
      <c r="U319" s="7"/>
      <c r="V319" s="8"/>
      <c r="W319" s="7"/>
      <c r="X319" s="7"/>
      <c r="Y319" s="8"/>
      <c r="Z319" s="7"/>
      <c r="AA319" s="8"/>
      <c r="AF319" s="337" t="s">
        <v>476</v>
      </c>
      <c r="AG319" s="337" t="s">
        <v>486</v>
      </c>
    </row>
    <row r="320" spans="4:33" ht="14.25" thickTop="1" thickBot="1" x14ac:dyDescent="0.25">
      <c r="D320" s="341"/>
      <c r="E320" s="86" t="s">
        <v>896</v>
      </c>
      <c r="F320" s="7"/>
      <c r="G320" s="8"/>
      <c r="H320" s="7"/>
      <c r="I320" s="6"/>
      <c r="J320" s="7"/>
      <c r="K320" s="8"/>
      <c r="L320" s="7"/>
      <c r="M320" s="8"/>
      <c r="N320" s="7"/>
      <c r="O320" s="8"/>
      <c r="P320" s="7"/>
      <c r="Q320" s="7"/>
      <c r="R320" s="8"/>
      <c r="S320" s="7"/>
      <c r="T320" s="9"/>
      <c r="U320" s="7"/>
      <c r="V320" s="8"/>
      <c r="W320" s="7"/>
      <c r="X320" s="7"/>
      <c r="Y320" s="8"/>
      <c r="Z320" s="7"/>
      <c r="AA320" s="8"/>
      <c r="AF320" s="337" t="s">
        <v>476</v>
      </c>
      <c r="AG320" s="337" t="s">
        <v>737</v>
      </c>
    </row>
    <row r="321" spans="4:33" ht="14.25" thickTop="1" thickBot="1" x14ac:dyDescent="0.25">
      <c r="D321" s="341"/>
      <c r="E321" s="86" t="s">
        <v>1311</v>
      </c>
      <c r="F321" s="7"/>
      <c r="G321" s="8"/>
      <c r="H321" s="7"/>
      <c r="I321" s="6"/>
      <c r="J321" s="7"/>
      <c r="K321" s="8"/>
      <c r="L321" s="7"/>
      <c r="M321" s="8"/>
      <c r="N321" s="7"/>
      <c r="O321" s="8"/>
      <c r="P321" s="7"/>
      <c r="Q321" s="7"/>
      <c r="R321" s="8"/>
      <c r="S321" s="7"/>
      <c r="T321" s="9"/>
      <c r="U321" s="7"/>
      <c r="V321" s="8"/>
      <c r="W321" s="7"/>
      <c r="X321" s="7"/>
      <c r="Y321" s="8"/>
      <c r="Z321" s="7"/>
      <c r="AA321" s="8"/>
      <c r="AF321" s="337" t="s">
        <v>476</v>
      </c>
      <c r="AG321" s="337" t="s">
        <v>488</v>
      </c>
    </row>
    <row r="322" spans="4:33" ht="14.25" thickTop="1" thickBot="1" x14ac:dyDescent="0.25">
      <c r="D322" s="341"/>
      <c r="E322" s="86" t="s">
        <v>1484</v>
      </c>
      <c r="F322" s="7"/>
      <c r="G322" s="8"/>
      <c r="H322" s="7"/>
      <c r="I322" s="6"/>
      <c r="J322" s="7"/>
      <c r="K322" s="8"/>
      <c r="L322" s="7"/>
      <c r="M322" s="8"/>
      <c r="N322" s="7"/>
      <c r="O322" s="8"/>
      <c r="P322" s="7"/>
      <c r="Q322" s="7"/>
      <c r="R322" s="8"/>
      <c r="S322" s="7"/>
      <c r="T322" s="9"/>
      <c r="U322" s="7"/>
      <c r="V322" s="8"/>
      <c r="W322" s="7"/>
      <c r="X322" s="7"/>
      <c r="Y322" s="8"/>
      <c r="Z322" s="7"/>
      <c r="AA322" s="8"/>
      <c r="AF322" s="337" t="s">
        <v>476</v>
      </c>
      <c r="AG322" s="337" t="s">
        <v>736</v>
      </c>
    </row>
    <row r="323" spans="4:33" ht="14.25" thickTop="1" thickBot="1" x14ac:dyDescent="0.25">
      <c r="D323" s="341"/>
      <c r="E323" s="86" t="s">
        <v>906</v>
      </c>
      <c r="F323" s="7"/>
      <c r="G323" s="8"/>
      <c r="H323" s="7"/>
      <c r="I323" s="6"/>
      <c r="J323" s="7"/>
      <c r="K323" s="8"/>
      <c r="L323" s="7"/>
      <c r="M323" s="8"/>
      <c r="N323" s="7"/>
      <c r="O323" s="8"/>
      <c r="P323" s="7"/>
      <c r="Q323" s="7"/>
      <c r="R323" s="8"/>
      <c r="S323" s="7"/>
      <c r="T323" s="9"/>
      <c r="U323" s="7"/>
      <c r="V323" s="8"/>
      <c r="W323" s="7"/>
      <c r="X323" s="7"/>
      <c r="Y323" s="8"/>
      <c r="Z323" s="7"/>
      <c r="AA323" s="8"/>
      <c r="AF323" s="337" t="s">
        <v>476</v>
      </c>
      <c r="AG323" s="337" t="s">
        <v>858</v>
      </c>
    </row>
    <row r="324" spans="4:33" ht="14.25" thickTop="1" thickBot="1" x14ac:dyDescent="0.25">
      <c r="D324" s="341"/>
      <c r="E324" s="86" t="s">
        <v>1485</v>
      </c>
      <c r="F324" s="7"/>
      <c r="G324" s="8"/>
      <c r="H324" s="7"/>
      <c r="I324" s="6"/>
      <c r="J324" s="7"/>
      <c r="K324" s="8"/>
      <c r="L324" s="7"/>
      <c r="M324" s="8"/>
      <c r="N324" s="7"/>
      <c r="O324" s="8"/>
      <c r="P324" s="7"/>
      <c r="Q324" s="7"/>
      <c r="R324" s="8"/>
      <c r="S324" s="7"/>
      <c r="T324" s="9"/>
      <c r="U324" s="7"/>
      <c r="V324" s="8"/>
      <c r="W324" s="7"/>
      <c r="X324" s="7"/>
      <c r="Y324" s="8"/>
      <c r="Z324" s="7"/>
      <c r="AA324" s="8"/>
      <c r="AF324" s="337" t="s">
        <v>476</v>
      </c>
      <c r="AG324" s="337" t="s">
        <v>735</v>
      </c>
    </row>
    <row r="325" spans="4:33" ht="14.25" thickTop="1" thickBot="1" x14ac:dyDescent="0.25">
      <c r="D325" s="341"/>
      <c r="E325" s="86" t="s">
        <v>1176</v>
      </c>
      <c r="F325" s="7"/>
      <c r="G325" s="8"/>
      <c r="H325" s="7"/>
      <c r="I325" s="6"/>
      <c r="J325" s="7"/>
      <c r="K325" s="8"/>
      <c r="L325" s="7"/>
      <c r="M325" s="8"/>
      <c r="N325" s="7"/>
      <c r="O325" s="8"/>
      <c r="P325" s="7"/>
      <c r="Q325" s="7"/>
      <c r="R325" s="8"/>
      <c r="S325" s="7"/>
      <c r="T325" s="9"/>
      <c r="U325" s="7"/>
      <c r="V325" s="8"/>
      <c r="W325" s="7"/>
      <c r="X325" s="7"/>
      <c r="Y325" s="8"/>
      <c r="Z325" s="7"/>
      <c r="AA325" s="8"/>
      <c r="AF325" s="337" t="s">
        <v>476</v>
      </c>
      <c r="AG325" s="337" t="s">
        <v>844</v>
      </c>
    </row>
    <row r="326" spans="4:33" ht="14.25" thickTop="1" thickBot="1" x14ac:dyDescent="0.25">
      <c r="D326" s="341"/>
      <c r="E326" s="86" t="s">
        <v>1286</v>
      </c>
      <c r="F326" s="7"/>
      <c r="G326" s="8"/>
      <c r="H326" s="7"/>
      <c r="I326" s="6"/>
      <c r="J326" s="7"/>
      <c r="K326" s="8"/>
      <c r="L326" s="7"/>
      <c r="M326" s="8"/>
      <c r="N326" s="7"/>
      <c r="O326" s="8"/>
      <c r="P326" s="7"/>
      <c r="Q326" s="7"/>
      <c r="R326" s="8"/>
      <c r="S326" s="7"/>
      <c r="T326" s="9"/>
      <c r="U326" s="7"/>
      <c r="V326" s="8"/>
      <c r="W326" s="7"/>
      <c r="X326" s="7"/>
      <c r="Y326" s="8"/>
      <c r="Z326" s="7"/>
      <c r="AA326" s="8"/>
      <c r="AF326" s="337" t="s">
        <v>476</v>
      </c>
      <c r="AG326" s="337" t="s">
        <v>845</v>
      </c>
    </row>
    <row r="327" spans="4:33" ht="14.25" thickTop="1" thickBot="1" x14ac:dyDescent="0.25">
      <c r="D327" s="341"/>
      <c r="E327" s="86" t="s">
        <v>1165</v>
      </c>
      <c r="F327" s="7"/>
      <c r="G327" s="8"/>
      <c r="H327" s="7"/>
      <c r="I327" s="6"/>
      <c r="J327" s="7"/>
      <c r="K327" s="8"/>
      <c r="L327" s="7"/>
      <c r="M327" s="8"/>
      <c r="N327" s="7"/>
      <c r="O327" s="8"/>
      <c r="P327" s="7"/>
      <c r="Q327" s="7"/>
      <c r="R327" s="8"/>
      <c r="S327" s="7"/>
      <c r="T327" s="9"/>
      <c r="U327" s="7"/>
      <c r="V327" s="8"/>
      <c r="W327" s="7"/>
      <c r="X327" s="7"/>
      <c r="Y327" s="8"/>
      <c r="Z327" s="7"/>
      <c r="AA327" s="8"/>
      <c r="AF327" s="337" t="s">
        <v>476</v>
      </c>
      <c r="AG327" s="337" t="s">
        <v>807</v>
      </c>
    </row>
    <row r="328" spans="4:33" ht="14.25" thickTop="1" thickBot="1" x14ac:dyDescent="0.25">
      <c r="D328" s="341"/>
      <c r="E328" s="86" t="s">
        <v>1486</v>
      </c>
      <c r="F328" s="7"/>
      <c r="G328" s="8"/>
      <c r="H328" s="7"/>
      <c r="I328" s="6"/>
      <c r="J328" s="7"/>
      <c r="K328" s="8"/>
      <c r="L328" s="7"/>
      <c r="M328" s="8"/>
      <c r="N328" s="7"/>
      <c r="O328" s="8"/>
      <c r="P328" s="7"/>
      <c r="Q328" s="7"/>
      <c r="R328" s="8"/>
      <c r="S328" s="7"/>
      <c r="T328" s="9"/>
      <c r="U328" s="7"/>
      <c r="V328" s="8"/>
      <c r="W328" s="7"/>
      <c r="X328" s="7"/>
      <c r="Y328" s="8"/>
      <c r="Z328" s="7"/>
      <c r="AA328" s="8"/>
      <c r="AF328" s="337" t="s">
        <v>476</v>
      </c>
      <c r="AG328" s="337" t="s">
        <v>803</v>
      </c>
    </row>
    <row r="329" spans="4:33" ht="14.25" thickTop="1" thickBot="1" x14ac:dyDescent="0.25">
      <c r="D329" s="341"/>
      <c r="E329" s="86" t="s">
        <v>1487</v>
      </c>
      <c r="F329" s="7"/>
      <c r="G329" s="8"/>
      <c r="H329" s="7"/>
      <c r="I329" s="6"/>
      <c r="J329" s="7"/>
      <c r="K329" s="8"/>
      <c r="L329" s="7"/>
      <c r="M329" s="8"/>
      <c r="N329" s="7"/>
      <c r="O329" s="8"/>
      <c r="P329" s="7"/>
      <c r="Q329" s="7"/>
      <c r="R329" s="8"/>
      <c r="S329" s="7"/>
      <c r="T329" s="9"/>
      <c r="U329" s="7"/>
      <c r="V329" s="8"/>
      <c r="W329" s="7"/>
      <c r="X329" s="7"/>
      <c r="Y329" s="8"/>
      <c r="Z329" s="7"/>
      <c r="AA329" s="8"/>
      <c r="AF329" s="337" t="s">
        <v>476</v>
      </c>
      <c r="AG329" s="337" t="s">
        <v>799</v>
      </c>
    </row>
    <row r="330" spans="4:33" ht="14.25" thickTop="1" thickBot="1" x14ac:dyDescent="0.25">
      <c r="D330" s="341"/>
      <c r="E330" s="86" t="s">
        <v>46</v>
      </c>
      <c r="F330" s="7"/>
      <c r="G330" s="8"/>
      <c r="H330" s="7"/>
      <c r="I330" s="6"/>
      <c r="J330" s="7"/>
      <c r="K330" s="8"/>
      <c r="L330" s="7"/>
      <c r="M330" s="8"/>
      <c r="N330" s="7"/>
      <c r="O330" s="8"/>
      <c r="P330" s="7"/>
      <c r="Q330" s="7"/>
      <c r="R330" s="8"/>
      <c r="S330" s="7"/>
      <c r="T330" s="9"/>
      <c r="U330" s="7"/>
      <c r="V330" s="8"/>
      <c r="W330" s="7"/>
      <c r="X330" s="7"/>
      <c r="Y330" s="8"/>
      <c r="Z330" s="7"/>
      <c r="AA330" s="8"/>
      <c r="AF330" s="337" t="s">
        <v>476</v>
      </c>
      <c r="AG330" s="337" t="s">
        <v>781</v>
      </c>
    </row>
    <row r="331" spans="4:33" ht="14.25" thickTop="1" thickBot="1" x14ac:dyDescent="0.25">
      <c r="D331" s="341"/>
      <c r="E331" s="86" t="s">
        <v>1488</v>
      </c>
      <c r="F331" s="7"/>
      <c r="G331" s="8"/>
      <c r="H331" s="7"/>
      <c r="I331" s="6"/>
      <c r="J331" s="7"/>
      <c r="K331" s="8"/>
      <c r="L331" s="7"/>
      <c r="M331" s="8"/>
      <c r="N331" s="7"/>
      <c r="O331" s="8"/>
      <c r="P331" s="7"/>
      <c r="Q331" s="7"/>
      <c r="R331" s="8"/>
      <c r="S331" s="7"/>
      <c r="T331" s="9"/>
      <c r="U331" s="7"/>
      <c r="V331" s="8"/>
      <c r="W331" s="7"/>
      <c r="X331" s="7"/>
      <c r="Y331" s="8"/>
      <c r="Z331" s="7"/>
      <c r="AA331" s="8"/>
      <c r="AF331" s="337" t="s">
        <v>476</v>
      </c>
      <c r="AG331" s="337" t="s">
        <v>493</v>
      </c>
    </row>
    <row r="332" spans="4:33" ht="14.25" thickTop="1" thickBot="1" x14ac:dyDescent="0.25">
      <c r="D332" s="341"/>
      <c r="E332" s="86" t="s">
        <v>1489</v>
      </c>
      <c r="F332" s="7"/>
      <c r="G332" s="8"/>
      <c r="H332" s="7"/>
      <c r="I332" s="6"/>
      <c r="J332" s="7"/>
      <c r="K332" s="8"/>
      <c r="L332" s="7"/>
      <c r="M332" s="8"/>
      <c r="N332" s="7"/>
      <c r="O332" s="8"/>
      <c r="P332" s="7"/>
      <c r="Q332" s="7"/>
      <c r="R332" s="8"/>
      <c r="S332" s="7"/>
      <c r="T332" s="9"/>
      <c r="U332" s="7"/>
      <c r="V332" s="8"/>
      <c r="W332" s="7"/>
      <c r="X332" s="7"/>
      <c r="Y332" s="8"/>
      <c r="Z332" s="7"/>
      <c r="AA332" s="8"/>
      <c r="AF332" s="337" t="s">
        <v>476</v>
      </c>
      <c r="AG332" s="337" t="s">
        <v>763</v>
      </c>
    </row>
    <row r="333" spans="4:33" ht="14.25" thickTop="1" thickBot="1" x14ac:dyDescent="0.25">
      <c r="D333" s="341"/>
      <c r="E333" s="86" t="s">
        <v>1305</v>
      </c>
      <c r="F333" s="7"/>
      <c r="G333" s="8"/>
      <c r="H333" s="7"/>
      <c r="I333" s="6"/>
      <c r="J333" s="7"/>
      <c r="K333" s="8"/>
      <c r="L333" s="7"/>
      <c r="M333" s="8"/>
      <c r="N333" s="7"/>
      <c r="O333" s="8"/>
      <c r="P333" s="7"/>
      <c r="Q333" s="7"/>
      <c r="R333" s="8"/>
      <c r="S333" s="7"/>
      <c r="T333" s="9"/>
      <c r="U333" s="7"/>
      <c r="V333" s="8"/>
      <c r="W333" s="7"/>
      <c r="X333" s="7"/>
      <c r="Y333" s="8"/>
      <c r="Z333" s="7"/>
      <c r="AA333" s="8"/>
      <c r="AF333" s="337" t="s">
        <v>476</v>
      </c>
      <c r="AG333" s="337" t="s">
        <v>853</v>
      </c>
    </row>
    <row r="334" spans="4:33" ht="14.25" thickTop="1" thickBot="1" x14ac:dyDescent="0.25">
      <c r="D334" s="341"/>
      <c r="E334" s="86" t="s">
        <v>1164</v>
      </c>
      <c r="F334" s="7"/>
      <c r="G334" s="8"/>
      <c r="H334" s="7"/>
      <c r="I334" s="6"/>
      <c r="J334" s="7"/>
      <c r="K334" s="8"/>
      <c r="L334" s="7"/>
      <c r="M334" s="8"/>
      <c r="N334" s="7"/>
      <c r="O334" s="8"/>
      <c r="P334" s="7"/>
      <c r="Q334" s="7"/>
      <c r="R334" s="8"/>
      <c r="S334" s="7"/>
      <c r="T334" s="9"/>
      <c r="U334" s="7"/>
      <c r="V334" s="8"/>
      <c r="W334" s="7"/>
      <c r="X334" s="7"/>
      <c r="Y334" s="8"/>
      <c r="Z334" s="7"/>
      <c r="AA334" s="8"/>
      <c r="AF334" s="337" t="s">
        <v>476</v>
      </c>
      <c r="AG334" s="337" t="s">
        <v>738</v>
      </c>
    </row>
    <row r="335" spans="4:33" ht="14.25" thickTop="1" thickBot="1" x14ac:dyDescent="0.25">
      <c r="D335" s="341"/>
      <c r="E335" s="86" t="s">
        <v>1490</v>
      </c>
      <c r="F335" s="7"/>
      <c r="G335" s="8"/>
      <c r="H335" s="7"/>
      <c r="I335" s="6"/>
      <c r="J335" s="7"/>
      <c r="K335" s="8"/>
      <c r="L335" s="7"/>
      <c r="M335" s="8"/>
      <c r="N335" s="7"/>
      <c r="O335" s="8"/>
      <c r="P335" s="7"/>
      <c r="Q335" s="7"/>
      <c r="R335" s="8"/>
      <c r="S335" s="7"/>
      <c r="T335" s="9"/>
      <c r="U335" s="7"/>
      <c r="V335" s="8"/>
      <c r="W335" s="7"/>
      <c r="X335" s="7"/>
      <c r="Y335" s="8"/>
      <c r="Z335" s="7"/>
      <c r="AA335" s="8"/>
      <c r="AF335" s="337" t="s">
        <v>476</v>
      </c>
      <c r="AG335" s="337" t="s">
        <v>704</v>
      </c>
    </row>
    <row r="336" spans="4:33" ht="14.25" thickTop="1" thickBot="1" x14ac:dyDescent="0.25">
      <c r="D336" s="341"/>
      <c r="E336" s="86" t="s">
        <v>1185</v>
      </c>
      <c r="F336" s="7"/>
      <c r="G336" s="8"/>
      <c r="H336" s="7"/>
      <c r="I336" s="6"/>
      <c r="J336" s="7"/>
      <c r="K336" s="8"/>
      <c r="L336" s="7"/>
      <c r="M336" s="8"/>
      <c r="N336" s="7"/>
      <c r="O336" s="8"/>
      <c r="P336" s="7"/>
      <c r="Q336" s="7"/>
      <c r="R336" s="8"/>
      <c r="S336" s="7"/>
      <c r="T336" s="9"/>
      <c r="U336" s="7"/>
      <c r="V336" s="8"/>
      <c r="W336" s="7"/>
      <c r="X336" s="7"/>
      <c r="Y336" s="8"/>
      <c r="Z336" s="7"/>
      <c r="AA336" s="8"/>
      <c r="AF336" s="337" t="s">
        <v>476</v>
      </c>
      <c r="AG336" s="337" t="s">
        <v>859</v>
      </c>
    </row>
    <row r="337" spans="4:33" ht="14.25" thickTop="1" thickBot="1" x14ac:dyDescent="0.25">
      <c r="D337" s="341"/>
      <c r="E337" s="86" t="s">
        <v>1166</v>
      </c>
      <c r="F337" s="7"/>
      <c r="G337" s="8"/>
      <c r="H337" s="7"/>
      <c r="I337" s="6"/>
      <c r="J337" s="7"/>
      <c r="K337" s="8"/>
      <c r="L337" s="7"/>
      <c r="M337" s="8"/>
      <c r="N337" s="7"/>
      <c r="O337" s="8"/>
      <c r="P337" s="7"/>
      <c r="Q337" s="7"/>
      <c r="R337" s="8"/>
      <c r="S337" s="7"/>
      <c r="T337" s="9"/>
      <c r="U337" s="7"/>
      <c r="V337" s="8"/>
      <c r="W337" s="7"/>
      <c r="X337" s="7"/>
      <c r="Y337" s="8"/>
      <c r="Z337" s="7"/>
      <c r="AA337" s="8"/>
      <c r="AF337" s="337" t="s">
        <v>476</v>
      </c>
      <c r="AG337" s="337" t="s">
        <v>670</v>
      </c>
    </row>
    <row r="338" spans="4:33" ht="14.25" thickTop="1" thickBot="1" x14ac:dyDescent="0.25">
      <c r="D338" s="341"/>
      <c r="E338" s="86" t="s">
        <v>917</v>
      </c>
      <c r="F338" s="7"/>
      <c r="G338" s="8"/>
      <c r="H338" s="7"/>
      <c r="I338" s="6"/>
      <c r="J338" s="7"/>
      <c r="K338" s="8"/>
      <c r="L338" s="7"/>
      <c r="M338" s="8"/>
      <c r="N338" s="7"/>
      <c r="O338" s="8"/>
      <c r="P338" s="7"/>
      <c r="Q338" s="7"/>
      <c r="R338" s="8"/>
      <c r="S338" s="7"/>
      <c r="T338" s="9"/>
      <c r="U338" s="7"/>
      <c r="V338" s="8"/>
      <c r="W338" s="7"/>
      <c r="X338" s="7"/>
      <c r="Y338" s="8"/>
      <c r="Z338" s="7"/>
      <c r="AA338" s="8"/>
      <c r="AF338" s="337" t="s">
        <v>476</v>
      </c>
      <c r="AG338" s="337" t="s">
        <v>694</v>
      </c>
    </row>
    <row r="339" spans="4:33" ht="14.25" thickTop="1" thickBot="1" x14ac:dyDescent="0.25">
      <c r="D339" s="341"/>
      <c r="E339" s="86" t="s">
        <v>886</v>
      </c>
      <c r="F339" s="7"/>
      <c r="G339" s="8"/>
      <c r="H339" s="7"/>
      <c r="I339" s="6"/>
      <c r="J339" s="7"/>
      <c r="K339" s="8"/>
      <c r="L339" s="7"/>
      <c r="M339" s="8"/>
      <c r="N339" s="7"/>
      <c r="O339" s="8"/>
      <c r="P339" s="7"/>
      <c r="Q339" s="7"/>
      <c r="R339" s="8"/>
      <c r="S339" s="7"/>
      <c r="T339" s="9"/>
      <c r="U339" s="7"/>
      <c r="V339" s="8"/>
      <c r="W339" s="7"/>
      <c r="X339" s="7"/>
      <c r="Y339" s="8"/>
      <c r="Z339" s="7"/>
      <c r="AA339" s="8"/>
      <c r="AF339" s="337" t="s">
        <v>476</v>
      </c>
      <c r="AG339" s="337" t="s">
        <v>855</v>
      </c>
    </row>
    <row r="340" spans="4:33" ht="14.25" thickTop="1" thickBot="1" x14ac:dyDescent="0.25">
      <c r="D340" s="341"/>
      <c r="E340" s="86" t="s">
        <v>309</v>
      </c>
      <c r="F340" s="7"/>
      <c r="G340" s="8"/>
      <c r="H340" s="7"/>
      <c r="I340" s="6"/>
      <c r="J340" s="7"/>
      <c r="K340" s="8"/>
      <c r="L340" s="7"/>
      <c r="M340" s="8"/>
      <c r="N340" s="7"/>
      <c r="O340" s="8"/>
      <c r="P340" s="7"/>
      <c r="Q340" s="7"/>
      <c r="R340" s="8"/>
      <c r="S340" s="7"/>
      <c r="T340" s="9"/>
      <c r="U340" s="7"/>
      <c r="V340" s="8"/>
      <c r="W340" s="7"/>
      <c r="X340" s="7"/>
      <c r="Y340" s="8"/>
      <c r="Z340" s="7"/>
      <c r="AA340" s="8"/>
      <c r="AF340" s="337" t="s">
        <v>476</v>
      </c>
      <c r="AG340" s="337" t="s">
        <v>742</v>
      </c>
    </row>
    <row r="341" spans="4:33" ht="14.25" thickTop="1" thickBot="1" x14ac:dyDescent="0.25">
      <c r="D341" s="341"/>
      <c r="E341" s="86" t="s">
        <v>397</v>
      </c>
      <c r="F341" s="7"/>
      <c r="G341" s="8"/>
      <c r="H341" s="7"/>
      <c r="I341" s="6"/>
      <c r="J341" s="7"/>
      <c r="K341" s="8"/>
      <c r="L341" s="7"/>
      <c r="M341" s="8"/>
      <c r="N341" s="7"/>
      <c r="O341" s="8"/>
      <c r="P341" s="7"/>
      <c r="Q341" s="7"/>
      <c r="R341" s="8"/>
      <c r="S341" s="7"/>
      <c r="T341" s="9"/>
      <c r="U341" s="7"/>
      <c r="V341" s="8"/>
      <c r="W341" s="7"/>
      <c r="X341" s="7"/>
      <c r="Y341" s="8"/>
      <c r="Z341" s="7"/>
      <c r="AA341" s="8"/>
      <c r="AF341" s="337" t="s">
        <v>476</v>
      </c>
      <c r="AG341" s="337" t="s">
        <v>860</v>
      </c>
    </row>
    <row r="342" spans="4:33" ht="14.25" thickTop="1" thickBot="1" x14ac:dyDescent="0.25">
      <c r="D342" s="341"/>
      <c r="E342" s="86" t="s">
        <v>310</v>
      </c>
      <c r="F342" s="7"/>
      <c r="G342" s="8"/>
      <c r="H342" s="7"/>
      <c r="I342" s="6"/>
      <c r="J342" s="7"/>
      <c r="K342" s="8"/>
      <c r="L342" s="7"/>
      <c r="M342" s="8"/>
      <c r="N342" s="7"/>
      <c r="O342" s="8"/>
      <c r="P342" s="7"/>
      <c r="Q342" s="7"/>
      <c r="R342" s="8"/>
      <c r="S342" s="7"/>
      <c r="T342" s="9"/>
      <c r="U342" s="7"/>
      <c r="V342" s="8"/>
      <c r="W342" s="7"/>
      <c r="X342" s="7"/>
      <c r="Y342" s="8"/>
      <c r="Z342" s="7"/>
      <c r="AA342" s="8"/>
      <c r="AF342" s="337" t="s">
        <v>476</v>
      </c>
      <c r="AG342" s="337" t="s">
        <v>854</v>
      </c>
    </row>
    <row r="343" spans="4:33" ht="14.25" thickTop="1" thickBot="1" x14ac:dyDescent="0.25">
      <c r="D343" s="341"/>
      <c r="E343" s="86" t="s">
        <v>311</v>
      </c>
      <c r="F343" s="7"/>
      <c r="G343" s="8"/>
      <c r="H343" s="7"/>
      <c r="I343" s="6"/>
      <c r="J343" s="7"/>
      <c r="K343" s="8"/>
      <c r="L343" s="7"/>
      <c r="M343" s="8"/>
      <c r="N343" s="7"/>
      <c r="O343" s="8"/>
      <c r="P343" s="7"/>
      <c r="Q343" s="7"/>
      <c r="R343" s="8"/>
      <c r="S343" s="7"/>
      <c r="T343" s="9"/>
      <c r="U343" s="7"/>
      <c r="V343" s="8"/>
      <c r="W343" s="7"/>
      <c r="X343" s="7"/>
      <c r="Y343" s="8"/>
      <c r="Z343" s="7"/>
      <c r="AA343" s="8"/>
      <c r="AF343" s="337" t="s">
        <v>476</v>
      </c>
      <c r="AG343" s="337" t="s">
        <v>494</v>
      </c>
    </row>
    <row r="344" spans="4:33" ht="14.25" thickTop="1" thickBot="1" x14ac:dyDescent="0.25">
      <c r="D344" s="341"/>
      <c r="E344" s="86" t="s">
        <v>312</v>
      </c>
      <c r="F344" s="7"/>
      <c r="G344" s="8"/>
      <c r="H344" s="7"/>
      <c r="I344" s="6"/>
      <c r="J344" s="7"/>
      <c r="K344" s="8"/>
      <c r="L344" s="7"/>
      <c r="M344" s="8"/>
      <c r="N344" s="7"/>
      <c r="O344" s="8"/>
      <c r="P344" s="7"/>
      <c r="Q344" s="7"/>
      <c r="R344" s="8"/>
      <c r="S344" s="7"/>
      <c r="T344" s="9"/>
      <c r="U344" s="7"/>
      <c r="V344" s="8"/>
      <c r="W344" s="7"/>
      <c r="X344" s="7"/>
      <c r="Y344" s="8"/>
      <c r="Z344" s="7"/>
      <c r="AA344" s="8"/>
      <c r="AF344" s="337" t="s">
        <v>476</v>
      </c>
      <c r="AG344" s="337" t="s">
        <v>775</v>
      </c>
    </row>
    <row r="345" spans="4:33" ht="14.25" thickTop="1" thickBot="1" x14ac:dyDescent="0.25">
      <c r="D345" s="341"/>
      <c r="E345" s="86" t="s">
        <v>1231</v>
      </c>
      <c r="F345" s="7"/>
      <c r="G345" s="8"/>
      <c r="H345" s="7"/>
      <c r="I345" s="6"/>
      <c r="J345" s="7"/>
      <c r="K345" s="8"/>
      <c r="L345" s="7"/>
      <c r="M345" s="8"/>
      <c r="N345" s="7"/>
      <c r="O345" s="8"/>
      <c r="P345" s="7"/>
      <c r="Q345" s="7"/>
      <c r="R345" s="8"/>
      <c r="S345" s="7"/>
      <c r="T345" s="9"/>
      <c r="U345" s="7"/>
      <c r="V345" s="8"/>
      <c r="W345" s="7"/>
      <c r="X345" s="7"/>
      <c r="Y345" s="8"/>
      <c r="Z345" s="7"/>
      <c r="AA345" s="8"/>
      <c r="AF345" s="337" t="s">
        <v>476</v>
      </c>
      <c r="AG345" s="337" t="s">
        <v>499</v>
      </c>
    </row>
    <row r="346" spans="4:33" ht="14.25" thickTop="1" thickBot="1" x14ac:dyDescent="0.25">
      <c r="D346" s="341"/>
      <c r="E346" s="86" t="s">
        <v>1223</v>
      </c>
      <c r="F346" s="7"/>
      <c r="G346" s="8"/>
      <c r="H346" s="7"/>
      <c r="I346" s="6"/>
      <c r="J346" s="7"/>
      <c r="K346" s="8"/>
      <c r="L346" s="7"/>
      <c r="M346" s="8"/>
      <c r="N346" s="7"/>
      <c r="O346" s="8"/>
      <c r="P346" s="7"/>
      <c r="Q346" s="7"/>
      <c r="R346" s="8"/>
      <c r="S346" s="7"/>
      <c r="T346" s="9"/>
      <c r="U346" s="7"/>
      <c r="V346" s="8"/>
      <c r="W346" s="7"/>
      <c r="X346" s="7"/>
      <c r="Y346" s="8"/>
      <c r="Z346" s="7"/>
      <c r="AA346" s="8"/>
      <c r="AF346" s="337" t="s">
        <v>476</v>
      </c>
      <c r="AG346" s="337" t="s">
        <v>500</v>
      </c>
    </row>
    <row r="347" spans="4:33" ht="14.25" thickTop="1" thickBot="1" x14ac:dyDescent="0.25">
      <c r="D347" s="341"/>
      <c r="E347" s="86" t="s">
        <v>1219</v>
      </c>
      <c r="F347" s="7"/>
      <c r="G347" s="8"/>
      <c r="H347" s="7"/>
      <c r="I347" s="6"/>
      <c r="J347" s="7"/>
      <c r="K347" s="8"/>
      <c r="L347" s="7"/>
      <c r="M347" s="8"/>
      <c r="N347" s="7"/>
      <c r="O347" s="8"/>
      <c r="P347" s="7"/>
      <c r="Q347" s="7"/>
      <c r="R347" s="8"/>
      <c r="S347" s="7"/>
      <c r="T347" s="9"/>
      <c r="U347" s="7"/>
      <c r="V347" s="8"/>
      <c r="W347" s="7"/>
      <c r="X347" s="7"/>
      <c r="Y347" s="8"/>
      <c r="Z347" s="7"/>
      <c r="AA347" s="8"/>
      <c r="AF347" s="337" t="s">
        <v>476</v>
      </c>
      <c r="AG347" s="337" t="s">
        <v>501</v>
      </c>
    </row>
    <row r="348" spans="4:33" ht="14.25" thickTop="1" thickBot="1" x14ac:dyDescent="0.25">
      <c r="D348" s="341"/>
      <c r="E348" s="86" t="s">
        <v>1491</v>
      </c>
      <c r="F348" s="7"/>
      <c r="G348" s="8"/>
      <c r="H348" s="7"/>
      <c r="I348" s="6"/>
      <c r="J348" s="7"/>
      <c r="K348" s="8"/>
      <c r="L348" s="7"/>
      <c r="M348" s="8"/>
      <c r="N348" s="7"/>
      <c r="O348" s="8"/>
      <c r="P348" s="7"/>
      <c r="Q348" s="7"/>
      <c r="R348" s="8"/>
      <c r="S348" s="7"/>
      <c r="T348" s="9"/>
      <c r="U348" s="7"/>
      <c r="V348" s="8"/>
      <c r="W348" s="7"/>
      <c r="X348" s="7"/>
      <c r="Y348" s="8"/>
      <c r="Z348" s="7"/>
      <c r="AA348" s="8"/>
      <c r="AF348" s="337" t="s">
        <v>476</v>
      </c>
      <c r="AG348" s="337" t="s">
        <v>806</v>
      </c>
    </row>
    <row r="349" spans="4:33" ht="14.25" thickTop="1" thickBot="1" x14ac:dyDescent="0.25">
      <c r="D349" s="341"/>
      <c r="E349" s="86" t="s">
        <v>396</v>
      </c>
      <c r="F349" s="7"/>
      <c r="G349" s="8"/>
      <c r="H349" s="7"/>
      <c r="I349" s="6"/>
      <c r="J349" s="7"/>
      <c r="K349" s="8"/>
      <c r="L349" s="7"/>
      <c r="M349" s="8"/>
      <c r="N349" s="7"/>
      <c r="O349" s="8"/>
      <c r="P349" s="7"/>
      <c r="Q349" s="7"/>
      <c r="R349" s="8"/>
      <c r="S349" s="7"/>
      <c r="T349" s="9"/>
      <c r="U349" s="7"/>
      <c r="V349" s="8"/>
      <c r="W349" s="7"/>
      <c r="X349" s="7"/>
      <c r="Y349" s="8"/>
      <c r="Z349" s="7"/>
      <c r="AA349" s="8"/>
      <c r="AF349" s="337" t="s">
        <v>476</v>
      </c>
      <c r="AG349" s="337" t="s">
        <v>502</v>
      </c>
    </row>
    <row r="350" spans="4:33" ht="14.25" thickTop="1" thickBot="1" x14ac:dyDescent="0.25">
      <c r="D350" s="341"/>
      <c r="E350" s="86" t="s">
        <v>362</v>
      </c>
      <c r="F350" s="7"/>
      <c r="G350" s="8"/>
      <c r="H350" s="7"/>
      <c r="I350" s="6"/>
      <c r="J350" s="7"/>
      <c r="K350" s="8"/>
      <c r="L350" s="7"/>
      <c r="M350" s="8"/>
      <c r="N350" s="7"/>
      <c r="O350" s="8"/>
      <c r="P350" s="7"/>
      <c r="Q350" s="7"/>
      <c r="R350" s="8"/>
      <c r="S350" s="7"/>
      <c r="T350" s="9"/>
      <c r="U350" s="7"/>
      <c r="V350" s="8"/>
      <c r="W350" s="7"/>
      <c r="X350" s="7"/>
      <c r="Y350" s="8"/>
      <c r="Z350" s="7"/>
      <c r="AA350" s="8"/>
      <c r="AF350" s="337" t="s">
        <v>476</v>
      </c>
      <c r="AG350" s="337" t="s">
        <v>503</v>
      </c>
    </row>
    <row r="351" spans="4:33" ht="14.25" thickTop="1" thickBot="1" x14ac:dyDescent="0.25">
      <c r="D351" s="341"/>
      <c r="E351" s="86" t="s">
        <v>1210</v>
      </c>
      <c r="F351" s="7"/>
      <c r="G351" s="8"/>
      <c r="H351" s="7"/>
      <c r="I351" s="6"/>
      <c r="J351" s="7"/>
      <c r="K351" s="8"/>
      <c r="L351" s="7"/>
      <c r="M351" s="8"/>
      <c r="N351" s="7"/>
      <c r="O351" s="8"/>
      <c r="P351" s="7"/>
      <c r="Q351" s="7"/>
      <c r="R351" s="8"/>
      <c r="S351" s="7"/>
      <c r="T351" s="9"/>
      <c r="U351" s="7"/>
      <c r="V351" s="8"/>
      <c r="W351" s="7"/>
      <c r="X351" s="7"/>
      <c r="Y351" s="8"/>
      <c r="Z351" s="7"/>
      <c r="AA351" s="8"/>
      <c r="AF351" s="337" t="s">
        <v>476</v>
      </c>
      <c r="AG351" s="337" t="s">
        <v>856</v>
      </c>
    </row>
    <row r="352" spans="4:33" ht="14.25" thickTop="1" thickBot="1" x14ac:dyDescent="0.25">
      <c r="D352" s="341"/>
      <c r="E352" s="86" t="s">
        <v>389</v>
      </c>
      <c r="F352" s="7"/>
      <c r="G352" s="8"/>
      <c r="H352" s="7"/>
      <c r="I352" s="6"/>
      <c r="J352" s="7"/>
      <c r="K352" s="8"/>
      <c r="L352" s="7"/>
      <c r="M352" s="8"/>
      <c r="N352" s="7"/>
      <c r="O352" s="8"/>
      <c r="P352" s="7"/>
      <c r="Q352" s="7"/>
      <c r="R352" s="8"/>
      <c r="S352" s="7"/>
      <c r="T352" s="9"/>
      <c r="U352" s="7"/>
      <c r="V352" s="8"/>
      <c r="W352" s="7"/>
      <c r="X352" s="7"/>
      <c r="Y352" s="8"/>
      <c r="Z352" s="7"/>
      <c r="AA352" s="8"/>
      <c r="AF352" s="337" t="s">
        <v>476</v>
      </c>
      <c r="AG352" s="337" t="s">
        <v>851</v>
      </c>
    </row>
    <row r="353" spans="4:33" ht="14.25" thickTop="1" thickBot="1" x14ac:dyDescent="0.25">
      <c r="D353" s="341"/>
      <c r="E353" s="86" t="s">
        <v>373</v>
      </c>
      <c r="F353" s="7"/>
      <c r="G353" s="8"/>
      <c r="H353" s="7"/>
      <c r="I353" s="6"/>
      <c r="J353" s="7"/>
      <c r="K353" s="8"/>
      <c r="L353" s="7"/>
      <c r="M353" s="8"/>
      <c r="N353" s="7"/>
      <c r="O353" s="8"/>
      <c r="P353" s="7"/>
      <c r="Q353" s="7"/>
      <c r="R353" s="8"/>
      <c r="S353" s="7"/>
      <c r="T353" s="9"/>
      <c r="U353" s="7"/>
      <c r="V353" s="8"/>
      <c r="W353" s="7"/>
      <c r="X353" s="7"/>
      <c r="Y353" s="8"/>
      <c r="Z353" s="7"/>
      <c r="AA353" s="8"/>
      <c r="AF353" s="337" t="s">
        <v>476</v>
      </c>
      <c r="AG353" s="337" t="s">
        <v>695</v>
      </c>
    </row>
    <row r="354" spans="4:33" ht="14.25" thickTop="1" thickBot="1" x14ac:dyDescent="0.25">
      <c r="D354" s="341"/>
      <c r="E354" s="86" t="s">
        <v>450</v>
      </c>
      <c r="F354" s="7"/>
      <c r="G354" s="8"/>
      <c r="H354" s="7"/>
      <c r="I354" s="6"/>
      <c r="J354" s="7"/>
      <c r="K354" s="8"/>
      <c r="L354" s="7"/>
      <c r="M354" s="8"/>
      <c r="N354" s="7"/>
      <c r="O354" s="8"/>
      <c r="P354" s="7"/>
      <c r="Q354" s="7"/>
      <c r="R354" s="8"/>
      <c r="S354" s="7"/>
      <c r="T354" s="9"/>
      <c r="U354" s="7"/>
      <c r="V354" s="8"/>
      <c r="W354" s="7"/>
      <c r="X354" s="7"/>
      <c r="Y354" s="8"/>
      <c r="Z354" s="7"/>
      <c r="AA354" s="8"/>
      <c r="AF354" s="337" t="s">
        <v>476</v>
      </c>
      <c r="AG354" s="337" t="s">
        <v>772</v>
      </c>
    </row>
    <row r="355" spans="4:33" ht="14.25" thickTop="1" thickBot="1" x14ac:dyDescent="0.25">
      <c r="D355" s="341"/>
      <c r="E355" s="86" t="s">
        <v>363</v>
      </c>
      <c r="F355" s="7"/>
      <c r="G355" s="8"/>
      <c r="H355" s="7"/>
      <c r="I355" s="6"/>
      <c r="J355" s="7"/>
      <c r="K355" s="8"/>
      <c r="L355" s="7"/>
      <c r="M355" s="8"/>
      <c r="N355" s="7"/>
      <c r="O355" s="8"/>
      <c r="P355" s="7"/>
      <c r="Q355" s="7"/>
      <c r="R355" s="8"/>
      <c r="S355" s="7"/>
      <c r="T355" s="9"/>
      <c r="U355" s="7"/>
      <c r="V355" s="8"/>
      <c r="W355" s="7"/>
      <c r="X355" s="7"/>
      <c r="Y355" s="8"/>
      <c r="Z355" s="7"/>
      <c r="AA355" s="8"/>
      <c r="AF355" s="337" t="s">
        <v>476</v>
      </c>
      <c r="AG355" s="337" t="s">
        <v>653</v>
      </c>
    </row>
    <row r="356" spans="4:33" ht="14.25" thickTop="1" thickBot="1" x14ac:dyDescent="0.25">
      <c r="D356" s="341"/>
      <c r="E356" s="86" t="s">
        <v>365</v>
      </c>
      <c r="F356" s="7"/>
      <c r="G356" s="8"/>
      <c r="H356" s="7"/>
      <c r="I356" s="6"/>
      <c r="J356" s="7"/>
      <c r="K356" s="8"/>
      <c r="L356" s="7"/>
      <c r="M356" s="8"/>
      <c r="N356" s="7"/>
      <c r="O356" s="8"/>
      <c r="P356" s="7"/>
      <c r="Q356" s="7"/>
      <c r="R356" s="8"/>
      <c r="S356" s="7"/>
      <c r="T356" s="9"/>
      <c r="U356" s="7"/>
      <c r="V356" s="8"/>
      <c r="W356" s="7"/>
      <c r="X356" s="7"/>
      <c r="Y356" s="8"/>
      <c r="Z356" s="7"/>
      <c r="AA356" s="8"/>
      <c r="AF356" s="337" t="s">
        <v>476</v>
      </c>
      <c r="AG356" s="337" t="s">
        <v>506</v>
      </c>
    </row>
    <row r="357" spans="4:33" ht="14.25" thickTop="1" thickBot="1" x14ac:dyDescent="0.25">
      <c r="D357" s="341"/>
      <c r="E357" s="86" t="s">
        <v>1201</v>
      </c>
      <c r="F357" s="7"/>
      <c r="G357" s="8"/>
      <c r="H357" s="7"/>
      <c r="I357" s="6"/>
      <c r="J357" s="7"/>
      <c r="K357" s="8"/>
      <c r="L357" s="7"/>
      <c r="M357" s="8"/>
      <c r="N357" s="7"/>
      <c r="O357" s="8"/>
      <c r="P357" s="7"/>
      <c r="Q357" s="7"/>
      <c r="R357" s="8"/>
      <c r="S357" s="7"/>
      <c r="T357" s="9"/>
      <c r="U357" s="7"/>
      <c r="V357" s="8"/>
      <c r="W357" s="7"/>
      <c r="X357" s="7"/>
      <c r="Y357" s="8"/>
      <c r="Z357" s="7"/>
      <c r="AA357" s="8"/>
      <c r="AF357" s="337" t="s">
        <v>476</v>
      </c>
      <c r="AG357" s="337" t="s">
        <v>777</v>
      </c>
    </row>
    <row r="358" spans="4:33" ht="14.25" thickTop="1" thickBot="1" x14ac:dyDescent="0.25">
      <c r="D358" s="341"/>
      <c r="E358" s="86" t="s">
        <v>441</v>
      </c>
      <c r="F358" s="7"/>
      <c r="G358" s="8"/>
      <c r="H358" s="7"/>
      <c r="I358" s="6"/>
      <c r="J358" s="7"/>
      <c r="K358" s="8"/>
      <c r="L358" s="7"/>
      <c r="M358" s="8"/>
      <c r="N358" s="7"/>
      <c r="O358" s="8"/>
      <c r="P358" s="7"/>
      <c r="Q358" s="7"/>
      <c r="R358" s="8"/>
      <c r="S358" s="7"/>
      <c r="T358" s="9"/>
      <c r="U358" s="7"/>
      <c r="V358" s="8"/>
      <c r="W358" s="7"/>
      <c r="X358" s="7"/>
      <c r="Y358" s="8"/>
      <c r="Z358" s="7"/>
      <c r="AA358" s="8"/>
      <c r="AF358" s="337" t="s">
        <v>476</v>
      </c>
      <c r="AG358" s="337" t="s">
        <v>464</v>
      </c>
    </row>
    <row r="359" spans="4:33" ht="14.25" thickTop="1" thickBot="1" x14ac:dyDescent="0.25">
      <c r="D359" s="341"/>
      <c r="E359" s="86" t="s">
        <v>442</v>
      </c>
      <c r="F359" s="7"/>
      <c r="G359" s="8"/>
      <c r="H359" s="7"/>
      <c r="I359" s="6"/>
      <c r="J359" s="7"/>
      <c r="K359" s="8"/>
      <c r="L359" s="7"/>
      <c r="M359" s="8"/>
      <c r="N359" s="7"/>
      <c r="O359" s="8"/>
      <c r="P359" s="7"/>
      <c r="Q359" s="7"/>
      <c r="R359" s="8"/>
      <c r="S359" s="7"/>
      <c r="T359" s="9"/>
      <c r="U359" s="7"/>
      <c r="V359" s="8"/>
      <c r="W359" s="7"/>
      <c r="X359" s="7"/>
      <c r="Y359" s="8"/>
      <c r="Z359" s="7"/>
      <c r="AA359" s="8"/>
      <c r="AF359" s="337" t="s">
        <v>476</v>
      </c>
      <c r="AG359" s="337" t="s">
        <v>511</v>
      </c>
    </row>
    <row r="360" spans="4:33" ht="14.25" thickTop="1" thickBot="1" x14ac:dyDescent="0.25">
      <c r="D360" s="341"/>
      <c r="E360" s="86" t="s">
        <v>1492</v>
      </c>
      <c r="F360" s="7"/>
      <c r="G360" s="8"/>
      <c r="H360" s="7"/>
      <c r="I360" s="6"/>
      <c r="J360" s="7"/>
      <c r="K360" s="8"/>
      <c r="L360" s="7"/>
      <c r="M360" s="8"/>
      <c r="N360" s="7"/>
      <c r="O360" s="8"/>
      <c r="P360" s="7"/>
      <c r="Q360" s="7"/>
      <c r="R360" s="8"/>
      <c r="S360" s="7"/>
      <c r="T360" s="9"/>
      <c r="U360" s="7"/>
      <c r="V360" s="8"/>
      <c r="W360" s="7"/>
      <c r="X360" s="7"/>
      <c r="Y360" s="8"/>
      <c r="Z360" s="7"/>
      <c r="AA360" s="8"/>
      <c r="AF360" s="337" t="s">
        <v>476</v>
      </c>
      <c r="AG360" s="337" t="s">
        <v>1325</v>
      </c>
    </row>
    <row r="361" spans="4:33" ht="14.25" thickTop="1" thickBot="1" x14ac:dyDescent="0.25">
      <c r="D361" s="341"/>
      <c r="E361" s="86" t="s">
        <v>1298</v>
      </c>
      <c r="F361" s="7"/>
      <c r="G361" s="8"/>
      <c r="H361" s="7"/>
      <c r="I361" s="6"/>
      <c r="J361" s="7"/>
      <c r="K361" s="8"/>
      <c r="L361" s="7"/>
      <c r="M361" s="8"/>
      <c r="N361" s="7"/>
      <c r="O361" s="8"/>
      <c r="P361" s="7"/>
      <c r="Q361" s="7"/>
      <c r="R361" s="8"/>
      <c r="S361" s="7"/>
      <c r="T361" s="9"/>
      <c r="U361" s="7"/>
      <c r="V361" s="8"/>
      <c r="W361" s="7"/>
      <c r="X361" s="7"/>
      <c r="Y361" s="8"/>
      <c r="Z361" s="7"/>
      <c r="AA361" s="8"/>
      <c r="AF361" s="337" t="s">
        <v>476</v>
      </c>
      <c r="AG361" s="337" t="s">
        <v>512</v>
      </c>
    </row>
    <row r="362" spans="4:33" ht="14.25" thickTop="1" thickBot="1" x14ac:dyDescent="0.25">
      <c r="D362" s="341"/>
      <c r="E362" s="86" t="s">
        <v>1300</v>
      </c>
      <c r="F362" s="7"/>
      <c r="G362" s="8"/>
      <c r="H362" s="7"/>
      <c r="I362" s="6"/>
      <c r="J362" s="7"/>
      <c r="K362" s="8"/>
      <c r="L362" s="7"/>
      <c r="M362" s="8"/>
      <c r="N362" s="7"/>
      <c r="O362" s="8"/>
      <c r="P362" s="7"/>
      <c r="Q362" s="7"/>
      <c r="R362" s="8"/>
      <c r="S362" s="7"/>
      <c r="T362" s="9"/>
      <c r="U362" s="7"/>
      <c r="V362" s="8"/>
      <c r="W362" s="7"/>
      <c r="X362" s="7"/>
      <c r="Y362" s="8"/>
      <c r="Z362" s="7"/>
      <c r="AA362" s="8"/>
      <c r="AF362" s="337" t="s">
        <v>476</v>
      </c>
      <c r="AG362" s="337" t="s">
        <v>513</v>
      </c>
    </row>
    <row r="363" spans="4:33" ht="14.25" thickTop="1" thickBot="1" x14ac:dyDescent="0.25">
      <c r="D363" s="341"/>
      <c r="E363" s="86" t="s">
        <v>1302</v>
      </c>
      <c r="F363" s="7"/>
      <c r="G363" s="8"/>
      <c r="H363" s="7"/>
      <c r="I363" s="6"/>
      <c r="J363" s="7"/>
      <c r="K363" s="8"/>
      <c r="L363" s="7"/>
      <c r="M363" s="8"/>
      <c r="N363" s="7"/>
      <c r="O363" s="8"/>
      <c r="P363" s="7"/>
      <c r="Q363" s="7"/>
      <c r="R363" s="8"/>
      <c r="S363" s="7"/>
      <c r="T363" s="9"/>
      <c r="U363" s="7"/>
      <c r="V363" s="8"/>
      <c r="W363" s="7"/>
      <c r="X363" s="7"/>
      <c r="Y363" s="8"/>
      <c r="Z363" s="7"/>
      <c r="AA363" s="8"/>
      <c r="AF363" s="337" t="s">
        <v>476</v>
      </c>
      <c r="AG363" s="337" t="s">
        <v>862</v>
      </c>
    </row>
    <row r="364" spans="4:33" ht="14.25" thickTop="1" thickBot="1" x14ac:dyDescent="0.25">
      <c r="D364" s="341"/>
      <c r="E364" s="86" t="s">
        <v>1493</v>
      </c>
      <c r="F364" s="7"/>
      <c r="G364" s="8"/>
      <c r="H364" s="7"/>
      <c r="I364" s="6"/>
      <c r="J364" s="7"/>
      <c r="K364" s="8"/>
      <c r="L364" s="7"/>
      <c r="M364" s="8"/>
      <c r="N364" s="7"/>
      <c r="O364" s="8"/>
      <c r="P364" s="7"/>
      <c r="Q364" s="7"/>
      <c r="R364" s="8"/>
      <c r="S364" s="7"/>
      <c r="T364" s="9"/>
      <c r="U364" s="7"/>
      <c r="V364" s="8"/>
      <c r="W364" s="7"/>
      <c r="X364" s="7"/>
      <c r="Y364" s="8"/>
      <c r="Z364" s="7"/>
      <c r="AA364" s="8"/>
      <c r="AF364" s="337" t="s">
        <v>476</v>
      </c>
      <c r="AG364" s="337" t="s">
        <v>850</v>
      </c>
    </row>
    <row r="365" spans="4:33" ht="14.25" thickTop="1" thickBot="1" x14ac:dyDescent="0.25">
      <c r="D365" s="341"/>
      <c r="E365" s="86" t="s">
        <v>1303</v>
      </c>
      <c r="F365" s="7"/>
      <c r="G365" s="8"/>
      <c r="H365" s="7"/>
      <c r="I365" s="6"/>
      <c r="J365" s="7"/>
      <c r="K365" s="8"/>
      <c r="L365" s="7"/>
      <c r="M365" s="8"/>
      <c r="N365" s="7"/>
      <c r="O365" s="8"/>
      <c r="P365" s="7"/>
      <c r="Q365" s="7"/>
      <c r="R365" s="8"/>
      <c r="S365" s="7"/>
      <c r="T365" s="9"/>
      <c r="U365" s="7"/>
      <c r="V365" s="8"/>
      <c r="W365" s="7"/>
      <c r="X365" s="7"/>
      <c r="Y365" s="8"/>
      <c r="Z365" s="7"/>
      <c r="AA365" s="8"/>
      <c r="AF365" s="337" t="s">
        <v>476</v>
      </c>
      <c r="AG365" s="337" t="s">
        <v>740</v>
      </c>
    </row>
    <row r="366" spans="4:33" ht="14.25" thickTop="1" thickBot="1" x14ac:dyDescent="0.25">
      <c r="D366" s="341"/>
      <c r="E366" s="86" t="s">
        <v>1494</v>
      </c>
      <c r="F366" s="7"/>
      <c r="G366" s="8"/>
      <c r="H366" s="7"/>
      <c r="I366" s="6"/>
      <c r="J366" s="7"/>
      <c r="K366" s="8"/>
      <c r="L366" s="7"/>
      <c r="M366" s="8"/>
      <c r="N366" s="7"/>
      <c r="O366" s="8"/>
      <c r="P366" s="7"/>
      <c r="Q366" s="7"/>
      <c r="R366" s="8"/>
      <c r="S366" s="7"/>
      <c r="T366" s="9"/>
      <c r="U366" s="7"/>
      <c r="V366" s="8"/>
      <c r="W366" s="7"/>
      <c r="X366" s="7"/>
      <c r="Y366" s="8"/>
      <c r="Z366" s="7"/>
      <c r="AA366" s="8"/>
      <c r="AF366" s="337" t="s">
        <v>476</v>
      </c>
      <c r="AG366" s="337" t="s">
        <v>515</v>
      </c>
    </row>
    <row r="367" spans="4:33" ht="14.25" thickTop="1" thickBot="1" x14ac:dyDescent="0.25">
      <c r="D367" s="341"/>
      <c r="E367" s="86" t="s">
        <v>1207</v>
      </c>
      <c r="F367" s="7"/>
      <c r="G367" s="8"/>
      <c r="H367" s="7"/>
      <c r="I367" s="6"/>
      <c r="J367" s="7"/>
      <c r="K367" s="8"/>
      <c r="L367" s="7"/>
      <c r="M367" s="8"/>
      <c r="N367" s="7"/>
      <c r="O367" s="8"/>
      <c r="P367" s="7"/>
      <c r="Q367" s="7"/>
      <c r="R367" s="8"/>
      <c r="S367" s="7"/>
      <c r="T367" s="9"/>
      <c r="U367" s="7"/>
      <c r="V367" s="8"/>
      <c r="W367" s="7"/>
      <c r="X367" s="7"/>
      <c r="Y367" s="8"/>
      <c r="Z367" s="7"/>
      <c r="AA367" s="8"/>
      <c r="AF367" s="337" t="s">
        <v>476</v>
      </c>
      <c r="AG367" s="337" t="s">
        <v>863</v>
      </c>
    </row>
    <row r="368" spans="4:33" ht="14.25" thickTop="1" thickBot="1" x14ac:dyDescent="0.25">
      <c r="D368" s="341"/>
      <c r="E368" s="86" t="s">
        <v>366</v>
      </c>
      <c r="F368" s="7"/>
      <c r="G368" s="8"/>
      <c r="H368" s="7"/>
      <c r="I368" s="6"/>
      <c r="J368" s="7"/>
      <c r="K368" s="8"/>
      <c r="L368" s="7"/>
      <c r="M368" s="8"/>
      <c r="N368" s="7"/>
      <c r="O368" s="8"/>
      <c r="P368" s="7"/>
      <c r="Q368" s="7"/>
      <c r="R368" s="8"/>
      <c r="S368" s="7"/>
      <c r="T368" s="9"/>
      <c r="U368" s="7"/>
      <c r="V368" s="8"/>
      <c r="W368" s="7"/>
      <c r="X368" s="7"/>
      <c r="Y368" s="8"/>
      <c r="Z368" s="7"/>
      <c r="AA368" s="8"/>
      <c r="AF368" s="337" t="s">
        <v>476</v>
      </c>
      <c r="AG368" s="337" t="s">
        <v>768</v>
      </c>
    </row>
    <row r="369" spans="4:33" ht="14.25" thickTop="1" thickBot="1" x14ac:dyDescent="0.25">
      <c r="D369" s="341"/>
      <c r="E369" s="86" t="s">
        <v>447</v>
      </c>
      <c r="F369" s="7"/>
      <c r="G369" s="8"/>
      <c r="H369" s="7"/>
      <c r="I369" s="6"/>
      <c r="J369" s="7"/>
      <c r="K369" s="8"/>
      <c r="L369" s="7"/>
      <c r="M369" s="8"/>
      <c r="N369" s="7"/>
      <c r="O369" s="8"/>
      <c r="P369" s="7"/>
      <c r="Q369" s="7"/>
      <c r="R369" s="8"/>
      <c r="S369" s="7"/>
      <c r="T369" s="9"/>
      <c r="U369" s="7"/>
      <c r="V369" s="8"/>
      <c r="W369" s="7"/>
      <c r="X369" s="7"/>
      <c r="Y369" s="8"/>
      <c r="Z369" s="7"/>
      <c r="AA369" s="8"/>
      <c r="AF369" s="337" t="s">
        <v>476</v>
      </c>
      <c r="AG369" s="337" t="s">
        <v>776</v>
      </c>
    </row>
    <row r="370" spans="4:33" ht="14.25" thickTop="1" thickBot="1" x14ac:dyDescent="0.25">
      <c r="D370" s="341"/>
      <c r="E370" s="86" t="s">
        <v>1205</v>
      </c>
      <c r="F370" s="7"/>
      <c r="G370" s="8"/>
      <c r="H370" s="7"/>
      <c r="I370" s="6"/>
      <c r="J370" s="7"/>
      <c r="K370" s="8"/>
      <c r="L370" s="7"/>
      <c r="M370" s="8"/>
      <c r="N370" s="7"/>
      <c r="O370" s="8"/>
      <c r="P370" s="7"/>
      <c r="Q370" s="7"/>
      <c r="R370" s="8"/>
      <c r="S370" s="7"/>
      <c r="T370" s="9"/>
      <c r="U370" s="7"/>
      <c r="V370" s="8"/>
      <c r="W370" s="7"/>
      <c r="X370" s="7"/>
      <c r="Y370" s="8"/>
      <c r="Z370" s="7"/>
      <c r="AA370" s="8"/>
      <c r="AF370" s="337" t="s">
        <v>476</v>
      </c>
      <c r="AG370" s="337" t="s">
        <v>865</v>
      </c>
    </row>
    <row r="371" spans="4:33" ht="14.25" thickTop="1" thickBot="1" x14ac:dyDescent="0.25">
      <c r="D371" s="341"/>
      <c r="E371" s="86" t="s">
        <v>367</v>
      </c>
      <c r="F371" s="7"/>
      <c r="G371" s="8"/>
      <c r="H371" s="7"/>
      <c r="I371" s="6"/>
      <c r="J371" s="7"/>
      <c r="K371" s="8"/>
      <c r="L371" s="7"/>
      <c r="M371" s="8"/>
      <c r="N371" s="7"/>
      <c r="O371" s="8"/>
      <c r="P371" s="7"/>
      <c r="Q371" s="7"/>
      <c r="R371" s="8"/>
      <c r="S371" s="7"/>
      <c r="T371" s="9"/>
      <c r="U371" s="7"/>
      <c r="V371" s="8"/>
      <c r="W371" s="7"/>
      <c r="X371" s="7"/>
      <c r="Y371" s="8"/>
      <c r="Z371" s="7"/>
      <c r="AA371" s="8"/>
      <c r="AF371" s="337" t="s">
        <v>476</v>
      </c>
      <c r="AG371" s="337" t="s">
        <v>867</v>
      </c>
    </row>
    <row r="372" spans="4:33" ht="14.25" thickTop="1" thickBot="1" x14ac:dyDescent="0.25">
      <c r="D372" s="341"/>
      <c r="E372" s="86" t="s">
        <v>369</v>
      </c>
      <c r="F372" s="7"/>
      <c r="G372" s="8"/>
      <c r="H372" s="7"/>
      <c r="I372" s="6"/>
      <c r="J372" s="7"/>
      <c r="K372" s="8"/>
      <c r="L372" s="7"/>
      <c r="M372" s="8"/>
      <c r="N372" s="7"/>
      <c r="O372" s="8"/>
      <c r="P372" s="7"/>
      <c r="Q372" s="7"/>
      <c r="R372" s="8"/>
      <c r="S372" s="7"/>
      <c r="T372" s="9"/>
      <c r="U372" s="7"/>
      <c r="V372" s="8"/>
      <c r="W372" s="7"/>
      <c r="X372" s="7"/>
      <c r="Y372" s="8"/>
      <c r="Z372" s="7"/>
      <c r="AA372" s="8"/>
      <c r="AF372" s="337" t="s">
        <v>476</v>
      </c>
      <c r="AG372" s="337" t="s">
        <v>800</v>
      </c>
    </row>
    <row r="373" spans="4:33" ht="14.25" thickTop="1" thickBot="1" x14ac:dyDescent="0.25">
      <c r="D373" s="341"/>
      <c r="E373" s="86" t="s">
        <v>1193</v>
      </c>
      <c r="F373" s="7"/>
      <c r="G373" s="8"/>
      <c r="H373" s="7"/>
      <c r="I373" s="6"/>
      <c r="J373" s="7"/>
      <c r="K373" s="8"/>
      <c r="L373" s="7"/>
      <c r="M373" s="8"/>
      <c r="N373" s="7"/>
      <c r="O373" s="8"/>
      <c r="P373" s="7"/>
      <c r="Q373" s="7"/>
      <c r="R373" s="8"/>
      <c r="S373" s="7"/>
      <c r="T373" s="9"/>
      <c r="U373" s="7"/>
      <c r="V373" s="8"/>
      <c r="W373" s="7"/>
      <c r="X373" s="7"/>
      <c r="Y373" s="8"/>
      <c r="Z373" s="7"/>
      <c r="AA373" s="8"/>
      <c r="AF373" s="337" t="s">
        <v>476</v>
      </c>
      <c r="AG373" s="337" t="s">
        <v>866</v>
      </c>
    </row>
    <row r="374" spans="4:33" ht="14.25" thickTop="1" thickBot="1" x14ac:dyDescent="0.25">
      <c r="D374" s="341"/>
      <c r="E374" s="86" t="s">
        <v>1203</v>
      </c>
      <c r="F374" s="7"/>
      <c r="G374" s="8"/>
      <c r="H374" s="7"/>
      <c r="I374" s="6"/>
      <c r="J374" s="7"/>
      <c r="K374" s="8"/>
      <c r="L374" s="7"/>
      <c r="M374" s="8"/>
      <c r="N374" s="7"/>
      <c r="O374" s="8"/>
      <c r="P374" s="7"/>
      <c r="Q374" s="7"/>
      <c r="R374" s="8"/>
      <c r="S374" s="7"/>
      <c r="T374" s="9"/>
      <c r="U374" s="7"/>
      <c r="V374" s="8"/>
      <c r="W374" s="7"/>
      <c r="X374" s="7"/>
      <c r="Y374" s="8"/>
      <c r="Z374" s="7"/>
      <c r="AA374" s="8"/>
      <c r="AF374" s="337" t="s">
        <v>476</v>
      </c>
      <c r="AG374" s="337" t="s">
        <v>516</v>
      </c>
    </row>
    <row r="375" spans="4:33" ht="14.25" thickTop="1" thickBot="1" x14ac:dyDescent="0.25">
      <c r="D375" s="341"/>
      <c r="E375" s="86" t="s">
        <v>455</v>
      </c>
      <c r="F375" s="7"/>
      <c r="G375" s="8"/>
      <c r="H375" s="7"/>
      <c r="I375" s="6"/>
      <c r="J375" s="7"/>
      <c r="K375" s="8"/>
      <c r="L375" s="7"/>
      <c r="M375" s="8"/>
      <c r="N375" s="7"/>
      <c r="O375" s="8"/>
      <c r="P375" s="7"/>
      <c r="Q375" s="7"/>
      <c r="R375" s="8"/>
      <c r="S375" s="7"/>
      <c r="T375" s="9"/>
      <c r="U375" s="7"/>
      <c r="V375" s="8"/>
      <c r="W375" s="7"/>
      <c r="X375" s="7"/>
      <c r="Y375" s="8"/>
      <c r="Z375" s="7"/>
      <c r="AA375" s="8"/>
      <c r="AF375" s="337" t="s">
        <v>476</v>
      </c>
      <c r="AG375" s="337" t="s">
        <v>517</v>
      </c>
    </row>
    <row r="376" spans="4:33" ht="14.25" thickTop="1" thickBot="1" x14ac:dyDescent="0.25">
      <c r="D376" s="341"/>
      <c r="E376" s="86" t="s">
        <v>1195</v>
      </c>
      <c r="F376" s="7"/>
      <c r="G376" s="8"/>
      <c r="H376" s="7"/>
      <c r="I376" s="6"/>
      <c r="J376" s="7"/>
      <c r="K376" s="8"/>
      <c r="L376" s="7"/>
      <c r="M376" s="8"/>
      <c r="N376" s="7"/>
      <c r="O376" s="8"/>
      <c r="P376" s="7"/>
      <c r="Q376" s="7"/>
      <c r="R376" s="8"/>
      <c r="S376" s="7"/>
      <c r="T376" s="9"/>
      <c r="U376" s="7"/>
      <c r="V376" s="8"/>
      <c r="W376" s="7"/>
      <c r="X376" s="7"/>
      <c r="Y376" s="8"/>
      <c r="Z376" s="7"/>
      <c r="AA376" s="8"/>
      <c r="AF376" s="337" t="s">
        <v>476</v>
      </c>
      <c r="AG376" s="337" t="s">
        <v>518</v>
      </c>
    </row>
    <row r="377" spans="4:33" ht="14.25" thickTop="1" thickBot="1" x14ac:dyDescent="0.25">
      <c r="D377" s="341"/>
      <c r="E377" s="86" t="s">
        <v>1495</v>
      </c>
      <c r="F377" s="7"/>
      <c r="G377" s="8"/>
      <c r="H377" s="7"/>
      <c r="I377" s="6"/>
      <c r="J377" s="7"/>
      <c r="K377" s="8"/>
      <c r="L377" s="7"/>
      <c r="M377" s="8"/>
      <c r="N377" s="7"/>
      <c r="O377" s="8"/>
      <c r="P377" s="7"/>
      <c r="Q377" s="7"/>
      <c r="R377" s="8"/>
      <c r="S377" s="7"/>
      <c r="T377" s="9"/>
      <c r="U377" s="7"/>
      <c r="V377" s="8"/>
      <c r="W377" s="7"/>
      <c r="X377" s="7"/>
      <c r="Y377" s="8"/>
      <c r="Z377" s="7"/>
      <c r="AA377" s="8"/>
      <c r="AF377" s="337" t="s">
        <v>476</v>
      </c>
      <c r="AG377" s="337" t="s">
        <v>519</v>
      </c>
    </row>
    <row r="378" spans="4:33" ht="14.25" thickTop="1" thickBot="1" x14ac:dyDescent="0.25">
      <c r="D378" s="341"/>
      <c r="E378" s="86" t="s">
        <v>1318</v>
      </c>
      <c r="F378" s="7"/>
      <c r="G378" s="8"/>
      <c r="H378" s="7"/>
      <c r="I378" s="6"/>
      <c r="J378" s="7"/>
      <c r="K378" s="8"/>
      <c r="L378" s="7"/>
      <c r="M378" s="8"/>
      <c r="N378" s="7"/>
      <c r="O378" s="8"/>
      <c r="P378" s="7"/>
      <c r="Q378" s="7"/>
      <c r="R378" s="8"/>
      <c r="S378" s="7"/>
      <c r="T378" s="9"/>
      <c r="U378" s="7"/>
      <c r="V378" s="8"/>
      <c r="W378" s="7"/>
      <c r="X378" s="7"/>
      <c r="Y378" s="8"/>
      <c r="Z378" s="7"/>
      <c r="AA378" s="8"/>
      <c r="AF378" s="337" t="s">
        <v>476</v>
      </c>
      <c r="AG378" s="337" t="s">
        <v>524</v>
      </c>
    </row>
    <row r="379" spans="4:33" ht="14.25" thickTop="1" thickBot="1" x14ac:dyDescent="0.25">
      <c r="D379" s="341"/>
      <c r="E379" s="86" t="s">
        <v>1319</v>
      </c>
      <c r="F379" s="7"/>
      <c r="G379" s="8"/>
      <c r="H379" s="7"/>
      <c r="I379" s="6"/>
      <c r="J379" s="7"/>
      <c r="K379" s="8"/>
      <c r="L379" s="7"/>
      <c r="M379" s="8"/>
      <c r="N379" s="7"/>
      <c r="O379" s="8"/>
      <c r="P379" s="7"/>
      <c r="Q379" s="7"/>
      <c r="R379" s="8"/>
      <c r="S379" s="7"/>
      <c r="T379" s="9"/>
      <c r="U379" s="7"/>
      <c r="V379" s="8"/>
      <c r="W379" s="7"/>
      <c r="X379" s="7"/>
      <c r="Y379" s="8"/>
      <c r="Z379" s="7"/>
      <c r="AA379" s="8"/>
      <c r="AF379" s="337" t="s">
        <v>476</v>
      </c>
      <c r="AG379" s="337" t="s">
        <v>810</v>
      </c>
    </row>
    <row r="380" spans="4:33" ht="14.25" thickTop="1" thickBot="1" x14ac:dyDescent="0.25">
      <c r="D380" s="341"/>
      <c r="E380" s="86" t="s">
        <v>1320</v>
      </c>
      <c r="F380" s="7"/>
      <c r="G380" s="8"/>
      <c r="H380" s="7"/>
      <c r="I380" s="6"/>
      <c r="J380" s="7"/>
      <c r="K380" s="8"/>
      <c r="L380" s="7"/>
      <c r="M380" s="8"/>
      <c r="N380" s="7"/>
      <c r="O380" s="8"/>
      <c r="P380" s="7"/>
      <c r="Q380" s="7"/>
      <c r="R380" s="8"/>
      <c r="S380" s="7"/>
      <c r="T380" s="9"/>
      <c r="U380" s="7"/>
      <c r="V380" s="8"/>
      <c r="W380" s="7"/>
      <c r="X380" s="7"/>
      <c r="Y380" s="8"/>
      <c r="Z380" s="7"/>
      <c r="AA380" s="8"/>
      <c r="AF380" s="337" t="s">
        <v>476</v>
      </c>
      <c r="AG380" s="337" t="s">
        <v>1342</v>
      </c>
    </row>
    <row r="381" spans="4:33" ht="14.25" thickTop="1" thickBot="1" x14ac:dyDescent="0.25">
      <c r="D381" s="341"/>
      <c r="E381" s="86" t="s">
        <v>1321</v>
      </c>
      <c r="F381" s="7"/>
      <c r="G381" s="8"/>
      <c r="H381" s="7"/>
      <c r="I381" s="6"/>
      <c r="J381" s="7"/>
      <c r="K381" s="8"/>
      <c r="L381" s="7"/>
      <c r="M381" s="8"/>
      <c r="N381" s="7"/>
      <c r="O381" s="8"/>
      <c r="P381" s="7"/>
      <c r="Q381" s="7"/>
      <c r="R381" s="8"/>
      <c r="S381" s="7"/>
      <c r="T381" s="9"/>
      <c r="U381" s="7"/>
      <c r="V381" s="8"/>
      <c r="W381" s="7"/>
      <c r="X381" s="7"/>
      <c r="Y381" s="8"/>
      <c r="Z381" s="7"/>
      <c r="AA381" s="8"/>
      <c r="AF381" s="337" t="s">
        <v>476</v>
      </c>
      <c r="AG381" s="337" t="s">
        <v>861</v>
      </c>
    </row>
    <row r="382" spans="4:33" ht="14.25" thickTop="1" thickBot="1" x14ac:dyDescent="0.25">
      <c r="D382" s="341"/>
      <c r="E382" s="86" t="s">
        <v>1322</v>
      </c>
      <c r="F382" s="7"/>
      <c r="G382" s="8"/>
      <c r="H382" s="7"/>
      <c r="I382" s="6"/>
      <c r="J382" s="7"/>
      <c r="K382" s="8"/>
      <c r="L382" s="7"/>
      <c r="M382" s="8"/>
      <c r="N382" s="7"/>
      <c r="O382" s="8"/>
      <c r="P382" s="7"/>
      <c r="Q382" s="7"/>
      <c r="R382" s="8"/>
      <c r="S382" s="7"/>
      <c r="T382" s="9"/>
      <c r="U382" s="7"/>
      <c r="V382" s="8"/>
      <c r="W382" s="7"/>
      <c r="X382" s="7"/>
      <c r="Y382" s="8"/>
      <c r="Z382" s="7"/>
      <c r="AA382" s="8"/>
      <c r="AF382" s="337" t="s">
        <v>476</v>
      </c>
      <c r="AG382" s="337" t="s">
        <v>852</v>
      </c>
    </row>
    <row r="383" spans="4:33" ht="14.25" thickTop="1" thickBot="1" x14ac:dyDescent="0.25">
      <c r="D383" s="341"/>
      <c r="E383" s="86" t="s">
        <v>1323</v>
      </c>
      <c r="F383" s="7"/>
      <c r="G383" s="8"/>
      <c r="H383" s="7"/>
      <c r="I383" s="6"/>
      <c r="J383" s="7"/>
      <c r="K383" s="8"/>
      <c r="L383" s="7"/>
      <c r="M383" s="8"/>
      <c r="N383" s="7"/>
      <c r="O383" s="8"/>
      <c r="P383" s="7"/>
      <c r="Q383" s="7"/>
      <c r="R383" s="8"/>
      <c r="S383" s="7"/>
      <c r="T383" s="9"/>
      <c r="U383" s="7"/>
      <c r="V383" s="8"/>
      <c r="W383" s="7"/>
      <c r="X383" s="7"/>
      <c r="Y383" s="8"/>
      <c r="Z383" s="7"/>
      <c r="AA383" s="8"/>
      <c r="AF383" s="337" t="s">
        <v>476</v>
      </c>
      <c r="AG383" s="337" t="s">
        <v>801</v>
      </c>
    </row>
    <row r="384" spans="4:33" ht="14.25" thickTop="1" thickBot="1" x14ac:dyDescent="0.25">
      <c r="D384" s="341"/>
      <c r="E384" s="86" t="s">
        <v>1212</v>
      </c>
      <c r="F384" s="7"/>
      <c r="G384" s="8"/>
      <c r="H384" s="7"/>
      <c r="I384" s="6"/>
      <c r="J384" s="7"/>
      <c r="K384" s="8"/>
      <c r="L384" s="7"/>
      <c r="M384" s="8"/>
      <c r="N384" s="7"/>
      <c r="O384" s="8"/>
      <c r="P384" s="7"/>
      <c r="Q384" s="7"/>
      <c r="R384" s="8"/>
      <c r="S384" s="7"/>
      <c r="T384" s="9"/>
      <c r="U384" s="7"/>
      <c r="V384" s="8"/>
      <c r="W384" s="7"/>
      <c r="X384" s="7"/>
      <c r="Y384" s="8"/>
      <c r="Z384" s="7"/>
      <c r="AA384" s="8"/>
      <c r="AF384" s="337" t="s">
        <v>476</v>
      </c>
      <c r="AG384" s="337" t="s">
        <v>802</v>
      </c>
    </row>
    <row r="385" spans="4:33" ht="14.25" thickTop="1" thickBot="1" x14ac:dyDescent="0.25">
      <c r="D385" s="341"/>
      <c r="E385" s="86" t="s">
        <v>1209</v>
      </c>
      <c r="F385" s="7"/>
      <c r="G385" s="8"/>
      <c r="H385" s="7"/>
      <c r="I385" s="6"/>
      <c r="J385" s="7"/>
      <c r="K385" s="8"/>
      <c r="L385" s="7"/>
      <c r="M385" s="8"/>
      <c r="N385" s="7"/>
      <c r="O385" s="8"/>
      <c r="P385" s="7"/>
      <c r="Q385" s="7"/>
      <c r="R385" s="8"/>
      <c r="S385" s="7"/>
      <c r="T385" s="9"/>
      <c r="U385" s="7"/>
      <c r="V385" s="8"/>
      <c r="W385" s="7"/>
      <c r="X385" s="7"/>
      <c r="Y385" s="8"/>
      <c r="Z385" s="7"/>
      <c r="AA385" s="8"/>
      <c r="AF385" s="337" t="s">
        <v>476</v>
      </c>
      <c r="AG385" s="337" t="s">
        <v>525</v>
      </c>
    </row>
    <row r="386" spans="4:33" ht="14.25" thickTop="1" thickBot="1" x14ac:dyDescent="0.25">
      <c r="D386" s="341"/>
      <c r="E386" s="86" t="s">
        <v>928</v>
      </c>
      <c r="F386" s="7"/>
      <c r="G386" s="8"/>
      <c r="H386" s="7"/>
      <c r="I386" s="6"/>
      <c r="J386" s="7"/>
      <c r="K386" s="8"/>
      <c r="L386" s="7"/>
      <c r="M386" s="8"/>
      <c r="N386" s="7"/>
      <c r="O386" s="8"/>
      <c r="P386" s="7"/>
      <c r="Q386" s="7"/>
      <c r="R386" s="8"/>
      <c r="S386" s="7"/>
      <c r="T386" s="9"/>
      <c r="U386" s="7"/>
      <c r="V386" s="8"/>
      <c r="W386" s="7"/>
      <c r="X386" s="7"/>
      <c r="Y386" s="8"/>
      <c r="Z386" s="7"/>
      <c r="AA386" s="8"/>
      <c r="AF386" s="337" t="s">
        <v>476</v>
      </c>
      <c r="AG386" s="337" t="s">
        <v>526</v>
      </c>
    </row>
    <row r="387" spans="4:33" ht="14.25" thickTop="1" thickBot="1" x14ac:dyDescent="0.25">
      <c r="D387" s="341"/>
      <c r="E387" s="86" t="s">
        <v>1182</v>
      </c>
      <c r="F387" s="7"/>
      <c r="G387" s="8"/>
      <c r="H387" s="7"/>
      <c r="I387" s="6"/>
      <c r="J387" s="7"/>
      <c r="K387" s="8"/>
      <c r="L387" s="7"/>
      <c r="M387" s="8"/>
      <c r="N387" s="7"/>
      <c r="O387" s="8"/>
      <c r="P387" s="7"/>
      <c r="Q387" s="7"/>
      <c r="R387" s="8"/>
      <c r="S387" s="7"/>
      <c r="T387" s="9"/>
      <c r="U387" s="7"/>
      <c r="V387" s="8"/>
      <c r="W387" s="7"/>
      <c r="X387" s="7"/>
      <c r="Y387" s="8"/>
      <c r="Z387" s="7"/>
      <c r="AA387" s="8"/>
      <c r="AF387" s="337" t="s">
        <v>476</v>
      </c>
      <c r="AG387" s="337" t="s">
        <v>804</v>
      </c>
    </row>
    <row r="388" spans="4:33" ht="14.25" thickTop="1" thickBot="1" x14ac:dyDescent="0.25">
      <c r="D388" s="341"/>
      <c r="E388" s="86" t="s">
        <v>1179</v>
      </c>
      <c r="F388" s="7"/>
      <c r="G388" s="8"/>
      <c r="H388" s="7"/>
      <c r="I388" s="6"/>
      <c r="J388" s="7"/>
      <c r="K388" s="8"/>
      <c r="L388" s="7"/>
      <c r="M388" s="8"/>
      <c r="N388" s="7"/>
      <c r="O388" s="8"/>
      <c r="P388" s="7"/>
      <c r="Q388" s="7"/>
      <c r="R388" s="8"/>
      <c r="S388" s="7"/>
      <c r="T388" s="9"/>
      <c r="U388" s="7"/>
      <c r="V388" s="8"/>
      <c r="W388" s="7"/>
      <c r="X388" s="7"/>
      <c r="Y388" s="8"/>
      <c r="Z388" s="7"/>
      <c r="AA388" s="8"/>
      <c r="AF388" s="337" t="s">
        <v>476</v>
      </c>
      <c r="AG388" s="337" t="s">
        <v>789</v>
      </c>
    </row>
    <row r="389" spans="4:33" ht="14.25" thickTop="1" thickBot="1" x14ac:dyDescent="0.25">
      <c r="D389" s="341"/>
      <c r="E389" s="86" t="s">
        <v>1177</v>
      </c>
      <c r="F389" s="7"/>
      <c r="G389" s="8"/>
      <c r="H389" s="7"/>
      <c r="I389" s="6"/>
      <c r="J389" s="7"/>
      <c r="K389" s="8"/>
      <c r="L389" s="7"/>
      <c r="M389" s="8"/>
      <c r="N389" s="7"/>
      <c r="O389" s="8"/>
      <c r="P389" s="7"/>
      <c r="Q389" s="7"/>
      <c r="R389" s="8"/>
      <c r="S389" s="7"/>
      <c r="T389" s="9"/>
      <c r="U389" s="7"/>
      <c r="V389" s="8"/>
      <c r="W389" s="7"/>
      <c r="X389" s="7"/>
      <c r="Y389" s="8"/>
      <c r="Z389" s="7"/>
      <c r="AA389" s="8"/>
      <c r="AF389" s="337" t="s">
        <v>476</v>
      </c>
      <c r="AG389" s="337" t="s">
        <v>790</v>
      </c>
    </row>
    <row r="390" spans="4:33" ht="14.25" thickTop="1" thickBot="1" x14ac:dyDescent="0.25">
      <c r="D390" s="341"/>
      <c r="E390" s="86" t="s">
        <v>1178</v>
      </c>
      <c r="F390" s="7"/>
      <c r="G390" s="8"/>
      <c r="H390" s="7"/>
      <c r="I390" s="6"/>
      <c r="J390" s="7"/>
      <c r="K390" s="8"/>
      <c r="L390" s="7"/>
      <c r="M390" s="8"/>
      <c r="N390" s="7"/>
      <c r="O390" s="8"/>
      <c r="P390" s="7"/>
      <c r="Q390" s="7"/>
      <c r="R390" s="8"/>
      <c r="S390" s="7"/>
      <c r="T390" s="9"/>
      <c r="U390" s="7"/>
      <c r="V390" s="8"/>
      <c r="W390" s="7"/>
      <c r="X390" s="7"/>
      <c r="Y390" s="8"/>
      <c r="Z390" s="7"/>
      <c r="AA390" s="8"/>
      <c r="AF390" s="337" t="s">
        <v>476</v>
      </c>
      <c r="AG390" s="337" t="s">
        <v>741</v>
      </c>
    </row>
    <row r="391" spans="4:33" ht="14.25" thickTop="1" thickBot="1" x14ac:dyDescent="0.25">
      <c r="D391" s="341"/>
      <c r="E391" s="86" t="s">
        <v>1496</v>
      </c>
      <c r="F391" s="7"/>
      <c r="G391" s="8"/>
      <c r="H391" s="7"/>
      <c r="I391" s="6"/>
      <c r="J391" s="7"/>
      <c r="K391" s="8"/>
      <c r="L391" s="7"/>
      <c r="M391" s="8"/>
      <c r="N391" s="7"/>
      <c r="O391" s="8"/>
      <c r="P391" s="7"/>
      <c r="Q391" s="7"/>
      <c r="R391" s="8"/>
      <c r="S391" s="7"/>
      <c r="T391" s="9"/>
      <c r="U391" s="7"/>
      <c r="V391" s="8"/>
      <c r="W391" s="7"/>
      <c r="X391" s="7"/>
      <c r="Y391" s="8"/>
      <c r="Z391" s="7"/>
      <c r="AA391" s="8"/>
      <c r="AF391" s="337" t="s">
        <v>476</v>
      </c>
      <c r="AG391" s="337" t="s">
        <v>849</v>
      </c>
    </row>
    <row r="392" spans="4:33" ht="14.25" thickTop="1" thickBot="1" x14ac:dyDescent="0.25">
      <c r="D392" s="341"/>
      <c r="E392" s="86" t="s">
        <v>1244</v>
      </c>
      <c r="F392" s="7"/>
      <c r="G392" s="8"/>
      <c r="H392" s="7"/>
      <c r="I392" s="6"/>
      <c r="J392" s="7"/>
      <c r="K392" s="8"/>
      <c r="L392" s="7"/>
      <c r="M392" s="8"/>
      <c r="N392" s="7"/>
      <c r="O392" s="8"/>
      <c r="P392" s="7"/>
      <c r="Q392" s="7"/>
      <c r="R392" s="8"/>
      <c r="S392" s="7"/>
      <c r="T392" s="9"/>
      <c r="U392" s="7"/>
      <c r="V392" s="8"/>
      <c r="W392" s="7"/>
      <c r="X392" s="7"/>
      <c r="Y392" s="8"/>
      <c r="Z392" s="7"/>
      <c r="AA392" s="8"/>
      <c r="AF392" s="337" t="s">
        <v>476</v>
      </c>
      <c r="AG392" s="337" t="s">
        <v>706</v>
      </c>
    </row>
    <row r="393" spans="4:33" ht="14.25" thickTop="1" thickBot="1" x14ac:dyDescent="0.25">
      <c r="D393" s="341"/>
      <c r="E393" s="86" t="s">
        <v>1242</v>
      </c>
      <c r="F393" s="7"/>
      <c r="G393" s="8"/>
      <c r="H393" s="7"/>
      <c r="I393" s="6"/>
      <c r="J393" s="7"/>
      <c r="K393" s="8"/>
      <c r="L393" s="7"/>
      <c r="M393" s="8"/>
      <c r="N393" s="7"/>
      <c r="O393" s="8"/>
      <c r="P393" s="7"/>
      <c r="Q393" s="7"/>
      <c r="R393" s="8"/>
      <c r="S393" s="7"/>
      <c r="T393" s="9"/>
      <c r="U393" s="7"/>
      <c r="V393" s="8"/>
      <c r="W393" s="7"/>
      <c r="X393" s="7"/>
      <c r="Y393" s="8"/>
      <c r="Z393" s="7"/>
      <c r="AA393" s="8"/>
      <c r="AF393" s="337" t="s">
        <v>483</v>
      </c>
      <c r="AG393" s="337" t="s">
        <v>1062</v>
      </c>
    </row>
    <row r="394" spans="4:33" ht="14.25" thickTop="1" thickBot="1" x14ac:dyDescent="0.25">
      <c r="D394" s="341"/>
      <c r="E394" s="86" t="s">
        <v>1243</v>
      </c>
      <c r="F394" s="7"/>
      <c r="G394" s="8"/>
      <c r="H394" s="7"/>
      <c r="I394" s="6"/>
      <c r="J394" s="7"/>
      <c r="K394" s="8"/>
      <c r="L394" s="7"/>
      <c r="M394" s="8"/>
      <c r="N394" s="7"/>
      <c r="O394" s="8"/>
      <c r="P394" s="7"/>
      <c r="Q394" s="7"/>
      <c r="R394" s="8"/>
      <c r="S394" s="7"/>
      <c r="T394" s="9"/>
      <c r="U394" s="7"/>
      <c r="V394" s="8"/>
      <c r="W394" s="7"/>
      <c r="X394" s="7"/>
      <c r="Y394" s="8"/>
      <c r="Z394" s="7"/>
      <c r="AA394" s="8"/>
      <c r="AF394" s="337" t="s">
        <v>483</v>
      </c>
      <c r="AG394" s="337" t="s">
        <v>1085</v>
      </c>
    </row>
    <row r="395" spans="4:33" ht="14.25" thickTop="1" thickBot="1" x14ac:dyDescent="0.25">
      <c r="D395" s="341"/>
      <c r="E395" s="86" t="s">
        <v>317</v>
      </c>
      <c r="F395" s="7"/>
      <c r="G395" s="8"/>
      <c r="H395" s="7"/>
      <c r="I395" s="6"/>
      <c r="J395" s="7"/>
      <c r="K395" s="8"/>
      <c r="L395" s="7"/>
      <c r="M395" s="8"/>
      <c r="N395" s="7"/>
      <c r="O395" s="8"/>
      <c r="P395" s="7"/>
      <c r="Q395" s="7"/>
      <c r="R395" s="8"/>
      <c r="S395" s="7"/>
      <c r="T395" s="9"/>
      <c r="U395" s="7"/>
      <c r="V395" s="8"/>
      <c r="W395" s="7"/>
      <c r="X395" s="7"/>
      <c r="Y395" s="8"/>
      <c r="Z395" s="7"/>
      <c r="AA395" s="8"/>
      <c r="AF395" s="337" t="s">
        <v>483</v>
      </c>
      <c r="AG395" s="337" t="s">
        <v>640</v>
      </c>
    </row>
    <row r="396" spans="4:33" ht="14.25" thickTop="1" thickBot="1" x14ac:dyDescent="0.25">
      <c r="D396" s="341"/>
      <c r="E396" s="86" t="s">
        <v>390</v>
      </c>
      <c r="F396" s="7"/>
      <c r="G396" s="8"/>
      <c r="H396" s="7"/>
      <c r="I396" s="6"/>
      <c r="J396" s="7"/>
      <c r="K396" s="8"/>
      <c r="L396" s="7"/>
      <c r="M396" s="8"/>
      <c r="N396" s="7"/>
      <c r="O396" s="8"/>
      <c r="P396" s="7"/>
      <c r="Q396" s="7"/>
      <c r="R396" s="8"/>
      <c r="S396" s="7"/>
      <c r="T396" s="9"/>
      <c r="U396" s="7"/>
      <c r="V396" s="8"/>
      <c r="W396" s="7"/>
      <c r="X396" s="7"/>
      <c r="Y396" s="8"/>
      <c r="Z396" s="7"/>
      <c r="AA396" s="8"/>
      <c r="AF396" s="337" t="s">
        <v>483</v>
      </c>
      <c r="AG396" s="337" t="s">
        <v>484</v>
      </c>
    </row>
    <row r="397" spans="4:33" ht="14.25" thickTop="1" thickBot="1" x14ac:dyDescent="0.25">
      <c r="D397" s="341"/>
      <c r="E397" s="86" t="s">
        <v>318</v>
      </c>
      <c r="F397" s="7"/>
      <c r="G397" s="8"/>
      <c r="H397" s="7"/>
      <c r="I397" s="6"/>
      <c r="J397" s="7"/>
      <c r="K397" s="8"/>
      <c r="L397" s="7"/>
      <c r="M397" s="8"/>
      <c r="N397" s="7"/>
      <c r="O397" s="8"/>
      <c r="P397" s="7"/>
      <c r="Q397" s="7"/>
      <c r="R397" s="8"/>
      <c r="S397" s="7"/>
      <c r="T397" s="9"/>
      <c r="U397" s="7"/>
      <c r="V397" s="8"/>
      <c r="W397" s="7"/>
      <c r="X397" s="7"/>
      <c r="Y397" s="8"/>
      <c r="Z397" s="7"/>
      <c r="AA397" s="8"/>
      <c r="AF397" s="337" t="s">
        <v>483</v>
      </c>
      <c r="AG397" s="337" t="s">
        <v>1057</v>
      </c>
    </row>
    <row r="398" spans="4:33" ht="14.25" thickTop="1" thickBot="1" x14ac:dyDescent="0.25">
      <c r="D398" s="341"/>
      <c r="E398" s="86" t="s">
        <v>319</v>
      </c>
      <c r="F398" s="7"/>
      <c r="G398" s="8"/>
      <c r="H398" s="7"/>
      <c r="I398" s="6"/>
      <c r="J398" s="7"/>
      <c r="K398" s="8"/>
      <c r="L398" s="7"/>
      <c r="M398" s="8"/>
      <c r="N398" s="7"/>
      <c r="O398" s="8"/>
      <c r="P398" s="7"/>
      <c r="Q398" s="7"/>
      <c r="R398" s="8"/>
      <c r="S398" s="7"/>
      <c r="T398" s="9"/>
      <c r="U398" s="7"/>
      <c r="V398" s="8"/>
      <c r="W398" s="7"/>
      <c r="X398" s="7"/>
      <c r="Y398" s="8"/>
      <c r="Z398" s="7"/>
      <c r="AA398" s="8"/>
      <c r="AF398" s="337" t="s">
        <v>483</v>
      </c>
      <c r="AG398" s="337" t="s">
        <v>642</v>
      </c>
    </row>
    <row r="399" spans="4:33" ht="14.25" thickTop="1" thickBot="1" x14ac:dyDescent="0.25">
      <c r="D399" s="341"/>
      <c r="E399" s="86" t="s">
        <v>320</v>
      </c>
      <c r="F399" s="7"/>
      <c r="G399" s="8"/>
      <c r="H399" s="7"/>
      <c r="I399" s="6"/>
      <c r="J399" s="7"/>
      <c r="K399" s="8"/>
      <c r="L399" s="7"/>
      <c r="M399" s="8"/>
      <c r="N399" s="7"/>
      <c r="O399" s="8"/>
      <c r="P399" s="7"/>
      <c r="Q399" s="7"/>
      <c r="R399" s="8"/>
      <c r="S399" s="7"/>
      <c r="T399" s="9"/>
      <c r="U399" s="7"/>
      <c r="V399" s="8"/>
      <c r="W399" s="7"/>
      <c r="X399" s="7"/>
      <c r="Y399" s="8"/>
      <c r="Z399" s="7"/>
      <c r="AA399" s="8"/>
      <c r="AF399" s="337" t="s">
        <v>483</v>
      </c>
      <c r="AG399" s="337" t="s">
        <v>622</v>
      </c>
    </row>
    <row r="400" spans="4:33" ht="14.25" thickTop="1" thickBot="1" x14ac:dyDescent="0.25">
      <c r="D400" s="341"/>
      <c r="E400" s="86" t="s">
        <v>321</v>
      </c>
      <c r="F400" s="7"/>
      <c r="G400" s="8"/>
      <c r="H400" s="7"/>
      <c r="I400" s="6"/>
      <c r="J400" s="7"/>
      <c r="K400" s="8"/>
      <c r="L400" s="7"/>
      <c r="M400" s="8"/>
      <c r="N400" s="7"/>
      <c r="O400" s="8"/>
      <c r="P400" s="7"/>
      <c r="Q400" s="7"/>
      <c r="R400" s="8"/>
      <c r="S400" s="7"/>
      <c r="T400" s="9"/>
      <c r="U400" s="7"/>
      <c r="V400" s="8"/>
      <c r="W400" s="7"/>
      <c r="X400" s="7"/>
      <c r="Y400" s="8"/>
      <c r="Z400" s="7"/>
      <c r="AA400" s="8"/>
      <c r="AF400" s="337" t="s">
        <v>483</v>
      </c>
      <c r="AG400" s="337" t="s">
        <v>1072</v>
      </c>
    </row>
    <row r="401" spans="4:33" ht="14.25" thickTop="1" thickBot="1" x14ac:dyDescent="0.25">
      <c r="D401" s="341"/>
      <c r="E401" s="86" t="s">
        <v>322</v>
      </c>
      <c r="F401" s="7"/>
      <c r="G401" s="8"/>
      <c r="H401" s="7"/>
      <c r="I401" s="6"/>
      <c r="J401" s="7"/>
      <c r="K401" s="8"/>
      <c r="L401" s="7"/>
      <c r="M401" s="8"/>
      <c r="N401" s="7"/>
      <c r="O401" s="8"/>
      <c r="P401" s="7"/>
      <c r="Q401" s="7"/>
      <c r="R401" s="8"/>
      <c r="S401" s="7"/>
      <c r="T401" s="9"/>
      <c r="U401" s="7"/>
      <c r="V401" s="8"/>
      <c r="W401" s="7"/>
      <c r="X401" s="7"/>
      <c r="Y401" s="8"/>
      <c r="Z401" s="7"/>
      <c r="AA401" s="8"/>
      <c r="AF401" s="337" t="s">
        <v>483</v>
      </c>
      <c r="AG401" s="337" t="s">
        <v>1081</v>
      </c>
    </row>
    <row r="402" spans="4:33" ht="14.25" thickTop="1" thickBot="1" x14ac:dyDescent="0.25">
      <c r="D402" s="341"/>
      <c r="E402" s="86" t="s">
        <v>423</v>
      </c>
      <c r="F402" s="7"/>
      <c r="G402" s="8"/>
      <c r="H402" s="7"/>
      <c r="I402" s="6"/>
      <c r="J402" s="7"/>
      <c r="K402" s="8"/>
      <c r="L402" s="7"/>
      <c r="M402" s="8"/>
      <c r="N402" s="7"/>
      <c r="O402" s="8"/>
      <c r="P402" s="7"/>
      <c r="Q402" s="7"/>
      <c r="R402" s="8"/>
      <c r="S402" s="7"/>
      <c r="T402" s="9"/>
      <c r="U402" s="7"/>
      <c r="V402" s="8"/>
      <c r="W402" s="7"/>
      <c r="X402" s="7"/>
      <c r="Y402" s="8"/>
      <c r="Z402" s="7"/>
      <c r="AA402" s="8"/>
      <c r="AF402" s="337" t="s">
        <v>483</v>
      </c>
      <c r="AG402" s="337" t="s">
        <v>643</v>
      </c>
    </row>
    <row r="403" spans="4:33" ht="14.25" thickTop="1" thickBot="1" x14ac:dyDescent="0.25">
      <c r="D403" s="341"/>
      <c r="E403" s="86" t="s">
        <v>424</v>
      </c>
      <c r="F403" s="7"/>
      <c r="G403" s="8"/>
      <c r="H403" s="7"/>
      <c r="I403" s="6"/>
      <c r="J403" s="7"/>
      <c r="K403" s="8"/>
      <c r="L403" s="7"/>
      <c r="M403" s="8"/>
      <c r="N403" s="7"/>
      <c r="O403" s="8"/>
      <c r="P403" s="7"/>
      <c r="Q403" s="7"/>
      <c r="R403" s="8"/>
      <c r="S403" s="7"/>
      <c r="T403" s="9"/>
      <c r="U403" s="7"/>
      <c r="V403" s="8"/>
      <c r="W403" s="7"/>
      <c r="X403" s="7"/>
      <c r="Y403" s="8"/>
      <c r="Z403" s="7"/>
      <c r="AA403" s="8"/>
      <c r="AF403" s="337" t="s">
        <v>483</v>
      </c>
      <c r="AG403" s="337" t="s">
        <v>1082</v>
      </c>
    </row>
    <row r="404" spans="4:33" ht="14.25" thickTop="1" thickBot="1" x14ac:dyDescent="0.25">
      <c r="D404" s="341"/>
      <c r="E404" s="86" t="s">
        <v>391</v>
      </c>
      <c r="F404" s="7"/>
      <c r="G404" s="8"/>
      <c r="H404" s="7"/>
      <c r="I404" s="6"/>
      <c r="J404" s="7"/>
      <c r="K404" s="8"/>
      <c r="L404" s="7"/>
      <c r="M404" s="8"/>
      <c r="N404" s="7"/>
      <c r="O404" s="8"/>
      <c r="P404" s="7"/>
      <c r="Q404" s="7"/>
      <c r="R404" s="8"/>
      <c r="S404" s="7"/>
      <c r="T404" s="9"/>
      <c r="U404" s="7"/>
      <c r="V404" s="8"/>
      <c r="W404" s="7"/>
      <c r="X404" s="7"/>
      <c r="Y404" s="8"/>
      <c r="Z404" s="7"/>
      <c r="AA404" s="8"/>
      <c r="AF404" s="337" t="s">
        <v>483</v>
      </c>
      <c r="AG404" s="337" t="s">
        <v>668</v>
      </c>
    </row>
    <row r="405" spans="4:33" ht="14.25" thickTop="1" thickBot="1" x14ac:dyDescent="0.25">
      <c r="D405" s="341"/>
      <c r="E405" s="86" t="s">
        <v>323</v>
      </c>
      <c r="F405" s="7"/>
      <c r="G405" s="8"/>
      <c r="H405" s="7"/>
      <c r="I405" s="6"/>
      <c r="J405" s="7"/>
      <c r="K405" s="8"/>
      <c r="L405" s="7"/>
      <c r="M405" s="8"/>
      <c r="N405" s="7"/>
      <c r="O405" s="8"/>
      <c r="P405" s="7"/>
      <c r="Q405" s="7"/>
      <c r="R405" s="8"/>
      <c r="S405" s="7"/>
      <c r="T405" s="9"/>
      <c r="U405" s="7"/>
      <c r="V405" s="8"/>
      <c r="W405" s="7"/>
      <c r="X405" s="7"/>
      <c r="Y405" s="8"/>
      <c r="Z405" s="7"/>
      <c r="AA405" s="8"/>
      <c r="AF405" s="337" t="s">
        <v>483</v>
      </c>
      <c r="AG405" s="337" t="s">
        <v>1327</v>
      </c>
    </row>
    <row r="406" spans="4:33" ht="14.25" thickTop="1" thickBot="1" x14ac:dyDescent="0.25">
      <c r="D406" s="341"/>
      <c r="E406" s="86" t="s">
        <v>392</v>
      </c>
      <c r="F406" s="7"/>
      <c r="G406" s="8"/>
      <c r="H406" s="7"/>
      <c r="I406" s="6"/>
      <c r="J406" s="7"/>
      <c r="K406" s="8"/>
      <c r="L406" s="7"/>
      <c r="M406" s="8"/>
      <c r="N406" s="7"/>
      <c r="O406" s="8"/>
      <c r="P406" s="7"/>
      <c r="Q406" s="7"/>
      <c r="R406" s="8"/>
      <c r="S406" s="7"/>
      <c r="T406" s="9"/>
      <c r="U406" s="7"/>
      <c r="V406" s="8"/>
      <c r="W406" s="7"/>
      <c r="X406" s="7"/>
      <c r="Y406" s="8"/>
      <c r="Z406" s="7"/>
      <c r="AA406" s="8"/>
      <c r="AF406" s="337" t="s">
        <v>483</v>
      </c>
      <c r="AG406" s="337" t="s">
        <v>641</v>
      </c>
    </row>
    <row r="407" spans="4:33" ht="14.25" thickTop="1" thickBot="1" x14ac:dyDescent="0.25">
      <c r="D407" s="341"/>
      <c r="E407" s="86" t="s">
        <v>324</v>
      </c>
      <c r="F407" s="7"/>
      <c r="G407" s="8"/>
      <c r="H407" s="7"/>
      <c r="I407" s="6"/>
      <c r="J407" s="7"/>
      <c r="K407" s="8"/>
      <c r="L407" s="7"/>
      <c r="M407" s="8"/>
      <c r="N407" s="7"/>
      <c r="O407" s="8"/>
      <c r="P407" s="7"/>
      <c r="Q407" s="7"/>
      <c r="R407" s="8"/>
      <c r="S407" s="7"/>
      <c r="T407" s="9"/>
      <c r="U407" s="7"/>
      <c r="V407" s="8"/>
      <c r="W407" s="7"/>
      <c r="X407" s="7"/>
      <c r="Y407" s="8"/>
      <c r="Z407" s="7"/>
      <c r="AA407" s="8"/>
      <c r="AF407" s="337" t="s">
        <v>483</v>
      </c>
      <c r="AG407" s="337" t="s">
        <v>638</v>
      </c>
    </row>
    <row r="408" spans="4:33" ht="14.25" thickTop="1" thickBot="1" x14ac:dyDescent="0.25">
      <c r="D408" s="341"/>
      <c r="E408" s="86" t="s">
        <v>425</v>
      </c>
      <c r="F408" s="7"/>
      <c r="G408" s="8"/>
      <c r="H408" s="7"/>
      <c r="I408" s="6"/>
      <c r="J408" s="7"/>
      <c r="K408" s="8"/>
      <c r="L408" s="7"/>
      <c r="M408" s="8"/>
      <c r="N408" s="7"/>
      <c r="O408" s="8"/>
      <c r="P408" s="7"/>
      <c r="Q408" s="7"/>
      <c r="R408" s="8"/>
      <c r="S408" s="7"/>
      <c r="T408" s="9"/>
      <c r="U408" s="7"/>
      <c r="V408" s="8"/>
      <c r="W408" s="7"/>
      <c r="X408" s="7"/>
      <c r="Y408" s="8"/>
      <c r="Z408" s="7"/>
      <c r="AA408" s="8"/>
      <c r="AF408" s="337" t="s">
        <v>483</v>
      </c>
      <c r="AG408" s="337" t="s">
        <v>683</v>
      </c>
    </row>
    <row r="409" spans="4:33" ht="14.25" thickTop="1" thickBot="1" x14ac:dyDescent="0.25">
      <c r="D409" s="341"/>
      <c r="E409" s="86" t="s">
        <v>325</v>
      </c>
      <c r="F409" s="7"/>
      <c r="G409" s="8"/>
      <c r="H409" s="7"/>
      <c r="I409" s="6"/>
      <c r="J409" s="7"/>
      <c r="K409" s="8"/>
      <c r="L409" s="7"/>
      <c r="M409" s="8"/>
      <c r="N409" s="7"/>
      <c r="O409" s="8"/>
      <c r="P409" s="7"/>
      <c r="Q409" s="7"/>
      <c r="R409" s="8"/>
      <c r="S409" s="7"/>
      <c r="T409" s="9"/>
      <c r="U409" s="7"/>
      <c r="V409" s="8"/>
      <c r="W409" s="7"/>
      <c r="X409" s="7"/>
      <c r="Y409" s="8"/>
      <c r="Z409" s="7"/>
      <c r="AA409" s="8"/>
      <c r="AF409" s="337" t="s">
        <v>308</v>
      </c>
      <c r="AG409" s="337" t="s">
        <v>309</v>
      </c>
    </row>
    <row r="410" spans="4:33" ht="14.25" thickTop="1" thickBot="1" x14ac:dyDescent="0.25">
      <c r="D410" s="341"/>
      <c r="E410" s="86" t="s">
        <v>1336</v>
      </c>
      <c r="F410" s="7"/>
      <c r="G410" s="8"/>
      <c r="H410" s="7"/>
      <c r="I410" s="6"/>
      <c r="J410" s="7"/>
      <c r="K410" s="8"/>
      <c r="L410" s="7"/>
      <c r="M410" s="8"/>
      <c r="N410" s="7"/>
      <c r="O410" s="8"/>
      <c r="P410" s="7"/>
      <c r="Q410" s="7"/>
      <c r="R410" s="8"/>
      <c r="S410" s="7"/>
      <c r="T410" s="9"/>
      <c r="U410" s="7"/>
      <c r="V410" s="8"/>
      <c r="W410" s="7"/>
      <c r="X410" s="7"/>
      <c r="Y410" s="8"/>
      <c r="Z410" s="7"/>
      <c r="AA410" s="8"/>
      <c r="AF410" s="337" t="s">
        <v>308</v>
      </c>
      <c r="AG410" s="337" t="s">
        <v>2496</v>
      </c>
    </row>
    <row r="411" spans="4:33" ht="14.25" thickTop="1" thickBot="1" x14ac:dyDescent="0.25">
      <c r="D411" s="341"/>
      <c r="E411" s="86" t="s">
        <v>326</v>
      </c>
      <c r="F411" s="7"/>
      <c r="G411" s="8"/>
      <c r="H411" s="7"/>
      <c r="I411" s="6"/>
      <c r="J411" s="7"/>
      <c r="K411" s="8"/>
      <c r="L411" s="7"/>
      <c r="M411" s="8"/>
      <c r="N411" s="7"/>
      <c r="O411" s="8"/>
      <c r="P411" s="7"/>
      <c r="Q411" s="7"/>
      <c r="R411" s="8"/>
      <c r="S411" s="7"/>
      <c r="T411" s="9"/>
      <c r="U411" s="7"/>
      <c r="V411" s="8"/>
      <c r="W411" s="7"/>
      <c r="X411" s="7"/>
      <c r="Y411" s="8"/>
      <c r="Z411" s="7"/>
      <c r="AA411" s="8"/>
      <c r="AF411" s="337" t="s">
        <v>308</v>
      </c>
      <c r="AG411" s="337" t="s">
        <v>397</v>
      </c>
    </row>
    <row r="412" spans="4:33" ht="14.25" thickTop="1" thickBot="1" x14ac:dyDescent="0.25">
      <c r="D412" s="341"/>
      <c r="E412" s="86" t="s">
        <v>427</v>
      </c>
      <c r="F412" s="7"/>
      <c r="G412" s="8"/>
      <c r="H412" s="7"/>
      <c r="I412" s="6"/>
      <c r="J412" s="7"/>
      <c r="K412" s="8"/>
      <c r="L412" s="7"/>
      <c r="M412" s="8"/>
      <c r="N412" s="7"/>
      <c r="O412" s="8"/>
      <c r="P412" s="7"/>
      <c r="Q412" s="7"/>
      <c r="R412" s="8"/>
      <c r="S412" s="7"/>
      <c r="T412" s="9"/>
      <c r="U412" s="7"/>
      <c r="V412" s="8"/>
      <c r="W412" s="7"/>
      <c r="X412" s="7"/>
      <c r="Y412" s="8"/>
      <c r="Z412" s="7"/>
      <c r="AA412" s="8"/>
      <c r="AF412" s="337" t="s">
        <v>308</v>
      </c>
      <c r="AG412" s="337" t="s">
        <v>310</v>
      </c>
    </row>
    <row r="413" spans="4:33" ht="14.25" thickTop="1" thickBot="1" x14ac:dyDescent="0.25">
      <c r="D413" s="341"/>
      <c r="E413" s="86" t="s">
        <v>327</v>
      </c>
      <c r="F413" s="7"/>
      <c r="G413" s="8"/>
      <c r="H413" s="7"/>
      <c r="I413" s="6"/>
      <c r="J413" s="7"/>
      <c r="K413" s="8"/>
      <c r="L413" s="7"/>
      <c r="M413" s="8"/>
      <c r="N413" s="7"/>
      <c r="O413" s="8"/>
      <c r="P413" s="7"/>
      <c r="Q413" s="7"/>
      <c r="R413" s="8"/>
      <c r="S413" s="7"/>
      <c r="T413" s="9"/>
      <c r="U413" s="7"/>
      <c r="V413" s="8"/>
      <c r="W413" s="7"/>
      <c r="X413" s="7"/>
      <c r="Y413" s="8"/>
      <c r="Z413" s="7"/>
      <c r="AA413" s="8"/>
      <c r="AF413" s="337" t="s">
        <v>308</v>
      </c>
      <c r="AG413" s="337" t="s">
        <v>1312</v>
      </c>
    </row>
    <row r="414" spans="4:33" ht="14.25" thickTop="1" thickBot="1" x14ac:dyDescent="0.25">
      <c r="D414" s="341"/>
      <c r="E414" s="86" t="s">
        <v>328</v>
      </c>
      <c r="F414" s="7"/>
      <c r="G414" s="8"/>
      <c r="H414" s="7"/>
      <c r="I414" s="6"/>
      <c r="J414" s="7"/>
      <c r="K414" s="8"/>
      <c r="L414" s="7"/>
      <c r="M414" s="8"/>
      <c r="N414" s="7"/>
      <c r="O414" s="8"/>
      <c r="P414" s="7"/>
      <c r="Q414" s="7"/>
      <c r="R414" s="8"/>
      <c r="S414" s="7"/>
      <c r="T414" s="9"/>
      <c r="U414" s="7"/>
      <c r="V414" s="8"/>
      <c r="W414" s="7"/>
      <c r="X414" s="7"/>
      <c r="Y414" s="8"/>
      <c r="Z414" s="7"/>
      <c r="AA414" s="8"/>
      <c r="AF414" s="337" t="s">
        <v>308</v>
      </c>
      <c r="AG414" s="337" t="s">
        <v>311</v>
      </c>
    </row>
    <row r="415" spans="4:33" ht="14.25" thickTop="1" thickBot="1" x14ac:dyDescent="0.25">
      <c r="D415" s="341"/>
      <c r="E415" s="86" t="s">
        <v>1237</v>
      </c>
      <c r="F415" s="7"/>
      <c r="G415" s="8"/>
      <c r="H415" s="7"/>
      <c r="I415" s="6"/>
      <c r="J415" s="7"/>
      <c r="K415" s="8"/>
      <c r="L415" s="7"/>
      <c r="M415" s="8"/>
      <c r="N415" s="7"/>
      <c r="O415" s="8"/>
      <c r="P415" s="7"/>
      <c r="Q415" s="7"/>
      <c r="R415" s="8"/>
      <c r="S415" s="7"/>
      <c r="T415" s="9"/>
      <c r="U415" s="7"/>
      <c r="V415" s="8"/>
      <c r="W415" s="7"/>
      <c r="X415" s="7"/>
      <c r="Y415" s="8"/>
      <c r="Z415" s="7"/>
      <c r="AA415" s="8"/>
      <c r="AF415" s="337" t="s">
        <v>308</v>
      </c>
      <c r="AG415" s="337" t="s">
        <v>1229</v>
      </c>
    </row>
    <row r="416" spans="4:33" ht="14.25" thickTop="1" thickBot="1" x14ac:dyDescent="0.25">
      <c r="D416" s="341"/>
      <c r="E416" s="86" t="s">
        <v>1167</v>
      </c>
      <c r="F416" s="7"/>
      <c r="G416" s="8"/>
      <c r="H416" s="7"/>
      <c r="I416" s="6"/>
      <c r="J416" s="7"/>
      <c r="K416" s="8"/>
      <c r="L416" s="7"/>
      <c r="M416" s="8"/>
      <c r="N416" s="7"/>
      <c r="O416" s="8"/>
      <c r="P416" s="7"/>
      <c r="Q416" s="7"/>
      <c r="R416" s="8"/>
      <c r="S416" s="7"/>
      <c r="T416" s="9"/>
      <c r="U416" s="7"/>
      <c r="V416" s="8"/>
      <c r="W416" s="7"/>
      <c r="X416" s="7"/>
      <c r="Y416" s="8"/>
      <c r="Z416" s="7"/>
      <c r="AA416" s="8"/>
      <c r="AF416" s="337" t="s">
        <v>308</v>
      </c>
      <c r="AG416" s="337" t="s">
        <v>312</v>
      </c>
    </row>
    <row r="417" spans="4:33" ht="14.25" thickTop="1" thickBot="1" x14ac:dyDescent="0.25">
      <c r="D417" s="341"/>
      <c r="E417" s="86" t="s">
        <v>1168</v>
      </c>
      <c r="F417" s="7"/>
      <c r="G417" s="8"/>
      <c r="H417" s="7"/>
      <c r="I417" s="6"/>
      <c r="J417" s="7"/>
      <c r="K417" s="8"/>
      <c r="L417" s="7"/>
      <c r="M417" s="8"/>
      <c r="N417" s="7"/>
      <c r="O417" s="8"/>
      <c r="P417" s="7"/>
      <c r="Q417" s="7"/>
      <c r="R417" s="8"/>
      <c r="S417" s="7"/>
      <c r="T417" s="9"/>
      <c r="U417" s="7"/>
      <c r="V417" s="8"/>
      <c r="W417" s="7"/>
      <c r="X417" s="7"/>
      <c r="Y417" s="8"/>
      <c r="Z417" s="7"/>
      <c r="AA417" s="8"/>
      <c r="AF417" s="337" t="s">
        <v>313</v>
      </c>
      <c r="AG417" s="337" t="s">
        <v>1223</v>
      </c>
    </row>
    <row r="418" spans="4:33" ht="14.25" thickTop="1" thickBot="1" x14ac:dyDescent="0.25">
      <c r="D418" s="341"/>
      <c r="E418" s="86" t="s">
        <v>890</v>
      </c>
      <c r="F418" s="7"/>
      <c r="G418" s="8"/>
      <c r="H418" s="7"/>
      <c r="I418" s="6"/>
      <c r="J418" s="7"/>
      <c r="K418" s="8"/>
      <c r="L418" s="7"/>
      <c r="M418" s="8"/>
      <c r="N418" s="7"/>
      <c r="O418" s="8"/>
      <c r="P418" s="7"/>
      <c r="Q418" s="7"/>
      <c r="R418" s="8"/>
      <c r="S418" s="7"/>
      <c r="T418" s="9"/>
      <c r="U418" s="7"/>
      <c r="V418" s="8"/>
      <c r="W418" s="7"/>
      <c r="X418" s="7"/>
      <c r="Y418" s="8"/>
      <c r="Z418" s="7"/>
      <c r="AA418" s="8"/>
      <c r="AF418" s="337" t="s">
        <v>313</v>
      </c>
      <c r="AG418" s="337" t="s">
        <v>1219</v>
      </c>
    </row>
    <row r="419" spans="4:33" ht="14.25" thickTop="1" thickBot="1" x14ac:dyDescent="0.25">
      <c r="D419" s="341"/>
      <c r="E419" s="86" t="s">
        <v>933</v>
      </c>
      <c r="F419" s="7"/>
      <c r="G419" s="8"/>
      <c r="H419" s="7"/>
      <c r="I419" s="6"/>
      <c r="J419" s="7"/>
      <c r="K419" s="8"/>
      <c r="L419" s="7"/>
      <c r="M419" s="8"/>
      <c r="N419" s="7"/>
      <c r="O419" s="8"/>
      <c r="P419" s="7"/>
      <c r="Q419" s="7"/>
      <c r="R419" s="8"/>
      <c r="S419" s="7"/>
      <c r="T419" s="9"/>
      <c r="U419" s="7"/>
      <c r="V419" s="8"/>
      <c r="W419" s="7"/>
      <c r="X419" s="7"/>
      <c r="Y419" s="8"/>
      <c r="Z419" s="7"/>
      <c r="AA419" s="8"/>
      <c r="AF419" s="337" t="s">
        <v>313</v>
      </c>
      <c r="AG419" s="337" t="s">
        <v>313</v>
      </c>
    </row>
    <row r="420" spans="4:33" ht="14.25" thickTop="1" thickBot="1" x14ac:dyDescent="0.25">
      <c r="D420" s="341"/>
      <c r="E420" s="86" t="s">
        <v>880</v>
      </c>
      <c r="F420" s="7"/>
      <c r="G420" s="8"/>
      <c r="H420" s="7"/>
      <c r="I420" s="6"/>
      <c r="J420" s="7"/>
      <c r="K420" s="8"/>
      <c r="L420" s="7"/>
      <c r="M420" s="8"/>
      <c r="N420" s="7"/>
      <c r="O420" s="8"/>
      <c r="P420" s="7"/>
      <c r="Q420" s="7"/>
      <c r="R420" s="8"/>
      <c r="S420" s="7"/>
      <c r="T420" s="9"/>
      <c r="U420" s="7"/>
      <c r="V420" s="8"/>
      <c r="W420" s="7"/>
      <c r="X420" s="7"/>
      <c r="Y420" s="8"/>
      <c r="Z420" s="7"/>
      <c r="AA420" s="8"/>
      <c r="AF420" s="337" t="s">
        <v>313</v>
      </c>
      <c r="AG420" s="337" t="s">
        <v>1224</v>
      </c>
    </row>
    <row r="421" spans="4:33" ht="14.25" thickTop="1" thickBot="1" x14ac:dyDescent="0.25">
      <c r="D421" s="341"/>
      <c r="E421" s="86" t="s">
        <v>1152</v>
      </c>
      <c r="F421" s="7"/>
      <c r="G421" s="8"/>
      <c r="H421" s="7"/>
      <c r="I421" s="6"/>
      <c r="J421" s="7"/>
      <c r="K421" s="8"/>
      <c r="L421" s="7"/>
      <c r="M421" s="8"/>
      <c r="N421" s="7"/>
      <c r="O421" s="8"/>
      <c r="P421" s="7"/>
      <c r="Q421" s="7"/>
      <c r="R421" s="8"/>
      <c r="S421" s="7"/>
      <c r="T421" s="9"/>
      <c r="U421" s="7"/>
      <c r="V421" s="8"/>
      <c r="W421" s="7"/>
      <c r="X421" s="7"/>
      <c r="Y421" s="8"/>
      <c r="Z421" s="7"/>
      <c r="AA421" s="8"/>
      <c r="AF421" s="337" t="s">
        <v>313</v>
      </c>
      <c r="AG421" s="337" t="s">
        <v>314</v>
      </c>
    </row>
    <row r="422" spans="4:33" ht="14.25" thickTop="1" thickBot="1" x14ac:dyDescent="0.25">
      <c r="D422" s="341"/>
      <c r="E422" s="86" t="s">
        <v>1497</v>
      </c>
      <c r="F422" s="7"/>
      <c r="G422" s="8"/>
      <c r="H422" s="7"/>
      <c r="I422" s="6"/>
      <c r="J422" s="7"/>
      <c r="K422" s="8"/>
      <c r="L422" s="7"/>
      <c r="M422" s="8"/>
      <c r="N422" s="7"/>
      <c r="O422" s="8"/>
      <c r="P422" s="7"/>
      <c r="Q422" s="7"/>
      <c r="R422" s="8"/>
      <c r="S422" s="7"/>
      <c r="T422" s="9"/>
      <c r="U422" s="7"/>
      <c r="V422" s="8"/>
      <c r="W422" s="7"/>
      <c r="X422" s="7"/>
      <c r="Y422" s="8"/>
      <c r="Z422" s="7"/>
      <c r="AA422" s="8"/>
      <c r="AF422" s="337" t="s">
        <v>313</v>
      </c>
      <c r="AG422" s="337" t="s">
        <v>1491</v>
      </c>
    </row>
    <row r="423" spans="4:33" ht="14.25" thickTop="1" thickBot="1" x14ac:dyDescent="0.25">
      <c r="D423" s="341"/>
      <c r="E423" s="86" t="s">
        <v>1290</v>
      </c>
      <c r="F423" s="7"/>
      <c r="G423" s="8"/>
      <c r="H423" s="7"/>
      <c r="I423" s="6"/>
      <c r="J423" s="7"/>
      <c r="K423" s="8"/>
      <c r="L423" s="7"/>
      <c r="M423" s="8"/>
      <c r="N423" s="7"/>
      <c r="O423" s="8"/>
      <c r="P423" s="7"/>
      <c r="Q423" s="7"/>
      <c r="R423" s="8"/>
      <c r="S423" s="7"/>
      <c r="T423" s="9"/>
      <c r="U423" s="7"/>
      <c r="V423" s="8"/>
      <c r="W423" s="7"/>
      <c r="X423" s="7"/>
      <c r="Y423" s="8"/>
      <c r="Z423" s="7"/>
      <c r="AA423" s="8"/>
      <c r="AF423" s="337" t="s">
        <v>313</v>
      </c>
      <c r="AG423" s="337" t="s">
        <v>396</v>
      </c>
    </row>
    <row r="424" spans="4:33" ht="14.25" thickTop="1" thickBot="1" x14ac:dyDescent="0.25">
      <c r="D424" s="341"/>
      <c r="E424" s="86" t="s">
        <v>330</v>
      </c>
      <c r="F424" s="7"/>
      <c r="G424" s="8"/>
      <c r="H424" s="7"/>
      <c r="I424" s="6"/>
      <c r="J424" s="7"/>
      <c r="K424" s="8"/>
      <c r="L424" s="7"/>
      <c r="M424" s="8"/>
      <c r="N424" s="7"/>
      <c r="O424" s="8"/>
      <c r="P424" s="7"/>
      <c r="Q424" s="7"/>
      <c r="R424" s="8"/>
      <c r="S424" s="7"/>
      <c r="T424" s="9"/>
      <c r="U424" s="7"/>
      <c r="V424" s="8"/>
      <c r="W424" s="7"/>
      <c r="X424" s="7"/>
      <c r="Y424" s="8"/>
      <c r="Z424" s="7"/>
      <c r="AA424" s="8"/>
      <c r="AF424" s="337" t="s">
        <v>361</v>
      </c>
      <c r="AG424" s="337" t="s">
        <v>362</v>
      </c>
    </row>
    <row r="425" spans="4:33" ht="14.25" thickTop="1" thickBot="1" x14ac:dyDescent="0.25">
      <c r="D425" s="341"/>
      <c r="E425" s="86" t="s">
        <v>1315</v>
      </c>
      <c r="F425" s="7"/>
      <c r="G425" s="8"/>
      <c r="H425" s="7"/>
      <c r="I425" s="6"/>
      <c r="J425" s="7"/>
      <c r="K425" s="8"/>
      <c r="L425" s="7"/>
      <c r="M425" s="8"/>
      <c r="N425" s="7"/>
      <c r="O425" s="8"/>
      <c r="P425" s="7"/>
      <c r="Q425" s="7"/>
      <c r="R425" s="8"/>
      <c r="S425" s="7"/>
      <c r="T425" s="9"/>
      <c r="U425" s="7"/>
      <c r="V425" s="8"/>
      <c r="W425" s="7"/>
      <c r="X425" s="7"/>
      <c r="Y425" s="8"/>
      <c r="Z425" s="7"/>
      <c r="AA425" s="8"/>
      <c r="AF425" s="337" t="s">
        <v>361</v>
      </c>
      <c r="AG425" s="337" t="s">
        <v>1210</v>
      </c>
    </row>
    <row r="426" spans="4:33" ht="14.25" thickTop="1" thickBot="1" x14ac:dyDescent="0.25">
      <c r="D426" s="341"/>
      <c r="E426" s="86" t="s">
        <v>955</v>
      </c>
      <c r="F426" s="7"/>
      <c r="G426" s="8"/>
      <c r="H426" s="7"/>
      <c r="I426" s="6"/>
      <c r="J426" s="7"/>
      <c r="K426" s="8"/>
      <c r="L426" s="7"/>
      <c r="M426" s="8"/>
      <c r="N426" s="7"/>
      <c r="O426" s="8"/>
      <c r="P426" s="7"/>
      <c r="Q426" s="7"/>
      <c r="R426" s="8"/>
      <c r="S426" s="7"/>
      <c r="T426" s="9"/>
      <c r="U426" s="7"/>
      <c r="V426" s="8"/>
      <c r="W426" s="7"/>
      <c r="X426" s="7"/>
      <c r="Y426" s="8"/>
      <c r="Z426" s="7"/>
      <c r="AA426" s="8"/>
      <c r="AF426" s="337" t="s">
        <v>361</v>
      </c>
      <c r="AG426" s="337" t="s">
        <v>389</v>
      </c>
    </row>
    <row r="427" spans="4:33" ht="14.25" thickTop="1" thickBot="1" x14ac:dyDescent="0.25">
      <c r="D427" s="341"/>
      <c r="E427" s="86" t="s">
        <v>371</v>
      </c>
      <c r="F427" s="7"/>
      <c r="G427" s="8"/>
      <c r="H427" s="7"/>
      <c r="I427" s="6"/>
      <c r="J427" s="7"/>
      <c r="K427" s="8"/>
      <c r="L427" s="7"/>
      <c r="M427" s="8"/>
      <c r="N427" s="7"/>
      <c r="O427" s="8"/>
      <c r="P427" s="7"/>
      <c r="Q427" s="7"/>
      <c r="R427" s="8"/>
      <c r="S427" s="7"/>
      <c r="T427" s="9"/>
      <c r="U427" s="7"/>
      <c r="V427" s="8"/>
      <c r="W427" s="7"/>
      <c r="X427" s="7"/>
      <c r="Y427" s="8"/>
      <c r="Z427" s="7"/>
      <c r="AA427" s="8"/>
      <c r="AF427" s="337" t="s">
        <v>361</v>
      </c>
      <c r="AG427" s="337" t="s">
        <v>373</v>
      </c>
    </row>
    <row r="428" spans="4:33" ht="14.25" thickTop="1" thickBot="1" x14ac:dyDescent="0.25">
      <c r="D428" s="341"/>
      <c r="E428" s="86" t="s">
        <v>372</v>
      </c>
      <c r="F428" s="7"/>
      <c r="G428" s="8"/>
      <c r="H428" s="7"/>
      <c r="I428" s="6"/>
      <c r="J428" s="7"/>
      <c r="K428" s="8"/>
      <c r="L428" s="7"/>
      <c r="M428" s="8"/>
      <c r="N428" s="7"/>
      <c r="O428" s="8"/>
      <c r="P428" s="7"/>
      <c r="Q428" s="7"/>
      <c r="R428" s="8"/>
      <c r="S428" s="7"/>
      <c r="T428" s="9"/>
      <c r="U428" s="7"/>
      <c r="V428" s="8"/>
      <c r="W428" s="7"/>
      <c r="X428" s="7"/>
      <c r="Y428" s="8"/>
      <c r="Z428" s="7"/>
      <c r="AA428" s="8"/>
      <c r="AF428" s="337" t="s">
        <v>361</v>
      </c>
      <c r="AG428" s="337" t="s">
        <v>450</v>
      </c>
    </row>
    <row r="429" spans="4:33" ht="14.25" thickTop="1" thickBot="1" x14ac:dyDescent="0.25">
      <c r="D429" s="341"/>
      <c r="E429" s="86" t="s">
        <v>1328</v>
      </c>
      <c r="F429" s="7"/>
      <c r="G429" s="8"/>
      <c r="H429" s="7"/>
      <c r="I429" s="6"/>
      <c r="J429" s="7"/>
      <c r="K429" s="8"/>
      <c r="L429" s="7"/>
      <c r="M429" s="8"/>
      <c r="N429" s="7"/>
      <c r="O429" s="8"/>
      <c r="P429" s="7"/>
      <c r="Q429" s="7"/>
      <c r="R429" s="8"/>
      <c r="S429" s="7"/>
      <c r="T429" s="9"/>
      <c r="U429" s="7"/>
      <c r="V429" s="8"/>
      <c r="W429" s="7"/>
      <c r="X429" s="7"/>
      <c r="Y429" s="8"/>
      <c r="Z429" s="7"/>
      <c r="AA429" s="8"/>
      <c r="AF429" s="337" t="s">
        <v>361</v>
      </c>
      <c r="AG429" s="337" t="s">
        <v>363</v>
      </c>
    </row>
    <row r="430" spans="4:33" ht="14.25" thickTop="1" thickBot="1" x14ac:dyDescent="0.25">
      <c r="D430" s="341"/>
      <c r="E430" s="86" t="s">
        <v>1261</v>
      </c>
      <c r="F430" s="7"/>
      <c r="G430" s="8"/>
      <c r="H430" s="7"/>
      <c r="I430" s="6"/>
      <c r="J430" s="7"/>
      <c r="K430" s="8"/>
      <c r="L430" s="7"/>
      <c r="M430" s="8"/>
      <c r="N430" s="7"/>
      <c r="O430" s="8"/>
      <c r="P430" s="7"/>
      <c r="Q430" s="7"/>
      <c r="R430" s="8"/>
      <c r="S430" s="7"/>
      <c r="T430" s="9"/>
      <c r="U430" s="7"/>
      <c r="V430" s="8"/>
      <c r="W430" s="7"/>
      <c r="X430" s="7"/>
      <c r="Y430" s="8"/>
      <c r="Z430" s="7"/>
      <c r="AA430" s="8"/>
      <c r="AF430" s="337" t="s">
        <v>361</v>
      </c>
      <c r="AG430" s="337" t="s">
        <v>365</v>
      </c>
    </row>
    <row r="431" spans="4:33" ht="14.25" thickTop="1" thickBot="1" x14ac:dyDescent="0.25">
      <c r="D431" s="341"/>
      <c r="E431" s="86" t="s">
        <v>1314</v>
      </c>
      <c r="F431" s="7"/>
      <c r="G431" s="8"/>
      <c r="H431" s="7"/>
      <c r="I431" s="6"/>
      <c r="J431" s="7"/>
      <c r="K431" s="8"/>
      <c r="L431" s="7"/>
      <c r="M431" s="8"/>
      <c r="N431" s="7"/>
      <c r="O431" s="8"/>
      <c r="P431" s="7"/>
      <c r="Q431" s="7"/>
      <c r="R431" s="8"/>
      <c r="S431" s="7"/>
      <c r="T431" s="9"/>
      <c r="U431" s="7"/>
      <c r="V431" s="8"/>
      <c r="W431" s="7"/>
      <c r="X431" s="7"/>
      <c r="Y431" s="8"/>
      <c r="Z431" s="7"/>
      <c r="AA431" s="8"/>
      <c r="AF431" s="337" t="s">
        <v>361</v>
      </c>
      <c r="AG431" s="337" t="s">
        <v>1201</v>
      </c>
    </row>
    <row r="432" spans="4:33" ht="14.25" thickTop="1" thickBot="1" x14ac:dyDescent="0.25">
      <c r="D432" s="341"/>
      <c r="E432" s="86" t="s">
        <v>393</v>
      </c>
      <c r="F432" s="7"/>
      <c r="G432" s="8"/>
      <c r="H432" s="7"/>
      <c r="I432" s="6"/>
      <c r="J432" s="7"/>
      <c r="K432" s="8"/>
      <c r="L432" s="7"/>
      <c r="M432" s="8"/>
      <c r="N432" s="7"/>
      <c r="O432" s="8"/>
      <c r="P432" s="7"/>
      <c r="Q432" s="7"/>
      <c r="R432" s="8"/>
      <c r="S432" s="7"/>
      <c r="T432" s="9"/>
      <c r="U432" s="7"/>
      <c r="V432" s="8"/>
      <c r="W432" s="7"/>
      <c r="X432" s="7"/>
      <c r="Y432" s="8"/>
      <c r="Z432" s="7"/>
      <c r="AA432" s="8"/>
      <c r="AF432" s="337" t="s">
        <v>361</v>
      </c>
      <c r="AG432" s="337" t="s">
        <v>449</v>
      </c>
    </row>
    <row r="433" spans="4:33" ht="14.25" thickTop="1" thickBot="1" x14ac:dyDescent="0.25">
      <c r="D433" s="341"/>
      <c r="E433" s="86" t="s">
        <v>375</v>
      </c>
      <c r="F433" s="7"/>
      <c r="G433" s="8"/>
      <c r="H433" s="7"/>
      <c r="I433" s="6"/>
      <c r="J433" s="7"/>
      <c r="K433" s="8"/>
      <c r="L433" s="7"/>
      <c r="M433" s="8"/>
      <c r="N433" s="7"/>
      <c r="O433" s="8"/>
      <c r="P433" s="7"/>
      <c r="Q433" s="7"/>
      <c r="R433" s="8"/>
      <c r="S433" s="7"/>
      <c r="T433" s="9"/>
      <c r="U433" s="7"/>
      <c r="V433" s="8"/>
      <c r="W433" s="7"/>
      <c r="X433" s="7"/>
      <c r="Y433" s="8"/>
      <c r="Z433" s="7"/>
      <c r="AA433" s="8"/>
      <c r="AF433" s="337" t="s">
        <v>361</v>
      </c>
      <c r="AG433" s="337" t="s">
        <v>441</v>
      </c>
    </row>
    <row r="434" spans="4:33" ht="14.25" thickTop="1" thickBot="1" x14ac:dyDescent="0.25">
      <c r="D434" s="341"/>
      <c r="E434" s="86" t="s">
        <v>376</v>
      </c>
      <c r="F434" s="7"/>
      <c r="G434" s="8"/>
      <c r="H434" s="7"/>
      <c r="I434" s="6"/>
      <c r="J434" s="7"/>
      <c r="K434" s="8"/>
      <c r="L434" s="7"/>
      <c r="M434" s="8"/>
      <c r="N434" s="7"/>
      <c r="O434" s="8"/>
      <c r="P434" s="7"/>
      <c r="Q434" s="7"/>
      <c r="R434" s="8"/>
      <c r="S434" s="7"/>
      <c r="T434" s="9"/>
      <c r="U434" s="7"/>
      <c r="V434" s="8"/>
      <c r="W434" s="7"/>
      <c r="X434" s="7"/>
      <c r="Y434" s="8"/>
      <c r="Z434" s="7"/>
      <c r="AA434" s="8"/>
      <c r="AF434" s="337" t="s">
        <v>361</v>
      </c>
      <c r="AG434" s="337" t="s">
        <v>442</v>
      </c>
    </row>
    <row r="435" spans="4:33" ht="14.25" thickTop="1" thickBot="1" x14ac:dyDescent="0.25">
      <c r="D435" s="341"/>
      <c r="E435" s="86" t="s">
        <v>428</v>
      </c>
      <c r="F435" s="7"/>
      <c r="G435" s="8"/>
      <c r="H435" s="7"/>
      <c r="I435" s="6"/>
      <c r="J435" s="7"/>
      <c r="K435" s="8"/>
      <c r="L435" s="7"/>
      <c r="M435" s="8"/>
      <c r="N435" s="7"/>
      <c r="O435" s="8"/>
      <c r="P435" s="7"/>
      <c r="Q435" s="7"/>
      <c r="R435" s="8"/>
      <c r="S435" s="7"/>
      <c r="T435" s="9"/>
      <c r="U435" s="7"/>
      <c r="V435" s="8"/>
      <c r="W435" s="7"/>
      <c r="X435" s="7"/>
      <c r="Y435" s="8"/>
      <c r="Z435" s="7"/>
      <c r="AA435" s="8"/>
      <c r="AF435" s="337" t="s">
        <v>361</v>
      </c>
      <c r="AG435" s="337" t="s">
        <v>1297</v>
      </c>
    </row>
    <row r="436" spans="4:33" ht="14.25" thickTop="1" thickBot="1" x14ac:dyDescent="0.25">
      <c r="D436" s="341"/>
      <c r="E436" s="86" t="s">
        <v>331</v>
      </c>
      <c r="F436" s="7"/>
      <c r="G436" s="8"/>
      <c r="H436" s="7"/>
      <c r="I436" s="6"/>
      <c r="J436" s="7"/>
      <c r="K436" s="8"/>
      <c r="L436" s="7"/>
      <c r="M436" s="8"/>
      <c r="N436" s="7"/>
      <c r="O436" s="8"/>
      <c r="P436" s="7"/>
      <c r="Q436" s="7"/>
      <c r="R436" s="8"/>
      <c r="S436" s="7"/>
      <c r="T436" s="9"/>
      <c r="U436" s="7"/>
      <c r="V436" s="8"/>
      <c r="W436" s="7"/>
      <c r="X436" s="7"/>
      <c r="Y436" s="8"/>
      <c r="Z436" s="7"/>
      <c r="AA436" s="8"/>
      <c r="AF436" s="337" t="s">
        <v>361</v>
      </c>
      <c r="AG436" s="337" t="s">
        <v>1299</v>
      </c>
    </row>
    <row r="437" spans="4:33" ht="14.25" thickTop="1" thickBot="1" x14ac:dyDescent="0.25">
      <c r="D437" s="341"/>
      <c r="E437" s="86" t="s">
        <v>332</v>
      </c>
      <c r="F437" s="7"/>
      <c r="G437" s="8"/>
      <c r="H437" s="7"/>
      <c r="I437" s="6"/>
      <c r="J437" s="7"/>
      <c r="K437" s="8"/>
      <c r="L437" s="7"/>
      <c r="M437" s="8"/>
      <c r="N437" s="7"/>
      <c r="O437" s="8"/>
      <c r="P437" s="7"/>
      <c r="Q437" s="7"/>
      <c r="R437" s="8"/>
      <c r="S437" s="7"/>
      <c r="T437" s="9"/>
      <c r="U437" s="7"/>
      <c r="V437" s="8"/>
      <c r="W437" s="7"/>
      <c r="X437" s="7"/>
      <c r="Y437" s="8"/>
      <c r="Z437" s="7"/>
      <c r="AA437" s="8"/>
      <c r="AF437" s="337" t="s">
        <v>361</v>
      </c>
      <c r="AG437" s="337" t="s">
        <v>1301</v>
      </c>
    </row>
    <row r="438" spans="4:33" ht="14.25" thickTop="1" thickBot="1" x14ac:dyDescent="0.25">
      <c r="D438" s="341"/>
      <c r="E438" s="86" t="s">
        <v>333</v>
      </c>
      <c r="F438" s="7"/>
      <c r="G438" s="8"/>
      <c r="H438" s="7"/>
      <c r="I438" s="6"/>
      <c r="J438" s="7"/>
      <c r="K438" s="8"/>
      <c r="L438" s="7"/>
      <c r="M438" s="8"/>
      <c r="N438" s="7"/>
      <c r="O438" s="8"/>
      <c r="P438" s="7"/>
      <c r="Q438" s="7"/>
      <c r="R438" s="8"/>
      <c r="S438" s="7"/>
      <c r="T438" s="9"/>
      <c r="U438" s="7"/>
      <c r="V438" s="8"/>
      <c r="W438" s="7"/>
      <c r="X438" s="7"/>
      <c r="Y438" s="8"/>
      <c r="Z438" s="7"/>
      <c r="AA438" s="8"/>
      <c r="AF438" s="337" t="s">
        <v>361</v>
      </c>
      <c r="AG438" s="337" t="s">
        <v>443</v>
      </c>
    </row>
    <row r="439" spans="4:33" ht="14.25" thickTop="1" thickBot="1" x14ac:dyDescent="0.25">
      <c r="D439" s="341"/>
      <c r="E439" s="86" t="s">
        <v>429</v>
      </c>
      <c r="F439" s="7"/>
      <c r="G439" s="8"/>
      <c r="H439" s="7"/>
      <c r="I439" s="6"/>
      <c r="J439" s="7"/>
      <c r="K439" s="8"/>
      <c r="L439" s="7"/>
      <c r="M439" s="8"/>
      <c r="N439" s="7"/>
      <c r="O439" s="8"/>
      <c r="P439" s="7"/>
      <c r="Q439" s="7"/>
      <c r="R439" s="8"/>
      <c r="S439" s="7"/>
      <c r="T439" s="9"/>
      <c r="U439" s="7"/>
      <c r="V439" s="8"/>
      <c r="W439" s="7"/>
      <c r="X439" s="7"/>
      <c r="Y439" s="8"/>
      <c r="Z439" s="7"/>
      <c r="AA439" s="8"/>
      <c r="AF439" s="337" t="s">
        <v>361</v>
      </c>
      <c r="AG439" s="337" t="s">
        <v>1303</v>
      </c>
    </row>
    <row r="440" spans="4:33" ht="14.25" thickTop="1" thickBot="1" x14ac:dyDescent="0.25">
      <c r="D440" s="341"/>
      <c r="E440" s="86" t="s">
        <v>394</v>
      </c>
      <c r="F440" s="7"/>
      <c r="G440" s="8"/>
      <c r="H440" s="7"/>
      <c r="I440" s="6"/>
      <c r="J440" s="7"/>
      <c r="K440" s="8"/>
      <c r="L440" s="7"/>
      <c r="M440" s="8"/>
      <c r="N440" s="7"/>
      <c r="O440" s="8"/>
      <c r="P440" s="7"/>
      <c r="Q440" s="7"/>
      <c r="R440" s="8"/>
      <c r="S440" s="7"/>
      <c r="T440" s="9"/>
      <c r="U440" s="7"/>
      <c r="V440" s="8"/>
      <c r="W440" s="7"/>
      <c r="X440" s="7"/>
      <c r="Y440" s="8"/>
      <c r="Z440" s="7"/>
      <c r="AA440" s="8"/>
      <c r="AF440" s="337" t="s">
        <v>361</v>
      </c>
      <c r="AG440" s="337" t="s">
        <v>448</v>
      </c>
    </row>
    <row r="441" spans="4:33" ht="14.25" thickTop="1" thickBot="1" x14ac:dyDescent="0.25">
      <c r="D441" s="341"/>
      <c r="E441" s="86" t="s">
        <v>334</v>
      </c>
      <c r="F441" s="7"/>
      <c r="G441" s="8"/>
      <c r="H441" s="7"/>
      <c r="I441" s="6"/>
      <c r="J441" s="7"/>
      <c r="K441" s="8"/>
      <c r="L441" s="7"/>
      <c r="M441" s="8"/>
      <c r="N441" s="7"/>
      <c r="O441" s="8"/>
      <c r="P441" s="7"/>
      <c r="Q441" s="7"/>
      <c r="R441" s="8"/>
      <c r="S441" s="7"/>
      <c r="T441" s="9"/>
      <c r="U441" s="7"/>
      <c r="V441" s="8"/>
      <c r="W441" s="7"/>
      <c r="X441" s="7"/>
      <c r="Y441" s="8"/>
      <c r="Z441" s="7"/>
      <c r="AA441" s="8"/>
      <c r="AF441" s="337" t="s">
        <v>361</v>
      </c>
      <c r="AG441" s="337" t="s">
        <v>1207</v>
      </c>
    </row>
    <row r="442" spans="4:33" ht="14.25" thickTop="1" thickBot="1" x14ac:dyDescent="0.25">
      <c r="D442" s="341"/>
      <c r="E442" s="86" t="s">
        <v>335</v>
      </c>
      <c r="F442" s="7"/>
      <c r="G442" s="8"/>
      <c r="H442" s="7"/>
      <c r="I442" s="6"/>
      <c r="J442" s="7"/>
      <c r="K442" s="8"/>
      <c r="L442" s="7"/>
      <c r="M442" s="8"/>
      <c r="N442" s="7"/>
      <c r="O442" s="8"/>
      <c r="P442" s="7"/>
      <c r="Q442" s="7"/>
      <c r="R442" s="8"/>
      <c r="S442" s="7"/>
      <c r="T442" s="9"/>
      <c r="U442" s="7"/>
      <c r="V442" s="8"/>
      <c r="W442" s="7"/>
      <c r="X442" s="7"/>
      <c r="Y442" s="8"/>
      <c r="Z442" s="7"/>
      <c r="AA442" s="8"/>
      <c r="AF442" s="337" t="s">
        <v>361</v>
      </c>
      <c r="AG442" s="337" t="s">
        <v>366</v>
      </c>
    </row>
    <row r="443" spans="4:33" ht="14.25" thickTop="1" thickBot="1" x14ac:dyDescent="0.25">
      <c r="D443" s="341"/>
      <c r="E443" s="86" t="s">
        <v>430</v>
      </c>
      <c r="F443" s="7"/>
      <c r="G443" s="8"/>
      <c r="H443" s="7"/>
      <c r="I443" s="6"/>
      <c r="J443" s="7"/>
      <c r="K443" s="8"/>
      <c r="L443" s="7"/>
      <c r="M443" s="8"/>
      <c r="N443" s="7"/>
      <c r="O443" s="8"/>
      <c r="P443" s="7"/>
      <c r="Q443" s="7"/>
      <c r="R443" s="8"/>
      <c r="S443" s="7"/>
      <c r="T443" s="9"/>
      <c r="U443" s="7"/>
      <c r="V443" s="8"/>
      <c r="W443" s="7"/>
      <c r="X443" s="7"/>
      <c r="Y443" s="8"/>
      <c r="Z443" s="7"/>
      <c r="AA443" s="8"/>
      <c r="AF443" s="337" t="s">
        <v>361</v>
      </c>
      <c r="AG443" s="337" t="s">
        <v>447</v>
      </c>
    </row>
    <row r="444" spans="4:33" ht="14.25" thickTop="1" thickBot="1" x14ac:dyDescent="0.25">
      <c r="D444" s="341"/>
      <c r="E444" s="86" t="s">
        <v>1222</v>
      </c>
      <c r="F444" s="7"/>
      <c r="G444" s="8"/>
      <c r="H444" s="7"/>
      <c r="I444" s="6"/>
      <c r="J444" s="7"/>
      <c r="K444" s="8"/>
      <c r="L444" s="7"/>
      <c r="M444" s="8"/>
      <c r="N444" s="7"/>
      <c r="O444" s="8"/>
      <c r="P444" s="7"/>
      <c r="Q444" s="7"/>
      <c r="R444" s="8"/>
      <c r="S444" s="7"/>
      <c r="T444" s="9"/>
      <c r="U444" s="7"/>
      <c r="V444" s="8"/>
      <c r="W444" s="7"/>
      <c r="X444" s="7"/>
      <c r="Y444" s="8"/>
      <c r="Z444" s="7"/>
      <c r="AA444" s="8"/>
      <c r="AF444" s="337" t="s">
        <v>361</v>
      </c>
      <c r="AG444" s="337" t="s">
        <v>1205</v>
      </c>
    </row>
    <row r="445" spans="4:33" ht="14.25" thickTop="1" thickBot="1" x14ac:dyDescent="0.25">
      <c r="D445" s="341"/>
      <c r="E445" s="86" t="s">
        <v>395</v>
      </c>
      <c r="F445" s="7"/>
      <c r="G445" s="8"/>
      <c r="H445" s="7"/>
      <c r="I445" s="6"/>
      <c r="J445" s="7"/>
      <c r="K445" s="8"/>
      <c r="L445" s="7"/>
      <c r="M445" s="8"/>
      <c r="N445" s="7"/>
      <c r="O445" s="8"/>
      <c r="P445" s="7"/>
      <c r="Q445" s="7"/>
      <c r="R445" s="8"/>
      <c r="S445" s="7"/>
      <c r="T445" s="9"/>
      <c r="U445" s="7"/>
      <c r="V445" s="8"/>
      <c r="W445" s="7"/>
      <c r="X445" s="7"/>
      <c r="Y445" s="8"/>
      <c r="Z445" s="7"/>
      <c r="AA445" s="8"/>
      <c r="AF445" s="337" t="s">
        <v>361</v>
      </c>
      <c r="AG445" s="337" t="s">
        <v>1217</v>
      </c>
    </row>
    <row r="446" spans="4:33" ht="14.25" thickTop="1" thickBot="1" x14ac:dyDescent="0.25">
      <c r="D446" s="341"/>
      <c r="E446" s="86" t="s">
        <v>431</v>
      </c>
      <c r="F446" s="7"/>
      <c r="G446" s="8"/>
      <c r="H446" s="7"/>
      <c r="I446" s="6"/>
      <c r="J446" s="7"/>
      <c r="K446" s="8"/>
      <c r="L446" s="7"/>
      <c r="M446" s="8"/>
      <c r="N446" s="7"/>
      <c r="O446" s="8"/>
      <c r="P446" s="7"/>
      <c r="Q446" s="7"/>
      <c r="R446" s="8"/>
      <c r="S446" s="7"/>
      <c r="T446" s="9"/>
      <c r="U446" s="7"/>
      <c r="V446" s="8"/>
      <c r="W446" s="7"/>
      <c r="X446" s="7"/>
      <c r="Y446" s="8"/>
      <c r="Z446" s="7"/>
      <c r="AA446" s="8"/>
      <c r="AF446" s="337" t="s">
        <v>361</v>
      </c>
      <c r="AG446" s="337" t="s">
        <v>367</v>
      </c>
    </row>
    <row r="447" spans="4:33" ht="14.25" thickTop="1" thickBot="1" x14ac:dyDescent="0.25">
      <c r="D447" s="341"/>
      <c r="E447" s="86" t="s">
        <v>337</v>
      </c>
      <c r="F447" s="7"/>
      <c r="G447" s="8"/>
      <c r="H447" s="7"/>
      <c r="I447" s="6"/>
      <c r="J447" s="7"/>
      <c r="K447" s="8"/>
      <c r="L447" s="7"/>
      <c r="M447" s="8"/>
      <c r="N447" s="7"/>
      <c r="O447" s="8"/>
      <c r="P447" s="7"/>
      <c r="Q447" s="7"/>
      <c r="R447" s="8"/>
      <c r="S447" s="7"/>
      <c r="T447" s="9"/>
      <c r="U447" s="7"/>
      <c r="V447" s="8"/>
      <c r="W447" s="7"/>
      <c r="X447" s="7"/>
      <c r="Y447" s="8"/>
      <c r="Z447" s="7"/>
      <c r="AA447" s="8"/>
      <c r="AF447" s="337" t="s">
        <v>361</v>
      </c>
      <c r="AG447" s="337" t="s">
        <v>369</v>
      </c>
    </row>
    <row r="448" spans="4:33" ht="14.25" thickTop="1" thickBot="1" x14ac:dyDescent="0.25">
      <c r="D448" s="341"/>
      <c r="E448" s="86" t="s">
        <v>432</v>
      </c>
      <c r="F448" s="7"/>
      <c r="G448" s="8"/>
      <c r="H448" s="7"/>
      <c r="I448" s="6"/>
      <c r="J448" s="7"/>
      <c r="K448" s="8"/>
      <c r="L448" s="7"/>
      <c r="M448" s="8"/>
      <c r="N448" s="7"/>
      <c r="O448" s="8"/>
      <c r="P448" s="7"/>
      <c r="Q448" s="7"/>
      <c r="R448" s="8"/>
      <c r="S448" s="7"/>
      <c r="T448" s="9"/>
      <c r="U448" s="7"/>
      <c r="V448" s="8"/>
      <c r="W448" s="7"/>
      <c r="X448" s="7"/>
      <c r="Y448" s="8"/>
      <c r="Z448" s="7"/>
      <c r="AA448" s="8"/>
      <c r="AF448" s="337" t="s">
        <v>361</v>
      </c>
      <c r="AG448" s="337" t="s">
        <v>1194</v>
      </c>
    </row>
    <row r="449" spans="4:33" ht="14.25" thickTop="1" thickBot="1" x14ac:dyDescent="0.25">
      <c r="D449" s="341"/>
      <c r="E449" s="86" t="s">
        <v>433</v>
      </c>
      <c r="F449" s="7"/>
      <c r="G449" s="8"/>
      <c r="H449" s="7"/>
      <c r="I449" s="6"/>
      <c r="J449" s="7"/>
      <c r="K449" s="8"/>
      <c r="L449" s="7"/>
      <c r="M449" s="8"/>
      <c r="N449" s="7"/>
      <c r="O449" s="8"/>
      <c r="P449" s="7"/>
      <c r="Q449" s="7"/>
      <c r="R449" s="8"/>
      <c r="S449" s="7"/>
      <c r="T449" s="9"/>
      <c r="U449" s="7"/>
      <c r="V449" s="8"/>
      <c r="W449" s="7"/>
      <c r="X449" s="7"/>
      <c r="Y449" s="8"/>
      <c r="Z449" s="7"/>
      <c r="AA449" s="8"/>
      <c r="AF449" s="337" t="s">
        <v>361</v>
      </c>
      <c r="AG449" s="337" t="s">
        <v>1192</v>
      </c>
    </row>
    <row r="450" spans="4:33" ht="14.25" thickTop="1" thickBot="1" x14ac:dyDescent="0.25">
      <c r="D450" s="341"/>
      <c r="E450" s="86" t="s">
        <v>338</v>
      </c>
      <c r="F450" s="7"/>
      <c r="G450" s="8"/>
      <c r="H450" s="7"/>
      <c r="I450" s="6"/>
      <c r="J450" s="7"/>
      <c r="K450" s="8"/>
      <c r="L450" s="7"/>
      <c r="M450" s="8"/>
      <c r="N450" s="7"/>
      <c r="O450" s="8"/>
      <c r="P450" s="7"/>
      <c r="Q450" s="7"/>
      <c r="R450" s="8"/>
      <c r="S450" s="7"/>
      <c r="T450" s="9"/>
      <c r="U450" s="7"/>
      <c r="V450" s="8"/>
      <c r="W450" s="7"/>
      <c r="X450" s="7"/>
      <c r="Y450" s="8"/>
      <c r="Z450" s="7"/>
      <c r="AA450" s="8"/>
      <c r="AF450" s="337" t="s">
        <v>361</v>
      </c>
      <c r="AG450" s="337" t="s">
        <v>1203</v>
      </c>
    </row>
    <row r="451" spans="4:33" ht="14.25" thickTop="1" thickBot="1" x14ac:dyDescent="0.25">
      <c r="D451" s="341"/>
      <c r="E451" s="86" t="s">
        <v>434</v>
      </c>
      <c r="F451" s="7"/>
      <c r="G451" s="8"/>
      <c r="H451" s="7"/>
      <c r="I451" s="6"/>
      <c r="J451" s="7"/>
      <c r="K451" s="8"/>
      <c r="L451" s="7"/>
      <c r="M451" s="8"/>
      <c r="N451" s="7"/>
      <c r="O451" s="8"/>
      <c r="P451" s="7"/>
      <c r="Q451" s="7"/>
      <c r="R451" s="8"/>
      <c r="S451" s="7"/>
      <c r="T451" s="9"/>
      <c r="U451" s="7"/>
      <c r="V451" s="8"/>
      <c r="W451" s="7"/>
      <c r="X451" s="7"/>
      <c r="Y451" s="8"/>
      <c r="Z451" s="7"/>
      <c r="AA451" s="8"/>
      <c r="AF451" s="337" t="s">
        <v>361</v>
      </c>
      <c r="AG451" s="337" t="s">
        <v>455</v>
      </c>
    </row>
    <row r="452" spans="4:33" ht="14.25" thickTop="1" thickBot="1" x14ac:dyDescent="0.25">
      <c r="D452" s="341"/>
      <c r="E452" s="86" t="s">
        <v>435</v>
      </c>
      <c r="F452" s="7"/>
      <c r="G452" s="8"/>
      <c r="H452" s="7"/>
      <c r="I452" s="6"/>
      <c r="J452" s="7"/>
      <c r="K452" s="8"/>
      <c r="L452" s="7"/>
      <c r="M452" s="8"/>
      <c r="N452" s="7"/>
      <c r="O452" s="8"/>
      <c r="P452" s="7"/>
      <c r="Q452" s="7"/>
      <c r="R452" s="8"/>
      <c r="S452" s="7"/>
      <c r="T452" s="9"/>
      <c r="U452" s="7"/>
      <c r="V452" s="8"/>
      <c r="W452" s="7"/>
      <c r="X452" s="7"/>
      <c r="Y452" s="8"/>
      <c r="Z452" s="7"/>
      <c r="AA452" s="8"/>
      <c r="AF452" s="337" t="s">
        <v>361</v>
      </c>
      <c r="AG452" s="337" t="s">
        <v>1195</v>
      </c>
    </row>
    <row r="453" spans="4:33" ht="14.25" thickTop="1" thickBot="1" x14ac:dyDescent="0.25">
      <c r="D453" s="341"/>
      <c r="E453" s="86" t="s">
        <v>1235</v>
      </c>
      <c r="F453" s="7"/>
      <c r="G453" s="8"/>
      <c r="H453" s="7"/>
      <c r="I453" s="6"/>
      <c r="J453" s="7"/>
      <c r="K453" s="8"/>
      <c r="L453" s="7"/>
      <c r="M453" s="8"/>
      <c r="N453" s="7"/>
      <c r="O453" s="8"/>
      <c r="P453" s="7"/>
      <c r="Q453" s="7"/>
      <c r="R453" s="8"/>
      <c r="S453" s="7"/>
      <c r="T453" s="9"/>
      <c r="U453" s="7"/>
      <c r="V453" s="8"/>
      <c r="W453" s="7"/>
      <c r="X453" s="7"/>
      <c r="Y453" s="8"/>
      <c r="Z453" s="7"/>
      <c r="AA453" s="8"/>
      <c r="AF453" s="337" t="s">
        <v>361</v>
      </c>
      <c r="AG453" s="337" t="s">
        <v>444</v>
      </c>
    </row>
    <row r="454" spans="4:33" ht="14.25" thickTop="1" thickBot="1" x14ac:dyDescent="0.25">
      <c r="D454" s="341"/>
      <c r="E454" s="86" t="s">
        <v>377</v>
      </c>
      <c r="F454" s="7"/>
      <c r="G454" s="8"/>
      <c r="H454" s="7"/>
      <c r="I454" s="6"/>
      <c r="J454" s="7"/>
      <c r="K454" s="8"/>
      <c r="L454" s="7"/>
      <c r="M454" s="8"/>
      <c r="N454" s="7"/>
      <c r="O454" s="8"/>
      <c r="P454" s="7"/>
      <c r="Q454" s="7"/>
      <c r="R454" s="8"/>
      <c r="S454" s="7"/>
      <c r="T454" s="9"/>
      <c r="U454" s="7"/>
      <c r="V454" s="8"/>
      <c r="W454" s="7"/>
      <c r="X454" s="7"/>
      <c r="Y454" s="8"/>
      <c r="Z454" s="7"/>
      <c r="AA454" s="8"/>
      <c r="AF454" s="337" t="s">
        <v>361</v>
      </c>
      <c r="AG454" s="337" t="s">
        <v>456</v>
      </c>
    </row>
    <row r="455" spans="4:33" ht="14.25" thickTop="1" thickBot="1" x14ac:dyDescent="0.25">
      <c r="D455" s="341"/>
      <c r="E455" s="86" t="s">
        <v>1498</v>
      </c>
      <c r="F455" s="7"/>
      <c r="G455" s="8"/>
      <c r="H455" s="7"/>
      <c r="I455" s="6"/>
      <c r="J455" s="7"/>
      <c r="K455" s="8"/>
      <c r="L455" s="7"/>
      <c r="M455" s="8"/>
      <c r="N455" s="7"/>
      <c r="O455" s="8"/>
      <c r="P455" s="7"/>
      <c r="Q455" s="7"/>
      <c r="R455" s="8"/>
      <c r="S455" s="7"/>
      <c r="T455" s="9"/>
      <c r="U455" s="7"/>
      <c r="V455" s="8"/>
      <c r="W455" s="7"/>
      <c r="X455" s="7"/>
      <c r="Y455" s="8"/>
      <c r="Z455" s="7"/>
      <c r="AA455" s="8"/>
      <c r="AF455" s="337" t="s">
        <v>361</v>
      </c>
      <c r="AG455" s="337" t="s">
        <v>1318</v>
      </c>
    </row>
    <row r="456" spans="4:33" ht="14.25" thickTop="1" thickBot="1" x14ac:dyDescent="0.25">
      <c r="D456" s="341"/>
      <c r="E456" s="86" t="s">
        <v>379</v>
      </c>
      <c r="F456" s="7"/>
      <c r="G456" s="8"/>
      <c r="H456" s="7"/>
      <c r="I456" s="6"/>
      <c r="J456" s="7"/>
      <c r="K456" s="8"/>
      <c r="L456" s="7"/>
      <c r="M456" s="8"/>
      <c r="N456" s="7"/>
      <c r="O456" s="8"/>
      <c r="P456" s="7"/>
      <c r="Q456" s="7"/>
      <c r="R456" s="8"/>
      <c r="S456" s="7"/>
      <c r="T456" s="9"/>
      <c r="U456" s="7"/>
      <c r="V456" s="8"/>
      <c r="W456" s="7"/>
      <c r="X456" s="7"/>
      <c r="Y456" s="8"/>
      <c r="Z456" s="7"/>
      <c r="AA456" s="8"/>
      <c r="AF456" s="337" t="s">
        <v>361</v>
      </c>
      <c r="AG456" s="337" t="s">
        <v>1319</v>
      </c>
    </row>
    <row r="457" spans="4:33" ht="14.25" thickTop="1" thickBot="1" x14ac:dyDescent="0.25">
      <c r="D457" s="341"/>
      <c r="E457" s="86" t="s">
        <v>1227</v>
      </c>
      <c r="F457" s="7"/>
      <c r="G457" s="8"/>
      <c r="H457" s="7"/>
      <c r="I457" s="6"/>
      <c r="J457" s="7"/>
      <c r="K457" s="8"/>
      <c r="L457" s="7"/>
      <c r="M457" s="8"/>
      <c r="N457" s="7"/>
      <c r="O457" s="8"/>
      <c r="P457" s="7"/>
      <c r="Q457" s="7"/>
      <c r="R457" s="8"/>
      <c r="S457" s="7"/>
      <c r="T457" s="9"/>
      <c r="U457" s="7"/>
      <c r="V457" s="8"/>
      <c r="W457" s="7"/>
      <c r="X457" s="7"/>
      <c r="Y457" s="8"/>
      <c r="Z457" s="7"/>
      <c r="AA457" s="8"/>
      <c r="AF457" s="337" t="s">
        <v>361</v>
      </c>
      <c r="AG457" s="337" t="s">
        <v>1320</v>
      </c>
    </row>
    <row r="458" spans="4:33" ht="14.25" thickTop="1" thickBot="1" x14ac:dyDescent="0.25">
      <c r="D458" s="341"/>
      <c r="F458" s="7"/>
      <c r="G458" s="8"/>
      <c r="H458" s="7"/>
      <c r="I458" s="6"/>
      <c r="J458" s="7"/>
      <c r="K458" s="8"/>
      <c r="L458" s="7"/>
      <c r="M458" s="8"/>
      <c r="N458" s="7"/>
      <c r="O458" s="8"/>
      <c r="P458" s="7"/>
      <c r="Q458" s="7"/>
      <c r="R458" s="8"/>
      <c r="S458" s="7"/>
      <c r="T458" s="9"/>
      <c r="U458" s="7"/>
      <c r="V458" s="8"/>
      <c r="W458" s="7"/>
      <c r="X458" s="7"/>
      <c r="Y458" s="8"/>
      <c r="Z458" s="7"/>
      <c r="AA458" s="8"/>
      <c r="AF458" s="337" t="s">
        <v>361</v>
      </c>
      <c r="AG458" s="337" t="s">
        <v>1321</v>
      </c>
    </row>
    <row r="459" spans="4:33" ht="14.25" thickTop="1" thickBot="1" x14ac:dyDescent="0.25">
      <c r="D459" s="341"/>
      <c r="F459" s="7"/>
      <c r="G459" s="8"/>
      <c r="H459" s="7"/>
      <c r="I459" s="6"/>
      <c r="J459" s="7"/>
      <c r="K459" s="8"/>
      <c r="L459" s="7"/>
      <c r="M459" s="8"/>
      <c r="N459" s="7"/>
      <c r="O459" s="8"/>
      <c r="P459" s="7"/>
      <c r="Q459" s="7"/>
      <c r="R459" s="8"/>
      <c r="S459" s="7"/>
      <c r="T459" s="9"/>
      <c r="U459" s="7"/>
      <c r="V459" s="8"/>
      <c r="W459" s="7"/>
      <c r="X459" s="7"/>
      <c r="Y459" s="8"/>
      <c r="Z459" s="7"/>
      <c r="AA459" s="8"/>
      <c r="AF459" s="337" t="s">
        <v>361</v>
      </c>
      <c r="AG459" s="337" t="s">
        <v>1322</v>
      </c>
    </row>
    <row r="460" spans="4:33" ht="14.25" thickTop="1" thickBot="1" x14ac:dyDescent="0.25">
      <c r="D460" s="341"/>
      <c r="F460" s="7"/>
      <c r="G460" s="8"/>
      <c r="H460" s="7"/>
      <c r="I460" s="6"/>
      <c r="J460" s="7"/>
      <c r="K460" s="8"/>
      <c r="L460" s="7"/>
      <c r="M460" s="8"/>
      <c r="N460" s="7"/>
      <c r="O460" s="8"/>
      <c r="P460" s="7"/>
      <c r="Q460" s="7"/>
      <c r="R460" s="8"/>
      <c r="S460" s="7"/>
      <c r="T460" s="9"/>
      <c r="U460" s="7"/>
      <c r="V460" s="8"/>
      <c r="W460" s="7"/>
      <c r="X460" s="7"/>
      <c r="Y460" s="8"/>
      <c r="Z460" s="7"/>
      <c r="AA460" s="8"/>
      <c r="AF460" s="337" t="s">
        <v>361</v>
      </c>
      <c r="AG460" s="337" t="s">
        <v>1323</v>
      </c>
    </row>
    <row r="461" spans="4:33" ht="14.25" thickTop="1" thickBot="1" x14ac:dyDescent="0.25">
      <c r="D461" s="341"/>
      <c r="F461" s="7"/>
      <c r="G461" s="8"/>
      <c r="H461" s="7"/>
      <c r="I461" s="6"/>
      <c r="J461" s="7"/>
      <c r="K461" s="8"/>
      <c r="L461" s="7"/>
      <c r="M461" s="8"/>
      <c r="N461" s="7"/>
      <c r="O461" s="8"/>
      <c r="P461" s="7"/>
      <c r="Q461" s="7"/>
      <c r="R461" s="8"/>
      <c r="S461" s="7"/>
      <c r="T461" s="9"/>
      <c r="U461" s="7"/>
      <c r="V461" s="8"/>
      <c r="W461" s="7"/>
      <c r="X461" s="7"/>
      <c r="Y461" s="8"/>
      <c r="Z461" s="7"/>
      <c r="AA461" s="8"/>
      <c r="AF461" s="337" t="s">
        <v>361</v>
      </c>
      <c r="AG461" s="337" t="s">
        <v>1212</v>
      </c>
    </row>
    <row r="462" spans="4:33" ht="14.25" thickTop="1" thickBot="1" x14ac:dyDescent="0.25">
      <c r="D462" s="341"/>
      <c r="F462" s="7"/>
      <c r="G462" s="8"/>
      <c r="H462" s="7"/>
      <c r="I462" s="6"/>
      <c r="J462" s="7"/>
      <c r="K462" s="8"/>
      <c r="L462" s="7"/>
      <c r="M462" s="8"/>
      <c r="N462" s="7"/>
      <c r="O462" s="8"/>
      <c r="P462" s="7"/>
      <c r="Q462" s="7"/>
      <c r="R462" s="8"/>
      <c r="S462" s="7"/>
      <c r="T462" s="9"/>
      <c r="U462" s="7"/>
      <c r="V462" s="8"/>
      <c r="W462" s="7"/>
      <c r="X462" s="7"/>
      <c r="Y462" s="8"/>
      <c r="Z462" s="7"/>
      <c r="AA462" s="8"/>
      <c r="AF462" s="337" t="s">
        <v>361</v>
      </c>
      <c r="AG462" s="337" t="s">
        <v>446</v>
      </c>
    </row>
    <row r="463" spans="4:33" ht="14.25" thickTop="1" thickBot="1" x14ac:dyDescent="0.25">
      <c r="D463" s="341"/>
      <c r="F463" s="7"/>
      <c r="G463" s="8"/>
      <c r="H463" s="7"/>
      <c r="I463" s="6"/>
      <c r="J463" s="7"/>
      <c r="K463" s="8"/>
      <c r="L463" s="7"/>
      <c r="M463" s="8"/>
      <c r="N463" s="7"/>
      <c r="O463" s="8"/>
      <c r="P463" s="7"/>
      <c r="Q463" s="7"/>
      <c r="R463" s="8"/>
      <c r="S463" s="7"/>
      <c r="T463" s="9"/>
      <c r="U463" s="7"/>
      <c r="V463" s="8"/>
      <c r="W463" s="7"/>
      <c r="X463" s="7"/>
      <c r="Y463" s="8"/>
      <c r="Z463" s="7"/>
      <c r="AA463" s="8"/>
      <c r="AF463" s="337" t="s">
        <v>361</v>
      </c>
      <c r="AG463" s="337" t="s">
        <v>1209</v>
      </c>
    </row>
    <row r="464" spans="4:33" ht="14.25" thickTop="1" thickBot="1" x14ac:dyDescent="0.25">
      <c r="D464" s="341"/>
      <c r="F464" s="7"/>
      <c r="G464" s="8"/>
      <c r="H464" s="7"/>
      <c r="I464" s="6"/>
      <c r="J464" s="7"/>
      <c r="K464" s="8"/>
      <c r="L464" s="7"/>
      <c r="M464" s="8"/>
      <c r="N464" s="7"/>
      <c r="O464" s="8"/>
      <c r="P464" s="7"/>
      <c r="Q464" s="7"/>
      <c r="R464" s="8"/>
      <c r="S464" s="7"/>
      <c r="T464" s="9"/>
      <c r="U464" s="7"/>
      <c r="V464" s="8"/>
      <c r="W464" s="7"/>
      <c r="X464" s="7"/>
      <c r="Y464" s="8"/>
      <c r="Z464" s="7"/>
      <c r="AA464" s="8"/>
      <c r="AF464" s="337" t="s">
        <v>649</v>
      </c>
      <c r="AG464" s="337" t="s">
        <v>726</v>
      </c>
    </row>
    <row r="465" spans="4:33" ht="14.25" thickTop="1" thickBot="1" x14ac:dyDescent="0.25">
      <c r="D465" s="341"/>
      <c r="F465" s="7"/>
      <c r="G465" s="8"/>
      <c r="H465" s="7"/>
      <c r="I465" s="6"/>
      <c r="J465" s="7"/>
      <c r="K465" s="8"/>
      <c r="L465" s="7"/>
      <c r="M465" s="8"/>
      <c r="N465" s="7"/>
      <c r="O465" s="8"/>
      <c r="P465" s="7"/>
      <c r="Q465" s="7"/>
      <c r="R465" s="8"/>
      <c r="S465" s="7"/>
      <c r="T465" s="9"/>
      <c r="U465" s="7"/>
      <c r="V465" s="8"/>
      <c r="W465" s="7"/>
      <c r="X465" s="7"/>
      <c r="Y465" s="8"/>
      <c r="Z465" s="7"/>
      <c r="AA465" s="8"/>
      <c r="AF465" s="337" t="s">
        <v>649</v>
      </c>
      <c r="AG465" s="337" t="s">
        <v>661</v>
      </c>
    </row>
    <row r="466" spans="4:33" ht="14.25" thickTop="1" thickBot="1" x14ac:dyDescent="0.25">
      <c r="D466" s="341"/>
      <c r="F466" s="7"/>
      <c r="G466" s="8"/>
      <c r="H466" s="7"/>
      <c r="I466" s="6"/>
      <c r="J466" s="7"/>
      <c r="K466" s="8"/>
      <c r="L466" s="7"/>
      <c r="M466" s="8"/>
      <c r="N466" s="7"/>
      <c r="O466" s="8"/>
      <c r="P466" s="7"/>
      <c r="Q466" s="7"/>
      <c r="R466" s="8"/>
      <c r="S466" s="7"/>
      <c r="T466" s="9"/>
      <c r="U466" s="7"/>
      <c r="V466" s="8"/>
      <c r="W466" s="7"/>
      <c r="X466" s="7"/>
      <c r="Y466" s="8"/>
      <c r="Z466" s="7"/>
      <c r="AA466" s="8"/>
      <c r="AF466" s="337" t="s">
        <v>649</v>
      </c>
      <c r="AG466" s="337" t="s">
        <v>652</v>
      </c>
    </row>
    <row r="467" spans="4:33" ht="14.25" thickTop="1" thickBot="1" x14ac:dyDescent="0.25">
      <c r="D467" s="341"/>
      <c r="F467" s="7"/>
      <c r="G467" s="8"/>
      <c r="H467" s="7"/>
      <c r="I467" s="6"/>
      <c r="J467" s="7"/>
      <c r="K467" s="8"/>
      <c r="L467" s="7"/>
      <c r="M467" s="8"/>
      <c r="N467" s="7"/>
      <c r="O467" s="8"/>
      <c r="P467" s="7"/>
      <c r="Q467" s="7"/>
      <c r="R467" s="8"/>
      <c r="S467" s="7"/>
      <c r="T467" s="9"/>
      <c r="U467" s="7"/>
      <c r="V467" s="8"/>
      <c r="W467" s="7"/>
      <c r="X467" s="7"/>
      <c r="Y467" s="8"/>
      <c r="Z467" s="7"/>
      <c r="AA467" s="8"/>
      <c r="AF467" s="337" t="s">
        <v>649</v>
      </c>
      <c r="AG467" s="337" t="s">
        <v>650</v>
      </c>
    </row>
    <row r="468" spans="4:33" ht="14.25" thickTop="1" thickBot="1" x14ac:dyDescent="0.25">
      <c r="D468" s="341"/>
      <c r="F468" s="7"/>
      <c r="G468" s="8"/>
      <c r="H468" s="7"/>
      <c r="I468" s="6"/>
      <c r="J468" s="7"/>
      <c r="K468" s="8"/>
      <c r="L468" s="7"/>
      <c r="M468" s="8"/>
      <c r="N468" s="7"/>
      <c r="O468" s="8"/>
      <c r="P468" s="7"/>
      <c r="Q468" s="7"/>
      <c r="R468" s="8"/>
      <c r="S468" s="7"/>
      <c r="T468" s="9"/>
      <c r="U468" s="7"/>
      <c r="V468" s="8"/>
      <c r="W468" s="7"/>
      <c r="X468" s="7"/>
      <c r="Y468" s="8"/>
      <c r="Z468" s="7"/>
      <c r="AA468" s="8"/>
      <c r="AF468" s="337" t="s">
        <v>649</v>
      </c>
      <c r="AG468" s="337" t="s">
        <v>727</v>
      </c>
    </row>
    <row r="469" spans="4:33" ht="14.25" thickTop="1" thickBot="1" x14ac:dyDescent="0.25">
      <c r="D469" s="341"/>
      <c r="F469" s="7"/>
      <c r="G469" s="8"/>
      <c r="H469" s="7"/>
      <c r="I469" s="6"/>
      <c r="J469" s="7"/>
      <c r="K469" s="8"/>
      <c r="L469" s="7"/>
      <c r="M469" s="8"/>
      <c r="N469" s="7"/>
      <c r="O469" s="8"/>
      <c r="P469" s="7"/>
      <c r="Q469" s="7"/>
      <c r="R469" s="8"/>
      <c r="S469" s="7"/>
      <c r="T469" s="9"/>
      <c r="U469" s="7"/>
      <c r="V469" s="8"/>
      <c r="W469" s="7"/>
      <c r="X469" s="7"/>
      <c r="Y469" s="8"/>
      <c r="Z469" s="7"/>
      <c r="AA469" s="8"/>
      <c r="AF469" s="337" t="s">
        <v>649</v>
      </c>
      <c r="AG469" s="337" t="s">
        <v>1095</v>
      </c>
    </row>
    <row r="470" spans="4:33" ht="14.25" thickTop="1" thickBot="1" x14ac:dyDescent="0.25">
      <c r="D470" s="341"/>
      <c r="F470" s="7"/>
      <c r="G470" s="8"/>
      <c r="H470" s="7"/>
      <c r="I470" s="6"/>
      <c r="J470" s="7"/>
      <c r="K470" s="8"/>
      <c r="L470" s="7"/>
      <c r="M470" s="8"/>
      <c r="N470" s="7"/>
      <c r="O470" s="8"/>
      <c r="P470" s="7"/>
      <c r="Q470" s="7"/>
      <c r="R470" s="8"/>
      <c r="S470" s="7"/>
      <c r="T470" s="9"/>
      <c r="U470" s="7"/>
      <c r="V470" s="8"/>
      <c r="W470" s="7"/>
      <c r="X470" s="7"/>
      <c r="Y470" s="8"/>
      <c r="Z470" s="7"/>
      <c r="AA470" s="8"/>
      <c r="AF470" s="337" t="s">
        <v>649</v>
      </c>
      <c r="AG470" s="337" t="s">
        <v>1098</v>
      </c>
    </row>
    <row r="471" spans="4:33" ht="14.25" thickTop="1" thickBot="1" x14ac:dyDescent="0.25">
      <c r="D471" s="341"/>
      <c r="F471" s="7"/>
      <c r="G471" s="8"/>
      <c r="H471" s="7"/>
      <c r="I471" s="6"/>
      <c r="J471" s="7"/>
      <c r="K471" s="8"/>
      <c r="L471" s="7"/>
      <c r="M471" s="8"/>
      <c r="N471" s="7"/>
      <c r="O471" s="8"/>
      <c r="P471" s="7"/>
      <c r="Q471" s="7"/>
      <c r="R471" s="8"/>
      <c r="S471" s="7"/>
      <c r="T471" s="9"/>
      <c r="U471" s="7"/>
      <c r="V471" s="8"/>
      <c r="W471" s="7"/>
      <c r="X471" s="7"/>
      <c r="Y471" s="8"/>
      <c r="Z471" s="7"/>
      <c r="AA471" s="8"/>
      <c r="AF471" s="337" t="s">
        <v>649</v>
      </c>
      <c r="AG471" s="337" t="s">
        <v>1103</v>
      </c>
    </row>
    <row r="472" spans="4:33" ht="14.25" thickTop="1" thickBot="1" x14ac:dyDescent="0.25">
      <c r="D472" s="341"/>
      <c r="F472" s="7"/>
      <c r="G472" s="8"/>
      <c r="H472" s="7"/>
      <c r="I472" s="6"/>
      <c r="J472" s="7"/>
      <c r="K472" s="8"/>
      <c r="L472" s="7"/>
      <c r="M472" s="8"/>
      <c r="N472" s="7"/>
      <c r="O472" s="8"/>
      <c r="P472" s="7"/>
      <c r="Q472" s="7"/>
      <c r="R472" s="8"/>
      <c r="S472" s="7"/>
      <c r="T472" s="9"/>
      <c r="U472" s="7"/>
      <c r="V472" s="8"/>
      <c r="W472" s="7"/>
      <c r="X472" s="7"/>
      <c r="Y472" s="8"/>
      <c r="Z472" s="7"/>
      <c r="AA472" s="8"/>
      <c r="AF472" s="337" t="s">
        <v>649</v>
      </c>
      <c r="AG472" s="337" t="s">
        <v>1088</v>
      </c>
    </row>
    <row r="473" spans="4:33" ht="14.25" thickTop="1" thickBot="1" x14ac:dyDescent="0.25">
      <c r="D473" s="341"/>
      <c r="F473" s="7"/>
      <c r="G473" s="8"/>
      <c r="H473" s="7"/>
      <c r="I473" s="6"/>
      <c r="J473" s="7"/>
      <c r="K473" s="8"/>
      <c r="L473" s="7"/>
      <c r="M473" s="8"/>
      <c r="N473" s="7"/>
      <c r="O473" s="8"/>
      <c r="P473" s="7"/>
      <c r="Q473" s="7"/>
      <c r="R473" s="8"/>
      <c r="S473" s="7"/>
      <c r="T473" s="9"/>
      <c r="U473" s="7"/>
      <c r="V473" s="8"/>
      <c r="W473" s="7"/>
      <c r="X473" s="7"/>
      <c r="Y473" s="8"/>
      <c r="Z473" s="7"/>
      <c r="AA473" s="8"/>
      <c r="AF473" s="337" t="s">
        <v>649</v>
      </c>
      <c r="AG473" s="337" t="s">
        <v>1090</v>
      </c>
    </row>
    <row r="474" spans="4:33" ht="14.25" thickTop="1" thickBot="1" x14ac:dyDescent="0.25">
      <c r="D474" s="341"/>
      <c r="F474" s="7"/>
      <c r="G474" s="8"/>
      <c r="H474" s="7"/>
      <c r="I474" s="6"/>
      <c r="J474" s="7"/>
      <c r="K474" s="8"/>
      <c r="L474" s="7"/>
      <c r="M474" s="8"/>
      <c r="N474" s="7"/>
      <c r="O474" s="8"/>
      <c r="P474" s="7"/>
      <c r="Q474" s="7"/>
      <c r="R474" s="8"/>
      <c r="S474" s="7"/>
      <c r="T474" s="9"/>
      <c r="U474" s="7"/>
      <c r="V474" s="8"/>
      <c r="W474" s="7"/>
      <c r="X474" s="7"/>
      <c r="Y474" s="8"/>
      <c r="Z474" s="7"/>
      <c r="AA474" s="8"/>
      <c r="AF474" s="337" t="s">
        <v>888</v>
      </c>
      <c r="AG474" s="337" t="s">
        <v>942</v>
      </c>
    </row>
    <row r="475" spans="4:33" ht="14.25" thickTop="1" thickBot="1" x14ac:dyDescent="0.25">
      <c r="D475" s="341"/>
      <c r="F475" s="7"/>
      <c r="G475" s="8"/>
      <c r="H475" s="7"/>
      <c r="I475" s="6"/>
      <c r="J475" s="7"/>
      <c r="K475" s="8"/>
      <c r="L475" s="7"/>
      <c r="M475" s="8"/>
      <c r="N475" s="7"/>
      <c r="O475" s="8"/>
      <c r="P475" s="7"/>
      <c r="Q475" s="7"/>
      <c r="R475" s="8"/>
      <c r="S475" s="7"/>
      <c r="T475" s="9"/>
      <c r="U475" s="7"/>
      <c r="V475" s="8"/>
      <c r="W475" s="7"/>
      <c r="X475" s="7"/>
      <c r="Y475" s="8"/>
      <c r="Z475" s="7"/>
      <c r="AA475" s="8"/>
      <c r="AF475" s="337" t="s">
        <v>888</v>
      </c>
      <c r="AG475" s="337" t="s">
        <v>946</v>
      </c>
    </row>
    <row r="476" spans="4:33" ht="14.25" thickTop="1" thickBot="1" x14ac:dyDescent="0.25">
      <c r="D476" s="341"/>
      <c r="F476" s="7"/>
      <c r="G476" s="8"/>
      <c r="H476" s="7"/>
      <c r="I476" s="6"/>
      <c r="J476" s="7"/>
      <c r="K476" s="8"/>
      <c r="L476" s="7"/>
      <c r="M476" s="8"/>
      <c r="N476" s="7"/>
      <c r="O476" s="8"/>
      <c r="P476" s="7"/>
      <c r="Q476" s="7"/>
      <c r="R476" s="8"/>
      <c r="S476" s="7"/>
      <c r="T476" s="9"/>
      <c r="U476" s="7"/>
      <c r="V476" s="8"/>
      <c r="W476" s="7"/>
      <c r="X476" s="7"/>
      <c r="Y476" s="8"/>
      <c r="Z476" s="7"/>
      <c r="AA476" s="8"/>
      <c r="AF476" s="337" t="s">
        <v>888</v>
      </c>
      <c r="AG476" s="337" t="s">
        <v>947</v>
      </c>
    </row>
    <row r="477" spans="4:33" ht="14.25" thickTop="1" thickBot="1" x14ac:dyDescent="0.25">
      <c r="D477" s="341"/>
      <c r="F477" s="7"/>
      <c r="G477" s="8"/>
      <c r="H477" s="7"/>
      <c r="I477" s="6"/>
      <c r="J477" s="7"/>
      <c r="K477" s="8"/>
      <c r="L477" s="7"/>
      <c r="M477" s="8"/>
      <c r="N477" s="7"/>
      <c r="O477" s="8"/>
      <c r="P477" s="7"/>
      <c r="Q477" s="7"/>
      <c r="R477" s="8"/>
      <c r="S477" s="7"/>
      <c r="T477" s="9"/>
      <c r="U477" s="7"/>
      <c r="V477" s="8"/>
      <c r="W477" s="7"/>
      <c r="X477" s="7"/>
      <c r="Y477" s="8"/>
      <c r="Z477" s="7"/>
      <c r="AA477" s="8"/>
      <c r="AF477" s="337" t="s">
        <v>888</v>
      </c>
      <c r="AG477" s="337" t="s">
        <v>1172</v>
      </c>
    </row>
    <row r="478" spans="4:33" ht="14.25" thickTop="1" thickBot="1" x14ac:dyDescent="0.25">
      <c r="D478" s="341"/>
      <c r="F478" s="7"/>
      <c r="G478" s="8"/>
      <c r="H478" s="7"/>
      <c r="I478" s="6"/>
      <c r="J478" s="7"/>
      <c r="K478" s="8"/>
      <c r="L478" s="7"/>
      <c r="M478" s="8"/>
      <c r="N478" s="7"/>
      <c r="O478" s="8"/>
      <c r="P478" s="7"/>
      <c r="Q478" s="7"/>
      <c r="R478" s="8"/>
      <c r="S478" s="7"/>
      <c r="T478" s="9"/>
      <c r="U478" s="7"/>
      <c r="V478" s="8"/>
      <c r="W478" s="7"/>
      <c r="X478" s="7"/>
      <c r="Y478" s="8"/>
      <c r="Z478" s="7"/>
      <c r="AA478" s="8"/>
      <c r="AF478" s="337" t="s">
        <v>888</v>
      </c>
      <c r="AG478" s="337" t="s">
        <v>924</v>
      </c>
    </row>
    <row r="479" spans="4:33" ht="14.25" thickTop="1" thickBot="1" x14ac:dyDescent="0.25">
      <c r="D479" s="341"/>
      <c r="F479" s="7"/>
      <c r="G479" s="8"/>
      <c r="H479" s="7"/>
      <c r="I479" s="6"/>
      <c r="J479" s="7"/>
      <c r="K479" s="8"/>
      <c r="L479" s="7"/>
      <c r="M479" s="8"/>
      <c r="N479" s="7"/>
      <c r="O479" s="8"/>
      <c r="P479" s="7"/>
      <c r="Q479" s="7"/>
      <c r="R479" s="8"/>
      <c r="S479" s="7"/>
      <c r="T479" s="9"/>
      <c r="U479" s="7"/>
      <c r="V479" s="8"/>
      <c r="W479" s="7"/>
      <c r="X479" s="7"/>
      <c r="Y479" s="8"/>
      <c r="Z479" s="7"/>
      <c r="AA479" s="8"/>
      <c r="AF479" s="337" t="s">
        <v>888</v>
      </c>
      <c r="AG479" s="337" t="s">
        <v>928</v>
      </c>
    </row>
    <row r="480" spans="4:33" ht="14.25" thickTop="1" thickBot="1" x14ac:dyDescent="0.25">
      <c r="D480" s="341"/>
      <c r="F480" s="7"/>
      <c r="G480" s="8"/>
      <c r="H480" s="7"/>
      <c r="I480" s="6"/>
      <c r="J480" s="7"/>
      <c r="K480" s="8"/>
      <c r="L480" s="7"/>
      <c r="M480" s="8"/>
      <c r="N480" s="7"/>
      <c r="O480" s="8"/>
      <c r="P480" s="7"/>
      <c r="Q480" s="7"/>
      <c r="R480" s="8"/>
      <c r="S480" s="7"/>
      <c r="T480" s="9"/>
      <c r="U480" s="7"/>
      <c r="V480" s="8"/>
      <c r="W480" s="7"/>
      <c r="X480" s="7"/>
      <c r="Y480" s="8"/>
      <c r="Z480" s="7"/>
      <c r="AA480" s="8"/>
      <c r="AF480" s="337" t="s">
        <v>888</v>
      </c>
      <c r="AG480" s="337" t="s">
        <v>936</v>
      </c>
    </row>
    <row r="481" spans="4:33" ht="14.25" thickTop="1" thickBot="1" x14ac:dyDescent="0.25">
      <c r="D481" s="341"/>
      <c r="F481" s="7"/>
      <c r="G481" s="8"/>
      <c r="H481" s="7"/>
      <c r="I481" s="6"/>
      <c r="J481" s="7"/>
      <c r="K481" s="8"/>
      <c r="L481" s="7"/>
      <c r="M481" s="8"/>
      <c r="N481" s="7"/>
      <c r="O481" s="8"/>
      <c r="P481" s="7"/>
      <c r="Q481" s="7"/>
      <c r="R481" s="8"/>
      <c r="S481" s="7"/>
      <c r="T481" s="9"/>
      <c r="U481" s="7"/>
      <c r="V481" s="8"/>
      <c r="W481" s="7"/>
      <c r="X481" s="7"/>
      <c r="Y481" s="8"/>
      <c r="Z481" s="7"/>
      <c r="AA481" s="8"/>
      <c r="AF481" s="337" t="s">
        <v>888</v>
      </c>
      <c r="AG481" s="337" t="s">
        <v>954</v>
      </c>
    </row>
    <row r="482" spans="4:33" ht="14.25" thickTop="1" thickBot="1" x14ac:dyDescent="0.25">
      <c r="D482" s="341"/>
      <c r="F482" s="7"/>
      <c r="G482" s="8"/>
      <c r="H482" s="7"/>
      <c r="I482" s="6"/>
      <c r="J482" s="7"/>
      <c r="K482" s="8"/>
      <c r="L482" s="7"/>
      <c r="M482" s="8"/>
      <c r="N482" s="7"/>
      <c r="O482" s="8"/>
      <c r="P482" s="7"/>
      <c r="Q482" s="7"/>
      <c r="R482" s="8"/>
      <c r="S482" s="7"/>
      <c r="T482" s="9"/>
      <c r="U482" s="7"/>
      <c r="V482" s="8"/>
      <c r="W482" s="7"/>
      <c r="X482" s="7"/>
      <c r="Y482" s="8"/>
      <c r="Z482" s="7"/>
      <c r="AA482" s="8"/>
      <c r="AF482" s="337" t="s">
        <v>888</v>
      </c>
      <c r="AG482" s="337" t="s">
        <v>1181</v>
      </c>
    </row>
    <row r="483" spans="4:33" ht="14.25" thickTop="1" thickBot="1" x14ac:dyDescent="0.25">
      <c r="D483" s="341"/>
      <c r="F483" s="7"/>
      <c r="G483" s="8"/>
      <c r="H483" s="7"/>
      <c r="I483" s="6"/>
      <c r="J483" s="7"/>
      <c r="K483" s="8"/>
      <c r="L483" s="7"/>
      <c r="M483" s="8"/>
      <c r="N483" s="7"/>
      <c r="O483" s="8"/>
      <c r="P483" s="7"/>
      <c r="Q483" s="7"/>
      <c r="R483" s="8"/>
      <c r="S483" s="7"/>
      <c r="T483" s="9"/>
      <c r="U483" s="7"/>
      <c r="V483" s="8"/>
      <c r="W483" s="7"/>
      <c r="X483" s="7"/>
      <c r="Y483" s="8"/>
      <c r="Z483" s="7"/>
      <c r="AA483" s="8"/>
      <c r="AF483" s="337" t="s">
        <v>888</v>
      </c>
      <c r="AG483" s="337" t="s">
        <v>1179</v>
      </c>
    </row>
    <row r="484" spans="4:33" ht="13.5" thickBot="1" x14ac:dyDescent="0.25">
      <c r="D484" s="341"/>
      <c r="U484" s="7"/>
      <c r="V484" s="8"/>
      <c r="AF484" s="337" t="s">
        <v>888</v>
      </c>
      <c r="AG484" s="337" t="s">
        <v>919</v>
      </c>
    </row>
    <row r="485" spans="4:33" x14ac:dyDescent="0.2">
      <c r="D485" s="341"/>
      <c r="AF485" s="337" t="s">
        <v>888</v>
      </c>
      <c r="AG485" s="337" t="s">
        <v>889</v>
      </c>
    </row>
    <row r="486" spans="4:33" x14ac:dyDescent="0.2">
      <c r="D486" s="341"/>
      <c r="AF486" s="337" t="s">
        <v>888</v>
      </c>
      <c r="AG486" s="337" t="s">
        <v>895</v>
      </c>
    </row>
    <row r="487" spans="4:33" x14ac:dyDescent="0.2">
      <c r="D487" s="341"/>
      <c r="AF487" s="337" t="s">
        <v>888</v>
      </c>
      <c r="AG487" s="337" t="s">
        <v>1173</v>
      </c>
    </row>
    <row r="488" spans="4:33" x14ac:dyDescent="0.2">
      <c r="D488" s="341"/>
      <c r="AF488" s="337" t="s">
        <v>888</v>
      </c>
      <c r="AG488" s="337" t="s">
        <v>968</v>
      </c>
    </row>
    <row r="489" spans="4:33" x14ac:dyDescent="0.2">
      <c r="D489" s="341"/>
      <c r="AF489" s="337" t="s">
        <v>888</v>
      </c>
      <c r="AG489" s="337" t="s">
        <v>976</v>
      </c>
    </row>
    <row r="490" spans="4:33" x14ac:dyDescent="0.2">
      <c r="D490" s="341"/>
      <c r="AF490" s="337" t="s">
        <v>888</v>
      </c>
      <c r="AG490" s="337" t="s">
        <v>978</v>
      </c>
    </row>
    <row r="491" spans="4:33" x14ac:dyDescent="0.2">
      <c r="D491" s="341"/>
      <c r="AF491" s="337" t="s">
        <v>572</v>
      </c>
      <c r="AG491" s="337" t="s">
        <v>1002</v>
      </c>
    </row>
    <row r="492" spans="4:33" x14ac:dyDescent="0.2">
      <c r="D492" s="341"/>
      <c r="AF492" s="337" t="s">
        <v>572</v>
      </c>
      <c r="AG492" s="337" t="s">
        <v>1003</v>
      </c>
    </row>
    <row r="493" spans="4:33" x14ac:dyDescent="0.2">
      <c r="D493" s="341"/>
      <c r="AF493" s="337" t="s">
        <v>572</v>
      </c>
      <c r="AG493" s="337" t="s">
        <v>1005</v>
      </c>
    </row>
    <row r="494" spans="4:33" x14ac:dyDescent="0.2">
      <c r="D494" s="341"/>
      <c r="AF494" s="337" t="s">
        <v>572</v>
      </c>
      <c r="AG494" s="337" t="s">
        <v>1020</v>
      </c>
    </row>
    <row r="495" spans="4:33" x14ac:dyDescent="0.2">
      <c r="D495" s="341"/>
      <c r="AF495" s="337" t="s">
        <v>572</v>
      </c>
      <c r="AG495" s="337" t="s">
        <v>1018</v>
      </c>
    </row>
    <row r="496" spans="4:33" x14ac:dyDescent="0.2">
      <c r="D496" s="341"/>
      <c r="AF496" s="337" t="s">
        <v>572</v>
      </c>
      <c r="AG496" s="337" t="s">
        <v>574</v>
      </c>
    </row>
    <row r="497" spans="4:33" x14ac:dyDescent="0.2">
      <c r="D497" s="341"/>
      <c r="AF497" s="337" t="s">
        <v>572</v>
      </c>
      <c r="AG497" s="337" t="s">
        <v>1034</v>
      </c>
    </row>
    <row r="498" spans="4:33" x14ac:dyDescent="0.2">
      <c r="D498" s="341"/>
      <c r="AF498" s="337" t="s">
        <v>572</v>
      </c>
      <c r="AG498" s="337" t="s">
        <v>1001</v>
      </c>
    </row>
    <row r="499" spans="4:33" x14ac:dyDescent="0.2">
      <c r="D499" s="341"/>
      <c r="AF499" s="337" t="s">
        <v>572</v>
      </c>
      <c r="AG499" s="337" t="s">
        <v>1004</v>
      </c>
    </row>
    <row r="500" spans="4:33" x14ac:dyDescent="0.2">
      <c r="D500" s="341"/>
      <c r="AF500" s="337" t="s">
        <v>572</v>
      </c>
      <c r="AG500" s="337" t="s">
        <v>1006</v>
      </c>
    </row>
    <row r="501" spans="4:33" x14ac:dyDescent="0.2">
      <c r="D501" s="341"/>
      <c r="AF501" s="337" t="s">
        <v>572</v>
      </c>
      <c r="AG501" s="337" t="s">
        <v>573</v>
      </c>
    </row>
    <row r="502" spans="4:33" x14ac:dyDescent="0.2">
      <c r="D502" s="341"/>
      <c r="AF502" s="337" t="s">
        <v>572</v>
      </c>
      <c r="AG502" s="337" t="s">
        <v>2500</v>
      </c>
    </row>
    <row r="503" spans="4:33" x14ac:dyDescent="0.2">
      <c r="D503" s="341"/>
      <c r="AF503" s="337" t="s">
        <v>572</v>
      </c>
      <c r="AG503" s="337" t="s">
        <v>1011</v>
      </c>
    </row>
    <row r="504" spans="4:33" x14ac:dyDescent="0.2">
      <c r="D504" s="341"/>
      <c r="AF504" s="337" t="s">
        <v>572</v>
      </c>
      <c r="AG504" s="337" t="s">
        <v>1024</v>
      </c>
    </row>
    <row r="505" spans="4:33" x14ac:dyDescent="0.2">
      <c r="D505" s="341"/>
      <c r="AF505" s="337" t="s">
        <v>572</v>
      </c>
      <c r="AG505" s="337" t="s">
        <v>1019</v>
      </c>
    </row>
    <row r="506" spans="4:33" x14ac:dyDescent="0.2">
      <c r="D506" s="341"/>
      <c r="AF506" s="337" t="s">
        <v>315</v>
      </c>
      <c r="AG506" s="337" t="s">
        <v>1278</v>
      </c>
    </row>
    <row r="507" spans="4:33" x14ac:dyDescent="0.2">
      <c r="D507" s="341"/>
      <c r="AF507" s="337" t="s">
        <v>315</v>
      </c>
      <c r="AG507" s="337" t="s">
        <v>316</v>
      </c>
    </row>
    <row r="508" spans="4:33" x14ac:dyDescent="0.2">
      <c r="D508" s="341"/>
      <c r="AF508" s="337" t="s">
        <v>315</v>
      </c>
      <c r="AG508" s="337" t="s">
        <v>1244</v>
      </c>
    </row>
    <row r="509" spans="4:33" x14ac:dyDescent="0.2">
      <c r="D509" s="341"/>
      <c r="AF509" s="337" t="s">
        <v>315</v>
      </c>
      <c r="AG509" s="337" t="s">
        <v>1242</v>
      </c>
    </row>
    <row r="510" spans="4:33" x14ac:dyDescent="0.2">
      <c r="D510" s="341"/>
      <c r="AF510" s="337" t="s">
        <v>315</v>
      </c>
      <c r="AG510" s="337" t="s">
        <v>1243</v>
      </c>
    </row>
    <row r="511" spans="4:33" x14ac:dyDescent="0.2">
      <c r="D511" s="341"/>
      <c r="AF511" s="337" t="s">
        <v>315</v>
      </c>
      <c r="AG511" s="337" t="s">
        <v>317</v>
      </c>
    </row>
    <row r="512" spans="4:33" x14ac:dyDescent="0.2">
      <c r="D512" s="341"/>
      <c r="AF512" s="337" t="s">
        <v>315</v>
      </c>
      <c r="AG512" s="337" t="s">
        <v>390</v>
      </c>
    </row>
    <row r="513" spans="4:33" x14ac:dyDescent="0.2">
      <c r="D513" s="341"/>
      <c r="AF513" s="337" t="s">
        <v>315</v>
      </c>
      <c r="AG513" s="337" t="s">
        <v>1292</v>
      </c>
    </row>
    <row r="514" spans="4:33" x14ac:dyDescent="0.2">
      <c r="D514" s="341"/>
      <c r="AF514" s="337" t="s">
        <v>315</v>
      </c>
      <c r="AG514" s="337" t="s">
        <v>318</v>
      </c>
    </row>
    <row r="515" spans="4:33" x14ac:dyDescent="0.2">
      <c r="D515" s="341"/>
      <c r="AF515" s="337" t="s">
        <v>315</v>
      </c>
      <c r="AG515" s="337" t="s">
        <v>319</v>
      </c>
    </row>
    <row r="516" spans="4:33" x14ac:dyDescent="0.2">
      <c r="D516" s="341"/>
      <c r="AF516" s="337" t="s">
        <v>315</v>
      </c>
      <c r="AG516" s="337" t="s">
        <v>320</v>
      </c>
    </row>
    <row r="517" spans="4:33" x14ac:dyDescent="0.2">
      <c r="D517" s="341"/>
      <c r="AF517" s="337" t="s">
        <v>315</v>
      </c>
      <c r="AG517" s="337" t="s">
        <v>321</v>
      </c>
    </row>
    <row r="518" spans="4:33" x14ac:dyDescent="0.2">
      <c r="D518" s="341"/>
      <c r="AF518" s="337" t="s">
        <v>315</v>
      </c>
      <c r="AG518" s="337" t="s">
        <v>322</v>
      </c>
    </row>
    <row r="519" spans="4:33" x14ac:dyDescent="0.2">
      <c r="D519" s="341"/>
      <c r="AF519" s="337" t="s">
        <v>315</v>
      </c>
      <c r="AG519" s="337" t="s">
        <v>423</v>
      </c>
    </row>
    <row r="520" spans="4:33" x14ac:dyDescent="0.2">
      <c r="D520" s="341"/>
      <c r="AF520" s="337" t="s">
        <v>315</v>
      </c>
      <c r="AG520" s="337" t="s">
        <v>424</v>
      </c>
    </row>
    <row r="521" spans="4:33" x14ac:dyDescent="0.2">
      <c r="D521" s="341"/>
      <c r="AF521" s="337" t="s">
        <v>315</v>
      </c>
      <c r="AG521" s="337" t="s">
        <v>1239</v>
      </c>
    </row>
    <row r="522" spans="4:33" x14ac:dyDescent="0.2">
      <c r="D522" s="341"/>
      <c r="AF522" s="337" t="s">
        <v>315</v>
      </c>
      <c r="AG522" s="337" t="s">
        <v>391</v>
      </c>
    </row>
    <row r="523" spans="4:33" x14ac:dyDescent="0.2">
      <c r="D523" s="341"/>
      <c r="AF523" s="337" t="s">
        <v>315</v>
      </c>
      <c r="AG523" s="337" t="s">
        <v>323</v>
      </c>
    </row>
    <row r="524" spans="4:33" x14ac:dyDescent="0.2">
      <c r="D524" s="341"/>
      <c r="AF524" s="337" t="s">
        <v>315</v>
      </c>
      <c r="AG524" s="337" t="s">
        <v>392</v>
      </c>
    </row>
    <row r="525" spans="4:33" x14ac:dyDescent="0.2">
      <c r="D525" s="341"/>
      <c r="AF525" s="337" t="s">
        <v>315</v>
      </c>
      <c r="AG525" s="337" t="s">
        <v>324</v>
      </c>
    </row>
    <row r="526" spans="4:33" x14ac:dyDescent="0.2">
      <c r="D526" s="341"/>
      <c r="AF526" s="337" t="s">
        <v>315</v>
      </c>
      <c r="AG526" s="337" t="s">
        <v>425</v>
      </c>
    </row>
    <row r="527" spans="4:33" x14ac:dyDescent="0.2">
      <c r="D527" s="341"/>
      <c r="AF527" s="337" t="s">
        <v>315</v>
      </c>
      <c r="AG527" s="337" t="s">
        <v>325</v>
      </c>
    </row>
    <row r="528" spans="4:33" x14ac:dyDescent="0.2">
      <c r="D528" s="341"/>
      <c r="AF528" s="337" t="s">
        <v>315</v>
      </c>
      <c r="AG528" s="337" t="s">
        <v>1336</v>
      </c>
    </row>
    <row r="529" spans="4:33" x14ac:dyDescent="0.2">
      <c r="D529" s="341"/>
      <c r="AF529" s="337" t="s">
        <v>315</v>
      </c>
      <c r="AG529" s="337" t="s">
        <v>326</v>
      </c>
    </row>
    <row r="530" spans="4:33" x14ac:dyDescent="0.2">
      <c r="D530" s="341"/>
      <c r="AF530" s="337" t="s">
        <v>315</v>
      </c>
      <c r="AG530" s="337" t="s">
        <v>426</v>
      </c>
    </row>
    <row r="531" spans="4:33" x14ac:dyDescent="0.2">
      <c r="D531" s="341"/>
      <c r="AF531" s="337" t="s">
        <v>315</v>
      </c>
      <c r="AG531" s="337" t="s">
        <v>427</v>
      </c>
    </row>
    <row r="532" spans="4:33" x14ac:dyDescent="0.2">
      <c r="D532" s="341"/>
      <c r="AF532" s="337" t="s">
        <v>315</v>
      </c>
      <c r="AG532" s="337" t="s">
        <v>327</v>
      </c>
    </row>
    <row r="533" spans="4:33" x14ac:dyDescent="0.2">
      <c r="D533" s="341"/>
      <c r="AF533" s="337" t="s">
        <v>315</v>
      </c>
      <c r="AG533" s="337" t="s">
        <v>328</v>
      </c>
    </row>
    <row r="534" spans="4:33" x14ac:dyDescent="0.2">
      <c r="D534" s="341"/>
      <c r="AF534" s="337" t="s">
        <v>315</v>
      </c>
      <c r="AG534" s="337" t="s">
        <v>1237</v>
      </c>
    </row>
    <row r="535" spans="4:33" x14ac:dyDescent="0.2">
      <c r="D535" s="341"/>
      <c r="AF535" s="337" t="s">
        <v>879</v>
      </c>
      <c r="AG535" s="337" t="s">
        <v>930</v>
      </c>
    </row>
    <row r="536" spans="4:33" x14ac:dyDescent="0.2">
      <c r="D536" s="341"/>
      <c r="AF536" s="337" t="s">
        <v>879</v>
      </c>
      <c r="AG536" s="337" t="s">
        <v>1161</v>
      </c>
    </row>
    <row r="537" spans="4:33" x14ac:dyDescent="0.2">
      <c r="D537" s="341"/>
      <c r="AF537" s="337" t="s">
        <v>879</v>
      </c>
      <c r="AG537" s="337" t="s">
        <v>890</v>
      </c>
    </row>
    <row r="538" spans="4:33" x14ac:dyDescent="0.2">
      <c r="D538" s="341"/>
      <c r="AF538" s="337" t="s">
        <v>879</v>
      </c>
      <c r="AG538" s="337" t="s">
        <v>933</v>
      </c>
    </row>
    <row r="539" spans="4:33" x14ac:dyDescent="0.2">
      <c r="D539" s="341"/>
      <c r="AF539" s="337" t="s">
        <v>879</v>
      </c>
      <c r="AG539" s="337" t="s">
        <v>920</v>
      </c>
    </row>
    <row r="540" spans="4:33" x14ac:dyDescent="0.2">
      <c r="D540" s="341"/>
      <c r="AF540" s="337" t="s">
        <v>879</v>
      </c>
      <c r="AG540" s="337" t="s">
        <v>880</v>
      </c>
    </row>
    <row r="541" spans="4:33" x14ac:dyDescent="0.2">
      <c r="D541" s="341"/>
      <c r="AF541" s="337" t="s">
        <v>879</v>
      </c>
      <c r="AG541" s="337" t="s">
        <v>965</v>
      </c>
    </row>
    <row r="542" spans="4:33" x14ac:dyDescent="0.2">
      <c r="D542" s="341"/>
      <c r="AF542" s="337" t="s">
        <v>879</v>
      </c>
      <c r="AG542" s="337" t="s">
        <v>922</v>
      </c>
    </row>
    <row r="543" spans="4:33" x14ac:dyDescent="0.2">
      <c r="D543" s="341"/>
      <c r="AF543" s="337" t="s">
        <v>903</v>
      </c>
      <c r="AG543" s="337" t="s">
        <v>911</v>
      </c>
    </row>
    <row r="544" spans="4:33" x14ac:dyDescent="0.2">
      <c r="D544" s="341"/>
      <c r="AF544" s="337" t="s">
        <v>903</v>
      </c>
      <c r="AG544" s="337" t="s">
        <v>1296</v>
      </c>
    </row>
    <row r="545" spans="4:33" x14ac:dyDescent="0.2">
      <c r="D545" s="341"/>
      <c r="AF545" s="337" t="s">
        <v>903</v>
      </c>
      <c r="AG545" s="337" t="s">
        <v>912</v>
      </c>
    </row>
    <row r="546" spans="4:33" x14ac:dyDescent="0.2">
      <c r="D546" s="341"/>
      <c r="AF546" s="337" t="s">
        <v>903</v>
      </c>
      <c r="AG546" s="337" t="s">
        <v>916</v>
      </c>
    </row>
    <row r="547" spans="4:33" x14ac:dyDescent="0.2">
      <c r="D547" s="341"/>
      <c r="AF547" s="337" t="s">
        <v>903</v>
      </c>
      <c r="AG547" s="337" t="s">
        <v>1152</v>
      </c>
    </row>
    <row r="548" spans="4:33" x14ac:dyDescent="0.2">
      <c r="D548" s="341"/>
      <c r="AF548" s="337" t="s">
        <v>903</v>
      </c>
      <c r="AG548" s="337" t="s">
        <v>969</v>
      </c>
    </row>
    <row r="549" spans="4:33" x14ac:dyDescent="0.2">
      <c r="D549" s="341"/>
      <c r="AF549" s="337" t="s">
        <v>903</v>
      </c>
      <c r="AG549" s="337" t="s">
        <v>971</v>
      </c>
    </row>
    <row r="550" spans="4:33" x14ac:dyDescent="0.2">
      <c r="D550" s="341"/>
      <c r="AF550" s="337" t="s">
        <v>903</v>
      </c>
      <c r="AG550" s="337" t="s">
        <v>973</v>
      </c>
    </row>
    <row r="551" spans="4:33" x14ac:dyDescent="0.2">
      <c r="D551" s="341"/>
      <c r="AF551" s="337" t="s">
        <v>903</v>
      </c>
      <c r="AG551" s="337" t="s">
        <v>904</v>
      </c>
    </row>
    <row r="552" spans="4:33" x14ac:dyDescent="0.2">
      <c r="D552" s="341"/>
      <c r="AF552" s="337" t="s">
        <v>903</v>
      </c>
      <c r="AG552" s="337" t="s">
        <v>1153</v>
      </c>
    </row>
    <row r="553" spans="4:33" x14ac:dyDescent="0.2">
      <c r="D553" s="341"/>
      <c r="AF553" s="337" t="s">
        <v>903</v>
      </c>
      <c r="AG553" s="337" t="s">
        <v>1340</v>
      </c>
    </row>
    <row r="554" spans="4:33" x14ac:dyDescent="0.2">
      <c r="D554" s="341"/>
      <c r="AF554" s="337" t="s">
        <v>1317</v>
      </c>
      <c r="AG554" s="337" t="s">
        <v>1316</v>
      </c>
    </row>
    <row r="555" spans="4:33" x14ac:dyDescent="0.2">
      <c r="D555" s="341"/>
      <c r="AF555" s="337" t="s">
        <v>1473</v>
      </c>
      <c r="AG555" s="337" t="s">
        <v>1544</v>
      </c>
    </row>
    <row r="556" spans="4:33" x14ac:dyDescent="0.2">
      <c r="D556" s="341"/>
      <c r="AF556" s="337" t="s">
        <v>575</v>
      </c>
      <c r="AG556" s="337" t="s">
        <v>585</v>
      </c>
    </row>
    <row r="557" spans="4:33" x14ac:dyDescent="0.2">
      <c r="D557" s="341"/>
      <c r="AF557" s="337" t="s">
        <v>575</v>
      </c>
      <c r="AG557" s="337" t="s">
        <v>586</v>
      </c>
    </row>
    <row r="558" spans="4:33" x14ac:dyDescent="0.2">
      <c r="D558" s="341"/>
      <c r="AF558" s="337" t="s">
        <v>575</v>
      </c>
      <c r="AG558" s="337" t="s">
        <v>1045</v>
      </c>
    </row>
    <row r="559" spans="4:33" x14ac:dyDescent="0.2">
      <c r="D559" s="341"/>
      <c r="AF559" s="337" t="s">
        <v>575</v>
      </c>
      <c r="AG559" s="337" t="s">
        <v>1008</v>
      </c>
    </row>
    <row r="560" spans="4:33" x14ac:dyDescent="0.2">
      <c r="D560" s="341"/>
      <c r="AF560" s="337" t="s">
        <v>575</v>
      </c>
      <c r="AG560" s="337" t="s">
        <v>1010</v>
      </c>
    </row>
    <row r="561" spans="4:33" x14ac:dyDescent="0.2">
      <c r="D561" s="341"/>
      <c r="AF561" s="337" t="s">
        <v>575</v>
      </c>
      <c r="AG561" s="337" t="s">
        <v>710</v>
      </c>
    </row>
    <row r="562" spans="4:33" x14ac:dyDescent="0.2">
      <c r="D562" s="341"/>
      <c r="AF562" s="337" t="s">
        <v>575</v>
      </c>
      <c r="AG562" s="337" t="s">
        <v>584</v>
      </c>
    </row>
    <row r="563" spans="4:33" x14ac:dyDescent="0.2">
      <c r="D563" s="341"/>
      <c r="AF563" s="337" t="s">
        <v>575</v>
      </c>
      <c r="AG563" s="337" t="s">
        <v>996</v>
      </c>
    </row>
    <row r="564" spans="4:33" x14ac:dyDescent="0.2">
      <c r="D564" s="341"/>
      <c r="AF564" s="337" t="s">
        <v>575</v>
      </c>
      <c r="AG564" s="337" t="s">
        <v>1017</v>
      </c>
    </row>
    <row r="565" spans="4:33" x14ac:dyDescent="0.2">
      <c r="D565" s="341"/>
      <c r="AF565" s="337" t="s">
        <v>575</v>
      </c>
      <c r="AG565" s="337" t="s">
        <v>580</v>
      </c>
    </row>
    <row r="566" spans="4:33" x14ac:dyDescent="0.2">
      <c r="D566" s="341"/>
      <c r="AF566" s="337" t="s">
        <v>575</v>
      </c>
      <c r="AG566" s="337" t="s">
        <v>581</v>
      </c>
    </row>
    <row r="567" spans="4:33" x14ac:dyDescent="0.2">
      <c r="D567" s="341"/>
      <c r="AF567" s="337" t="s">
        <v>575</v>
      </c>
      <c r="AG567" s="337" t="s">
        <v>1021</v>
      </c>
    </row>
    <row r="568" spans="4:33" x14ac:dyDescent="0.2">
      <c r="D568" s="341"/>
      <c r="AF568" s="337" t="s">
        <v>575</v>
      </c>
      <c r="AG568" s="337" t="s">
        <v>1014</v>
      </c>
    </row>
    <row r="569" spans="4:33" x14ac:dyDescent="0.2">
      <c r="D569" s="341"/>
      <c r="AF569" s="337" t="s">
        <v>575</v>
      </c>
      <c r="AG569" s="337" t="s">
        <v>582</v>
      </c>
    </row>
    <row r="570" spans="4:33" x14ac:dyDescent="0.2">
      <c r="D570" s="341"/>
      <c r="AF570" s="337" t="s">
        <v>575</v>
      </c>
      <c r="AG570" s="337" t="s">
        <v>579</v>
      </c>
    </row>
    <row r="571" spans="4:33" x14ac:dyDescent="0.2">
      <c r="D571" s="341"/>
      <c r="AF571" s="337" t="s">
        <v>575</v>
      </c>
      <c r="AG571" s="337" t="s">
        <v>1012</v>
      </c>
    </row>
    <row r="572" spans="4:33" x14ac:dyDescent="0.2">
      <c r="D572" s="341"/>
      <c r="AF572" s="337" t="s">
        <v>575</v>
      </c>
      <c r="AG572" s="337" t="s">
        <v>578</v>
      </c>
    </row>
    <row r="573" spans="4:33" x14ac:dyDescent="0.2">
      <c r="D573" s="341"/>
      <c r="AF573" s="337" t="s">
        <v>575</v>
      </c>
      <c r="AG573" s="337" t="s">
        <v>576</v>
      </c>
    </row>
    <row r="574" spans="4:33" x14ac:dyDescent="0.2">
      <c r="D574" s="341"/>
      <c r="AF574" s="337" t="s">
        <v>575</v>
      </c>
      <c r="AG574" s="337" t="s">
        <v>1337</v>
      </c>
    </row>
    <row r="575" spans="4:33" x14ac:dyDescent="0.2">
      <c r="D575" s="341"/>
      <c r="AF575" s="337" t="s">
        <v>575</v>
      </c>
      <c r="AG575" s="337" t="s">
        <v>1015</v>
      </c>
    </row>
    <row r="576" spans="4:33" x14ac:dyDescent="0.2">
      <c r="D576" s="341"/>
      <c r="AF576" s="337" t="s">
        <v>630</v>
      </c>
      <c r="AG576" s="337" t="s">
        <v>662</v>
      </c>
    </row>
    <row r="577" spans="4:33" x14ac:dyDescent="0.2">
      <c r="D577" s="341"/>
      <c r="AF577" s="337" t="s">
        <v>630</v>
      </c>
      <c r="AG577" s="337" t="s">
        <v>686</v>
      </c>
    </row>
    <row r="578" spans="4:33" x14ac:dyDescent="0.2">
      <c r="D578" s="341"/>
      <c r="AF578" s="337" t="s">
        <v>630</v>
      </c>
      <c r="AG578" s="337" t="s">
        <v>1071</v>
      </c>
    </row>
    <row r="579" spans="4:33" x14ac:dyDescent="0.2">
      <c r="D579" s="341"/>
      <c r="AF579" s="337" t="s">
        <v>630</v>
      </c>
      <c r="AG579" s="337" t="s">
        <v>687</v>
      </c>
    </row>
    <row r="580" spans="4:33" x14ac:dyDescent="0.2">
      <c r="D580" s="341"/>
      <c r="AF580" s="337" t="s">
        <v>630</v>
      </c>
      <c r="AG580" s="337" t="s">
        <v>693</v>
      </c>
    </row>
    <row r="581" spans="4:33" x14ac:dyDescent="0.2">
      <c r="D581" s="341"/>
      <c r="AF581" s="337" t="s">
        <v>630</v>
      </c>
      <c r="AG581" s="337" t="s">
        <v>1068</v>
      </c>
    </row>
    <row r="582" spans="4:33" x14ac:dyDescent="0.2">
      <c r="D582" s="341"/>
      <c r="AF582" s="337" t="s">
        <v>630</v>
      </c>
      <c r="AG582" s="337" t="s">
        <v>659</v>
      </c>
    </row>
    <row r="583" spans="4:33" x14ac:dyDescent="0.2">
      <c r="D583" s="341"/>
      <c r="AF583" s="337" t="s">
        <v>630</v>
      </c>
      <c r="AG583" s="337" t="s">
        <v>1067</v>
      </c>
    </row>
    <row r="584" spans="4:33" x14ac:dyDescent="0.2">
      <c r="D584" s="341"/>
      <c r="AF584" s="337" t="s">
        <v>630</v>
      </c>
      <c r="AG584" s="337" t="s">
        <v>688</v>
      </c>
    </row>
    <row r="585" spans="4:33" x14ac:dyDescent="0.2">
      <c r="D585" s="341"/>
      <c r="AF585" s="337" t="s">
        <v>630</v>
      </c>
      <c r="AG585" s="337" t="s">
        <v>685</v>
      </c>
    </row>
    <row r="586" spans="4:33" x14ac:dyDescent="0.2">
      <c r="D586" s="341"/>
      <c r="AF586" s="337" t="s">
        <v>630</v>
      </c>
      <c r="AG586" s="337" t="s">
        <v>1066</v>
      </c>
    </row>
    <row r="587" spans="4:33" x14ac:dyDescent="0.2">
      <c r="D587" s="341"/>
      <c r="AF587" s="337" t="s">
        <v>630</v>
      </c>
      <c r="AG587" s="337" t="s">
        <v>631</v>
      </c>
    </row>
    <row r="588" spans="4:33" x14ac:dyDescent="0.2">
      <c r="D588" s="341"/>
      <c r="AF588" s="337" t="s">
        <v>630</v>
      </c>
      <c r="AG588" s="337" t="s">
        <v>634</v>
      </c>
    </row>
    <row r="589" spans="4:33" x14ac:dyDescent="0.2">
      <c r="D589" s="341"/>
      <c r="AF589" s="337" t="s">
        <v>630</v>
      </c>
      <c r="AG589" s="337" t="s">
        <v>665</v>
      </c>
    </row>
    <row r="590" spans="4:33" x14ac:dyDescent="0.2">
      <c r="D590" s="341"/>
      <c r="AF590" s="337" t="s">
        <v>630</v>
      </c>
      <c r="AG590" s="337" t="s">
        <v>637</v>
      </c>
    </row>
    <row r="591" spans="4:33" x14ac:dyDescent="0.2">
      <c r="D591" s="341"/>
      <c r="AF591" s="337" t="s">
        <v>630</v>
      </c>
      <c r="AG591" s="337" t="s">
        <v>664</v>
      </c>
    </row>
    <row r="592" spans="4:33" x14ac:dyDescent="0.2">
      <c r="D592" s="341"/>
      <c r="AF592" s="337" t="s">
        <v>630</v>
      </c>
      <c r="AG592" s="337" t="s">
        <v>678</v>
      </c>
    </row>
    <row r="593" spans="4:33" x14ac:dyDescent="0.2">
      <c r="D593" s="341"/>
      <c r="AF593" s="337" t="s">
        <v>630</v>
      </c>
      <c r="AG593" s="337" t="s">
        <v>646</v>
      </c>
    </row>
    <row r="594" spans="4:33" x14ac:dyDescent="0.2">
      <c r="D594" s="341"/>
      <c r="AF594" s="337" t="s">
        <v>329</v>
      </c>
      <c r="AG594" s="337" t="s">
        <v>1290</v>
      </c>
    </row>
    <row r="595" spans="4:33" x14ac:dyDescent="0.2">
      <c r="D595" s="341"/>
      <c r="AF595" s="337" t="s">
        <v>329</v>
      </c>
      <c r="AG595" s="337" t="s">
        <v>1264</v>
      </c>
    </row>
    <row r="596" spans="4:33" x14ac:dyDescent="0.2">
      <c r="D596" s="341"/>
      <c r="AF596" s="337" t="s">
        <v>329</v>
      </c>
      <c r="AG596" s="337" t="s">
        <v>330</v>
      </c>
    </row>
    <row r="597" spans="4:33" x14ac:dyDescent="0.2">
      <c r="D597" s="341"/>
      <c r="AF597" s="337" t="s">
        <v>329</v>
      </c>
      <c r="AG597" s="337" t="s">
        <v>1266</v>
      </c>
    </row>
    <row r="598" spans="4:33" x14ac:dyDescent="0.2">
      <c r="D598" s="341"/>
      <c r="AF598" s="337" t="s">
        <v>329</v>
      </c>
      <c r="AG598" s="337" t="s">
        <v>1315</v>
      </c>
    </row>
    <row r="599" spans="4:33" x14ac:dyDescent="0.2">
      <c r="D599" s="341"/>
      <c r="AF599" s="337" t="s">
        <v>329</v>
      </c>
      <c r="AG599" s="337" t="s">
        <v>1270</v>
      </c>
    </row>
    <row r="600" spans="4:33" x14ac:dyDescent="0.2">
      <c r="D600" s="341"/>
      <c r="AF600" s="337" t="s">
        <v>527</v>
      </c>
      <c r="AG600" s="337" t="s">
        <v>529</v>
      </c>
    </row>
    <row r="601" spans="4:33" x14ac:dyDescent="0.2">
      <c r="D601" s="341"/>
      <c r="AF601" s="337" t="s">
        <v>527</v>
      </c>
      <c r="AG601" s="337" t="s">
        <v>528</v>
      </c>
    </row>
    <row r="602" spans="4:33" x14ac:dyDescent="0.2">
      <c r="D602" s="341"/>
      <c r="AF602" s="337" t="s">
        <v>508</v>
      </c>
      <c r="AG602" s="337" t="s">
        <v>673</v>
      </c>
    </row>
    <row r="603" spans="4:33" x14ac:dyDescent="0.2">
      <c r="D603" s="341"/>
      <c r="AF603" s="337" t="s">
        <v>508</v>
      </c>
      <c r="AG603" s="337" t="s">
        <v>679</v>
      </c>
    </row>
    <row r="604" spans="4:33" x14ac:dyDescent="0.2">
      <c r="D604" s="341"/>
      <c r="AF604" s="337" t="s">
        <v>508</v>
      </c>
      <c r="AG604" s="337" t="s">
        <v>676</v>
      </c>
    </row>
    <row r="605" spans="4:33" x14ac:dyDescent="0.2">
      <c r="D605" s="341"/>
      <c r="AF605" s="337" t="s">
        <v>508</v>
      </c>
      <c r="AG605" s="337" t="s">
        <v>677</v>
      </c>
    </row>
    <row r="606" spans="4:33" x14ac:dyDescent="0.2">
      <c r="D606" s="341"/>
      <c r="AF606" s="337" t="s">
        <v>508</v>
      </c>
      <c r="AG606" s="337" t="s">
        <v>698</v>
      </c>
    </row>
    <row r="607" spans="4:33" x14ac:dyDescent="0.2">
      <c r="D607" s="341"/>
      <c r="AF607" s="337" t="s">
        <v>508</v>
      </c>
      <c r="AG607" s="337" t="s">
        <v>644</v>
      </c>
    </row>
    <row r="608" spans="4:33" x14ac:dyDescent="0.2">
      <c r="D608" s="341"/>
      <c r="AF608" s="337" t="s">
        <v>508</v>
      </c>
      <c r="AG608" s="337" t="s">
        <v>713</v>
      </c>
    </row>
    <row r="609" spans="4:33" x14ac:dyDescent="0.2">
      <c r="D609" s="341"/>
      <c r="AF609" s="337" t="s">
        <v>508</v>
      </c>
      <c r="AG609" s="337" t="s">
        <v>1093</v>
      </c>
    </row>
    <row r="610" spans="4:33" x14ac:dyDescent="0.2">
      <c r="D610" s="341"/>
      <c r="AF610" s="337" t="s">
        <v>508</v>
      </c>
      <c r="AG610" s="337" t="s">
        <v>543</v>
      </c>
    </row>
    <row r="611" spans="4:33" x14ac:dyDescent="0.2">
      <c r="D611" s="341"/>
      <c r="AF611" s="337" t="s">
        <v>508</v>
      </c>
      <c r="AG611" s="337" t="s">
        <v>1282</v>
      </c>
    </row>
    <row r="612" spans="4:33" x14ac:dyDescent="0.2">
      <c r="D612" s="341"/>
      <c r="AF612" s="337" t="s">
        <v>508</v>
      </c>
      <c r="AG612" s="337" t="s">
        <v>656</v>
      </c>
    </row>
    <row r="613" spans="4:33" x14ac:dyDescent="0.2">
      <c r="D613" s="341"/>
      <c r="AF613" s="337" t="s">
        <v>508</v>
      </c>
      <c r="AG613" s="337" t="s">
        <v>672</v>
      </c>
    </row>
    <row r="614" spans="4:33" x14ac:dyDescent="0.2">
      <c r="D614" s="341"/>
      <c r="AF614" s="337" t="s">
        <v>508</v>
      </c>
      <c r="AG614" s="337" t="s">
        <v>645</v>
      </c>
    </row>
    <row r="615" spans="4:33" x14ac:dyDescent="0.2">
      <c r="D615" s="341"/>
      <c r="AF615" s="337" t="s">
        <v>508</v>
      </c>
      <c r="AG615" s="337" t="s">
        <v>1078</v>
      </c>
    </row>
    <row r="616" spans="4:33" x14ac:dyDescent="0.2">
      <c r="D616" s="341"/>
      <c r="AF616" s="337" t="s">
        <v>508</v>
      </c>
      <c r="AG616" s="337" t="s">
        <v>681</v>
      </c>
    </row>
    <row r="617" spans="4:33" x14ac:dyDescent="0.2">
      <c r="D617" s="341"/>
      <c r="AF617" s="337" t="s">
        <v>508</v>
      </c>
      <c r="AG617" s="337" t="s">
        <v>1287</v>
      </c>
    </row>
    <row r="618" spans="4:33" x14ac:dyDescent="0.2">
      <c r="D618" s="341"/>
      <c r="AF618" s="337" t="s">
        <v>508</v>
      </c>
      <c r="AG618" s="337" t="s">
        <v>680</v>
      </c>
    </row>
    <row r="619" spans="4:33" x14ac:dyDescent="0.2">
      <c r="D619" s="341"/>
      <c r="AF619" s="337" t="s">
        <v>508</v>
      </c>
      <c r="AG619" s="337" t="s">
        <v>1099</v>
      </c>
    </row>
    <row r="620" spans="4:33" x14ac:dyDescent="0.2">
      <c r="D620" s="341"/>
      <c r="AF620" s="337" t="s">
        <v>508</v>
      </c>
      <c r="AG620" s="337" t="s">
        <v>756</v>
      </c>
    </row>
    <row r="621" spans="4:33" x14ac:dyDescent="0.2">
      <c r="D621" s="341"/>
      <c r="AF621" s="337" t="s">
        <v>508</v>
      </c>
      <c r="AG621" s="337" t="s">
        <v>715</v>
      </c>
    </row>
    <row r="622" spans="4:33" x14ac:dyDescent="0.2">
      <c r="D622" s="341"/>
      <c r="AF622" s="337" t="s">
        <v>508</v>
      </c>
      <c r="AG622" s="337" t="s">
        <v>647</v>
      </c>
    </row>
    <row r="623" spans="4:33" x14ac:dyDescent="0.2">
      <c r="D623" s="341"/>
      <c r="AF623" s="337" t="s">
        <v>508</v>
      </c>
      <c r="AG623" s="337" t="s">
        <v>1083</v>
      </c>
    </row>
    <row r="624" spans="4:33" x14ac:dyDescent="0.2">
      <c r="D624" s="341"/>
      <c r="AF624" s="337" t="s">
        <v>508</v>
      </c>
      <c r="AG624" s="337" t="s">
        <v>696</v>
      </c>
    </row>
    <row r="625" spans="4:33" x14ac:dyDescent="0.2">
      <c r="D625" s="341"/>
      <c r="AF625" s="337" t="s">
        <v>508</v>
      </c>
      <c r="AG625" s="337" t="s">
        <v>651</v>
      </c>
    </row>
    <row r="626" spans="4:33" x14ac:dyDescent="0.2">
      <c r="D626" s="341"/>
      <c r="AF626" s="337" t="s">
        <v>508</v>
      </c>
      <c r="AG626" s="337" t="s">
        <v>691</v>
      </c>
    </row>
    <row r="627" spans="4:33" x14ac:dyDescent="0.2">
      <c r="D627" s="341"/>
      <c r="AF627" s="337" t="s">
        <v>508</v>
      </c>
      <c r="AG627" s="337" t="s">
        <v>1101</v>
      </c>
    </row>
    <row r="628" spans="4:33" x14ac:dyDescent="0.2">
      <c r="D628" s="341"/>
      <c r="AF628" s="337" t="s">
        <v>508</v>
      </c>
      <c r="AG628" s="337" t="s">
        <v>663</v>
      </c>
    </row>
    <row r="629" spans="4:33" x14ac:dyDescent="0.2">
      <c r="D629" s="341"/>
      <c r="AF629" s="337" t="s">
        <v>508</v>
      </c>
      <c r="AG629" s="337" t="s">
        <v>1092</v>
      </c>
    </row>
    <row r="630" spans="4:33" x14ac:dyDescent="0.2">
      <c r="D630" s="341"/>
      <c r="AF630" s="337" t="s">
        <v>508</v>
      </c>
      <c r="AG630" s="337" t="s">
        <v>658</v>
      </c>
    </row>
    <row r="631" spans="4:33" x14ac:dyDescent="0.2">
      <c r="D631" s="341"/>
      <c r="AF631" s="337" t="s">
        <v>508</v>
      </c>
      <c r="AG631" s="337" t="s">
        <v>690</v>
      </c>
    </row>
    <row r="632" spans="4:33" x14ac:dyDescent="0.2">
      <c r="D632" s="341"/>
      <c r="AF632" s="337" t="s">
        <v>508</v>
      </c>
      <c r="AG632" s="337" t="s">
        <v>682</v>
      </c>
    </row>
    <row r="633" spans="4:33" x14ac:dyDescent="0.2">
      <c r="D633" s="341"/>
      <c r="AF633" s="337" t="s">
        <v>508</v>
      </c>
      <c r="AG633" s="337" t="s">
        <v>655</v>
      </c>
    </row>
    <row r="634" spans="4:33" x14ac:dyDescent="0.2">
      <c r="D634" s="341"/>
      <c r="AF634" s="337" t="s">
        <v>508</v>
      </c>
      <c r="AG634" s="337" t="s">
        <v>666</v>
      </c>
    </row>
    <row r="635" spans="4:33" x14ac:dyDescent="0.2">
      <c r="D635" s="341"/>
      <c r="AF635" s="337" t="s">
        <v>508</v>
      </c>
      <c r="AG635" s="337" t="s">
        <v>648</v>
      </c>
    </row>
    <row r="636" spans="4:33" x14ac:dyDescent="0.2">
      <c r="D636" s="341"/>
      <c r="AF636" s="337" t="s">
        <v>508</v>
      </c>
      <c r="AG636" s="337" t="s">
        <v>689</v>
      </c>
    </row>
    <row r="637" spans="4:33" x14ac:dyDescent="0.2">
      <c r="D637" s="341"/>
      <c r="AF637" s="337" t="s">
        <v>508</v>
      </c>
      <c r="AG637" s="337" t="s">
        <v>675</v>
      </c>
    </row>
    <row r="638" spans="4:33" x14ac:dyDescent="0.2">
      <c r="D638" s="341"/>
      <c r="AF638" s="337" t="s">
        <v>508</v>
      </c>
      <c r="AG638" s="337" t="s">
        <v>1070</v>
      </c>
    </row>
    <row r="639" spans="4:33" x14ac:dyDescent="0.2">
      <c r="D639" s="341"/>
      <c r="AF639" s="337" t="s">
        <v>508</v>
      </c>
      <c r="AG639" s="337" t="s">
        <v>635</v>
      </c>
    </row>
    <row r="640" spans="4:33" x14ac:dyDescent="0.2">
      <c r="D640" s="341"/>
      <c r="AF640" s="337" t="s">
        <v>508</v>
      </c>
      <c r="AG640" s="337" t="s">
        <v>636</v>
      </c>
    </row>
    <row r="641" spans="4:33" x14ac:dyDescent="0.2">
      <c r="D641" s="341"/>
      <c r="AF641" s="337" t="s">
        <v>508</v>
      </c>
      <c r="AG641" s="337" t="s">
        <v>653</v>
      </c>
    </row>
    <row r="642" spans="4:33" x14ac:dyDescent="0.2">
      <c r="D642" s="341"/>
      <c r="AF642" s="337" t="s">
        <v>508</v>
      </c>
      <c r="AG642" s="337" t="s">
        <v>724</v>
      </c>
    </row>
    <row r="643" spans="4:33" x14ac:dyDescent="0.2">
      <c r="D643" s="341"/>
      <c r="AF643" s="337" t="s">
        <v>508</v>
      </c>
      <c r="AG643" s="337" t="s">
        <v>717</v>
      </c>
    </row>
    <row r="644" spans="4:33" x14ac:dyDescent="0.2">
      <c r="D644" s="341"/>
      <c r="AF644" s="337" t="s">
        <v>508</v>
      </c>
      <c r="AG644" s="337" t="s">
        <v>721</v>
      </c>
    </row>
    <row r="645" spans="4:33" x14ac:dyDescent="0.2">
      <c r="D645" s="341"/>
      <c r="AF645" s="337" t="s">
        <v>508</v>
      </c>
      <c r="AG645" s="337" t="s">
        <v>667</v>
      </c>
    </row>
    <row r="646" spans="4:33" x14ac:dyDescent="0.2">
      <c r="D646" s="341"/>
      <c r="AF646" s="337" t="s">
        <v>508</v>
      </c>
      <c r="AG646" s="337" t="s">
        <v>671</v>
      </c>
    </row>
    <row r="647" spans="4:33" x14ac:dyDescent="0.2">
      <c r="D647" s="341"/>
      <c r="AF647" s="337" t="s">
        <v>508</v>
      </c>
      <c r="AG647" s="337" t="s">
        <v>712</v>
      </c>
    </row>
    <row r="648" spans="4:33" x14ac:dyDescent="0.2">
      <c r="D648" s="341"/>
      <c r="AF648" s="337" t="s">
        <v>508</v>
      </c>
      <c r="AG648" s="337" t="s">
        <v>1096</v>
      </c>
    </row>
    <row r="649" spans="4:33" x14ac:dyDescent="0.2">
      <c r="D649" s="341"/>
      <c r="AF649" s="337" t="s">
        <v>508</v>
      </c>
      <c r="AG649" s="337" t="s">
        <v>509</v>
      </c>
    </row>
    <row r="650" spans="4:33" x14ac:dyDescent="0.2">
      <c r="D650" s="341"/>
      <c r="AF650" s="337" t="s">
        <v>508</v>
      </c>
      <c r="AG650" s="337" t="s">
        <v>684</v>
      </c>
    </row>
    <row r="651" spans="4:33" x14ac:dyDescent="0.2">
      <c r="D651" s="341"/>
      <c r="AF651" s="337" t="s">
        <v>508</v>
      </c>
      <c r="AG651" s="337" t="s">
        <v>1100</v>
      </c>
    </row>
    <row r="652" spans="4:33" x14ac:dyDescent="0.2">
      <c r="D652" s="341"/>
      <c r="AF652" s="337" t="s">
        <v>508</v>
      </c>
      <c r="AG652" s="337" t="s">
        <v>1073</v>
      </c>
    </row>
    <row r="653" spans="4:33" x14ac:dyDescent="0.2">
      <c r="D653" s="341"/>
      <c r="AF653" s="337" t="s">
        <v>508</v>
      </c>
      <c r="AG653" s="337" t="s">
        <v>739</v>
      </c>
    </row>
    <row r="654" spans="4:33" x14ac:dyDescent="0.2">
      <c r="D654" s="341"/>
      <c r="AF654" s="337" t="s">
        <v>508</v>
      </c>
      <c r="AG654" s="337" t="s">
        <v>749</v>
      </c>
    </row>
    <row r="655" spans="4:33" x14ac:dyDescent="0.2">
      <c r="D655" s="341"/>
      <c r="AF655" s="337" t="s">
        <v>508</v>
      </c>
      <c r="AG655" s="337" t="s">
        <v>669</v>
      </c>
    </row>
    <row r="656" spans="4:33" x14ac:dyDescent="0.2">
      <c r="D656" s="341"/>
      <c r="AF656" s="337" t="s">
        <v>508</v>
      </c>
      <c r="AG656" s="337" t="s">
        <v>674</v>
      </c>
    </row>
    <row r="657" spans="4:33" x14ac:dyDescent="0.2">
      <c r="D657" s="341"/>
      <c r="AF657" s="337" t="s">
        <v>508</v>
      </c>
      <c r="AG657" s="337" t="s">
        <v>660</v>
      </c>
    </row>
    <row r="658" spans="4:33" x14ac:dyDescent="0.2">
      <c r="D658" s="341"/>
      <c r="AF658" s="337" t="s">
        <v>508</v>
      </c>
      <c r="AG658" s="337" t="s">
        <v>657</v>
      </c>
    </row>
    <row r="659" spans="4:33" x14ac:dyDescent="0.2">
      <c r="D659" s="341"/>
      <c r="AF659" s="337" t="s">
        <v>508</v>
      </c>
      <c r="AG659" s="337" t="s">
        <v>701</v>
      </c>
    </row>
    <row r="660" spans="4:33" x14ac:dyDescent="0.2">
      <c r="D660" s="341"/>
      <c r="AF660" s="337" t="s">
        <v>508</v>
      </c>
      <c r="AG660" s="337" t="s">
        <v>1094</v>
      </c>
    </row>
    <row r="661" spans="4:33" x14ac:dyDescent="0.2">
      <c r="D661" s="341"/>
      <c r="AF661" s="337" t="s">
        <v>508</v>
      </c>
      <c r="AG661" s="337" t="s">
        <v>705</v>
      </c>
    </row>
    <row r="662" spans="4:33" x14ac:dyDescent="0.2">
      <c r="D662" s="341"/>
      <c r="AF662" s="337" t="s">
        <v>508</v>
      </c>
      <c r="AG662" s="337" t="s">
        <v>654</v>
      </c>
    </row>
    <row r="663" spans="4:33" x14ac:dyDescent="0.2">
      <c r="D663" s="341"/>
      <c r="AF663" s="337" t="s">
        <v>370</v>
      </c>
      <c r="AG663" s="337" t="s">
        <v>955</v>
      </c>
    </row>
    <row r="664" spans="4:33" x14ac:dyDescent="0.2">
      <c r="D664" s="341"/>
      <c r="AF664" s="337" t="s">
        <v>370</v>
      </c>
      <c r="AG664" s="337" t="s">
        <v>371</v>
      </c>
    </row>
    <row r="665" spans="4:33" x14ac:dyDescent="0.2">
      <c r="D665" s="341"/>
      <c r="AF665" s="337" t="s">
        <v>370</v>
      </c>
      <c r="AG665" s="337" t="s">
        <v>372</v>
      </c>
    </row>
    <row r="666" spans="4:33" x14ac:dyDescent="0.2">
      <c r="D666" s="341"/>
      <c r="AF666" s="337" t="s">
        <v>370</v>
      </c>
      <c r="AG666" s="337" t="s">
        <v>1328</v>
      </c>
    </row>
    <row r="667" spans="4:33" x14ac:dyDescent="0.2">
      <c r="D667" s="341"/>
      <c r="AF667" s="337" t="s">
        <v>370</v>
      </c>
      <c r="AG667" s="337" t="s">
        <v>1190</v>
      </c>
    </row>
    <row r="668" spans="4:33" x14ac:dyDescent="0.2">
      <c r="D668" s="341"/>
      <c r="AF668" s="337" t="s">
        <v>465</v>
      </c>
      <c r="AG668" s="337" t="s">
        <v>2516</v>
      </c>
    </row>
    <row r="669" spans="4:33" x14ac:dyDescent="0.2">
      <c r="D669" s="341"/>
      <c r="AF669" s="337" t="s">
        <v>465</v>
      </c>
      <c r="AG669" s="337" t="s">
        <v>466</v>
      </c>
    </row>
    <row r="670" spans="4:33" x14ac:dyDescent="0.2">
      <c r="D670" s="341"/>
      <c r="AF670" s="337" t="s">
        <v>465</v>
      </c>
      <c r="AG670" s="337" t="s">
        <v>626</v>
      </c>
    </row>
    <row r="671" spans="4:33" x14ac:dyDescent="0.2">
      <c r="D671" s="341"/>
      <c r="AF671" s="337" t="s">
        <v>465</v>
      </c>
      <c r="AG671" s="337" t="s">
        <v>2239</v>
      </c>
    </row>
    <row r="672" spans="4:33" x14ac:dyDescent="0.2">
      <c r="D672" s="341"/>
      <c r="AF672" s="337" t="s">
        <v>465</v>
      </c>
      <c r="AG672" s="337" t="s">
        <v>627</v>
      </c>
    </row>
    <row r="673" spans="4:33" x14ac:dyDescent="0.2">
      <c r="D673" s="341"/>
      <c r="AF673" s="337" t="s">
        <v>465</v>
      </c>
      <c r="AG673" s="337" t="s">
        <v>2515</v>
      </c>
    </row>
    <row r="674" spans="4:33" x14ac:dyDescent="0.2">
      <c r="D674" s="341"/>
      <c r="AF674" s="337" t="s">
        <v>465</v>
      </c>
      <c r="AG674" s="337" t="s">
        <v>587</v>
      </c>
    </row>
    <row r="675" spans="4:33" x14ac:dyDescent="0.2">
      <c r="D675" s="341"/>
      <c r="AF675" s="337" t="s">
        <v>465</v>
      </c>
      <c r="AG675" s="337" t="s">
        <v>588</v>
      </c>
    </row>
    <row r="676" spans="4:33" x14ac:dyDescent="0.2">
      <c r="D676" s="341"/>
      <c r="AF676" s="337" t="s">
        <v>465</v>
      </c>
      <c r="AG676" s="337" t="s">
        <v>1051</v>
      </c>
    </row>
    <row r="677" spans="4:33" x14ac:dyDescent="0.2">
      <c r="D677" s="341"/>
      <c r="AF677" s="337" t="s">
        <v>465</v>
      </c>
      <c r="AG677" s="337" t="s">
        <v>605</v>
      </c>
    </row>
    <row r="678" spans="4:33" x14ac:dyDescent="0.2">
      <c r="D678" s="341"/>
      <c r="AF678" s="337" t="s">
        <v>465</v>
      </c>
      <c r="AG678" s="337" t="s">
        <v>599</v>
      </c>
    </row>
    <row r="679" spans="4:33" x14ac:dyDescent="0.2">
      <c r="D679" s="341"/>
      <c r="AF679" s="337" t="s">
        <v>465</v>
      </c>
      <c r="AG679" s="337" t="s">
        <v>602</v>
      </c>
    </row>
    <row r="680" spans="4:33" x14ac:dyDescent="0.2">
      <c r="D680" s="341"/>
      <c r="AF680" s="337" t="s">
        <v>465</v>
      </c>
      <c r="AG680" s="337" t="s">
        <v>1283</v>
      </c>
    </row>
    <row r="681" spans="4:33" x14ac:dyDescent="0.2">
      <c r="D681" s="341"/>
      <c r="AF681" s="337" t="s">
        <v>465</v>
      </c>
      <c r="AG681" s="337" t="s">
        <v>589</v>
      </c>
    </row>
    <row r="682" spans="4:33" x14ac:dyDescent="0.2">
      <c r="D682" s="341"/>
      <c r="AF682" s="337" t="s">
        <v>465</v>
      </c>
      <c r="AG682" s="337" t="s">
        <v>633</v>
      </c>
    </row>
    <row r="683" spans="4:33" x14ac:dyDescent="0.2">
      <c r="D683" s="341"/>
      <c r="AF683" s="337" t="s">
        <v>465</v>
      </c>
      <c r="AG683" s="337" t="s">
        <v>598</v>
      </c>
    </row>
    <row r="684" spans="4:33" x14ac:dyDescent="0.2">
      <c r="D684" s="341"/>
      <c r="AF684" s="337" t="s">
        <v>465</v>
      </c>
      <c r="AG684" s="337" t="s">
        <v>597</v>
      </c>
    </row>
    <row r="685" spans="4:33" x14ac:dyDescent="0.2">
      <c r="D685" s="341"/>
      <c r="AF685" s="337" t="s">
        <v>465</v>
      </c>
      <c r="AG685" s="337" t="s">
        <v>469</v>
      </c>
    </row>
    <row r="686" spans="4:33" x14ac:dyDescent="0.2">
      <c r="D686" s="341"/>
      <c r="AF686" s="337" t="s">
        <v>465</v>
      </c>
      <c r="AG686" s="337" t="s">
        <v>2512</v>
      </c>
    </row>
    <row r="687" spans="4:33" x14ac:dyDescent="0.2">
      <c r="D687" s="341"/>
      <c r="AF687" s="337" t="s">
        <v>465</v>
      </c>
      <c r="AG687" s="337" t="s">
        <v>621</v>
      </c>
    </row>
    <row r="688" spans="4:33" x14ac:dyDescent="0.2">
      <c r="D688" s="341"/>
      <c r="AF688" s="337" t="s">
        <v>465</v>
      </c>
      <c r="AG688" s="337" t="s">
        <v>1036</v>
      </c>
    </row>
    <row r="689" spans="4:33" x14ac:dyDescent="0.2">
      <c r="D689" s="341"/>
      <c r="AF689" s="337" t="s">
        <v>465</v>
      </c>
      <c r="AG689" s="337" t="s">
        <v>612</v>
      </c>
    </row>
    <row r="690" spans="4:33" x14ac:dyDescent="0.2">
      <c r="D690" s="341"/>
      <c r="AF690" s="337" t="s">
        <v>465</v>
      </c>
      <c r="AG690" s="337" t="s">
        <v>606</v>
      </c>
    </row>
    <row r="691" spans="4:33" x14ac:dyDescent="0.2">
      <c r="D691" s="341"/>
      <c r="AF691" s="337" t="s">
        <v>465</v>
      </c>
      <c r="AG691" s="337" t="s">
        <v>601</v>
      </c>
    </row>
    <row r="692" spans="4:33" x14ac:dyDescent="0.2">
      <c r="D692" s="341"/>
      <c r="AF692" s="337" t="s">
        <v>465</v>
      </c>
      <c r="AG692" s="337" t="s">
        <v>604</v>
      </c>
    </row>
    <row r="693" spans="4:33" x14ac:dyDescent="0.2">
      <c r="D693" s="341"/>
      <c r="AF693" s="337" t="s">
        <v>465</v>
      </c>
      <c r="AG693" s="337" t="s">
        <v>2499</v>
      </c>
    </row>
    <row r="694" spans="4:33" x14ac:dyDescent="0.2">
      <c r="D694" s="341"/>
      <c r="AF694" s="337" t="s">
        <v>465</v>
      </c>
      <c r="AG694" s="337" t="s">
        <v>628</v>
      </c>
    </row>
    <row r="695" spans="4:33" x14ac:dyDescent="0.2">
      <c r="D695" s="341"/>
      <c r="AF695" s="337" t="s">
        <v>465</v>
      </c>
      <c r="AG695" s="337" t="s">
        <v>632</v>
      </c>
    </row>
    <row r="696" spans="4:33" x14ac:dyDescent="0.2">
      <c r="D696" s="341"/>
      <c r="AF696" s="337" t="s">
        <v>465</v>
      </c>
      <c r="AG696" s="337" t="s">
        <v>608</v>
      </c>
    </row>
    <row r="697" spans="4:33" x14ac:dyDescent="0.2">
      <c r="D697" s="341"/>
      <c r="AF697" s="337" t="s">
        <v>465</v>
      </c>
      <c r="AG697" s="337" t="s">
        <v>625</v>
      </c>
    </row>
    <row r="698" spans="4:33" x14ac:dyDescent="0.2">
      <c r="D698" s="341"/>
      <c r="AF698" s="337" t="s">
        <v>465</v>
      </c>
      <c r="AG698" s="337" t="s">
        <v>2517</v>
      </c>
    </row>
    <row r="699" spans="4:33" x14ac:dyDescent="0.2">
      <c r="D699" s="341"/>
      <c r="AF699" s="337" t="s">
        <v>465</v>
      </c>
      <c r="AG699" s="337" t="s">
        <v>2502</v>
      </c>
    </row>
    <row r="700" spans="4:33" x14ac:dyDescent="0.2">
      <c r="D700" s="341"/>
      <c r="AF700" s="337" t="s">
        <v>465</v>
      </c>
      <c r="AG700" s="337" t="s">
        <v>2513</v>
      </c>
    </row>
    <row r="701" spans="4:33" x14ac:dyDescent="0.2">
      <c r="D701" s="341"/>
      <c r="AF701" s="337" t="s">
        <v>465</v>
      </c>
      <c r="AG701" s="337" t="s">
        <v>2514</v>
      </c>
    </row>
    <row r="702" spans="4:33" x14ac:dyDescent="0.2">
      <c r="D702" s="341"/>
      <c r="AF702" s="337" t="s">
        <v>465</v>
      </c>
      <c r="AG702" s="337" t="s">
        <v>623</v>
      </c>
    </row>
    <row r="703" spans="4:33" x14ac:dyDescent="0.2">
      <c r="D703" s="341"/>
      <c r="AF703" s="337" t="s">
        <v>465</v>
      </c>
      <c r="AG703" s="337" t="s">
        <v>620</v>
      </c>
    </row>
    <row r="704" spans="4:33" x14ac:dyDescent="0.2">
      <c r="D704" s="341"/>
      <c r="AF704" s="337" t="s">
        <v>465</v>
      </c>
      <c r="AG704" s="337" t="s">
        <v>1061</v>
      </c>
    </row>
    <row r="705" spans="4:33" x14ac:dyDescent="0.2">
      <c r="D705" s="341"/>
      <c r="AF705" s="337" t="s">
        <v>465</v>
      </c>
      <c r="AG705" s="337" t="s">
        <v>629</v>
      </c>
    </row>
    <row r="706" spans="4:33" x14ac:dyDescent="0.2">
      <c r="D706" s="341"/>
      <c r="AF706" s="337" t="s">
        <v>465</v>
      </c>
      <c r="AG706" s="337" t="s">
        <v>618</v>
      </c>
    </row>
    <row r="707" spans="4:33" x14ac:dyDescent="0.2">
      <c r="D707" s="341"/>
      <c r="AF707" s="337" t="s">
        <v>465</v>
      </c>
      <c r="AG707" s="337" t="s">
        <v>613</v>
      </c>
    </row>
    <row r="708" spans="4:33" x14ac:dyDescent="0.2">
      <c r="D708" s="341"/>
      <c r="AF708" s="337" t="s">
        <v>465</v>
      </c>
      <c r="AG708" s="337" t="s">
        <v>609</v>
      </c>
    </row>
    <row r="709" spans="4:33" x14ac:dyDescent="0.2">
      <c r="D709" s="341"/>
      <c r="AF709" s="337" t="s">
        <v>465</v>
      </c>
      <c r="AG709" s="337" t="s">
        <v>607</v>
      </c>
    </row>
    <row r="710" spans="4:33" x14ac:dyDescent="0.2">
      <c r="D710" s="341"/>
      <c r="AF710" s="337" t="s">
        <v>465</v>
      </c>
      <c r="AG710" s="337" t="s">
        <v>617</v>
      </c>
    </row>
    <row r="711" spans="4:33" x14ac:dyDescent="0.2">
      <c r="D711" s="341"/>
      <c r="AF711" s="337" t="s">
        <v>465</v>
      </c>
      <c r="AG711" s="337" t="s">
        <v>1031</v>
      </c>
    </row>
    <row r="712" spans="4:33" x14ac:dyDescent="0.2">
      <c r="D712" s="341"/>
      <c r="AF712" s="337" t="s">
        <v>465</v>
      </c>
      <c r="AG712" s="337" t="s">
        <v>1025</v>
      </c>
    </row>
    <row r="713" spans="4:33" x14ac:dyDescent="0.2">
      <c r="D713" s="341"/>
      <c r="AF713" s="337" t="s">
        <v>465</v>
      </c>
      <c r="AG713" s="337" t="s">
        <v>1027</v>
      </c>
    </row>
    <row r="714" spans="4:33" x14ac:dyDescent="0.2">
      <c r="D714" s="341"/>
      <c r="AF714" s="337" t="s">
        <v>465</v>
      </c>
      <c r="AG714" s="337" t="s">
        <v>1028</v>
      </c>
    </row>
    <row r="715" spans="4:33" x14ac:dyDescent="0.2">
      <c r="D715" s="341"/>
      <c r="AF715" s="337" t="s">
        <v>465</v>
      </c>
      <c r="AG715" s="337" t="s">
        <v>471</v>
      </c>
    </row>
    <row r="716" spans="4:33" x14ac:dyDescent="0.2">
      <c r="D716" s="341"/>
      <c r="AF716" s="337" t="s">
        <v>465</v>
      </c>
      <c r="AG716" s="337" t="s">
        <v>619</v>
      </c>
    </row>
    <row r="717" spans="4:33" x14ac:dyDescent="0.2">
      <c r="D717" s="341"/>
      <c r="AF717" s="337" t="s">
        <v>465</v>
      </c>
      <c r="AG717" s="337" t="s">
        <v>1029</v>
      </c>
    </row>
    <row r="718" spans="4:33" x14ac:dyDescent="0.2">
      <c r="D718" s="341"/>
      <c r="AF718" s="337" t="s">
        <v>465</v>
      </c>
      <c r="AG718" s="337" t="s">
        <v>1030</v>
      </c>
    </row>
    <row r="719" spans="4:33" x14ac:dyDescent="0.2">
      <c r="D719" s="341"/>
      <c r="AF719" s="337" t="s">
        <v>465</v>
      </c>
      <c r="AG719" s="337" t="s">
        <v>1035</v>
      </c>
    </row>
    <row r="720" spans="4:33" x14ac:dyDescent="0.2">
      <c r="D720" s="341"/>
      <c r="AF720" s="337" t="s">
        <v>465</v>
      </c>
      <c r="AG720" s="337" t="s">
        <v>592</v>
      </c>
    </row>
    <row r="721" spans="4:33" x14ac:dyDescent="0.2">
      <c r="D721" s="341"/>
      <c r="AF721" s="337" t="s">
        <v>465</v>
      </c>
      <c r="AG721" s="337" t="s">
        <v>593</v>
      </c>
    </row>
    <row r="722" spans="4:33" x14ac:dyDescent="0.2">
      <c r="D722" s="341"/>
      <c r="AF722" s="337" t="s">
        <v>465</v>
      </c>
      <c r="AG722" s="337" t="s">
        <v>616</v>
      </c>
    </row>
    <row r="723" spans="4:33" x14ac:dyDescent="0.2">
      <c r="D723" s="341"/>
      <c r="AF723" s="337" t="s">
        <v>465</v>
      </c>
      <c r="AG723" s="337" t="s">
        <v>614</v>
      </c>
    </row>
    <row r="724" spans="4:33" x14ac:dyDescent="0.2">
      <c r="D724" s="341"/>
      <c r="AF724" s="337" t="s">
        <v>465</v>
      </c>
      <c r="AG724" s="337" t="s">
        <v>610</v>
      </c>
    </row>
    <row r="725" spans="4:33" x14ac:dyDescent="0.2">
      <c r="D725" s="341"/>
      <c r="AF725" s="337" t="s">
        <v>465</v>
      </c>
      <c r="AG725" s="337" t="s">
        <v>2506</v>
      </c>
    </row>
    <row r="726" spans="4:33" x14ac:dyDescent="0.2">
      <c r="D726" s="341"/>
      <c r="AF726" s="337" t="s">
        <v>465</v>
      </c>
      <c r="AG726" s="337" t="s">
        <v>590</v>
      </c>
    </row>
    <row r="727" spans="4:33" x14ac:dyDescent="0.2">
      <c r="D727" s="341"/>
      <c r="AF727" s="337" t="s">
        <v>465</v>
      </c>
      <c r="AG727" s="337" t="s">
        <v>594</v>
      </c>
    </row>
    <row r="728" spans="4:33" x14ac:dyDescent="0.2">
      <c r="D728" s="341"/>
      <c r="AF728" s="337" t="s">
        <v>465</v>
      </c>
      <c r="AG728" s="337" t="s">
        <v>596</v>
      </c>
    </row>
    <row r="729" spans="4:33" x14ac:dyDescent="0.2">
      <c r="D729" s="341"/>
      <c r="AF729" s="337" t="s">
        <v>465</v>
      </c>
      <c r="AG729" s="337" t="s">
        <v>1038</v>
      </c>
    </row>
    <row r="730" spans="4:33" x14ac:dyDescent="0.2">
      <c r="D730" s="341"/>
      <c r="AF730" s="337" t="s">
        <v>465</v>
      </c>
      <c r="AG730" s="337" t="s">
        <v>869</v>
      </c>
    </row>
    <row r="731" spans="4:33" x14ac:dyDescent="0.2">
      <c r="D731" s="341"/>
      <c r="AF731" s="337" t="s">
        <v>465</v>
      </c>
      <c r="AG731" s="337" t="s">
        <v>472</v>
      </c>
    </row>
    <row r="732" spans="4:33" x14ac:dyDescent="0.2">
      <c r="D732" s="341"/>
      <c r="AF732" s="337" t="s">
        <v>465</v>
      </c>
      <c r="AG732" s="337" t="s">
        <v>595</v>
      </c>
    </row>
    <row r="733" spans="4:33" x14ac:dyDescent="0.2">
      <c r="D733" s="341"/>
      <c r="AF733" s="337" t="s">
        <v>465</v>
      </c>
      <c r="AG733" s="337" t="s">
        <v>591</v>
      </c>
    </row>
    <row r="734" spans="4:33" x14ac:dyDescent="0.2">
      <c r="D734" s="341"/>
      <c r="AF734" s="337" t="s">
        <v>465</v>
      </c>
      <c r="AG734" s="337" t="s">
        <v>1041</v>
      </c>
    </row>
    <row r="735" spans="4:33" x14ac:dyDescent="0.2">
      <c r="D735" s="341"/>
      <c r="AF735" s="337" t="s">
        <v>465</v>
      </c>
      <c r="AG735" s="337" t="s">
        <v>624</v>
      </c>
    </row>
    <row r="736" spans="4:33" x14ac:dyDescent="0.2">
      <c r="D736" s="341"/>
      <c r="AF736" s="337" t="s">
        <v>465</v>
      </c>
      <c r="AG736" s="337" t="s">
        <v>600</v>
      </c>
    </row>
    <row r="737" spans="4:33" x14ac:dyDescent="0.2">
      <c r="D737" s="341"/>
      <c r="AF737" s="337" t="s">
        <v>465</v>
      </c>
      <c r="AG737" s="337" t="s">
        <v>2501</v>
      </c>
    </row>
    <row r="738" spans="4:33" x14ac:dyDescent="0.2">
      <c r="D738" s="341"/>
      <c r="AF738" s="337" t="s">
        <v>465</v>
      </c>
      <c r="AG738" s="337" t="s">
        <v>603</v>
      </c>
    </row>
    <row r="739" spans="4:33" x14ac:dyDescent="0.2">
      <c r="D739" s="341"/>
      <c r="AF739" s="337" t="s">
        <v>465</v>
      </c>
      <c r="AG739" s="337" t="s">
        <v>611</v>
      </c>
    </row>
    <row r="740" spans="4:33" x14ac:dyDescent="0.2">
      <c r="D740" s="341"/>
      <c r="AF740" s="337" t="s">
        <v>465</v>
      </c>
      <c r="AG740" s="337" t="s">
        <v>1338</v>
      </c>
    </row>
    <row r="741" spans="4:33" x14ac:dyDescent="0.2">
      <c r="D741" s="341"/>
      <c r="AF741" s="337" t="s">
        <v>465</v>
      </c>
      <c r="AG741" s="337" t="s">
        <v>1064</v>
      </c>
    </row>
    <row r="742" spans="4:33" x14ac:dyDescent="0.2">
      <c r="D742" s="341"/>
      <c r="AF742" s="337" t="s">
        <v>465</v>
      </c>
      <c r="AG742" s="337" t="s">
        <v>2511</v>
      </c>
    </row>
    <row r="743" spans="4:33" x14ac:dyDescent="0.2">
      <c r="D743" s="341"/>
      <c r="AF743" s="337" t="s">
        <v>465</v>
      </c>
      <c r="AG743" s="337" t="s">
        <v>615</v>
      </c>
    </row>
    <row r="744" spans="4:33" x14ac:dyDescent="0.2">
      <c r="D744" s="341"/>
      <c r="AF744" s="337" t="s">
        <v>340</v>
      </c>
      <c r="AG744" s="337" t="s">
        <v>341</v>
      </c>
    </row>
    <row r="745" spans="4:33" x14ac:dyDescent="0.2">
      <c r="D745" s="341"/>
      <c r="AF745" s="337" t="s">
        <v>340</v>
      </c>
      <c r="AG745" s="337" t="s">
        <v>1314</v>
      </c>
    </row>
    <row r="746" spans="4:33" x14ac:dyDescent="0.2">
      <c r="D746" s="341"/>
      <c r="AF746" s="337" t="s">
        <v>340</v>
      </c>
      <c r="AG746" s="337" t="s">
        <v>343</v>
      </c>
    </row>
    <row r="747" spans="4:33" x14ac:dyDescent="0.2">
      <c r="D747" s="341"/>
      <c r="AF747" s="337" t="s">
        <v>340</v>
      </c>
      <c r="AG747" s="337" t="s">
        <v>340</v>
      </c>
    </row>
    <row r="748" spans="4:33" x14ac:dyDescent="0.2">
      <c r="D748" s="341"/>
      <c r="AF748" s="337" t="s">
        <v>340</v>
      </c>
      <c r="AG748" s="337" t="s">
        <v>1344</v>
      </c>
    </row>
    <row r="749" spans="4:33" x14ac:dyDescent="0.2">
      <c r="D749" s="341"/>
      <c r="AF749" s="337" t="s">
        <v>1330</v>
      </c>
      <c r="AG749" s="337" t="s">
        <v>1329</v>
      </c>
    </row>
    <row r="750" spans="4:33" x14ac:dyDescent="0.2">
      <c r="D750" s="341"/>
      <c r="AF750" s="337" t="s">
        <v>1330</v>
      </c>
      <c r="AG750" s="337" t="s">
        <v>1332</v>
      </c>
    </row>
    <row r="751" spans="4:33" x14ac:dyDescent="0.2">
      <c r="D751" s="341"/>
      <c r="AF751" s="337" t="s">
        <v>1330</v>
      </c>
      <c r="AG751" s="337" t="s">
        <v>1333</v>
      </c>
    </row>
    <row r="752" spans="4:33" x14ac:dyDescent="0.2">
      <c r="D752" s="341"/>
      <c r="AF752" s="337" t="s">
        <v>1330</v>
      </c>
      <c r="AG752" s="337" t="s">
        <v>1335</v>
      </c>
    </row>
    <row r="753" spans="4:33" x14ac:dyDescent="0.2">
      <c r="D753" s="341"/>
      <c r="AF753" s="337" t="s">
        <v>298</v>
      </c>
      <c r="AG753" s="337" t="s">
        <v>393</v>
      </c>
    </row>
    <row r="754" spans="4:33" x14ac:dyDescent="0.2">
      <c r="D754" s="341"/>
      <c r="AF754" s="337" t="s">
        <v>298</v>
      </c>
      <c r="AG754" s="337" t="s">
        <v>375</v>
      </c>
    </row>
    <row r="755" spans="4:33" x14ac:dyDescent="0.2">
      <c r="D755" s="341"/>
      <c r="AF755" s="337" t="s">
        <v>298</v>
      </c>
      <c r="AG755" s="337" t="s">
        <v>376</v>
      </c>
    </row>
    <row r="756" spans="4:33" x14ac:dyDescent="0.2">
      <c r="D756" s="341"/>
      <c r="AF756" s="337" t="s">
        <v>298</v>
      </c>
      <c r="AG756" s="337" t="s">
        <v>1233</v>
      </c>
    </row>
    <row r="757" spans="4:33" x14ac:dyDescent="0.2">
      <c r="D757" s="341"/>
      <c r="AF757" s="337" t="s">
        <v>298</v>
      </c>
      <c r="AG757" s="337" t="s">
        <v>428</v>
      </c>
    </row>
    <row r="758" spans="4:33" x14ac:dyDescent="0.2">
      <c r="D758" s="341"/>
      <c r="AF758" s="337" t="s">
        <v>298</v>
      </c>
      <c r="AG758" s="337" t="s">
        <v>331</v>
      </c>
    </row>
    <row r="759" spans="4:33" x14ac:dyDescent="0.2">
      <c r="D759" s="341"/>
      <c r="AF759" s="337" t="s">
        <v>298</v>
      </c>
      <c r="AG759" s="337" t="s">
        <v>380</v>
      </c>
    </row>
    <row r="760" spans="4:33" x14ac:dyDescent="0.2">
      <c r="D760" s="341"/>
      <c r="AF760" s="337" t="s">
        <v>298</v>
      </c>
      <c r="AG760" s="337" t="s">
        <v>1214</v>
      </c>
    </row>
    <row r="761" spans="4:33" x14ac:dyDescent="0.2">
      <c r="D761" s="341"/>
      <c r="AF761" s="337" t="s">
        <v>298</v>
      </c>
      <c r="AG761" s="337" t="s">
        <v>1228</v>
      </c>
    </row>
    <row r="762" spans="4:33" x14ac:dyDescent="0.2">
      <c r="D762" s="341"/>
      <c r="AF762" s="337" t="s">
        <v>298</v>
      </c>
      <c r="AG762" s="337" t="s">
        <v>332</v>
      </c>
    </row>
    <row r="763" spans="4:33" x14ac:dyDescent="0.2">
      <c r="D763" s="341"/>
      <c r="AF763" s="337" t="s">
        <v>298</v>
      </c>
      <c r="AG763" s="337" t="s">
        <v>333</v>
      </c>
    </row>
    <row r="764" spans="4:33" x14ac:dyDescent="0.2">
      <c r="D764" s="341"/>
      <c r="AF764" s="337" t="s">
        <v>298</v>
      </c>
      <c r="AG764" s="337" t="s">
        <v>429</v>
      </c>
    </row>
    <row r="765" spans="4:33" x14ac:dyDescent="0.2">
      <c r="D765" s="341"/>
      <c r="AF765" s="337" t="s">
        <v>298</v>
      </c>
      <c r="AG765" s="337" t="s">
        <v>394</v>
      </c>
    </row>
    <row r="766" spans="4:33" x14ac:dyDescent="0.2">
      <c r="D766" s="341"/>
      <c r="AF766" s="337" t="s">
        <v>298</v>
      </c>
      <c r="AG766" s="337" t="s">
        <v>334</v>
      </c>
    </row>
    <row r="767" spans="4:33" x14ac:dyDescent="0.2">
      <c r="D767" s="341"/>
      <c r="AF767" s="337" t="s">
        <v>298</v>
      </c>
      <c r="AG767" s="337" t="s">
        <v>335</v>
      </c>
    </row>
    <row r="768" spans="4:33" x14ac:dyDescent="0.2">
      <c r="D768" s="341"/>
      <c r="AF768" s="337" t="s">
        <v>298</v>
      </c>
      <c r="AG768" s="337" t="s">
        <v>430</v>
      </c>
    </row>
    <row r="769" spans="4:33" x14ac:dyDescent="0.2">
      <c r="D769" s="341"/>
      <c r="AF769" s="337" t="s">
        <v>298</v>
      </c>
      <c r="AG769" s="337" t="s">
        <v>336</v>
      </c>
    </row>
    <row r="770" spans="4:33" x14ac:dyDescent="0.2">
      <c r="D770" s="341"/>
      <c r="AF770" s="337" t="s">
        <v>298</v>
      </c>
      <c r="AG770" s="337" t="s">
        <v>395</v>
      </c>
    </row>
    <row r="771" spans="4:33" x14ac:dyDescent="0.2">
      <c r="D771" s="341"/>
      <c r="AF771" s="337" t="s">
        <v>298</v>
      </c>
      <c r="AG771" s="337" t="s">
        <v>431</v>
      </c>
    </row>
    <row r="772" spans="4:33" x14ac:dyDescent="0.2">
      <c r="D772" s="341"/>
      <c r="AF772" s="337" t="s">
        <v>298</v>
      </c>
      <c r="AG772" s="337" t="s">
        <v>337</v>
      </c>
    </row>
    <row r="773" spans="4:33" x14ac:dyDescent="0.2">
      <c r="D773" s="341"/>
      <c r="AF773" s="337" t="s">
        <v>298</v>
      </c>
      <c r="AG773" s="337" t="s">
        <v>432</v>
      </c>
    </row>
    <row r="774" spans="4:33" x14ac:dyDescent="0.2">
      <c r="D774" s="341"/>
      <c r="AF774" s="337" t="s">
        <v>298</v>
      </c>
      <c r="AG774" s="337" t="s">
        <v>433</v>
      </c>
    </row>
    <row r="775" spans="4:33" x14ac:dyDescent="0.2">
      <c r="D775" s="341"/>
      <c r="AF775" s="337" t="s">
        <v>298</v>
      </c>
      <c r="AG775" s="337" t="s">
        <v>1240</v>
      </c>
    </row>
    <row r="776" spans="4:33" x14ac:dyDescent="0.2">
      <c r="D776" s="341"/>
      <c r="AF776" s="337" t="s">
        <v>298</v>
      </c>
      <c r="AG776" s="337" t="s">
        <v>299</v>
      </c>
    </row>
    <row r="777" spans="4:33" x14ac:dyDescent="0.2">
      <c r="D777" s="341"/>
      <c r="AF777" s="337" t="s">
        <v>298</v>
      </c>
      <c r="AG777" s="337" t="s">
        <v>338</v>
      </c>
    </row>
    <row r="778" spans="4:33" x14ac:dyDescent="0.2">
      <c r="D778" s="341"/>
      <c r="AF778" s="337" t="s">
        <v>298</v>
      </c>
      <c r="AG778" s="337" t="s">
        <v>434</v>
      </c>
    </row>
    <row r="779" spans="4:33" x14ac:dyDescent="0.2">
      <c r="D779" s="341"/>
      <c r="AF779" s="337" t="s">
        <v>298</v>
      </c>
      <c r="AG779" s="337" t="s">
        <v>435</v>
      </c>
    </row>
    <row r="780" spans="4:33" x14ac:dyDescent="0.2">
      <c r="D780" s="341"/>
      <c r="AF780" s="337" t="s">
        <v>298</v>
      </c>
      <c r="AG780" s="337" t="s">
        <v>1235</v>
      </c>
    </row>
    <row r="781" spans="4:33" x14ac:dyDescent="0.2">
      <c r="D781" s="341"/>
      <c r="AF781" s="337" t="s">
        <v>298</v>
      </c>
      <c r="AG781" s="337" t="s">
        <v>377</v>
      </c>
    </row>
    <row r="782" spans="4:33" x14ac:dyDescent="0.2">
      <c r="D782" s="341"/>
      <c r="AF782" s="337" t="s">
        <v>298</v>
      </c>
      <c r="AG782" s="337" t="s">
        <v>379</v>
      </c>
    </row>
    <row r="783" spans="4:33" x14ac:dyDescent="0.2">
      <c r="D783" s="341"/>
      <c r="AF783" s="337" t="s">
        <v>298</v>
      </c>
      <c r="AG783" s="337" t="s">
        <v>378</v>
      </c>
    </row>
    <row r="784" spans="4:33" x14ac:dyDescent="0.2">
      <c r="D784" s="341"/>
      <c r="AF784" s="337" t="s">
        <v>298</v>
      </c>
      <c r="AG784" s="337" t="s">
        <v>1226</v>
      </c>
    </row>
    <row r="785" spans="4:33" x14ac:dyDescent="0.2">
      <c r="D785" s="341"/>
    </row>
    <row r="786" spans="4:33" x14ac:dyDescent="0.2">
      <c r="D786" s="341"/>
      <c r="AF786" s="339"/>
      <c r="AG786" s="339"/>
    </row>
    <row r="787" spans="4:33" x14ac:dyDescent="0.2">
      <c r="D787" s="341"/>
    </row>
    <row r="788" spans="4:33" x14ac:dyDescent="0.2">
      <c r="D788" s="341"/>
    </row>
    <row r="789" spans="4:33" x14ac:dyDescent="0.2">
      <c r="D789" s="341"/>
    </row>
    <row r="790" spans="4:33" x14ac:dyDescent="0.2">
      <c r="D790" s="341"/>
    </row>
    <row r="791" spans="4:33" x14ac:dyDescent="0.2">
      <c r="D791" s="341"/>
    </row>
    <row r="792" spans="4:33" x14ac:dyDescent="0.2">
      <c r="D792" s="341"/>
    </row>
    <row r="793" spans="4:33" x14ac:dyDescent="0.2">
      <c r="D793" s="341"/>
    </row>
    <row r="794" spans="4:33" x14ac:dyDescent="0.2">
      <c r="D794" s="341"/>
    </row>
    <row r="795" spans="4:33" x14ac:dyDescent="0.2">
      <c r="D795" s="341"/>
    </row>
    <row r="796" spans="4:33" x14ac:dyDescent="0.2">
      <c r="D796" s="341"/>
    </row>
    <row r="797" spans="4:33" x14ac:dyDescent="0.2">
      <c r="D797" s="341"/>
    </row>
    <row r="798" spans="4:33" x14ac:dyDescent="0.2">
      <c r="D798" s="341"/>
    </row>
    <row r="799" spans="4:33" x14ac:dyDescent="0.2">
      <c r="D799" s="341"/>
    </row>
    <row r="800" spans="4:33" x14ac:dyDescent="0.2">
      <c r="D800" s="341"/>
    </row>
    <row r="801" spans="4:4" x14ac:dyDescent="0.2">
      <c r="D801" s="341"/>
    </row>
    <row r="802" spans="4:4" x14ac:dyDescent="0.2">
      <c r="D802" s="341"/>
    </row>
    <row r="803" spans="4:4" x14ac:dyDescent="0.2">
      <c r="D803" s="341"/>
    </row>
    <row r="804" spans="4:4" x14ac:dyDescent="0.2">
      <c r="D804" s="341"/>
    </row>
    <row r="805" spans="4:4" x14ac:dyDescent="0.2">
      <c r="D805" s="341"/>
    </row>
    <row r="806" spans="4:4" x14ac:dyDescent="0.2">
      <c r="D806" s="341"/>
    </row>
    <row r="807" spans="4:4" x14ac:dyDescent="0.2">
      <c r="D807" s="341"/>
    </row>
    <row r="808" spans="4:4" x14ac:dyDescent="0.2">
      <c r="D808" s="341"/>
    </row>
    <row r="809" spans="4:4" x14ac:dyDescent="0.2">
      <c r="D809" s="341"/>
    </row>
    <row r="810" spans="4:4" x14ac:dyDescent="0.2">
      <c r="D810" s="341"/>
    </row>
    <row r="811" spans="4:4" x14ac:dyDescent="0.2">
      <c r="D811" s="341"/>
    </row>
    <row r="812" spans="4:4" x14ac:dyDescent="0.2">
      <c r="D812" s="341"/>
    </row>
    <row r="813" spans="4:4" x14ac:dyDescent="0.2">
      <c r="D813" s="341"/>
    </row>
    <row r="814" spans="4:4" x14ac:dyDescent="0.2">
      <c r="D814" s="341"/>
    </row>
    <row r="815" spans="4:4" x14ac:dyDescent="0.2">
      <c r="D815" s="341"/>
    </row>
    <row r="816" spans="4:4" x14ac:dyDescent="0.2">
      <c r="D816" s="341"/>
    </row>
    <row r="817" spans="4:4" x14ac:dyDescent="0.2">
      <c r="D817" s="341"/>
    </row>
    <row r="818" spans="4:4" x14ac:dyDescent="0.2">
      <c r="D818" s="341"/>
    </row>
    <row r="819" spans="4:4" x14ac:dyDescent="0.2">
      <c r="D819" s="341"/>
    </row>
    <row r="820" spans="4:4" x14ac:dyDescent="0.2">
      <c r="D820" s="341"/>
    </row>
    <row r="821" spans="4:4" x14ac:dyDescent="0.2">
      <c r="D821" s="341"/>
    </row>
    <row r="822" spans="4:4" x14ac:dyDescent="0.2">
      <c r="D822" s="341"/>
    </row>
    <row r="823" spans="4:4" x14ac:dyDescent="0.2">
      <c r="D823" s="341"/>
    </row>
    <row r="824" spans="4:4" x14ac:dyDescent="0.2">
      <c r="D824" s="341"/>
    </row>
    <row r="825" spans="4:4" x14ac:dyDescent="0.2">
      <c r="D825" s="341"/>
    </row>
    <row r="826" spans="4:4" x14ac:dyDescent="0.2">
      <c r="D826" s="341"/>
    </row>
    <row r="827" spans="4:4" x14ac:dyDescent="0.2">
      <c r="D827" s="341"/>
    </row>
    <row r="828" spans="4:4" x14ac:dyDescent="0.2">
      <c r="D828" s="341"/>
    </row>
    <row r="829" spans="4:4" x14ac:dyDescent="0.2">
      <c r="D829" s="341"/>
    </row>
    <row r="830" spans="4:4" x14ac:dyDescent="0.2">
      <c r="D830" s="341"/>
    </row>
    <row r="831" spans="4:4" x14ac:dyDescent="0.2">
      <c r="D831" s="341"/>
    </row>
    <row r="832" spans="4:4" x14ac:dyDescent="0.2">
      <c r="D832" s="341"/>
    </row>
    <row r="833" spans="4:4" x14ac:dyDescent="0.2">
      <c r="D833" s="341"/>
    </row>
    <row r="834" spans="4:4" x14ac:dyDescent="0.2">
      <c r="D834" s="341"/>
    </row>
    <row r="835" spans="4:4" x14ac:dyDescent="0.2">
      <c r="D835" s="341"/>
    </row>
    <row r="836" spans="4:4" x14ac:dyDescent="0.2">
      <c r="D836" s="341"/>
    </row>
    <row r="837" spans="4:4" x14ac:dyDescent="0.2">
      <c r="D837" s="341"/>
    </row>
    <row r="838" spans="4:4" x14ac:dyDescent="0.2">
      <c r="D838" s="341"/>
    </row>
    <row r="839" spans="4:4" x14ac:dyDescent="0.2">
      <c r="D839" s="341"/>
    </row>
    <row r="840" spans="4:4" x14ac:dyDescent="0.2">
      <c r="D840" s="341"/>
    </row>
    <row r="841" spans="4:4" x14ac:dyDescent="0.2">
      <c r="D841" s="341"/>
    </row>
    <row r="842" spans="4:4" x14ac:dyDescent="0.2">
      <c r="D842" s="341"/>
    </row>
    <row r="843" spans="4:4" x14ac:dyDescent="0.2">
      <c r="D843" s="341"/>
    </row>
    <row r="844" spans="4:4" x14ac:dyDescent="0.2">
      <c r="D844" s="341"/>
    </row>
    <row r="845" spans="4:4" x14ac:dyDescent="0.2">
      <c r="D845" s="341"/>
    </row>
    <row r="846" spans="4:4" x14ac:dyDescent="0.2">
      <c r="D846" s="341"/>
    </row>
    <row r="847" spans="4:4" x14ac:dyDescent="0.2">
      <c r="D847" s="341"/>
    </row>
    <row r="848" spans="4:4" x14ac:dyDescent="0.2">
      <c r="D848" s="341"/>
    </row>
    <row r="849" spans="4:4" x14ac:dyDescent="0.2">
      <c r="D849" s="341"/>
    </row>
    <row r="850" spans="4:4" x14ac:dyDescent="0.2">
      <c r="D850" s="341"/>
    </row>
    <row r="851" spans="4:4" x14ac:dyDescent="0.2">
      <c r="D851" s="341"/>
    </row>
    <row r="852" spans="4:4" x14ac:dyDescent="0.2">
      <c r="D852" s="341"/>
    </row>
    <row r="853" spans="4:4" x14ac:dyDescent="0.2">
      <c r="D853" s="341"/>
    </row>
    <row r="854" spans="4:4" x14ac:dyDescent="0.2">
      <c r="D854" s="341"/>
    </row>
    <row r="855" spans="4:4" x14ac:dyDescent="0.2">
      <c r="D855" s="341"/>
    </row>
    <row r="856" spans="4:4" x14ac:dyDescent="0.2">
      <c r="D856" s="341"/>
    </row>
    <row r="857" spans="4:4" x14ac:dyDescent="0.2">
      <c r="D857" s="341"/>
    </row>
    <row r="858" spans="4:4" x14ac:dyDescent="0.2">
      <c r="D858" s="341"/>
    </row>
    <row r="859" spans="4:4" x14ac:dyDescent="0.2">
      <c r="D859" s="341"/>
    </row>
    <row r="860" spans="4:4" x14ac:dyDescent="0.2">
      <c r="D860" s="341"/>
    </row>
    <row r="861" spans="4:4" x14ac:dyDescent="0.2">
      <c r="D861" s="341"/>
    </row>
    <row r="862" spans="4:4" x14ac:dyDescent="0.2">
      <c r="D862" s="341"/>
    </row>
    <row r="863" spans="4:4" x14ac:dyDescent="0.2">
      <c r="D863" s="341"/>
    </row>
    <row r="864" spans="4:4" x14ac:dyDescent="0.2">
      <c r="D864" s="341"/>
    </row>
    <row r="865" spans="4:4" x14ac:dyDescent="0.2">
      <c r="D865" s="341"/>
    </row>
    <row r="866" spans="4:4" x14ac:dyDescent="0.2">
      <c r="D866" s="341"/>
    </row>
    <row r="867" spans="4:4" x14ac:dyDescent="0.2">
      <c r="D867" s="341"/>
    </row>
    <row r="868" spans="4:4" x14ac:dyDescent="0.2">
      <c r="D868" s="341"/>
    </row>
    <row r="869" spans="4:4" x14ac:dyDescent="0.2">
      <c r="D869" s="341"/>
    </row>
    <row r="870" spans="4:4" x14ac:dyDescent="0.2">
      <c r="D870" s="341"/>
    </row>
    <row r="871" spans="4:4" x14ac:dyDescent="0.2">
      <c r="D871" s="341"/>
    </row>
    <row r="872" spans="4:4" x14ac:dyDescent="0.2">
      <c r="D872" s="341"/>
    </row>
    <row r="873" spans="4:4" x14ac:dyDescent="0.2">
      <c r="D873" s="341"/>
    </row>
    <row r="874" spans="4:4" x14ac:dyDescent="0.2">
      <c r="D874" s="341"/>
    </row>
    <row r="875" spans="4:4" x14ac:dyDescent="0.2">
      <c r="D875" s="341"/>
    </row>
    <row r="876" spans="4:4" x14ac:dyDescent="0.2">
      <c r="D876" s="341"/>
    </row>
    <row r="877" spans="4:4" x14ac:dyDescent="0.2">
      <c r="D877" s="341"/>
    </row>
    <row r="878" spans="4:4" x14ac:dyDescent="0.2">
      <c r="D878" s="341"/>
    </row>
    <row r="879" spans="4:4" x14ac:dyDescent="0.2">
      <c r="D879" s="341"/>
    </row>
    <row r="880" spans="4:4" x14ac:dyDescent="0.2">
      <c r="D880" s="341"/>
    </row>
    <row r="881" spans="4:4" x14ac:dyDescent="0.2">
      <c r="D881" s="341"/>
    </row>
    <row r="882" spans="4:4" x14ac:dyDescent="0.2">
      <c r="D882" s="341"/>
    </row>
    <row r="883" spans="4:4" x14ac:dyDescent="0.2">
      <c r="D883" s="341"/>
    </row>
    <row r="884" spans="4:4" x14ac:dyDescent="0.2">
      <c r="D884" s="341"/>
    </row>
    <row r="885" spans="4:4" x14ac:dyDescent="0.2">
      <c r="D885" s="341"/>
    </row>
    <row r="886" spans="4:4" x14ac:dyDescent="0.2">
      <c r="D886" s="341"/>
    </row>
    <row r="887" spans="4:4" x14ac:dyDescent="0.2">
      <c r="D887" s="341"/>
    </row>
    <row r="888" spans="4:4" x14ac:dyDescent="0.2">
      <c r="D888" s="341"/>
    </row>
    <row r="889" spans="4:4" x14ac:dyDescent="0.2">
      <c r="D889" s="341"/>
    </row>
    <row r="890" spans="4:4" x14ac:dyDescent="0.2">
      <c r="D890" s="341"/>
    </row>
    <row r="891" spans="4:4" x14ac:dyDescent="0.2">
      <c r="D891" s="341"/>
    </row>
    <row r="892" spans="4:4" x14ac:dyDescent="0.2">
      <c r="D892" s="341"/>
    </row>
    <row r="893" spans="4:4" x14ac:dyDescent="0.2">
      <c r="D893" s="341"/>
    </row>
    <row r="894" spans="4:4" x14ac:dyDescent="0.2">
      <c r="D894" s="341"/>
    </row>
    <row r="895" spans="4:4" x14ac:dyDescent="0.2">
      <c r="D895" s="341"/>
    </row>
    <row r="896" spans="4:4" x14ac:dyDescent="0.2">
      <c r="D896" s="341"/>
    </row>
    <row r="897" spans="4:4" x14ac:dyDescent="0.2">
      <c r="D897" s="341"/>
    </row>
    <row r="898" spans="4:4" x14ac:dyDescent="0.2">
      <c r="D898" s="341"/>
    </row>
    <row r="899" spans="4:4" x14ac:dyDescent="0.2">
      <c r="D899" s="341"/>
    </row>
    <row r="900" spans="4:4" x14ac:dyDescent="0.2">
      <c r="D900" s="341"/>
    </row>
    <row r="901" spans="4:4" x14ac:dyDescent="0.2">
      <c r="D901" s="341"/>
    </row>
    <row r="902" spans="4:4" x14ac:dyDescent="0.2">
      <c r="D902" s="341"/>
    </row>
    <row r="903" spans="4:4" x14ac:dyDescent="0.2">
      <c r="D903" s="341"/>
    </row>
    <row r="904" spans="4:4" x14ac:dyDescent="0.2">
      <c r="D904" s="341"/>
    </row>
    <row r="905" spans="4:4" x14ac:dyDescent="0.2">
      <c r="D905" s="341"/>
    </row>
    <row r="906" spans="4:4" x14ac:dyDescent="0.2">
      <c r="D906" s="341"/>
    </row>
    <row r="907" spans="4:4" x14ac:dyDescent="0.2">
      <c r="D907" s="341"/>
    </row>
    <row r="908" spans="4:4" x14ac:dyDescent="0.2">
      <c r="D908" s="341"/>
    </row>
    <row r="909" spans="4:4" x14ac:dyDescent="0.2">
      <c r="D909" s="341"/>
    </row>
    <row r="910" spans="4:4" x14ac:dyDescent="0.2">
      <c r="D910" s="341"/>
    </row>
    <row r="911" spans="4:4" x14ac:dyDescent="0.2">
      <c r="D911" s="341"/>
    </row>
    <row r="912" spans="4:4" x14ac:dyDescent="0.2">
      <c r="D912" s="341"/>
    </row>
    <row r="913" spans="4:4" x14ac:dyDescent="0.2">
      <c r="D913" s="341"/>
    </row>
    <row r="914" spans="4:4" x14ac:dyDescent="0.2">
      <c r="D914" s="341"/>
    </row>
    <row r="915" spans="4:4" x14ac:dyDescent="0.2">
      <c r="D915" s="341"/>
    </row>
    <row r="916" spans="4:4" x14ac:dyDescent="0.2">
      <c r="D916" s="341"/>
    </row>
    <row r="917" spans="4:4" x14ac:dyDescent="0.2">
      <c r="D917" s="341"/>
    </row>
    <row r="918" spans="4:4" x14ac:dyDescent="0.2">
      <c r="D918" s="341"/>
    </row>
    <row r="919" spans="4:4" x14ac:dyDescent="0.2">
      <c r="D919" s="341"/>
    </row>
    <row r="920" spans="4:4" x14ac:dyDescent="0.2">
      <c r="D920" s="341"/>
    </row>
    <row r="921" spans="4:4" x14ac:dyDescent="0.2">
      <c r="D921" s="341"/>
    </row>
    <row r="922" spans="4:4" x14ac:dyDescent="0.2">
      <c r="D922" s="341"/>
    </row>
    <row r="923" spans="4:4" x14ac:dyDescent="0.2">
      <c r="D923" s="341"/>
    </row>
    <row r="924" spans="4:4" x14ac:dyDescent="0.2">
      <c r="D924" s="341"/>
    </row>
    <row r="925" spans="4:4" x14ac:dyDescent="0.2">
      <c r="D925" s="341"/>
    </row>
    <row r="926" spans="4:4" x14ac:dyDescent="0.2">
      <c r="D926" s="341"/>
    </row>
    <row r="927" spans="4:4" x14ac:dyDescent="0.2">
      <c r="D927" s="341"/>
    </row>
    <row r="928" spans="4:4" x14ac:dyDescent="0.2">
      <c r="D928" s="341"/>
    </row>
    <row r="929" spans="4:4" x14ac:dyDescent="0.2">
      <c r="D929" s="341"/>
    </row>
    <row r="930" spans="4:4" x14ac:dyDescent="0.2">
      <c r="D930" s="341"/>
    </row>
    <row r="931" spans="4:4" x14ac:dyDescent="0.2">
      <c r="D931" s="341"/>
    </row>
    <row r="932" spans="4:4" x14ac:dyDescent="0.2">
      <c r="D932" s="341"/>
    </row>
    <row r="933" spans="4:4" x14ac:dyDescent="0.2">
      <c r="D933" s="341"/>
    </row>
    <row r="934" spans="4:4" x14ac:dyDescent="0.2">
      <c r="D934" s="341"/>
    </row>
    <row r="935" spans="4:4" x14ac:dyDescent="0.2">
      <c r="D935" s="341"/>
    </row>
    <row r="936" spans="4:4" x14ac:dyDescent="0.2">
      <c r="D936" s="341"/>
    </row>
    <row r="937" spans="4:4" x14ac:dyDescent="0.2">
      <c r="D937" s="341"/>
    </row>
    <row r="938" spans="4:4" x14ac:dyDescent="0.2">
      <c r="D938" s="341"/>
    </row>
    <row r="939" spans="4:4" x14ac:dyDescent="0.2">
      <c r="D939" s="341"/>
    </row>
    <row r="940" spans="4:4" x14ac:dyDescent="0.2">
      <c r="D940" s="341"/>
    </row>
    <row r="941" spans="4:4" x14ac:dyDescent="0.2">
      <c r="D941" s="341"/>
    </row>
    <row r="942" spans="4:4" x14ac:dyDescent="0.2">
      <c r="D942" s="341"/>
    </row>
    <row r="943" spans="4:4" x14ac:dyDescent="0.2">
      <c r="D943" s="341"/>
    </row>
    <row r="944" spans="4:4" x14ac:dyDescent="0.2">
      <c r="D944" s="341"/>
    </row>
    <row r="945" spans="4:4" x14ac:dyDescent="0.2">
      <c r="D945" s="341"/>
    </row>
    <row r="946" spans="4:4" x14ac:dyDescent="0.2">
      <c r="D946" s="341"/>
    </row>
    <row r="947" spans="4:4" x14ac:dyDescent="0.2">
      <c r="D947" s="341"/>
    </row>
    <row r="948" spans="4:4" x14ac:dyDescent="0.2">
      <c r="D948" s="341"/>
    </row>
    <row r="949" spans="4:4" x14ac:dyDescent="0.2">
      <c r="D949" s="341"/>
    </row>
    <row r="950" spans="4:4" x14ac:dyDescent="0.2">
      <c r="D950" s="341"/>
    </row>
    <row r="951" spans="4:4" x14ac:dyDescent="0.2">
      <c r="D951" s="341"/>
    </row>
    <row r="952" spans="4:4" x14ac:dyDescent="0.2">
      <c r="D952" s="341"/>
    </row>
    <row r="953" spans="4:4" x14ac:dyDescent="0.2">
      <c r="D953" s="341"/>
    </row>
    <row r="954" spans="4:4" x14ac:dyDescent="0.2">
      <c r="D954" s="341"/>
    </row>
    <row r="955" spans="4:4" x14ac:dyDescent="0.2">
      <c r="D955" s="341"/>
    </row>
    <row r="956" spans="4:4" x14ac:dyDescent="0.2">
      <c r="D956" s="341"/>
    </row>
    <row r="957" spans="4:4" x14ac:dyDescent="0.2">
      <c r="D957" s="341"/>
    </row>
    <row r="958" spans="4:4" x14ac:dyDescent="0.2">
      <c r="D958" s="341"/>
    </row>
    <row r="959" spans="4:4" x14ac:dyDescent="0.2">
      <c r="D959" s="341"/>
    </row>
    <row r="960" spans="4:4" x14ac:dyDescent="0.2">
      <c r="D960" s="341"/>
    </row>
    <row r="961" spans="4:4" x14ac:dyDescent="0.2">
      <c r="D961" s="341"/>
    </row>
    <row r="962" spans="4:4" x14ac:dyDescent="0.2">
      <c r="D962" s="341"/>
    </row>
    <row r="963" spans="4:4" x14ac:dyDescent="0.2">
      <c r="D963" s="341"/>
    </row>
    <row r="964" spans="4:4" x14ac:dyDescent="0.2">
      <c r="D964" s="341"/>
    </row>
    <row r="965" spans="4:4" x14ac:dyDescent="0.2">
      <c r="D965" s="341"/>
    </row>
    <row r="966" spans="4:4" x14ac:dyDescent="0.2">
      <c r="D966" s="341"/>
    </row>
    <row r="967" spans="4:4" x14ac:dyDescent="0.2">
      <c r="D967" s="341"/>
    </row>
    <row r="968" spans="4:4" x14ac:dyDescent="0.2">
      <c r="D968" s="341"/>
    </row>
    <row r="969" spans="4:4" x14ac:dyDescent="0.2">
      <c r="D969" s="341"/>
    </row>
    <row r="970" spans="4:4" x14ac:dyDescent="0.2">
      <c r="D970" s="341"/>
    </row>
    <row r="971" spans="4:4" x14ac:dyDescent="0.2">
      <c r="D971" s="341"/>
    </row>
    <row r="972" spans="4:4" x14ac:dyDescent="0.2">
      <c r="D972" s="341"/>
    </row>
    <row r="973" spans="4:4" x14ac:dyDescent="0.2">
      <c r="D973" s="341"/>
    </row>
    <row r="974" spans="4:4" x14ac:dyDescent="0.2">
      <c r="D974" s="341"/>
    </row>
    <row r="975" spans="4:4" x14ac:dyDescent="0.2">
      <c r="D975" s="341"/>
    </row>
    <row r="976" spans="4:4" x14ac:dyDescent="0.2">
      <c r="D976" s="341"/>
    </row>
    <row r="977" spans="4:4" x14ac:dyDescent="0.2">
      <c r="D977" s="341"/>
    </row>
    <row r="978" spans="4:4" x14ac:dyDescent="0.2">
      <c r="D978" s="341"/>
    </row>
    <row r="979" spans="4:4" x14ac:dyDescent="0.2">
      <c r="D979" s="341"/>
    </row>
    <row r="980" spans="4:4" x14ac:dyDescent="0.2">
      <c r="D980" s="341"/>
    </row>
    <row r="981" spans="4:4" x14ac:dyDescent="0.2">
      <c r="D981" s="341"/>
    </row>
    <row r="982" spans="4:4" x14ac:dyDescent="0.2">
      <c r="D982" s="341"/>
    </row>
    <row r="983" spans="4:4" x14ac:dyDescent="0.2">
      <c r="D983" s="341"/>
    </row>
    <row r="984" spans="4:4" x14ac:dyDescent="0.2">
      <c r="D984" s="341"/>
    </row>
    <row r="985" spans="4:4" x14ac:dyDescent="0.2">
      <c r="D985" s="341"/>
    </row>
    <row r="986" spans="4:4" x14ac:dyDescent="0.2">
      <c r="D986" s="341"/>
    </row>
    <row r="987" spans="4:4" x14ac:dyDescent="0.2">
      <c r="D987" s="341"/>
    </row>
    <row r="988" spans="4:4" x14ac:dyDescent="0.2">
      <c r="D988" s="341"/>
    </row>
    <row r="989" spans="4:4" x14ac:dyDescent="0.2">
      <c r="D989" s="341"/>
    </row>
    <row r="990" spans="4:4" x14ac:dyDescent="0.2">
      <c r="D990" s="341"/>
    </row>
    <row r="991" spans="4:4" x14ac:dyDescent="0.2">
      <c r="D991" s="341"/>
    </row>
    <row r="992" spans="4:4" x14ac:dyDescent="0.2">
      <c r="D992" s="341"/>
    </row>
    <row r="993" spans="4:4" x14ac:dyDescent="0.2">
      <c r="D993" s="341"/>
    </row>
    <row r="994" spans="4:4" x14ac:dyDescent="0.2">
      <c r="D994" s="341"/>
    </row>
    <row r="995" spans="4:4" x14ac:dyDescent="0.2">
      <c r="D995" s="341"/>
    </row>
    <row r="996" spans="4:4" x14ac:dyDescent="0.2">
      <c r="D996" s="341"/>
    </row>
    <row r="997" spans="4:4" x14ac:dyDescent="0.2">
      <c r="D997" s="341"/>
    </row>
    <row r="998" spans="4:4" x14ac:dyDescent="0.2">
      <c r="D998" s="341"/>
    </row>
    <row r="999" spans="4:4" x14ac:dyDescent="0.2">
      <c r="D999" s="341"/>
    </row>
    <row r="1000" spans="4:4" x14ac:dyDescent="0.2">
      <c r="D1000" s="341"/>
    </row>
    <row r="1001" spans="4:4" x14ac:dyDescent="0.2">
      <c r="D1001" s="341"/>
    </row>
    <row r="1002" spans="4:4" x14ac:dyDescent="0.2">
      <c r="D1002" s="341"/>
    </row>
    <row r="1003" spans="4:4" x14ac:dyDescent="0.2">
      <c r="D1003" s="341"/>
    </row>
    <row r="1004" spans="4:4" x14ac:dyDescent="0.2">
      <c r="D1004" s="341"/>
    </row>
    <row r="1005" spans="4:4" x14ac:dyDescent="0.2">
      <c r="D1005" s="341"/>
    </row>
    <row r="1006" spans="4:4" x14ac:dyDescent="0.2">
      <c r="D1006" s="341"/>
    </row>
    <row r="1007" spans="4:4" x14ac:dyDescent="0.2">
      <c r="D1007" s="341"/>
    </row>
    <row r="1008" spans="4:4" x14ac:dyDescent="0.2">
      <c r="D1008" s="341"/>
    </row>
    <row r="1009" spans="4:4" x14ac:dyDescent="0.2">
      <c r="D1009" s="341"/>
    </row>
    <row r="1010" spans="4:4" x14ac:dyDescent="0.2">
      <c r="D1010" s="341"/>
    </row>
    <row r="1011" spans="4:4" x14ac:dyDescent="0.2">
      <c r="D1011" s="341"/>
    </row>
    <row r="1012" spans="4:4" x14ac:dyDescent="0.2">
      <c r="D1012" s="341"/>
    </row>
    <row r="1013" spans="4:4" x14ac:dyDescent="0.2">
      <c r="D1013" s="341"/>
    </row>
    <row r="1014" spans="4:4" x14ac:dyDescent="0.2">
      <c r="D1014" s="341"/>
    </row>
    <row r="1015" spans="4:4" x14ac:dyDescent="0.2">
      <c r="D1015" s="341"/>
    </row>
    <row r="1016" spans="4:4" x14ac:dyDescent="0.2">
      <c r="D1016" s="341"/>
    </row>
    <row r="1017" spans="4:4" x14ac:dyDescent="0.2">
      <c r="D1017" s="341"/>
    </row>
    <row r="1018" spans="4:4" x14ac:dyDescent="0.2">
      <c r="D1018" s="341"/>
    </row>
    <row r="1019" spans="4:4" x14ac:dyDescent="0.2">
      <c r="D1019" s="341"/>
    </row>
    <row r="1020" spans="4:4" x14ac:dyDescent="0.2">
      <c r="D1020" s="341"/>
    </row>
    <row r="1021" spans="4:4" x14ac:dyDescent="0.2">
      <c r="D1021" s="341"/>
    </row>
    <row r="1022" spans="4:4" x14ac:dyDescent="0.2">
      <c r="D1022" s="341"/>
    </row>
    <row r="1023" spans="4:4" x14ac:dyDescent="0.2">
      <c r="D1023" s="341"/>
    </row>
    <row r="1024" spans="4:4" x14ac:dyDescent="0.2">
      <c r="D1024" s="341"/>
    </row>
    <row r="1025" spans="4:4" x14ac:dyDescent="0.2">
      <c r="D1025" s="341"/>
    </row>
    <row r="1026" spans="4:4" x14ac:dyDescent="0.2">
      <c r="D1026" s="341"/>
    </row>
    <row r="1027" spans="4:4" x14ac:dyDescent="0.2">
      <c r="D1027" s="341"/>
    </row>
    <row r="1028" spans="4:4" x14ac:dyDescent="0.2">
      <c r="D1028" s="341"/>
    </row>
    <row r="1029" spans="4:4" x14ac:dyDescent="0.2">
      <c r="D1029" s="341"/>
    </row>
    <row r="1030" spans="4:4" x14ac:dyDescent="0.2">
      <c r="D1030" s="341"/>
    </row>
    <row r="1031" spans="4:4" x14ac:dyDescent="0.2">
      <c r="D1031" s="341"/>
    </row>
    <row r="1032" spans="4:4" x14ac:dyDescent="0.2">
      <c r="D1032" s="341"/>
    </row>
    <row r="1033" spans="4:4" x14ac:dyDescent="0.2">
      <c r="D1033" s="341"/>
    </row>
    <row r="1034" spans="4:4" x14ac:dyDescent="0.2">
      <c r="D1034" s="341"/>
    </row>
    <row r="1035" spans="4:4" x14ac:dyDescent="0.2">
      <c r="D1035" s="341"/>
    </row>
    <row r="1036" spans="4:4" x14ac:dyDescent="0.2">
      <c r="D1036" s="341"/>
    </row>
    <row r="1037" spans="4:4" x14ac:dyDescent="0.2">
      <c r="D1037" s="341"/>
    </row>
    <row r="1038" spans="4:4" x14ac:dyDescent="0.2">
      <c r="D1038" s="341"/>
    </row>
    <row r="1039" spans="4:4" x14ac:dyDescent="0.2">
      <c r="D1039" s="341"/>
    </row>
    <row r="1040" spans="4:4" x14ac:dyDescent="0.2">
      <c r="D1040" s="341"/>
    </row>
    <row r="1041" spans="4:4" x14ac:dyDescent="0.2">
      <c r="D1041" s="341"/>
    </row>
    <row r="1042" spans="4:4" x14ac:dyDescent="0.2">
      <c r="D1042" s="341"/>
    </row>
    <row r="1043" spans="4:4" x14ac:dyDescent="0.2">
      <c r="D1043" s="341"/>
    </row>
    <row r="1044" spans="4:4" x14ac:dyDescent="0.2">
      <c r="D1044" s="341"/>
    </row>
    <row r="1045" spans="4:4" x14ac:dyDescent="0.2">
      <c r="D1045" s="341"/>
    </row>
    <row r="1046" spans="4:4" x14ac:dyDescent="0.2">
      <c r="D1046" s="341"/>
    </row>
    <row r="1047" spans="4:4" x14ac:dyDescent="0.2">
      <c r="D1047" s="341"/>
    </row>
    <row r="1048" spans="4:4" x14ac:dyDescent="0.2">
      <c r="D1048" s="341"/>
    </row>
    <row r="1049" spans="4:4" x14ac:dyDescent="0.2">
      <c r="D1049" s="341"/>
    </row>
    <row r="1050" spans="4:4" x14ac:dyDescent="0.2">
      <c r="D1050" s="341"/>
    </row>
    <row r="1051" spans="4:4" x14ac:dyDescent="0.2">
      <c r="D1051" s="341"/>
    </row>
    <row r="1052" spans="4:4" x14ac:dyDescent="0.2">
      <c r="D1052" s="341"/>
    </row>
    <row r="1053" spans="4:4" x14ac:dyDescent="0.2">
      <c r="D1053" s="341"/>
    </row>
    <row r="1054" spans="4:4" x14ac:dyDescent="0.2">
      <c r="D1054" s="341"/>
    </row>
    <row r="1055" spans="4:4" x14ac:dyDescent="0.2">
      <c r="D1055" s="341"/>
    </row>
    <row r="1056" spans="4:4" x14ac:dyDescent="0.2">
      <c r="D1056" s="341"/>
    </row>
    <row r="1057" spans="4:4" x14ac:dyDescent="0.2">
      <c r="D1057" s="341"/>
    </row>
    <row r="1058" spans="4:4" x14ac:dyDescent="0.2">
      <c r="D1058" s="341"/>
    </row>
    <row r="1059" spans="4:4" x14ac:dyDescent="0.2">
      <c r="D1059" s="341"/>
    </row>
    <row r="1060" spans="4:4" x14ac:dyDescent="0.2">
      <c r="D1060" s="341"/>
    </row>
    <row r="1061" spans="4:4" x14ac:dyDescent="0.2">
      <c r="D1061" s="341"/>
    </row>
    <row r="1062" spans="4:4" x14ac:dyDescent="0.2">
      <c r="D1062" s="341"/>
    </row>
    <row r="1063" spans="4:4" x14ac:dyDescent="0.2">
      <c r="D1063" s="341"/>
    </row>
    <row r="1064" spans="4:4" x14ac:dyDescent="0.2">
      <c r="D1064" s="341"/>
    </row>
    <row r="1065" spans="4:4" x14ac:dyDescent="0.2">
      <c r="D1065" s="341"/>
    </row>
    <row r="1066" spans="4:4" x14ac:dyDescent="0.2">
      <c r="D1066" s="341"/>
    </row>
    <row r="1067" spans="4:4" x14ac:dyDescent="0.2">
      <c r="D1067" s="341"/>
    </row>
    <row r="1068" spans="4:4" x14ac:dyDescent="0.2">
      <c r="D1068" s="341"/>
    </row>
    <row r="1069" spans="4:4" x14ac:dyDescent="0.2">
      <c r="D1069" s="341"/>
    </row>
    <row r="1070" spans="4:4" x14ac:dyDescent="0.2">
      <c r="D1070" s="341"/>
    </row>
    <row r="1071" spans="4:4" x14ac:dyDescent="0.2">
      <c r="D1071" s="341"/>
    </row>
    <row r="1072" spans="4:4" x14ac:dyDescent="0.2">
      <c r="D1072" s="341"/>
    </row>
    <row r="1073" spans="4:4" x14ac:dyDescent="0.2">
      <c r="D1073" s="341"/>
    </row>
    <row r="1074" spans="4:4" x14ac:dyDescent="0.2">
      <c r="D1074" s="341"/>
    </row>
    <row r="1075" spans="4:4" x14ac:dyDescent="0.2">
      <c r="D1075" s="341"/>
    </row>
    <row r="1076" spans="4:4" x14ac:dyDescent="0.2">
      <c r="D1076" s="341"/>
    </row>
    <row r="1077" spans="4:4" x14ac:dyDescent="0.2">
      <c r="D1077" s="341"/>
    </row>
    <row r="1078" spans="4:4" x14ac:dyDescent="0.2">
      <c r="D1078" s="341"/>
    </row>
    <row r="1079" spans="4:4" x14ac:dyDescent="0.2">
      <c r="D1079" s="341"/>
    </row>
    <row r="1080" spans="4:4" x14ac:dyDescent="0.2">
      <c r="D1080" s="341"/>
    </row>
    <row r="1081" spans="4:4" x14ac:dyDescent="0.2">
      <c r="D1081" s="341"/>
    </row>
    <row r="1082" spans="4:4" x14ac:dyDescent="0.2">
      <c r="D1082" s="341"/>
    </row>
    <row r="1083" spans="4:4" x14ac:dyDescent="0.2">
      <c r="D1083" s="341"/>
    </row>
    <row r="1084" spans="4:4" x14ac:dyDescent="0.2">
      <c r="D1084" s="341"/>
    </row>
    <row r="1085" spans="4:4" x14ac:dyDescent="0.2">
      <c r="D1085" s="341"/>
    </row>
    <row r="1086" spans="4:4" x14ac:dyDescent="0.2">
      <c r="D1086" s="341"/>
    </row>
    <row r="1087" spans="4:4" x14ac:dyDescent="0.2">
      <c r="D1087" s="341"/>
    </row>
    <row r="1088" spans="4:4" x14ac:dyDescent="0.2">
      <c r="D1088" s="341"/>
    </row>
    <row r="1089" spans="4:4" x14ac:dyDescent="0.2">
      <c r="D1089" s="341"/>
    </row>
    <row r="1090" spans="4:4" x14ac:dyDescent="0.2">
      <c r="D1090" s="341"/>
    </row>
    <row r="1091" spans="4:4" x14ac:dyDescent="0.2">
      <c r="D1091" s="341"/>
    </row>
    <row r="1092" spans="4:4" x14ac:dyDescent="0.2">
      <c r="D1092" s="341"/>
    </row>
    <row r="1093" spans="4:4" x14ac:dyDescent="0.2">
      <c r="D1093" s="341"/>
    </row>
    <row r="1094" spans="4:4" x14ac:dyDescent="0.2">
      <c r="D1094" s="341"/>
    </row>
    <row r="1095" spans="4:4" x14ac:dyDescent="0.2">
      <c r="D1095" s="341"/>
    </row>
    <row r="1096" spans="4:4" x14ac:dyDescent="0.2">
      <c r="D1096" s="341"/>
    </row>
    <row r="1097" spans="4:4" x14ac:dyDescent="0.2">
      <c r="D1097" s="341"/>
    </row>
    <row r="1098" spans="4:4" x14ac:dyDescent="0.2">
      <c r="D1098" s="341"/>
    </row>
    <row r="1099" spans="4:4" x14ac:dyDescent="0.2">
      <c r="D1099" s="341"/>
    </row>
    <row r="1100" spans="4:4" x14ac:dyDescent="0.2">
      <c r="D1100" s="341"/>
    </row>
    <row r="1101" spans="4:4" x14ac:dyDescent="0.2">
      <c r="D1101" s="341"/>
    </row>
    <row r="1102" spans="4:4" x14ac:dyDescent="0.2">
      <c r="D1102" s="341"/>
    </row>
    <row r="1103" spans="4:4" x14ac:dyDescent="0.2">
      <c r="D1103" s="341"/>
    </row>
    <row r="1104" spans="4:4" x14ac:dyDescent="0.2">
      <c r="D1104" s="341"/>
    </row>
    <row r="1105" spans="4:4" x14ac:dyDescent="0.2">
      <c r="D1105" s="341"/>
    </row>
    <row r="1106" spans="4:4" x14ac:dyDescent="0.2">
      <c r="D1106" s="341"/>
    </row>
    <row r="1107" spans="4:4" x14ac:dyDescent="0.2">
      <c r="D1107" s="341"/>
    </row>
    <row r="1108" spans="4:4" x14ac:dyDescent="0.2">
      <c r="D1108" s="341"/>
    </row>
    <row r="1109" spans="4:4" x14ac:dyDescent="0.2">
      <c r="D1109" s="341"/>
    </row>
    <row r="1110" spans="4:4" x14ac:dyDescent="0.2">
      <c r="D1110" s="341"/>
    </row>
    <row r="1111" spans="4:4" x14ac:dyDescent="0.2">
      <c r="D1111" s="341"/>
    </row>
    <row r="1112" spans="4:4" x14ac:dyDescent="0.2">
      <c r="D1112" s="341"/>
    </row>
    <row r="1113" spans="4:4" x14ac:dyDescent="0.2">
      <c r="D1113" s="341"/>
    </row>
    <row r="1114" spans="4:4" x14ac:dyDescent="0.2">
      <c r="D1114" s="341"/>
    </row>
    <row r="1115" spans="4:4" x14ac:dyDescent="0.2">
      <c r="D1115" s="341"/>
    </row>
    <row r="1116" spans="4:4" x14ac:dyDescent="0.2">
      <c r="D1116" s="341"/>
    </row>
    <row r="1117" spans="4:4" x14ac:dyDescent="0.2">
      <c r="D1117" s="341"/>
    </row>
    <row r="1118" spans="4:4" x14ac:dyDescent="0.2">
      <c r="D1118" s="341"/>
    </row>
    <row r="1119" spans="4:4" x14ac:dyDescent="0.2">
      <c r="D1119" s="341"/>
    </row>
    <row r="1120" spans="4:4" x14ac:dyDescent="0.2">
      <c r="D1120" s="341"/>
    </row>
    <row r="1121" spans="4:4" x14ac:dyDescent="0.2">
      <c r="D1121" s="341"/>
    </row>
    <row r="1122" spans="4:4" x14ac:dyDescent="0.2">
      <c r="D1122" s="341"/>
    </row>
    <row r="1123" spans="4:4" x14ac:dyDescent="0.2">
      <c r="D1123" s="341"/>
    </row>
    <row r="1124" spans="4:4" x14ac:dyDescent="0.2">
      <c r="D1124" s="341"/>
    </row>
    <row r="1125" spans="4:4" x14ac:dyDescent="0.2">
      <c r="D1125" s="341"/>
    </row>
    <row r="1126" spans="4:4" x14ac:dyDescent="0.2">
      <c r="D1126" s="341"/>
    </row>
    <row r="1127" spans="4:4" x14ac:dyDescent="0.2">
      <c r="D1127" s="341"/>
    </row>
    <row r="1128" spans="4:4" x14ac:dyDescent="0.2">
      <c r="D1128" s="341"/>
    </row>
    <row r="1129" spans="4:4" x14ac:dyDescent="0.2">
      <c r="D1129" s="341"/>
    </row>
    <row r="1130" spans="4:4" x14ac:dyDescent="0.2">
      <c r="D1130" s="341"/>
    </row>
    <row r="1131" spans="4:4" x14ac:dyDescent="0.2">
      <c r="D1131" s="341"/>
    </row>
    <row r="1132" spans="4:4" x14ac:dyDescent="0.2">
      <c r="D1132" s="341"/>
    </row>
    <row r="1133" spans="4:4" x14ac:dyDescent="0.2">
      <c r="D1133" s="341"/>
    </row>
    <row r="1134" spans="4:4" x14ac:dyDescent="0.2">
      <c r="D1134" s="341"/>
    </row>
    <row r="1135" spans="4:4" x14ac:dyDescent="0.2">
      <c r="D1135" s="341"/>
    </row>
    <row r="1136" spans="4:4" x14ac:dyDescent="0.2">
      <c r="D1136" s="341"/>
    </row>
    <row r="1137" spans="4:4" x14ac:dyDescent="0.2">
      <c r="D1137" s="341"/>
    </row>
    <row r="1138" spans="4:4" x14ac:dyDescent="0.2">
      <c r="D1138" s="341"/>
    </row>
    <row r="1139" spans="4:4" x14ac:dyDescent="0.2">
      <c r="D1139" s="341"/>
    </row>
    <row r="1140" spans="4:4" x14ac:dyDescent="0.2">
      <c r="D1140" s="341"/>
    </row>
    <row r="1141" spans="4:4" x14ac:dyDescent="0.2">
      <c r="D1141" s="341"/>
    </row>
    <row r="1142" spans="4:4" x14ac:dyDescent="0.2">
      <c r="D1142" s="341"/>
    </row>
    <row r="1143" spans="4:4" x14ac:dyDescent="0.2">
      <c r="D1143" s="341"/>
    </row>
    <row r="1144" spans="4:4" x14ac:dyDescent="0.2">
      <c r="D1144" s="341"/>
    </row>
    <row r="1145" spans="4:4" x14ac:dyDescent="0.2">
      <c r="D1145" s="341"/>
    </row>
    <row r="1146" spans="4:4" x14ac:dyDescent="0.2">
      <c r="D1146" s="341"/>
    </row>
    <row r="1147" spans="4:4" x14ac:dyDescent="0.2">
      <c r="D1147" s="341"/>
    </row>
    <row r="1148" spans="4:4" x14ac:dyDescent="0.2">
      <c r="D1148" s="341"/>
    </row>
    <row r="1149" spans="4:4" x14ac:dyDescent="0.2">
      <c r="D1149" s="341"/>
    </row>
    <row r="1150" spans="4:4" x14ac:dyDescent="0.2">
      <c r="D1150" s="341"/>
    </row>
    <row r="1151" spans="4:4" x14ac:dyDescent="0.2">
      <c r="D1151" s="341"/>
    </row>
    <row r="1152" spans="4:4" x14ac:dyDescent="0.2">
      <c r="D1152" s="341"/>
    </row>
    <row r="1153" spans="4:4" x14ac:dyDescent="0.2">
      <c r="D1153" s="341"/>
    </row>
    <row r="1154" spans="4:4" x14ac:dyDescent="0.2">
      <c r="D1154" s="341"/>
    </row>
    <row r="1155" spans="4:4" x14ac:dyDescent="0.2">
      <c r="D1155" s="341"/>
    </row>
    <row r="1156" spans="4:4" x14ac:dyDescent="0.2">
      <c r="D1156" s="341"/>
    </row>
    <row r="1157" spans="4:4" x14ac:dyDescent="0.2">
      <c r="D1157" s="341"/>
    </row>
    <row r="1158" spans="4:4" x14ac:dyDescent="0.2">
      <c r="D1158" s="341"/>
    </row>
    <row r="1159" spans="4:4" x14ac:dyDescent="0.2">
      <c r="D1159" s="341"/>
    </row>
    <row r="1160" spans="4:4" x14ac:dyDescent="0.2">
      <c r="D1160" s="341"/>
    </row>
    <row r="1161" spans="4:4" x14ac:dyDescent="0.2">
      <c r="D1161" s="341"/>
    </row>
    <row r="1162" spans="4:4" x14ac:dyDescent="0.2">
      <c r="D1162" s="341"/>
    </row>
    <row r="1163" spans="4:4" x14ac:dyDescent="0.2">
      <c r="D1163" s="341"/>
    </row>
    <row r="1164" spans="4:4" x14ac:dyDescent="0.2">
      <c r="D1164" s="341"/>
    </row>
    <row r="1165" spans="4:4" x14ac:dyDescent="0.2">
      <c r="D1165" s="341"/>
    </row>
    <row r="1166" spans="4:4" x14ac:dyDescent="0.2">
      <c r="D1166" s="341"/>
    </row>
    <row r="1167" spans="4:4" x14ac:dyDescent="0.2">
      <c r="D1167" s="341"/>
    </row>
    <row r="1168" spans="4:4" x14ac:dyDescent="0.2">
      <c r="D1168" s="341"/>
    </row>
    <row r="1169" spans="4:4" x14ac:dyDescent="0.2">
      <c r="D1169" s="341"/>
    </row>
    <row r="1170" spans="4:4" x14ac:dyDescent="0.2">
      <c r="D1170" s="341"/>
    </row>
    <row r="1171" spans="4:4" x14ac:dyDescent="0.2">
      <c r="D1171" s="341"/>
    </row>
    <row r="1172" spans="4:4" x14ac:dyDescent="0.2">
      <c r="D1172" s="341"/>
    </row>
    <row r="1173" spans="4:4" x14ac:dyDescent="0.2">
      <c r="D1173" s="341"/>
    </row>
    <row r="1174" spans="4:4" x14ac:dyDescent="0.2">
      <c r="D1174" s="341"/>
    </row>
    <row r="1175" spans="4:4" x14ac:dyDescent="0.2">
      <c r="D1175" s="341"/>
    </row>
    <row r="1176" spans="4:4" x14ac:dyDescent="0.2">
      <c r="D1176" s="341"/>
    </row>
    <row r="1177" spans="4:4" x14ac:dyDescent="0.2">
      <c r="D1177" s="341"/>
    </row>
    <row r="1178" spans="4:4" x14ac:dyDescent="0.2">
      <c r="D1178" s="341"/>
    </row>
    <row r="1179" spans="4:4" x14ac:dyDescent="0.2">
      <c r="D1179" s="341"/>
    </row>
    <row r="1180" spans="4:4" x14ac:dyDescent="0.2">
      <c r="D1180" s="341"/>
    </row>
    <row r="1181" spans="4:4" x14ac:dyDescent="0.2">
      <c r="D1181" s="341"/>
    </row>
    <row r="1182" spans="4:4" x14ac:dyDescent="0.2">
      <c r="D1182" s="341"/>
    </row>
    <row r="1183" spans="4:4" x14ac:dyDescent="0.2">
      <c r="D1183" s="341"/>
    </row>
    <row r="1184" spans="4:4" x14ac:dyDescent="0.2">
      <c r="D1184" s="341"/>
    </row>
    <row r="1185" spans="4:4" x14ac:dyDescent="0.2">
      <c r="D1185" s="341"/>
    </row>
    <row r="1186" spans="4:4" x14ac:dyDescent="0.2">
      <c r="D1186" s="341"/>
    </row>
    <row r="1187" spans="4:4" x14ac:dyDescent="0.2">
      <c r="D1187" s="341"/>
    </row>
    <row r="1188" spans="4:4" x14ac:dyDescent="0.2">
      <c r="D1188" s="341"/>
    </row>
    <row r="1189" spans="4:4" x14ac:dyDescent="0.2">
      <c r="D1189" s="341"/>
    </row>
    <row r="1190" spans="4:4" x14ac:dyDescent="0.2">
      <c r="D1190" s="341"/>
    </row>
    <row r="1191" spans="4:4" x14ac:dyDescent="0.2">
      <c r="D1191" s="341"/>
    </row>
    <row r="1192" spans="4:4" x14ac:dyDescent="0.2">
      <c r="D1192" s="341"/>
    </row>
    <row r="1193" spans="4:4" x14ac:dyDescent="0.2">
      <c r="D1193" s="341"/>
    </row>
    <row r="1194" spans="4:4" x14ac:dyDescent="0.2">
      <c r="D1194" s="341"/>
    </row>
    <row r="1195" spans="4:4" x14ac:dyDescent="0.2">
      <c r="D1195" s="341"/>
    </row>
    <row r="1196" spans="4:4" x14ac:dyDescent="0.2">
      <c r="D1196" s="341"/>
    </row>
    <row r="1197" spans="4:4" x14ac:dyDescent="0.2">
      <c r="D1197" s="341"/>
    </row>
    <row r="1198" spans="4:4" x14ac:dyDescent="0.2">
      <c r="D1198" s="341"/>
    </row>
    <row r="1199" spans="4:4" x14ac:dyDescent="0.2">
      <c r="D1199" s="341"/>
    </row>
    <row r="1200" spans="4:4" x14ac:dyDescent="0.2">
      <c r="D1200" s="341"/>
    </row>
    <row r="1201" spans="4:4" x14ac:dyDescent="0.2">
      <c r="D1201" s="341"/>
    </row>
    <row r="1202" spans="4:4" x14ac:dyDescent="0.2">
      <c r="D1202" s="341"/>
    </row>
    <row r="1203" spans="4:4" x14ac:dyDescent="0.2">
      <c r="D1203" s="341"/>
    </row>
    <row r="1204" spans="4:4" x14ac:dyDescent="0.2">
      <c r="D1204" s="341"/>
    </row>
    <row r="1205" spans="4:4" x14ac:dyDescent="0.2">
      <c r="D1205" s="341"/>
    </row>
    <row r="1206" spans="4:4" x14ac:dyDescent="0.2">
      <c r="D1206" s="341"/>
    </row>
    <row r="1207" spans="4:4" x14ac:dyDescent="0.2">
      <c r="D1207" s="341"/>
    </row>
    <row r="1208" spans="4:4" x14ac:dyDescent="0.2">
      <c r="D1208" s="341"/>
    </row>
    <row r="1209" spans="4:4" x14ac:dyDescent="0.2">
      <c r="D1209" s="341"/>
    </row>
    <row r="1210" spans="4:4" x14ac:dyDescent="0.2">
      <c r="D1210" s="341"/>
    </row>
    <row r="1211" spans="4:4" x14ac:dyDescent="0.2">
      <c r="D1211" s="341"/>
    </row>
    <row r="1212" spans="4:4" x14ac:dyDescent="0.2">
      <c r="D1212" s="341"/>
    </row>
    <row r="1213" spans="4:4" x14ac:dyDescent="0.2">
      <c r="D1213" s="341"/>
    </row>
    <row r="1214" spans="4:4" x14ac:dyDescent="0.2">
      <c r="D1214" s="341"/>
    </row>
    <row r="1215" spans="4:4" x14ac:dyDescent="0.2">
      <c r="D1215" s="341"/>
    </row>
    <row r="1216" spans="4:4" x14ac:dyDescent="0.2">
      <c r="D1216" s="341"/>
    </row>
    <row r="1217" spans="4:4" x14ac:dyDescent="0.2">
      <c r="D1217" s="341"/>
    </row>
    <row r="1218" spans="4:4" x14ac:dyDescent="0.2">
      <c r="D1218" s="341"/>
    </row>
    <row r="1219" spans="4:4" x14ac:dyDescent="0.2">
      <c r="D1219" s="341"/>
    </row>
    <row r="1220" spans="4:4" x14ac:dyDescent="0.2">
      <c r="D1220" s="341"/>
    </row>
    <row r="1221" spans="4:4" x14ac:dyDescent="0.2">
      <c r="D1221" s="341"/>
    </row>
    <row r="1222" spans="4:4" x14ac:dyDescent="0.2">
      <c r="D1222" s="341"/>
    </row>
    <row r="1223" spans="4:4" x14ac:dyDescent="0.2">
      <c r="D1223" s="341"/>
    </row>
    <row r="1224" spans="4:4" x14ac:dyDescent="0.2">
      <c r="D1224" s="341"/>
    </row>
    <row r="1225" spans="4:4" x14ac:dyDescent="0.2">
      <c r="D1225" s="341"/>
    </row>
    <row r="1226" spans="4:4" x14ac:dyDescent="0.2">
      <c r="D1226" s="341"/>
    </row>
    <row r="1227" spans="4:4" x14ac:dyDescent="0.2">
      <c r="D1227" s="341"/>
    </row>
    <row r="1228" spans="4:4" x14ac:dyDescent="0.2">
      <c r="D1228" s="341"/>
    </row>
    <row r="1229" spans="4:4" x14ac:dyDescent="0.2">
      <c r="D1229" s="341"/>
    </row>
    <row r="1230" spans="4:4" x14ac:dyDescent="0.2">
      <c r="D1230" s="341"/>
    </row>
    <row r="1231" spans="4:4" x14ac:dyDescent="0.2">
      <c r="D1231" s="341"/>
    </row>
    <row r="1232" spans="4:4" x14ac:dyDescent="0.2">
      <c r="D1232" s="341"/>
    </row>
    <row r="1233" spans="4:4" x14ac:dyDescent="0.2">
      <c r="D1233" s="341"/>
    </row>
    <row r="1234" spans="4:4" x14ac:dyDescent="0.2">
      <c r="D1234" s="341"/>
    </row>
    <row r="1235" spans="4:4" x14ac:dyDescent="0.2">
      <c r="D1235" s="341"/>
    </row>
    <row r="1236" spans="4:4" x14ac:dyDescent="0.2">
      <c r="D1236" s="341"/>
    </row>
    <row r="1237" spans="4:4" x14ac:dyDescent="0.2">
      <c r="D1237" s="341"/>
    </row>
    <row r="1238" spans="4:4" x14ac:dyDescent="0.2">
      <c r="D1238" s="341"/>
    </row>
    <row r="1239" spans="4:4" x14ac:dyDescent="0.2">
      <c r="D1239" s="341"/>
    </row>
    <row r="1240" spans="4:4" x14ac:dyDescent="0.2">
      <c r="D1240" s="341"/>
    </row>
    <row r="1241" spans="4:4" x14ac:dyDescent="0.2">
      <c r="D1241" s="341"/>
    </row>
    <row r="1242" spans="4:4" x14ac:dyDescent="0.2">
      <c r="D1242" s="341"/>
    </row>
    <row r="1243" spans="4:4" x14ac:dyDescent="0.2">
      <c r="D1243" s="341"/>
    </row>
    <row r="1244" spans="4:4" x14ac:dyDescent="0.2">
      <c r="D1244" s="341"/>
    </row>
    <row r="1245" spans="4:4" x14ac:dyDescent="0.2">
      <c r="D1245" s="341"/>
    </row>
    <row r="1246" spans="4:4" x14ac:dyDescent="0.2">
      <c r="D1246" s="341"/>
    </row>
    <row r="1247" spans="4:4" x14ac:dyDescent="0.2">
      <c r="D1247" s="341"/>
    </row>
    <row r="1248" spans="4:4" x14ac:dyDescent="0.2">
      <c r="D1248" s="341"/>
    </row>
    <row r="1249" spans="4:4" x14ac:dyDescent="0.2">
      <c r="D1249" s="341"/>
    </row>
    <row r="1250" spans="4:4" x14ac:dyDescent="0.2">
      <c r="D1250" s="341"/>
    </row>
    <row r="1251" spans="4:4" x14ac:dyDescent="0.2">
      <c r="D1251" s="341"/>
    </row>
    <row r="1252" spans="4:4" x14ac:dyDescent="0.2">
      <c r="D1252" s="341"/>
    </row>
    <row r="1253" spans="4:4" x14ac:dyDescent="0.2">
      <c r="D1253" s="341"/>
    </row>
    <row r="1254" spans="4:4" x14ac:dyDescent="0.2">
      <c r="D1254" s="341"/>
    </row>
    <row r="1255" spans="4:4" x14ac:dyDescent="0.2">
      <c r="D1255" s="341"/>
    </row>
    <row r="1256" spans="4:4" x14ac:dyDescent="0.2">
      <c r="D1256" s="341"/>
    </row>
    <row r="1257" spans="4:4" x14ac:dyDescent="0.2">
      <c r="D1257" s="341"/>
    </row>
    <row r="1258" spans="4:4" x14ac:dyDescent="0.2">
      <c r="D1258" s="341"/>
    </row>
    <row r="1259" spans="4:4" x14ac:dyDescent="0.2">
      <c r="D1259" s="341"/>
    </row>
    <row r="1260" spans="4:4" x14ac:dyDescent="0.2">
      <c r="D1260" s="341"/>
    </row>
    <row r="1261" spans="4:4" x14ac:dyDescent="0.2">
      <c r="D1261" s="341"/>
    </row>
    <row r="1262" spans="4:4" x14ac:dyDescent="0.2">
      <c r="D1262" s="341"/>
    </row>
    <row r="1263" spans="4:4" x14ac:dyDescent="0.2">
      <c r="D1263" s="341"/>
    </row>
    <row r="1264" spans="4:4" x14ac:dyDescent="0.2">
      <c r="D1264" s="341"/>
    </row>
    <row r="1265" spans="4:4" x14ac:dyDescent="0.2">
      <c r="D1265" s="341"/>
    </row>
    <row r="1266" spans="4:4" x14ac:dyDescent="0.2">
      <c r="D1266" s="341"/>
    </row>
    <row r="1267" spans="4:4" x14ac:dyDescent="0.2">
      <c r="D1267" s="341"/>
    </row>
    <row r="1268" spans="4:4" x14ac:dyDescent="0.2">
      <c r="D1268" s="341"/>
    </row>
    <row r="1269" spans="4:4" x14ac:dyDescent="0.2">
      <c r="D1269" s="341"/>
    </row>
    <row r="1270" spans="4:4" x14ac:dyDescent="0.2">
      <c r="D1270" s="341"/>
    </row>
    <row r="1271" spans="4:4" x14ac:dyDescent="0.2">
      <c r="D1271" s="341"/>
    </row>
    <row r="1272" spans="4:4" x14ac:dyDescent="0.2">
      <c r="D1272" s="341"/>
    </row>
    <row r="1273" spans="4:4" x14ac:dyDescent="0.2">
      <c r="D1273" s="341"/>
    </row>
    <row r="1274" spans="4:4" x14ac:dyDescent="0.2">
      <c r="D1274" s="341"/>
    </row>
    <row r="1275" spans="4:4" x14ac:dyDescent="0.2">
      <c r="D1275" s="341"/>
    </row>
    <row r="1276" spans="4:4" x14ac:dyDescent="0.2">
      <c r="D1276" s="341"/>
    </row>
    <row r="1277" spans="4:4" x14ac:dyDescent="0.2">
      <c r="D1277" s="341"/>
    </row>
    <row r="1278" spans="4:4" x14ac:dyDescent="0.2">
      <c r="D1278" s="341"/>
    </row>
    <row r="1279" spans="4:4" x14ac:dyDescent="0.2">
      <c r="D1279" s="341"/>
    </row>
    <row r="1280" spans="4:4" x14ac:dyDescent="0.2">
      <c r="D1280" s="341"/>
    </row>
    <row r="1281" spans="4:4" x14ac:dyDescent="0.2">
      <c r="D1281" s="341"/>
    </row>
    <row r="1282" spans="4:4" x14ac:dyDescent="0.2">
      <c r="D1282" s="341"/>
    </row>
    <row r="1283" spans="4:4" x14ac:dyDescent="0.2">
      <c r="D1283" s="341"/>
    </row>
    <row r="1284" spans="4:4" x14ac:dyDescent="0.2">
      <c r="D1284" s="341"/>
    </row>
    <row r="1285" spans="4:4" x14ac:dyDescent="0.2">
      <c r="D1285" s="341"/>
    </row>
    <row r="1286" spans="4:4" x14ac:dyDescent="0.2">
      <c r="D1286" s="341"/>
    </row>
    <row r="1287" spans="4:4" x14ac:dyDescent="0.2">
      <c r="D1287" s="341"/>
    </row>
    <row r="1288" spans="4:4" x14ac:dyDescent="0.2">
      <c r="D1288" s="341"/>
    </row>
    <row r="1289" spans="4:4" x14ac:dyDescent="0.2">
      <c r="D1289" s="341"/>
    </row>
    <row r="1290" spans="4:4" x14ac:dyDescent="0.2">
      <c r="D1290" s="341"/>
    </row>
    <row r="1291" spans="4:4" x14ac:dyDescent="0.2">
      <c r="D1291" s="341"/>
    </row>
    <row r="1292" spans="4:4" x14ac:dyDescent="0.2">
      <c r="D1292" s="341"/>
    </row>
    <row r="1293" spans="4:4" x14ac:dyDescent="0.2">
      <c r="D1293" s="341"/>
    </row>
    <row r="1294" spans="4:4" x14ac:dyDescent="0.2">
      <c r="D1294" s="341"/>
    </row>
    <row r="1295" spans="4:4" x14ac:dyDescent="0.2">
      <c r="D1295" s="341"/>
    </row>
    <row r="1296" spans="4:4" x14ac:dyDescent="0.2">
      <c r="D1296" s="341"/>
    </row>
    <row r="1297" spans="4:4" x14ac:dyDescent="0.2">
      <c r="D1297" s="341"/>
    </row>
    <row r="1298" spans="4:4" x14ac:dyDescent="0.2">
      <c r="D1298" s="341"/>
    </row>
    <row r="1299" spans="4:4" x14ac:dyDescent="0.2">
      <c r="D1299" s="341"/>
    </row>
    <row r="1300" spans="4:4" x14ac:dyDescent="0.2">
      <c r="D1300" s="341"/>
    </row>
    <row r="1301" spans="4:4" x14ac:dyDescent="0.2">
      <c r="D1301" s="341"/>
    </row>
    <row r="1302" spans="4:4" x14ac:dyDescent="0.2">
      <c r="D1302" s="341"/>
    </row>
    <row r="1303" spans="4:4" x14ac:dyDescent="0.2">
      <c r="D1303" s="341"/>
    </row>
    <row r="1304" spans="4:4" x14ac:dyDescent="0.2">
      <c r="D1304" s="341"/>
    </row>
    <row r="1305" spans="4:4" x14ac:dyDescent="0.2">
      <c r="D1305" s="341"/>
    </row>
    <row r="1306" spans="4:4" x14ac:dyDescent="0.2">
      <c r="D1306" s="341"/>
    </row>
    <row r="1307" spans="4:4" x14ac:dyDescent="0.2">
      <c r="D1307" s="341"/>
    </row>
    <row r="1308" spans="4:4" x14ac:dyDescent="0.2">
      <c r="D1308" s="341"/>
    </row>
    <row r="1309" spans="4:4" x14ac:dyDescent="0.2">
      <c r="D1309" s="341"/>
    </row>
    <row r="1310" spans="4:4" x14ac:dyDescent="0.2">
      <c r="D1310" s="341"/>
    </row>
    <row r="1311" spans="4:4" x14ac:dyDescent="0.2">
      <c r="D1311" s="341"/>
    </row>
    <row r="1312" spans="4:4" x14ac:dyDescent="0.2">
      <c r="D1312" s="341"/>
    </row>
    <row r="1313" spans="4:4" x14ac:dyDescent="0.2">
      <c r="D1313" s="341"/>
    </row>
    <row r="1314" spans="4:4" x14ac:dyDescent="0.2">
      <c r="D1314" s="341"/>
    </row>
    <row r="1315" spans="4:4" x14ac:dyDescent="0.2">
      <c r="D1315" s="341"/>
    </row>
    <row r="1316" spans="4:4" x14ac:dyDescent="0.2">
      <c r="D1316" s="341"/>
    </row>
    <row r="1317" spans="4:4" x14ac:dyDescent="0.2">
      <c r="D1317" s="341"/>
    </row>
    <row r="1318" spans="4:4" x14ac:dyDescent="0.2">
      <c r="D1318" s="341"/>
    </row>
    <row r="1319" spans="4:4" x14ac:dyDescent="0.2">
      <c r="D1319" s="341"/>
    </row>
    <row r="1320" spans="4:4" x14ac:dyDescent="0.2">
      <c r="D1320" s="341"/>
    </row>
    <row r="1321" spans="4:4" x14ac:dyDescent="0.2">
      <c r="D1321" s="341"/>
    </row>
    <row r="1322" spans="4:4" x14ac:dyDescent="0.2">
      <c r="D1322" s="341"/>
    </row>
    <row r="1323" spans="4:4" x14ac:dyDescent="0.2">
      <c r="D1323" s="341"/>
    </row>
    <row r="1324" spans="4:4" x14ac:dyDescent="0.2">
      <c r="D1324" s="341"/>
    </row>
    <row r="1325" spans="4:4" x14ac:dyDescent="0.2">
      <c r="D1325" s="341"/>
    </row>
    <row r="1326" spans="4:4" x14ac:dyDescent="0.2">
      <c r="D1326" s="341"/>
    </row>
    <row r="1327" spans="4:4" x14ac:dyDescent="0.2">
      <c r="D1327" s="341"/>
    </row>
    <row r="1328" spans="4:4" x14ac:dyDescent="0.2">
      <c r="D1328" s="341"/>
    </row>
    <row r="1329" spans="4:4" x14ac:dyDescent="0.2">
      <c r="D1329" s="341"/>
    </row>
    <row r="1330" spans="4:4" x14ac:dyDescent="0.2">
      <c r="D1330" s="341"/>
    </row>
    <row r="1331" spans="4:4" x14ac:dyDescent="0.2">
      <c r="D1331" s="341"/>
    </row>
    <row r="1332" spans="4:4" x14ac:dyDescent="0.2">
      <c r="D1332" s="341"/>
    </row>
    <row r="1333" spans="4:4" x14ac:dyDescent="0.2">
      <c r="D1333" s="341"/>
    </row>
    <row r="1334" spans="4:4" x14ac:dyDescent="0.2">
      <c r="D1334" s="341"/>
    </row>
    <row r="1335" spans="4:4" x14ac:dyDescent="0.2">
      <c r="D1335" s="341"/>
    </row>
    <row r="1336" spans="4:4" x14ac:dyDescent="0.2">
      <c r="D1336" s="341"/>
    </row>
    <row r="1337" spans="4:4" x14ac:dyDescent="0.2">
      <c r="D1337" s="341"/>
    </row>
    <row r="1338" spans="4:4" x14ac:dyDescent="0.2">
      <c r="D1338" s="341"/>
    </row>
    <row r="1339" spans="4:4" x14ac:dyDescent="0.2">
      <c r="D1339" s="341"/>
    </row>
    <row r="1340" spans="4:4" x14ac:dyDescent="0.2">
      <c r="D1340" s="341"/>
    </row>
    <row r="1341" spans="4:4" x14ac:dyDescent="0.2">
      <c r="D1341" s="341"/>
    </row>
    <row r="1342" spans="4:4" x14ac:dyDescent="0.2">
      <c r="D1342" s="341"/>
    </row>
    <row r="1343" spans="4:4" x14ac:dyDescent="0.2">
      <c r="D1343" s="341"/>
    </row>
    <row r="1344" spans="4:4" x14ac:dyDescent="0.2">
      <c r="D1344" s="341"/>
    </row>
    <row r="1345" spans="4:4" x14ac:dyDescent="0.2">
      <c r="D1345" s="341"/>
    </row>
    <row r="1346" spans="4:4" x14ac:dyDescent="0.2">
      <c r="D1346" s="341"/>
    </row>
    <row r="1347" spans="4:4" x14ac:dyDescent="0.2">
      <c r="D1347" s="341"/>
    </row>
    <row r="1348" spans="4:4" x14ac:dyDescent="0.2">
      <c r="D1348" s="341"/>
    </row>
    <row r="1349" spans="4:4" x14ac:dyDescent="0.2">
      <c r="D1349" s="341"/>
    </row>
    <row r="1350" spans="4:4" x14ac:dyDescent="0.2">
      <c r="D1350" s="341"/>
    </row>
    <row r="1351" spans="4:4" x14ac:dyDescent="0.2">
      <c r="D1351" s="341"/>
    </row>
    <row r="1352" spans="4:4" x14ac:dyDescent="0.2">
      <c r="D1352" s="341"/>
    </row>
    <row r="1353" spans="4:4" x14ac:dyDescent="0.2">
      <c r="D1353" s="341"/>
    </row>
    <row r="1354" spans="4:4" x14ac:dyDescent="0.2">
      <c r="D1354" s="341"/>
    </row>
    <row r="1355" spans="4:4" x14ac:dyDescent="0.2">
      <c r="D1355" s="341"/>
    </row>
    <row r="1356" spans="4:4" x14ac:dyDescent="0.2">
      <c r="D1356" s="341"/>
    </row>
    <row r="1357" spans="4:4" x14ac:dyDescent="0.2">
      <c r="D1357" s="341"/>
    </row>
    <row r="1358" spans="4:4" x14ac:dyDescent="0.2">
      <c r="D1358" s="341"/>
    </row>
    <row r="1359" spans="4:4" x14ac:dyDescent="0.2">
      <c r="D1359" s="341"/>
    </row>
    <row r="1360" spans="4:4" x14ac:dyDescent="0.2">
      <c r="D1360" s="341"/>
    </row>
    <row r="1361" spans="4:4" x14ac:dyDescent="0.2">
      <c r="D1361" s="341"/>
    </row>
    <row r="1362" spans="4:4" x14ac:dyDescent="0.2">
      <c r="D1362" s="341"/>
    </row>
    <row r="1363" spans="4:4" x14ac:dyDescent="0.2">
      <c r="D1363" s="341"/>
    </row>
    <row r="1364" spans="4:4" x14ac:dyDescent="0.2">
      <c r="D1364" s="341"/>
    </row>
    <row r="1365" spans="4:4" x14ac:dyDescent="0.2">
      <c r="D1365" s="341"/>
    </row>
    <row r="1366" spans="4:4" x14ac:dyDescent="0.2">
      <c r="D1366" s="341"/>
    </row>
    <row r="1367" spans="4:4" x14ac:dyDescent="0.2">
      <c r="D1367" s="341"/>
    </row>
    <row r="1368" spans="4:4" x14ac:dyDescent="0.2">
      <c r="D1368" s="341"/>
    </row>
    <row r="1369" spans="4:4" x14ac:dyDescent="0.2">
      <c r="D1369" s="341"/>
    </row>
    <row r="1370" spans="4:4" x14ac:dyDescent="0.2">
      <c r="D1370" s="341"/>
    </row>
    <row r="1371" spans="4:4" x14ac:dyDescent="0.2">
      <c r="D1371" s="341"/>
    </row>
    <row r="1372" spans="4:4" x14ac:dyDescent="0.2">
      <c r="D1372" s="341"/>
    </row>
    <row r="1373" spans="4:4" x14ac:dyDescent="0.2">
      <c r="D1373" s="341"/>
    </row>
    <row r="1374" spans="4:4" x14ac:dyDescent="0.2">
      <c r="D1374" s="341"/>
    </row>
    <row r="1375" spans="4:4" x14ac:dyDescent="0.2">
      <c r="D1375" s="341"/>
    </row>
    <row r="1376" spans="4:4" x14ac:dyDescent="0.2">
      <c r="D1376" s="341"/>
    </row>
    <row r="1377" spans="4:4" x14ac:dyDescent="0.2">
      <c r="D1377" s="341"/>
    </row>
    <row r="1378" spans="4:4" x14ac:dyDescent="0.2">
      <c r="D1378" s="341"/>
    </row>
    <row r="1379" spans="4:4" x14ac:dyDescent="0.2">
      <c r="D1379" s="341"/>
    </row>
    <row r="1380" spans="4:4" x14ac:dyDescent="0.2">
      <c r="D1380" s="341"/>
    </row>
    <row r="1381" spans="4:4" x14ac:dyDescent="0.2">
      <c r="D1381" s="341"/>
    </row>
    <row r="1382" spans="4:4" x14ac:dyDescent="0.2">
      <c r="D1382" s="341"/>
    </row>
    <row r="1383" spans="4:4" x14ac:dyDescent="0.2">
      <c r="D1383" s="341"/>
    </row>
    <row r="1384" spans="4:4" x14ac:dyDescent="0.2">
      <c r="D1384" s="341"/>
    </row>
    <row r="1385" spans="4:4" x14ac:dyDescent="0.2">
      <c r="D1385" s="341"/>
    </row>
    <row r="1386" spans="4:4" x14ac:dyDescent="0.2">
      <c r="D1386" s="341"/>
    </row>
    <row r="1387" spans="4:4" x14ac:dyDescent="0.2">
      <c r="D1387" s="341"/>
    </row>
    <row r="1388" spans="4:4" x14ac:dyDescent="0.2">
      <c r="D1388" s="341"/>
    </row>
    <row r="1389" spans="4:4" x14ac:dyDescent="0.2">
      <c r="D1389" s="341"/>
    </row>
    <row r="1390" spans="4:4" x14ac:dyDescent="0.2">
      <c r="D1390" s="341"/>
    </row>
    <row r="1391" spans="4:4" x14ac:dyDescent="0.2">
      <c r="D1391" s="341"/>
    </row>
    <row r="1392" spans="4:4" x14ac:dyDescent="0.2">
      <c r="D1392" s="341"/>
    </row>
    <row r="1393" spans="4:4" x14ac:dyDescent="0.2">
      <c r="D1393" s="341"/>
    </row>
    <row r="1394" spans="4:4" x14ac:dyDescent="0.2">
      <c r="D1394" s="341"/>
    </row>
    <row r="1395" spans="4:4" x14ac:dyDescent="0.2">
      <c r="D1395" s="341"/>
    </row>
    <row r="1396" spans="4:4" x14ac:dyDescent="0.2">
      <c r="D1396" s="341"/>
    </row>
    <row r="1397" spans="4:4" x14ac:dyDescent="0.2">
      <c r="D1397" s="341"/>
    </row>
    <row r="1398" spans="4:4" x14ac:dyDescent="0.2">
      <c r="D1398" s="341"/>
    </row>
    <row r="1399" spans="4:4" x14ac:dyDescent="0.2">
      <c r="D1399" s="341"/>
    </row>
    <row r="1400" spans="4:4" x14ac:dyDescent="0.2">
      <c r="D1400" s="341"/>
    </row>
    <row r="1401" spans="4:4" x14ac:dyDescent="0.2">
      <c r="D1401" s="341"/>
    </row>
    <row r="1402" spans="4:4" x14ac:dyDescent="0.2">
      <c r="D1402" s="341"/>
    </row>
    <row r="1403" spans="4:4" x14ac:dyDescent="0.2">
      <c r="D1403" s="341"/>
    </row>
    <row r="1404" spans="4:4" x14ac:dyDescent="0.2">
      <c r="D1404" s="341"/>
    </row>
    <row r="1405" spans="4:4" x14ac:dyDescent="0.2">
      <c r="D1405" s="341"/>
    </row>
    <row r="1406" spans="4:4" x14ac:dyDescent="0.2">
      <c r="D1406" s="341"/>
    </row>
    <row r="1407" spans="4:4" x14ac:dyDescent="0.2">
      <c r="D1407" s="341"/>
    </row>
    <row r="1408" spans="4:4" x14ac:dyDescent="0.2">
      <c r="D1408" s="341"/>
    </row>
    <row r="1409" spans="4:4" x14ac:dyDescent="0.2">
      <c r="D1409" s="341"/>
    </row>
    <row r="1410" spans="4:4" x14ac:dyDescent="0.2">
      <c r="D1410" s="341"/>
    </row>
    <row r="1411" spans="4:4" x14ac:dyDescent="0.2">
      <c r="D1411" s="341"/>
    </row>
    <row r="1412" spans="4:4" x14ac:dyDescent="0.2">
      <c r="D1412" s="341"/>
    </row>
    <row r="1413" spans="4:4" x14ac:dyDescent="0.2">
      <c r="D1413" s="341"/>
    </row>
    <row r="1414" spans="4:4" x14ac:dyDescent="0.2">
      <c r="D1414" s="341"/>
    </row>
    <row r="1415" spans="4:4" x14ac:dyDescent="0.2">
      <c r="D1415" s="341"/>
    </row>
    <row r="1416" spans="4:4" x14ac:dyDescent="0.2">
      <c r="D1416" s="341"/>
    </row>
    <row r="1417" spans="4:4" x14ac:dyDescent="0.2">
      <c r="D1417" s="341"/>
    </row>
    <row r="1418" spans="4:4" x14ac:dyDescent="0.2">
      <c r="D1418" s="341"/>
    </row>
    <row r="1419" spans="4:4" x14ac:dyDescent="0.2">
      <c r="D1419" s="341"/>
    </row>
    <row r="1420" spans="4:4" x14ac:dyDescent="0.2">
      <c r="D1420" s="341"/>
    </row>
    <row r="1421" spans="4:4" x14ac:dyDescent="0.2">
      <c r="D1421" s="341"/>
    </row>
    <row r="1422" spans="4:4" x14ac:dyDescent="0.2">
      <c r="D1422" s="341"/>
    </row>
    <row r="1423" spans="4:4" x14ac:dyDescent="0.2">
      <c r="D1423" s="341"/>
    </row>
    <row r="1424" spans="4:4" x14ac:dyDescent="0.2">
      <c r="D1424" s="341"/>
    </row>
    <row r="1425" spans="4:4" x14ac:dyDescent="0.2">
      <c r="D1425" s="341"/>
    </row>
    <row r="1426" spans="4:4" x14ac:dyDescent="0.2">
      <c r="D1426" s="341"/>
    </row>
    <row r="1427" spans="4:4" x14ac:dyDescent="0.2">
      <c r="D1427" s="341"/>
    </row>
    <row r="1428" spans="4:4" x14ac:dyDescent="0.2">
      <c r="D1428" s="341"/>
    </row>
    <row r="1429" spans="4:4" x14ac:dyDescent="0.2">
      <c r="D1429" s="341"/>
    </row>
    <row r="1430" spans="4:4" x14ac:dyDescent="0.2">
      <c r="D1430" s="341"/>
    </row>
    <row r="1431" spans="4:4" x14ac:dyDescent="0.2">
      <c r="D1431" s="341"/>
    </row>
    <row r="1432" spans="4:4" x14ac:dyDescent="0.2">
      <c r="D1432" s="341"/>
    </row>
    <row r="1433" spans="4:4" x14ac:dyDescent="0.2">
      <c r="D1433" s="341"/>
    </row>
    <row r="1434" spans="4:4" x14ac:dyDescent="0.2">
      <c r="D1434" s="341"/>
    </row>
    <row r="1435" spans="4:4" x14ac:dyDescent="0.2">
      <c r="D1435" s="341"/>
    </row>
    <row r="1436" spans="4:4" x14ac:dyDescent="0.2">
      <c r="D1436" s="341"/>
    </row>
    <row r="1437" spans="4:4" x14ac:dyDescent="0.2">
      <c r="D1437" s="341"/>
    </row>
    <row r="1438" spans="4:4" x14ac:dyDescent="0.2">
      <c r="D1438" s="341"/>
    </row>
    <row r="1439" spans="4:4" x14ac:dyDescent="0.2">
      <c r="D1439" s="341"/>
    </row>
    <row r="1440" spans="4:4" x14ac:dyDescent="0.2">
      <c r="D1440" s="341"/>
    </row>
    <row r="1441" spans="4:4" x14ac:dyDescent="0.2">
      <c r="D1441" s="341"/>
    </row>
    <row r="1442" spans="4:4" x14ac:dyDescent="0.2">
      <c r="D1442" s="341"/>
    </row>
    <row r="1443" spans="4:4" x14ac:dyDescent="0.2">
      <c r="D1443" s="341"/>
    </row>
    <row r="1444" spans="4:4" x14ac:dyDescent="0.2">
      <c r="D1444" s="341"/>
    </row>
    <row r="1445" spans="4:4" x14ac:dyDescent="0.2">
      <c r="D1445" s="341"/>
    </row>
    <row r="1446" spans="4:4" x14ac:dyDescent="0.2">
      <c r="D1446" s="341"/>
    </row>
    <row r="1447" spans="4:4" x14ac:dyDescent="0.2">
      <c r="D1447" s="341"/>
    </row>
    <row r="1448" spans="4:4" x14ac:dyDescent="0.2">
      <c r="D1448" s="341"/>
    </row>
    <row r="1449" spans="4:4" x14ac:dyDescent="0.2">
      <c r="D1449" s="341"/>
    </row>
    <row r="1450" spans="4:4" x14ac:dyDescent="0.2">
      <c r="D1450" s="341"/>
    </row>
    <row r="1451" spans="4:4" x14ac:dyDescent="0.2">
      <c r="D1451" s="341"/>
    </row>
    <row r="1452" spans="4:4" x14ac:dyDescent="0.2">
      <c r="D1452" s="341"/>
    </row>
    <row r="1453" spans="4:4" x14ac:dyDescent="0.2">
      <c r="D1453" s="341"/>
    </row>
    <row r="1454" spans="4:4" x14ac:dyDescent="0.2">
      <c r="D1454" s="341"/>
    </row>
    <row r="1455" spans="4:4" x14ac:dyDescent="0.2">
      <c r="D1455" s="341"/>
    </row>
    <row r="1456" spans="4:4" x14ac:dyDescent="0.2">
      <c r="D1456" s="341"/>
    </row>
    <row r="1457" spans="4:4" x14ac:dyDescent="0.2">
      <c r="D1457" s="341"/>
    </row>
    <row r="1458" spans="4:4" x14ac:dyDescent="0.2">
      <c r="D1458" s="341"/>
    </row>
    <row r="1459" spans="4:4" x14ac:dyDescent="0.2">
      <c r="D1459" s="341"/>
    </row>
    <row r="1460" spans="4:4" x14ac:dyDescent="0.2">
      <c r="D1460" s="341"/>
    </row>
    <row r="1461" spans="4:4" x14ac:dyDescent="0.2">
      <c r="D1461" s="341"/>
    </row>
    <row r="1462" spans="4:4" x14ac:dyDescent="0.2">
      <c r="D1462" s="341"/>
    </row>
    <row r="1463" spans="4:4" x14ac:dyDescent="0.2">
      <c r="D1463" s="341"/>
    </row>
    <row r="1464" spans="4:4" x14ac:dyDescent="0.2">
      <c r="D1464" s="341"/>
    </row>
    <row r="1465" spans="4:4" x14ac:dyDescent="0.2">
      <c r="D1465" s="341"/>
    </row>
    <row r="1466" spans="4:4" x14ac:dyDescent="0.2">
      <c r="D1466" s="341"/>
    </row>
    <row r="1467" spans="4:4" x14ac:dyDescent="0.2">
      <c r="D1467" s="341"/>
    </row>
    <row r="1468" spans="4:4" x14ac:dyDescent="0.2">
      <c r="D1468" s="341"/>
    </row>
    <row r="1469" spans="4:4" x14ac:dyDescent="0.2">
      <c r="D1469" s="341"/>
    </row>
    <row r="1470" spans="4:4" x14ac:dyDescent="0.2">
      <c r="D1470" s="341"/>
    </row>
    <row r="1471" spans="4:4" x14ac:dyDescent="0.2">
      <c r="D1471" s="341"/>
    </row>
    <row r="1472" spans="4:4" x14ac:dyDescent="0.2">
      <c r="D1472" s="341"/>
    </row>
    <row r="1473" spans="4:4" x14ac:dyDescent="0.2">
      <c r="D1473" s="341"/>
    </row>
    <row r="1474" spans="4:4" x14ac:dyDescent="0.2">
      <c r="D1474" s="341"/>
    </row>
    <row r="1475" spans="4:4" x14ac:dyDescent="0.2">
      <c r="D1475" s="341"/>
    </row>
    <row r="1476" spans="4:4" x14ac:dyDescent="0.2">
      <c r="D1476" s="341"/>
    </row>
    <row r="1477" spans="4:4" x14ac:dyDescent="0.2">
      <c r="D1477" s="341"/>
    </row>
    <row r="1478" spans="4:4" x14ac:dyDescent="0.2">
      <c r="D1478" s="341"/>
    </row>
    <row r="1479" spans="4:4" x14ac:dyDescent="0.2">
      <c r="D1479" s="341"/>
    </row>
    <row r="1480" spans="4:4" x14ac:dyDescent="0.2">
      <c r="D1480" s="341"/>
    </row>
    <row r="1481" spans="4:4" x14ac:dyDescent="0.2">
      <c r="D1481" s="341"/>
    </row>
    <row r="1482" spans="4:4" x14ac:dyDescent="0.2">
      <c r="D1482" s="341"/>
    </row>
    <row r="1483" spans="4:4" x14ac:dyDescent="0.2">
      <c r="D1483" s="341"/>
    </row>
    <row r="1484" spans="4:4" x14ac:dyDescent="0.2">
      <c r="D1484" s="341"/>
    </row>
    <row r="1485" spans="4:4" x14ac:dyDescent="0.2">
      <c r="D1485" s="341"/>
    </row>
    <row r="1486" spans="4:4" x14ac:dyDescent="0.2">
      <c r="D1486" s="341"/>
    </row>
    <row r="1487" spans="4:4" x14ac:dyDescent="0.2">
      <c r="D1487" s="341"/>
    </row>
    <row r="1488" spans="4:4" x14ac:dyDescent="0.2">
      <c r="D1488" s="341"/>
    </row>
    <row r="1489" spans="4:4" x14ac:dyDescent="0.2">
      <c r="D1489" s="341"/>
    </row>
    <row r="1490" spans="4:4" x14ac:dyDescent="0.2">
      <c r="D1490" s="341"/>
    </row>
    <row r="1491" spans="4:4" x14ac:dyDescent="0.2">
      <c r="D1491" s="341"/>
    </row>
    <row r="1492" spans="4:4" x14ac:dyDescent="0.2">
      <c r="D1492" s="341"/>
    </row>
    <row r="1493" spans="4:4" x14ac:dyDescent="0.2">
      <c r="D1493" s="341"/>
    </row>
    <row r="1494" spans="4:4" x14ac:dyDescent="0.2">
      <c r="D1494" s="341"/>
    </row>
    <row r="1495" spans="4:4" x14ac:dyDescent="0.2">
      <c r="D1495" s="341"/>
    </row>
    <row r="1496" spans="4:4" x14ac:dyDescent="0.2">
      <c r="D1496" s="341"/>
    </row>
    <row r="1497" spans="4:4" x14ac:dyDescent="0.2">
      <c r="D1497" s="341"/>
    </row>
    <row r="1498" spans="4:4" x14ac:dyDescent="0.2">
      <c r="D1498" s="341"/>
    </row>
    <row r="1499" spans="4:4" x14ac:dyDescent="0.2">
      <c r="D1499" s="341"/>
    </row>
    <row r="1500" spans="4:4" x14ac:dyDescent="0.2">
      <c r="D1500" s="341"/>
    </row>
    <row r="1501" spans="4:4" x14ac:dyDescent="0.2">
      <c r="D1501" s="341"/>
    </row>
    <row r="1502" spans="4:4" x14ac:dyDescent="0.2">
      <c r="D1502" s="341"/>
    </row>
    <row r="1503" spans="4:4" x14ac:dyDescent="0.2">
      <c r="D1503" s="341"/>
    </row>
    <row r="1504" spans="4:4" x14ac:dyDescent="0.2">
      <c r="D1504" s="341"/>
    </row>
    <row r="1505" spans="4:4" x14ac:dyDescent="0.2">
      <c r="D1505" s="341"/>
    </row>
    <row r="1506" spans="4:4" x14ac:dyDescent="0.2">
      <c r="D1506" s="341"/>
    </row>
    <row r="1507" spans="4:4" x14ac:dyDescent="0.2">
      <c r="D1507" s="341"/>
    </row>
    <row r="1508" spans="4:4" x14ac:dyDescent="0.2">
      <c r="D1508" s="341"/>
    </row>
    <row r="1509" spans="4:4" x14ac:dyDescent="0.2">
      <c r="D1509" s="341"/>
    </row>
    <row r="1510" spans="4:4" x14ac:dyDescent="0.2">
      <c r="D1510" s="341"/>
    </row>
    <row r="1511" spans="4:4" x14ac:dyDescent="0.2">
      <c r="D1511" s="341"/>
    </row>
    <row r="1512" spans="4:4" x14ac:dyDescent="0.2">
      <c r="D1512" s="341"/>
    </row>
    <row r="1513" spans="4:4" x14ac:dyDescent="0.2">
      <c r="D1513" s="341"/>
    </row>
    <row r="1514" spans="4:4" x14ac:dyDescent="0.2">
      <c r="D1514" s="341"/>
    </row>
    <row r="1515" spans="4:4" x14ac:dyDescent="0.2">
      <c r="D1515" s="341"/>
    </row>
    <row r="1516" spans="4:4" x14ac:dyDescent="0.2">
      <c r="D1516" s="341"/>
    </row>
    <row r="1517" spans="4:4" x14ac:dyDescent="0.2">
      <c r="D1517" s="341"/>
    </row>
    <row r="1518" spans="4:4" x14ac:dyDescent="0.2">
      <c r="D1518" s="341"/>
    </row>
    <row r="1519" spans="4:4" x14ac:dyDescent="0.2">
      <c r="D1519" s="341"/>
    </row>
    <row r="1520" spans="4:4" x14ac:dyDescent="0.2">
      <c r="D1520" s="341"/>
    </row>
    <row r="1521" spans="4:4" x14ac:dyDescent="0.2">
      <c r="D1521" s="341"/>
    </row>
    <row r="1522" spans="4:4" x14ac:dyDescent="0.2">
      <c r="D1522" s="341"/>
    </row>
    <row r="1523" spans="4:4" x14ac:dyDescent="0.2">
      <c r="D1523" s="341"/>
    </row>
    <row r="1524" spans="4:4" x14ac:dyDescent="0.2">
      <c r="D1524" s="341"/>
    </row>
    <row r="1525" spans="4:4" x14ac:dyDescent="0.2">
      <c r="D1525" s="341"/>
    </row>
    <row r="1526" spans="4:4" x14ac:dyDescent="0.2">
      <c r="D1526" s="341"/>
    </row>
    <row r="1527" spans="4:4" x14ac:dyDescent="0.2">
      <c r="D1527" s="341"/>
    </row>
    <row r="1528" spans="4:4" x14ac:dyDescent="0.2">
      <c r="D1528" s="341"/>
    </row>
    <row r="1529" spans="4:4" x14ac:dyDescent="0.2">
      <c r="D1529" s="341"/>
    </row>
    <row r="1530" spans="4:4" x14ac:dyDescent="0.2">
      <c r="D1530" s="341"/>
    </row>
    <row r="1531" spans="4:4" x14ac:dyDescent="0.2">
      <c r="D1531" s="341"/>
    </row>
    <row r="1532" spans="4:4" x14ac:dyDescent="0.2">
      <c r="D1532" s="341"/>
    </row>
    <row r="1533" spans="4:4" x14ac:dyDescent="0.2">
      <c r="D1533" s="341"/>
    </row>
    <row r="1534" spans="4:4" x14ac:dyDescent="0.2">
      <c r="D1534" s="341"/>
    </row>
    <row r="1535" spans="4:4" x14ac:dyDescent="0.2">
      <c r="D1535" s="341"/>
    </row>
    <row r="1536" spans="4:4" x14ac:dyDescent="0.2">
      <c r="D1536" s="341"/>
    </row>
    <row r="1537" spans="4:4" x14ac:dyDescent="0.2">
      <c r="D1537" s="341"/>
    </row>
    <row r="1538" spans="4:4" x14ac:dyDescent="0.2">
      <c r="D1538" s="341"/>
    </row>
    <row r="1539" spans="4:4" x14ac:dyDescent="0.2">
      <c r="D1539" s="341"/>
    </row>
    <row r="1540" spans="4:4" x14ac:dyDescent="0.2">
      <c r="D1540" s="341"/>
    </row>
    <row r="1541" spans="4:4" x14ac:dyDescent="0.2">
      <c r="D1541" s="341"/>
    </row>
    <row r="1542" spans="4:4" x14ac:dyDescent="0.2">
      <c r="D1542" s="341"/>
    </row>
    <row r="1543" spans="4:4" x14ac:dyDescent="0.2">
      <c r="D1543" s="341"/>
    </row>
    <row r="1544" spans="4:4" x14ac:dyDescent="0.2">
      <c r="D1544" s="341"/>
    </row>
    <row r="1545" spans="4:4" x14ac:dyDescent="0.2">
      <c r="D1545" s="341"/>
    </row>
    <row r="1546" spans="4:4" x14ac:dyDescent="0.2">
      <c r="D1546" s="341"/>
    </row>
    <row r="1547" spans="4:4" x14ac:dyDescent="0.2">
      <c r="D1547" s="341"/>
    </row>
    <row r="1548" spans="4:4" x14ac:dyDescent="0.2">
      <c r="D1548" s="341"/>
    </row>
    <row r="1549" spans="4:4" x14ac:dyDescent="0.2">
      <c r="D1549" s="341"/>
    </row>
    <row r="1550" spans="4:4" x14ac:dyDescent="0.2">
      <c r="D1550" s="341"/>
    </row>
    <row r="1551" spans="4:4" x14ac:dyDescent="0.2">
      <c r="D1551" s="341"/>
    </row>
    <row r="1552" spans="4:4" x14ac:dyDescent="0.2">
      <c r="D1552" s="341"/>
    </row>
    <row r="1553" spans="4:4" x14ac:dyDescent="0.2">
      <c r="D1553" s="341"/>
    </row>
    <row r="1554" spans="4:4" x14ac:dyDescent="0.2">
      <c r="D1554" s="341"/>
    </row>
    <row r="1555" spans="4:4" x14ac:dyDescent="0.2">
      <c r="D1555" s="341"/>
    </row>
    <row r="1556" spans="4:4" x14ac:dyDescent="0.2">
      <c r="D1556" s="341"/>
    </row>
    <row r="1557" spans="4:4" x14ac:dyDescent="0.2">
      <c r="D1557" s="341"/>
    </row>
    <row r="1558" spans="4:4" x14ac:dyDescent="0.2">
      <c r="D1558" s="341"/>
    </row>
    <row r="1559" spans="4:4" x14ac:dyDescent="0.2">
      <c r="D1559" s="341"/>
    </row>
    <row r="1560" spans="4:4" x14ac:dyDescent="0.2">
      <c r="D1560" s="341"/>
    </row>
    <row r="1561" spans="4:4" x14ac:dyDescent="0.2">
      <c r="D1561" s="341"/>
    </row>
    <row r="1562" spans="4:4" x14ac:dyDescent="0.2">
      <c r="D1562" s="341"/>
    </row>
    <row r="1563" spans="4:4" x14ac:dyDescent="0.2">
      <c r="D1563" s="341"/>
    </row>
    <row r="1564" spans="4:4" x14ac:dyDescent="0.2">
      <c r="D1564" s="341"/>
    </row>
    <row r="1565" spans="4:4" x14ac:dyDescent="0.2">
      <c r="D1565" s="341"/>
    </row>
    <row r="1566" spans="4:4" x14ac:dyDescent="0.2">
      <c r="D1566" s="341"/>
    </row>
    <row r="1567" spans="4:4" x14ac:dyDescent="0.2">
      <c r="D1567" s="341"/>
    </row>
    <row r="1568" spans="4:4" x14ac:dyDescent="0.2">
      <c r="D1568" s="341"/>
    </row>
    <row r="1569" spans="4:4" x14ac:dyDescent="0.2">
      <c r="D1569" s="341"/>
    </row>
    <row r="1570" spans="4:4" x14ac:dyDescent="0.2">
      <c r="D1570" s="341"/>
    </row>
    <row r="1571" spans="4:4" x14ac:dyDescent="0.2">
      <c r="D1571" s="341"/>
    </row>
    <row r="1572" spans="4:4" x14ac:dyDescent="0.2">
      <c r="D1572" s="341"/>
    </row>
    <row r="1573" spans="4:4" x14ac:dyDescent="0.2">
      <c r="D1573" s="341"/>
    </row>
    <row r="1574" spans="4:4" x14ac:dyDescent="0.2">
      <c r="D1574" s="341"/>
    </row>
    <row r="1575" spans="4:4" x14ac:dyDescent="0.2">
      <c r="D1575" s="341"/>
    </row>
    <row r="1576" spans="4:4" x14ac:dyDescent="0.2">
      <c r="D1576" s="341"/>
    </row>
    <row r="1577" spans="4:4" x14ac:dyDescent="0.2">
      <c r="D1577" s="341"/>
    </row>
    <row r="1578" spans="4:4" x14ac:dyDescent="0.2">
      <c r="D1578" s="341"/>
    </row>
    <row r="1579" spans="4:4" x14ac:dyDescent="0.2">
      <c r="D1579" s="341"/>
    </row>
    <row r="1580" spans="4:4" x14ac:dyDescent="0.2">
      <c r="D1580" s="341"/>
    </row>
    <row r="1581" spans="4:4" x14ac:dyDescent="0.2">
      <c r="D1581" s="341"/>
    </row>
    <row r="1582" spans="4:4" x14ac:dyDescent="0.2">
      <c r="D1582" s="341"/>
    </row>
    <row r="1583" spans="4:4" x14ac:dyDescent="0.2">
      <c r="D1583" s="341"/>
    </row>
    <row r="1584" spans="4:4" x14ac:dyDescent="0.2">
      <c r="D1584" s="341"/>
    </row>
    <row r="1585" spans="4:4" x14ac:dyDescent="0.2">
      <c r="D1585" s="341"/>
    </row>
    <row r="1586" spans="4:4" x14ac:dyDescent="0.2">
      <c r="D1586" s="341"/>
    </row>
    <row r="1587" spans="4:4" x14ac:dyDescent="0.2">
      <c r="D1587" s="341"/>
    </row>
    <row r="1588" spans="4:4" x14ac:dyDescent="0.2">
      <c r="D1588" s="341"/>
    </row>
    <row r="1589" spans="4:4" x14ac:dyDescent="0.2">
      <c r="D1589" s="341"/>
    </row>
    <row r="1590" spans="4:4" x14ac:dyDescent="0.2">
      <c r="D1590" s="341"/>
    </row>
    <row r="1591" spans="4:4" x14ac:dyDescent="0.2">
      <c r="D1591" s="341"/>
    </row>
    <row r="1592" spans="4:4" x14ac:dyDescent="0.2">
      <c r="D1592" s="341"/>
    </row>
    <row r="1593" spans="4:4" x14ac:dyDescent="0.2">
      <c r="D1593" s="341"/>
    </row>
    <row r="1594" spans="4:4" x14ac:dyDescent="0.2">
      <c r="D1594" s="341"/>
    </row>
    <row r="1595" spans="4:4" x14ac:dyDescent="0.2">
      <c r="D1595" s="341"/>
    </row>
    <row r="1596" spans="4:4" x14ac:dyDescent="0.2">
      <c r="D1596" s="341"/>
    </row>
    <row r="1597" spans="4:4" x14ac:dyDescent="0.2">
      <c r="D1597" s="341"/>
    </row>
    <row r="1598" spans="4:4" x14ac:dyDescent="0.2">
      <c r="D1598" s="341"/>
    </row>
    <row r="1599" spans="4:4" x14ac:dyDescent="0.2">
      <c r="D1599" s="341"/>
    </row>
    <row r="1600" spans="4:4" x14ac:dyDescent="0.2">
      <c r="D1600" s="341"/>
    </row>
    <row r="1601" spans="4:4" x14ac:dyDescent="0.2">
      <c r="D1601" s="341"/>
    </row>
    <row r="1602" spans="4:4" x14ac:dyDescent="0.2">
      <c r="D1602" s="341"/>
    </row>
    <row r="1603" spans="4:4" x14ac:dyDescent="0.2">
      <c r="D1603" s="341"/>
    </row>
    <row r="1604" spans="4:4" x14ac:dyDescent="0.2">
      <c r="D1604" s="341"/>
    </row>
    <row r="1605" spans="4:4" x14ac:dyDescent="0.2">
      <c r="D1605" s="341"/>
    </row>
    <row r="1606" spans="4:4" x14ac:dyDescent="0.2">
      <c r="D1606" s="341"/>
    </row>
    <row r="1607" spans="4:4" x14ac:dyDescent="0.2">
      <c r="D1607" s="341"/>
    </row>
    <row r="1608" spans="4:4" x14ac:dyDescent="0.2">
      <c r="D1608" s="341"/>
    </row>
    <row r="1609" spans="4:4" x14ac:dyDescent="0.2">
      <c r="D1609" s="341"/>
    </row>
    <row r="1610" spans="4:4" x14ac:dyDescent="0.2">
      <c r="D1610" s="341"/>
    </row>
    <row r="1611" spans="4:4" x14ac:dyDescent="0.2">
      <c r="D1611" s="341"/>
    </row>
    <row r="1612" spans="4:4" x14ac:dyDescent="0.2">
      <c r="D1612" s="341"/>
    </row>
    <row r="1613" spans="4:4" x14ac:dyDescent="0.2">
      <c r="D1613" s="341"/>
    </row>
    <row r="1614" spans="4:4" x14ac:dyDescent="0.2">
      <c r="D1614" s="341"/>
    </row>
    <row r="1615" spans="4:4" x14ac:dyDescent="0.2">
      <c r="D1615" s="341"/>
    </row>
    <row r="1616" spans="4:4" x14ac:dyDescent="0.2">
      <c r="D1616" s="341"/>
    </row>
    <row r="1617" spans="4:4" x14ac:dyDescent="0.2">
      <c r="D1617" s="341"/>
    </row>
    <row r="1618" spans="4:4" x14ac:dyDescent="0.2">
      <c r="D1618" s="341"/>
    </row>
    <row r="1619" spans="4:4" x14ac:dyDescent="0.2">
      <c r="D1619" s="341"/>
    </row>
    <row r="1620" spans="4:4" x14ac:dyDescent="0.2">
      <c r="D1620" s="341"/>
    </row>
    <row r="1621" spans="4:4" x14ac:dyDescent="0.2">
      <c r="D1621" s="341"/>
    </row>
    <row r="1622" spans="4:4" x14ac:dyDescent="0.2">
      <c r="D1622" s="341"/>
    </row>
    <row r="1623" spans="4:4" x14ac:dyDescent="0.2">
      <c r="D1623" s="341"/>
    </row>
    <row r="1624" spans="4:4" x14ac:dyDescent="0.2">
      <c r="D1624" s="341"/>
    </row>
    <row r="1625" spans="4:4" x14ac:dyDescent="0.2">
      <c r="D1625" s="341"/>
    </row>
    <row r="1626" spans="4:4" x14ac:dyDescent="0.2">
      <c r="D1626" s="341"/>
    </row>
    <row r="1627" spans="4:4" x14ac:dyDescent="0.2">
      <c r="D1627" s="341"/>
    </row>
    <row r="1628" spans="4:4" x14ac:dyDescent="0.2">
      <c r="D1628" s="341"/>
    </row>
    <row r="1629" spans="4:4" x14ac:dyDescent="0.2">
      <c r="D1629" s="341"/>
    </row>
    <row r="1630" spans="4:4" x14ac:dyDescent="0.2">
      <c r="D1630" s="341"/>
    </row>
    <row r="1631" spans="4:4" x14ac:dyDescent="0.2">
      <c r="D1631" s="341"/>
    </row>
    <row r="1632" spans="4:4" x14ac:dyDescent="0.2">
      <c r="D1632" s="341"/>
    </row>
    <row r="1633" spans="4:4" x14ac:dyDescent="0.2">
      <c r="D1633" s="341"/>
    </row>
    <row r="1634" spans="4:4" x14ac:dyDescent="0.2">
      <c r="D1634" s="341"/>
    </row>
    <row r="1635" spans="4:4" x14ac:dyDescent="0.2">
      <c r="D1635" s="341"/>
    </row>
    <row r="1636" spans="4:4" x14ac:dyDescent="0.2">
      <c r="D1636" s="341"/>
    </row>
    <row r="1637" spans="4:4" x14ac:dyDescent="0.2">
      <c r="D1637" s="341"/>
    </row>
    <row r="1638" spans="4:4" x14ac:dyDescent="0.2">
      <c r="D1638" s="341"/>
    </row>
    <row r="1639" spans="4:4" x14ac:dyDescent="0.2">
      <c r="D1639" s="341"/>
    </row>
    <row r="1640" spans="4:4" x14ac:dyDescent="0.2">
      <c r="D1640" s="341"/>
    </row>
    <row r="1641" spans="4:4" x14ac:dyDescent="0.2">
      <c r="D1641" s="341"/>
    </row>
    <row r="1642" spans="4:4" x14ac:dyDescent="0.2">
      <c r="D1642" s="341"/>
    </row>
    <row r="1643" spans="4:4" x14ac:dyDescent="0.2">
      <c r="D1643" s="341"/>
    </row>
    <row r="1644" spans="4:4" x14ac:dyDescent="0.2">
      <c r="D1644" s="341"/>
    </row>
    <row r="1645" spans="4:4" x14ac:dyDescent="0.2">
      <c r="D1645" s="341"/>
    </row>
    <row r="1646" spans="4:4" x14ac:dyDescent="0.2">
      <c r="D1646" s="341"/>
    </row>
    <row r="1647" spans="4:4" x14ac:dyDescent="0.2">
      <c r="D1647" s="341"/>
    </row>
    <row r="1648" spans="4:4" x14ac:dyDescent="0.2">
      <c r="D1648" s="341"/>
    </row>
    <row r="1649" spans="4:4" x14ac:dyDescent="0.2">
      <c r="D1649" s="341"/>
    </row>
    <row r="1650" spans="4:4" x14ac:dyDescent="0.2">
      <c r="D1650" s="341"/>
    </row>
    <row r="1651" spans="4:4" x14ac:dyDescent="0.2">
      <c r="D1651" s="341"/>
    </row>
    <row r="1652" spans="4:4" x14ac:dyDescent="0.2">
      <c r="D1652" s="341"/>
    </row>
    <row r="1653" spans="4:4" x14ac:dyDescent="0.2">
      <c r="D1653" s="341"/>
    </row>
    <row r="1654" spans="4:4" x14ac:dyDescent="0.2">
      <c r="D1654" s="341"/>
    </row>
    <row r="1655" spans="4:4" x14ac:dyDescent="0.2">
      <c r="D1655" s="341"/>
    </row>
    <row r="1656" spans="4:4" x14ac:dyDescent="0.2">
      <c r="D1656" s="341"/>
    </row>
    <row r="1657" spans="4:4" x14ac:dyDescent="0.2">
      <c r="D1657" s="341"/>
    </row>
    <row r="1658" spans="4:4" x14ac:dyDescent="0.2">
      <c r="D1658" s="341"/>
    </row>
    <row r="1659" spans="4:4" x14ac:dyDescent="0.2">
      <c r="D1659" s="341"/>
    </row>
    <row r="1660" spans="4:4" x14ac:dyDescent="0.2">
      <c r="D1660" s="341"/>
    </row>
    <row r="1661" spans="4:4" x14ac:dyDescent="0.2">
      <c r="D1661" s="341"/>
    </row>
    <row r="1662" spans="4:4" x14ac:dyDescent="0.2">
      <c r="D1662" s="341"/>
    </row>
    <row r="1663" spans="4:4" x14ac:dyDescent="0.2">
      <c r="D1663" s="341"/>
    </row>
    <row r="1664" spans="4:4" x14ac:dyDescent="0.2">
      <c r="D1664" s="341"/>
    </row>
    <row r="1665" spans="4:4" x14ac:dyDescent="0.2">
      <c r="D1665" s="341"/>
    </row>
    <row r="1666" spans="4:4" x14ac:dyDescent="0.2">
      <c r="D1666" s="341"/>
    </row>
    <row r="1667" spans="4:4" x14ac:dyDescent="0.2">
      <c r="D1667" s="341"/>
    </row>
    <row r="1668" spans="4:4" x14ac:dyDescent="0.2">
      <c r="D1668" s="341"/>
    </row>
    <row r="1669" spans="4:4" x14ac:dyDescent="0.2">
      <c r="D1669" s="341"/>
    </row>
    <row r="1670" spans="4:4" x14ac:dyDescent="0.2">
      <c r="D1670" s="341"/>
    </row>
    <row r="1671" spans="4:4" x14ac:dyDescent="0.2">
      <c r="D1671" s="341"/>
    </row>
    <row r="1672" spans="4:4" x14ac:dyDescent="0.2">
      <c r="D1672" s="341"/>
    </row>
    <row r="1673" spans="4:4" x14ac:dyDescent="0.2">
      <c r="D1673" s="341"/>
    </row>
    <row r="1674" spans="4:4" x14ac:dyDescent="0.2">
      <c r="D1674" s="341"/>
    </row>
    <row r="1675" spans="4:4" x14ac:dyDescent="0.2">
      <c r="D1675" s="341"/>
    </row>
    <row r="1676" spans="4:4" x14ac:dyDescent="0.2">
      <c r="D1676" s="341"/>
    </row>
    <row r="1677" spans="4:4" x14ac:dyDescent="0.2">
      <c r="D1677" s="341"/>
    </row>
    <row r="1678" spans="4:4" x14ac:dyDescent="0.2">
      <c r="D1678" s="341"/>
    </row>
    <row r="1679" spans="4:4" x14ac:dyDescent="0.2">
      <c r="D1679" s="341"/>
    </row>
    <row r="1680" spans="4:4" x14ac:dyDescent="0.2">
      <c r="D1680" s="341"/>
    </row>
    <row r="1681" spans="4:4" x14ac:dyDescent="0.2">
      <c r="D1681" s="341"/>
    </row>
    <row r="1682" spans="4:4" x14ac:dyDescent="0.2">
      <c r="D1682" s="341"/>
    </row>
    <row r="1683" spans="4:4" x14ac:dyDescent="0.2">
      <c r="D1683" s="341"/>
    </row>
    <row r="1684" spans="4:4" x14ac:dyDescent="0.2">
      <c r="D1684" s="341"/>
    </row>
    <row r="1685" spans="4:4" x14ac:dyDescent="0.2">
      <c r="D1685" s="341"/>
    </row>
    <row r="1686" spans="4:4" x14ac:dyDescent="0.2">
      <c r="D1686" s="341"/>
    </row>
    <row r="1687" spans="4:4" x14ac:dyDescent="0.2">
      <c r="D1687" s="341"/>
    </row>
    <row r="1688" spans="4:4" x14ac:dyDescent="0.2">
      <c r="D1688" s="341"/>
    </row>
    <row r="1689" spans="4:4" x14ac:dyDescent="0.2">
      <c r="D1689" s="341"/>
    </row>
    <row r="1690" spans="4:4" x14ac:dyDescent="0.2">
      <c r="D1690" s="341"/>
    </row>
    <row r="1691" spans="4:4" x14ac:dyDescent="0.2">
      <c r="D1691" s="341"/>
    </row>
    <row r="1692" spans="4:4" x14ac:dyDescent="0.2">
      <c r="D1692" s="341"/>
    </row>
    <row r="1693" spans="4:4" x14ac:dyDescent="0.2">
      <c r="D1693" s="341"/>
    </row>
    <row r="1694" spans="4:4" x14ac:dyDescent="0.2">
      <c r="D1694" s="341"/>
    </row>
    <row r="1695" spans="4:4" x14ac:dyDescent="0.2">
      <c r="D1695" s="341"/>
    </row>
    <row r="1696" spans="4:4" x14ac:dyDescent="0.2">
      <c r="D1696" s="341"/>
    </row>
    <row r="1697" spans="4:4" x14ac:dyDescent="0.2">
      <c r="D1697" s="341"/>
    </row>
    <row r="1698" spans="4:4" x14ac:dyDescent="0.2">
      <c r="D1698" s="341"/>
    </row>
    <row r="1699" spans="4:4" x14ac:dyDescent="0.2">
      <c r="D1699" s="341"/>
    </row>
    <row r="1700" spans="4:4" x14ac:dyDescent="0.2">
      <c r="D1700" s="341"/>
    </row>
    <row r="1701" spans="4:4" x14ac:dyDescent="0.2">
      <c r="D1701" s="341"/>
    </row>
    <row r="1702" spans="4:4" x14ac:dyDescent="0.2">
      <c r="D1702" s="341"/>
    </row>
    <row r="1703" spans="4:4" x14ac:dyDescent="0.2">
      <c r="D1703" s="341"/>
    </row>
    <row r="1704" spans="4:4" x14ac:dyDescent="0.2">
      <c r="D1704" s="341"/>
    </row>
    <row r="1705" spans="4:4" x14ac:dyDescent="0.2">
      <c r="D1705" s="341"/>
    </row>
    <row r="1706" spans="4:4" x14ac:dyDescent="0.2">
      <c r="D1706" s="341"/>
    </row>
    <row r="1707" spans="4:4" x14ac:dyDescent="0.2">
      <c r="D1707" s="341"/>
    </row>
    <row r="1708" spans="4:4" x14ac:dyDescent="0.2">
      <c r="D1708" s="341"/>
    </row>
    <row r="1709" spans="4:4" x14ac:dyDescent="0.2">
      <c r="D1709" s="341"/>
    </row>
    <row r="1710" spans="4:4" x14ac:dyDescent="0.2">
      <c r="D1710" s="341"/>
    </row>
    <row r="1711" spans="4:4" x14ac:dyDescent="0.2">
      <c r="D1711" s="341"/>
    </row>
    <row r="1712" spans="4:4" x14ac:dyDescent="0.2">
      <c r="D1712" s="341"/>
    </row>
    <row r="1713" spans="4:4" x14ac:dyDescent="0.2">
      <c r="D1713" s="341"/>
    </row>
    <row r="1714" spans="4:4" x14ac:dyDescent="0.2">
      <c r="D1714" s="341"/>
    </row>
    <row r="1715" spans="4:4" x14ac:dyDescent="0.2">
      <c r="D1715" s="341"/>
    </row>
    <row r="1716" spans="4:4" x14ac:dyDescent="0.2">
      <c r="D1716" s="341"/>
    </row>
    <row r="1717" spans="4:4" x14ac:dyDescent="0.2">
      <c r="D1717" s="341"/>
    </row>
    <row r="1718" spans="4:4" x14ac:dyDescent="0.2">
      <c r="D1718" s="341"/>
    </row>
    <row r="1719" spans="4:4" x14ac:dyDescent="0.2">
      <c r="D1719" s="341"/>
    </row>
    <row r="1720" spans="4:4" x14ac:dyDescent="0.2">
      <c r="D1720" s="341"/>
    </row>
    <row r="1721" spans="4:4" x14ac:dyDescent="0.2">
      <c r="D1721" s="341"/>
    </row>
    <row r="1722" spans="4:4" x14ac:dyDescent="0.2">
      <c r="D1722" s="341"/>
    </row>
    <row r="1723" spans="4:4" x14ac:dyDescent="0.2">
      <c r="D1723" s="341"/>
    </row>
    <row r="1724" spans="4:4" x14ac:dyDescent="0.2">
      <c r="D1724" s="341"/>
    </row>
    <row r="1725" spans="4:4" x14ac:dyDescent="0.2">
      <c r="D1725" s="341"/>
    </row>
    <row r="1726" spans="4:4" x14ac:dyDescent="0.2">
      <c r="D1726" s="341"/>
    </row>
    <row r="1727" spans="4:4" x14ac:dyDescent="0.2">
      <c r="D1727" s="341"/>
    </row>
    <row r="1728" spans="4:4" x14ac:dyDescent="0.2">
      <c r="D1728" s="341"/>
    </row>
    <row r="1729" spans="4:4" x14ac:dyDescent="0.2">
      <c r="D1729" s="341"/>
    </row>
    <row r="1730" spans="4:4" x14ac:dyDescent="0.2">
      <c r="D1730" s="341"/>
    </row>
    <row r="1731" spans="4:4" x14ac:dyDescent="0.2">
      <c r="D1731" s="341"/>
    </row>
    <row r="1732" spans="4:4" x14ac:dyDescent="0.2">
      <c r="D1732" s="341"/>
    </row>
    <row r="1733" spans="4:4" x14ac:dyDescent="0.2">
      <c r="D1733" s="341"/>
    </row>
    <row r="1734" spans="4:4" x14ac:dyDescent="0.2">
      <c r="D1734" s="341"/>
    </row>
    <row r="1735" spans="4:4" x14ac:dyDescent="0.2">
      <c r="D1735" s="341"/>
    </row>
    <row r="1736" spans="4:4" x14ac:dyDescent="0.2">
      <c r="D1736" s="341"/>
    </row>
    <row r="1737" spans="4:4" x14ac:dyDescent="0.2">
      <c r="D1737" s="341"/>
    </row>
    <row r="1738" spans="4:4" x14ac:dyDescent="0.2">
      <c r="D1738" s="341"/>
    </row>
    <row r="1739" spans="4:4" x14ac:dyDescent="0.2">
      <c r="D1739" s="341"/>
    </row>
    <row r="1740" spans="4:4" x14ac:dyDescent="0.2">
      <c r="D1740" s="341"/>
    </row>
    <row r="1741" spans="4:4" x14ac:dyDescent="0.2">
      <c r="D1741" s="341"/>
    </row>
    <row r="1742" spans="4:4" x14ac:dyDescent="0.2">
      <c r="D1742" s="341"/>
    </row>
    <row r="1743" spans="4:4" x14ac:dyDescent="0.2">
      <c r="D1743" s="341"/>
    </row>
    <row r="1744" spans="4:4" x14ac:dyDescent="0.2">
      <c r="D1744" s="341"/>
    </row>
    <row r="1745" spans="4:4" x14ac:dyDescent="0.2">
      <c r="D1745" s="341"/>
    </row>
    <row r="1746" spans="4:4" x14ac:dyDescent="0.2">
      <c r="D1746" s="341"/>
    </row>
    <row r="1747" spans="4:4" x14ac:dyDescent="0.2">
      <c r="D1747" s="341"/>
    </row>
    <row r="1748" spans="4:4" x14ac:dyDescent="0.2">
      <c r="D1748" s="341"/>
    </row>
    <row r="1749" spans="4:4" x14ac:dyDescent="0.2">
      <c r="D1749" s="341"/>
    </row>
    <row r="1750" spans="4:4" x14ac:dyDescent="0.2">
      <c r="D1750" s="341"/>
    </row>
    <row r="1751" spans="4:4" x14ac:dyDescent="0.2">
      <c r="D1751" s="341"/>
    </row>
    <row r="1752" spans="4:4" x14ac:dyDescent="0.2">
      <c r="D1752" s="341"/>
    </row>
    <row r="1753" spans="4:4" x14ac:dyDescent="0.2">
      <c r="D1753" s="341"/>
    </row>
    <row r="1754" spans="4:4" x14ac:dyDescent="0.2">
      <c r="D1754" s="341"/>
    </row>
    <row r="1755" spans="4:4" x14ac:dyDescent="0.2">
      <c r="D1755" s="341"/>
    </row>
    <row r="1756" spans="4:4" x14ac:dyDescent="0.2">
      <c r="D1756" s="341"/>
    </row>
    <row r="1757" spans="4:4" x14ac:dyDescent="0.2">
      <c r="D1757" s="341"/>
    </row>
    <row r="1758" spans="4:4" x14ac:dyDescent="0.2">
      <c r="D1758" s="341"/>
    </row>
    <row r="1759" spans="4:4" x14ac:dyDescent="0.2">
      <c r="D1759" s="341"/>
    </row>
    <row r="1760" spans="4:4" x14ac:dyDescent="0.2">
      <c r="D1760" s="341"/>
    </row>
    <row r="1761" spans="4:4" x14ac:dyDescent="0.2">
      <c r="D1761" s="341"/>
    </row>
    <row r="1762" spans="4:4" x14ac:dyDescent="0.2">
      <c r="D1762" s="341"/>
    </row>
    <row r="1763" spans="4:4" x14ac:dyDescent="0.2">
      <c r="D1763" s="341"/>
    </row>
    <row r="1764" spans="4:4" x14ac:dyDescent="0.2">
      <c r="D1764" s="341"/>
    </row>
    <row r="1765" spans="4:4" x14ac:dyDescent="0.2">
      <c r="D1765" s="341"/>
    </row>
    <row r="1766" spans="4:4" x14ac:dyDescent="0.2">
      <c r="D1766" s="341"/>
    </row>
    <row r="1767" spans="4:4" x14ac:dyDescent="0.2">
      <c r="D1767" s="341"/>
    </row>
    <row r="1768" spans="4:4" x14ac:dyDescent="0.2">
      <c r="D1768" s="341"/>
    </row>
    <row r="1769" spans="4:4" x14ac:dyDescent="0.2">
      <c r="D1769" s="341"/>
    </row>
    <row r="1770" spans="4:4" x14ac:dyDescent="0.2">
      <c r="D1770" s="341"/>
    </row>
    <row r="1771" spans="4:4" x14ac:dyDescent="0.2">
      <c r="D1771" s="341"/>
    </row>
    <row r="1772" spans="4:4" x14ac:dyDescent="0.2">
      <c r="D1772" s="341"/>
    </row>
    <row r="1773" spans="4:4" x14ac:dyDescent="0.2">
      <c r="D1773" s="341"/>
    </row>
    <row r="1774" spans="4:4" x14ac:dyDescent="0.2">
      <c r="D1774" s="341"/>
    </row>
    <row r="1775" spans="4:4" x14ac:dyDescent="0.2">
      <c r="D1775" s="341"/>
    </row>
    <row r="1776" spans="4:4" x14ac:dyDescent="0.2">
      <c r="D1776" s="341"/>
    </row>
    <row r="1777" spans="4:4" x14ac:dyDescent="0.2">
      <c r="D1777" s="341"/>
    </row>
    <row r="1778" spans="4:4" x14ac:dyDescent="0.2">
      <c r="D1778" s="341"/>
    </row>
    <row r="1779" spans="4:4" x14ac:dyDescent="0.2">
      <c r="D1779" s="341"/>
    </row>
    <row r="1780" spans="4:4" x14ac:dyDescent="0.2">
      <c r="D1780" s="341"/>
    </row>
    <row r="1781" spans="4:4" x14ac:dyDescent="0.2">
      <c r="D1781" s="341"/>
    </row>
    <row r="1782" spans="4:4" x14ac:dyDescent="0.2">
      <c r="D1782" s="341"/>
    </row>
    <row r="1783" spans="4:4" x14ac:dyDescent="0.2">
      <c r="D1783" s="341"/>
    </row>
    <row r="1784" spans="4:4" x14ac:dyDescent="0.2">
      <c r="D1784" s="341"/>
    </row>
    <row r="1785" spans="4:4" x14ac:dyDescent="0.2">
      <c r="D1785" s="341"/>
    </row>
    <row r="1786" spans="4:4" x14ac:dyDescent="0.2">
      <c r="D1786" s="341"/>
    </row>
    <row r="1787" spans="4:4" x14ac:dyDescent="0.2">
      <c r="D1787" s="341"/>
    </row>
    <row r="1788" spans="4:4" x14ac:dyDescent="0.2">
      <c r="D1788" s="341"/>
    </row>
    <row r="1789" spans="4:4" x14ac:dyDescent="0.2">
      <c r="D1789" s="341"/>
    </row>
    <row r="1790" spans="4:4" x14ac:dyDescent="0.2">
      <c r="D1790" s="341"/>
    </row>
    <row r="1791" spans="4:4" x14ac:dyDescent="0.2">
      <c r="D1791" s="341"/>
    </row>
    <row r="1792" spans="4:4" x14ac:dyDescent="0.2">
      <c r="D1792" s="341"/>
    </row>
    <row r="1793" spans="4:4" x14ac:dyDescent="0.2">
      <c r="D1793" s="341"/>
    </row>
    <row r="1794" spans="4:4" x14ac:dyDescent="0.2">
      <c r="D1794" s="341"/>
    </row>
    <row r="1795" spans="4:4" x14ac:dyDescent="0.2">
      <c r="D1795" s="341"/>
    </row>
    <row r="1796" spans="4:4" x14ac:dyDescent="0.2">
      <c r="D1796" s="341"/>
    </row>
    <row r="1797" spans="4:4" x14ac:dyDescent="0.2">
      <c r="D1797" s="341"/>
    </row>
    <row r="1798" spans="4:4" x14ac:dyDescent="0.2">
      <c r="D1798" s="341"/>
    </row>
    <row r="1799" spans="4:4" x14ac:dyDescent="0.2">
      <c r="D1799" s="341"/>
    </row>
    <row r="1800" spans="4:4" x14ac:dyDescent="0.2">
      <c r="D1800" s="341"/>
    </row>
    <row r="1801" spans="4:4" x14ac:dyDescent="0.2">
      <c r="D1801" s="341"/>
    </row>
    <row r="1802" spans="4:4" x14ac:dyDescent="0.2">
      <c r="D1802" s="341"/>
    </row>
    <row r="1803" spans="4:4" x14ac:dyDescent="0.2">
      <c r="D1803" s="341"/>
    </row>
    <row r="1804" spans="4:4" x14ac:dyDescent="0.2">
      <c r="D1804" s="341"/>
    </row>
    <row r="1805" spans="4:4" x14ac:dyDescent="0.2">
      <c r="D1805" s="341"/>
    </row>
    <row r="1806" spans="4:4" x14ac:dyDescent="0.2">
      <c r="D1806" s="341"/>
    </row>
    <row r="1807" spans="4:4" x14ac:dyDescent="0.2">
      <c r="D1807" s="341"/>
    </row>
    <row r="1808" spans="4:4" x14ac:dyDescent="0.2">
      <c r="D1808" s="341"/>
    </row>
    <row r="1809" spans="4:4" x14ac:dyDescent="0.2">
      <c r="D1809" s="341"/>
    </row>
    <row r="1810" spans="4:4" x14ac:dyDescent="0.2">
      <c r="D1810" s="341"/>
    </row>
    <row r="1811" spans="4:4" x14ac:dyDescent="0.2">
      <c r="D1811" s="341"/>
    </row>
    <row r="1812" spans="4:4" x14ac:dyDescent="0.2">
      <c r="D1812" s="341"/>
    </row>
    <row r="1813" spans="4:4" x14ac:dyDescent="0.2">
      <c r="D1813" s="341"/>
    </row>
    <row r="1814" spans="4:4" x14ac:dyDescent="0.2">
      <c r="D1814" s="341"/>
    </row>
    <row r="1815" spans="4:4" x14ac:dyDescent="0.2">
      <c r="D1815" s="341"/>
    </row>
    <row r="1816" spans="4:4" x14ac:dyDescent="0.2">
      <c r="D1816" s="341"/>
    </row>
    <row r="1817" spans="4:4" x14ac:dyDescent="0.2">
      <c r="D1817" s="341"/>
    </row>
    <row r="1818" spans="4:4" x14ac:dyDescent="0.2">
      <c r="D1818" s="341"/>
    </row>
    <row r="1819" spans="4:4" x14ac:dyDescent="0.2">
      <c r="D1819" s="341"/>
    </row>
    <row r="1820" spans="4:4" x14ac:dyDescent="0.2">
      <c r="D1820" s="341"/>
    </row>
    <row r="1821" spans="4:4" x14ac:dyDescent="0.2">
      <c r="D1821" s="341"/>
    </row>
    <row r="1822" spans="4:4" x14ac:dyDescent="0.2">
      <c r="D1822" s="341"/>
    </row>
    <row r="1823" spans="4:4" x14ac:dyDescent="0.2">
      <c r="D1823" s="341"/>
    </row>
    <row r="1824" spans="4:4" x14ac:dyDescent="0.2">
      <c r="D1824" s="341"/>
    </row>
    <row r="1825" spans="4:4" x14ac:dyDescent="0.2">
      <c r="D1825" s="341"/>
    </row>
    <row r="1826" spans="4:4" x14ac:dyDescent="0.2">
      <c r="D1826" s="341"/>
    </row>
    <row r="1827" spans="4:4" x14ac:dyDescent="0.2">
      <c r="D1827" s="341"/>
    </row>
    <row r="1828" spans="4:4" x14ac:dyDescent="0.2">
      <c r="D1828" s="341"/>
    </row>
    <row r="1829" spans="4:4" x14ac:dyDescent="0.2">
      <c r="D1829" s="341"/>
    </row>
    <row r="1830" spans="4:4" x14ac:dyDescent="0.2">
      <c r="D1830" s="341"/>
    </row>
    <row r="1831" spans="4:4" x14ac:dyDescent="0.2">
      <c r="D1831" s="341"/>
    </row>
    <row r="1832" spans="4:4" x14ac:dyDescent="0.2">
      <c r="D1832" s="341"/>
    </row>
    <row r="1833" spans="4:4" x14ac:dyDescent="0.2">
      <c r="D1833" s="341"/>
    </row>
    <row r="1834" spans="4:4" x14ac:dyDescent="0.2">
      <c r="D1834" s="341"/>
    </row>
    <row r="1835" spans="4:4" x14ac:dyDescent="0.2">
      <c r="D1835" s="341"/>
    </row>
    <row r="1836" spans="4:4" x14ac:dyDescent="0.2">
      <c r="D1836" s="341"/>
    </row>
    <row r="1837" spans="4:4" x14ac:dyDescent="0.2">
      <c r="D1837" s="341"/>
    </row>
    <row r="1838" spans="4:4" x14ac:dyDescent="0.2">
      <c r="D1838" s="341"/>
    </row>
    <row r="1839" spans="4:4" x14ac:dyDescent="0.2">
      <c r="D1839" s="341"/>
    </row>
    <row r="1840" spans="4:4" x14ac:dyDescent="0.2">
      <c r="D1840" s="341"/>
    </row>
    <row r="1841" spans="4:4" x14ac:dyDescent="0.2">
      <c r="D1841" s="341"/>
    </row>
    <row r="1842" spans="4:4" x14ac:dyDescent="0.2">
      <c r="D1842" s="341"/>
    </row>
    <row r="1843" spans="4:4" x14ac:dyDescent="0.2">
      <c r="D1843" s="341"/>
    </row>
    <row r="1844" spans="4:4" x14ac:dyDescent="0.2">
      <c r="D1844" s="341"/>
    </row>
    <row r="1845" spans="4:4" x14ac:dyDescent="0.2">
      <c r="D1845" s="341"/>
    </row>
    <row r="1846" spans="4:4" x14ac:dyDescent="0.2">
      <c r="D1846" s="341"/>
    </row>
    <row r="1847" spans="4:4" x14ac:dyDescent="0.2">
      <c r="D1847" s="341"/>
    </row>
    <row r="1848" spans="4:4" x14ac:dyDescent="0.2">
      <c r="D1848" s="341"/>
    </row>
    <row r="1849" spans="4:4" x14ac:dyDescent="0.2">
      <c r="D1849" s="341"/>
    </row>
    <row r="1850" spans="4:4" x14ac:dyDescent="0.2">
      <c r="D1850" s="341"/>
    </row>
    <row r="1851" spans="4:4" x14ac:dyDescent="0.2">
      <c r="D1851" s="341"/>
    </row>
    <row r="1852" spans="4:4" x14ac:dyDescent="0.2">
      <c r="D1852" s="341"/>
    </row>
    <row r="1853" spans="4:4" x14ac:dyDescent="0.2">
      <c r="D1853" s="341"/>
    </row>
    <row r="1854" spans="4:4" x14ac:dyDescent="0.2">
      <c r="D1854" s="341"/>
    </row>
    <row r="1855" spans="4:4" x14ac:dyDescent="0.2">
      <c r="D1855" s="341"/>
    </row>
    <row r="1856" spans="4:4" x14ac:dyDescent="0.2">
      <c r="D1856" s="341"/>
    </row>
    <row r="1857" spans="4:4" x14ac:dyDescent="0.2">
      <c r="D1857" s="341"/>
    </row>
    <row r="1858" spans="4:4" x14ac:dyDescent="0.2">
      <c r="D1858" s="341"/>
    </row>
    <row r="1859" spans="4:4" x14ac:dyDescent="0.2">
      <c r="D1859" s="341"/>
    </row>
    <row r="1860" spans="4:4" x14ac:dyDescent="0.2">
      <c r="D1860" s="341"/>
    </row>
    <row r="1861" spans="4:4" x14ac:dyDescent="0.2">
      <c r="D1861" s="341"/>
    </row>
    <row r="1862" spans="4:4" x14ac:dyDescent="0.2">
      <c r="D1862" s="341"/>
    </row>
    <row r="1863" spans="4:4" x14ac:dyDescent="0.2">
      <c r="D1863" s="341"/>
    </row>
    <row r="1864" spans="4:4" x14ac:dyDescent="0.2">
      <c r="D1864" s="341"/>
    </row>
    <row r="1865" spans="4:4" x14ac:dyDescent="0.2">
      <c r="D1865" s="341"/>
    </row>
    <row r="1866" spans="4:4" x14ac:dyDescent="0.2">
      <c r="D1866" s="341"/>
    </row>
    <row r="1867" spans="4:4" x14ac:dyDescent="0.2">
      <c r="D1867" s="341"/>
    </row>
    <row r="1868" spans="4:4" x14ac:dyDescent="0.2">
      <c r="D1868" s="341"/>
    </row>
    <row r="1869" spans="4:4" x14ac:dyDescent="0.2">
      <c r="D1869" s="341"/>
    </row>
    <row r="1870" spans="4:4" x14ac:dyDescent="0.2">
      <c r="D1870" s="341"/>
    </row>
    <row r="1871" spans="4:4" x14ac:dyDescent="0.2">
      <c r="D1871" s="341"/>
    </row>
    <row r="1872" spans="4:4" x14ac:dyDescent="0.2">
      <c r="D1872" s="341"/>
    </row>
    <row r="1873" spans="4:4" x14ac:dyDescent="0.2">
      <c r="D1873" s="341"/>
    </row>
    <row r="1874" spans="4:4" x14ac:dyDescent="0.2">
      <c r="D1874" s="341"/>
    </row>
    <row r="1875" spans="4:4" x14ac:dyDescent="0.2">
      <c r="D1875" s="341"/>
    </row>
    <row r="1876" spans="4:4" x14ac:dyDescent="0.2">
      <c r="D1876" s="341"/>
    </row>
    <row r="1877" spans="4:4" x14ac:dyDescent="0.2">
      <c r="D1877" s="341"/>
    </row>
    <row r="1878" spans="4:4" x14ac:dyDescent="0.2">
      <c r="D1878" s="341"/>
    </row>
    <row r="1879" spans="4:4" x14ac:dyDescent="0.2">
      <c r="D1879" s="341"/>
    </row>
    <row r="1880" spans="4:4" x14ac:dyDescent="0.2">
      <c r="D1880" s="341"/>
    </row>
    <row r="1881" spans="4:4" x14ac:dyDescent="0.2">
      <c r="D1881" s="341"/>
    </row>
    <row r="1882" spans="4:4" x14ac:dyDescent="0.2">
      <c r="D1882" s="341"/>
    </row>
    <row r="1883" spans="4:4" x14ac:dyDescent="0.2">
      <c r="D1883" s="341"/>
    </row>
    <row r="1884" spans="4:4" x14ac:dyDescent="0.2">
      <c r="D1884" s="341"/>
    </row>
    <row r="1885" spans="4:4" x14ac:dyDescent="0.2">
      <c r="D1885" s="341"/>
    </row>
    <row r="1886" spans="4:4" x14ac:dyDescent="0.2">
      <c r="D1886" s="341"/>
    </row>
    <row r="1887" spans="4:4" x14ac:dyDescent="0.2">
      <c r="D1887" s="341"/>
    </row>
    <row r="1888" spans="4:4" x14ac:dyDescent="0.2">
      <c r="D1888" s="341"/>
    </row>
    <row r="1889" spans="4:4" x14ac:dyDescent="0.2">
      <c r="D1889" s="341"/>
    </row>
    <row r="1890" spans="4:4" x14ac:dyDescent="0.2">
      <c r="D1890" s="341"/>
    </row>
    <row r="1891" spans="4:4" x14ac:dyDescent="0.2">
      <c r="D1891" s="341"/>
    </row>
    <row r="1892" spans="4:4" x14ac:dyDescent="0.2">
      <c r="D1892" s="341"/>
    </row>
    <row r="1893" spans="4:4" x14ac:dyDescent="0.2">
      <c r="D1893" s="341"/>
    </row>
    <row r="1894" spans="4:4" x14ac:dyDescent="0.2">
      <c r="D1894" s="341"/>
    </row>
    <row r="1895" spans="4:4" x14ac:dyDescent="0.2">
      <c r="D1895" s="341"/>
    </row>
    <row r="1896" spans="4:4" x14ac:dyDescent="0.2">
      <c r="D1896" s="341"/>
    </row>
    <row r="1897" spans="4:4" x14ac:dyDescent="0.2">
      <c r="D1897" s="341"/>
    </row>
    <row r="1898" spans="4:4" x14ac:dyDescent="0.2">
      <c r="D1898" s="341"/>
    </row>
    <row r="1899" spans="4:4" x14ac:dyDescent="0.2">
      <c r="D1899" s="341"/>
    </row>
    <row r="1900" spans="4:4" x14ac:dyDescent="0.2">
      <c r="D1900" s="341"/>
    </row>
    <row r="1901" spans="4:4" x14ac:dyDescent="0.2">
      <c r="D1901" s="341"/>
    </row>
    <row r="1902" spans="4:4" x14ac:dyDescent="0.2">
      <c r="D1902" s="341"/>
    </row>
    <row r="1903" spans="4:4" x14ac:dyDescent="0.2">
      <c r="D1903" s="341"/>
    </row>
    <row r="1904" spans="4:4" x14ac:dyDescent="0.2">
      <c r="D1904" s="341"/>
    </row>
    <row r="1905" spans="4:4" x14ac:dyDescent="0.2">
      <c r="D1905" s="341"/>
    </row>
    <row r="1906" spans="4:4" x14ac:dyDescent="0.2">
      <c r="D1906" s="341"/>
    </row>
    <row r="1907" spans="4:4" x14ac:dyDescent="0.2">
      <c r="D1907" s="341"/>
    </row>
    <row r="1908" spans="4:4" x14ac:dyDescent="0.2">
      <c r="D1908" s="341"/>
    </row>
    <row r="1909" spans="4:4" x14ac:dyDescent="0.2">
      <c r="D1909" s="341"/>
    </row>
    <row r="1910" spans="4:4" x14ac:dyDescent="0.2">
      <c r="D1910" s="341"/>
    </row>
    <row r="1911" spans="4:4" x14ac:dyDescent="0.2">
      <c r="D1911" s="341"/>
    </row>
    <row r="1912" spans="4:4" x14ac:dyDescent="0.2">
      <c r="D1912" s="341"/>
    </row>
    <row r="1913" spans="4:4" x14ac:dyDescent="0.2">
      <c r="D1913" s="341"/>
    </row>
    <row r="1914" spans="4:4" x14ac:dyDescent="0.2">
      <c r="D1914" s="341"/>
    </row>
    <row r="1915" spans="4:4" x14ac:dyDescent="0.2">
      <c r="D1915" s="341"/>
    </row>
    <row r="1916" spans="4:4" x14ac:dyDescent="0.2">
      <c r="D1916" s="341"/>
    </row>
    <row r="1917" spans="4:4" x14ac:dyDescent="0.2">
      <c r="D1917" s="341"/>
    </row>
    <row r="1918" spans="4:4" x14ac:dyDescent="0.2">
      <c r="D1918" s="341"/>
    </row>
    <row r="1919" spans="4:4" x14ac:dyDescent="0.2">
      <c r="D1919" s="341"/>
    </row>
    <row r="1920" spans="4:4" x14ac:dyDescent="0.2">
      <c r="D1920" s="341"/>
    </row>
    <row r="1921" spans="4:4" x14ac:dyDescent="0.2">
      <c r="D1921" s="341"/>
    </row>
    <row r="1922" spans="4:4" x14ac:dyDescent="0.2">
      <c r="D1922" s="341"/>
    </row>
    <row r="1923" spans="4:4" x14ac:dyDescent="0.2">
      <c r="D1923" s="341"/>
    </row>
    <row r="1924" spans="4:4" x14ac:dyDescent="0.2">
      <c r="D1924" s="341"/>
    </row>
    <row r="1925" spans="4:4" x14ac:dyDescent="0.2">
      <c r="D1925" s="341"/>
    </row>
    <row r="1926" spans="4:4" x14ac:dyDescent="0.2">
      <c r="D1926" s="341"/>
    </row>
    <row r="1927" spans="4:4" x14ac:dyDescent="0.2">
      <c r="D1927" s="341"/>
    </row>
    <row r="1928" spans="4:4" x14ac:dyDescent="0.2">
      <c r="D1928" s="341"/>
    </row>
    <row r="1929" spans="4:4" x14ac:dyDescent="0.2">
      <c r="D1929" s="341"/>
    </row>
    <row r="1930" spans="4:4" x14ac:dyDescent="0.2">
      <c r="D1930" s="341"/>
    </row>
    <row r="1931" spans="4:4" x14ac:dyDescent="0.2">
      <c r="D1931" s="341"/>
    </row>
    <row r="1932" spans="4:4" x14ac:dyDescent="0.2">
      <c r="D1932" s="341"/>
    </row>
    <row r="1933" spans="4:4" x14ac:dyDescent="0.2">
      <c r="D1933" s="341"/>
    </row>
    <row r="1934" spans="4:4" x14ac:dyDescent="0.2">
      <c r="D1934" s="341"/>
    </row>
    <row r="1935" spans="4:4" x14ac:dyDescent="0.2">
      <c r="D1935" s="341"/>
    </row>
    <row r="1936" spans="4:4" x14ac:dyDescent="0.2">
      <c r="D1936" s="341"/>
    </row>
    <row r="1937" spans="4:4" x14ac:dyDescent="0.2">
      <c r="D1937" s="341"/>
    </row>
    <row r="1938" spans="4:4" x14ac:dyDescent="0.2">
      <c r="D1938" s="341"/>
    </row>
    <row r="1939" spans="4:4" x14ac:dyDescent="0.2">
      <c r="D1939" s="341"/>
    </row>
    <row r="1940" spans="4:4" x14ac:dyDescent="0.2">
      <c r="D1940" s="341"/>
    </row>
    <row r="1941" spans="4:4" x14ac:dyDescent="0.2">
      <c r="D1941" s="341"/>
    </row>
    <row r="1942" spans="4:4" x14ac:dyDescent="0.2">
      <c r="D1942" s="341"/>
    </row>
    <row r="1943" spans="4:4" x14ac:dyDescent="0.2">
      <c r="D1943" s="341"/>
    </row>
    <row r="1944" spans="4:4" x14ac:dyDescent="0.2">
      <c r="D1944" s="341"/>
    </row>
    <row r="1945" spans="4:4" x14ac:dyDescent="0.2">
      <c r="D1945" s="341"/>
    </row>
    <row r="1946" spans="4:4" x14ac:dyDescent="0.2">
      <c r="D1946" s="341"/>
    </row>
    <row r="1947" spans="4:4" x14ac:dyDescent="0.2">
      <c r="D1947" s="341"/>
    </row>
    <row r="1948" spans="4:4" x14ac:dyDescent="0.2">
      <c r="D1948" s="341"/>
    </row>
    <row r="1949" spans="4:4" x14ac:dyDescent="0.2">
      <c r="D1949" s="341"/>
    </row>
    <row r="1950" spans="4:4" x14ac:dyDescent="0.2">
      <c r="D1950" s="341"/>
    </row>
    <row r="1951" spans="4:4" x14ac:dyDescent="0.2">
      <c r="D1951" s="341"/>
    </row>
    <row r="1952" spans="4:4" x14ac:dyDescent="0.2">
      <c r="D1952" s="341"/>
    </row>
    <row r="1953" spans="4:4" x14ac:dyDescent="0.2">
      <c r="D1953" s="341"/>
    </row>
    <row r="1954" spans="4:4" x14ac:dyDescent="0.2">
      <c r="D1954" s="341"/>
    </row>
    <row r="1955" spans="4:4" x14ac:dyDescent="0.2">
      <c r="D1955" s="341"/>
    </row>
    <row r="1956" spans="4:4" x14ac:dyDescent="0.2">
      <c r="D1956" s="341"/>
    </row>
    <row r="1957" spans="4:4" x14ac:dyDescent="0.2">
      <c r="D1957" s="341"/>
    </row>
    <row r="1958" spans="4:4" x14ac:dyDescent="0.2">
      <c r="D1958" s="341"/>
    </row>
    <row r="1959" spans="4:4" x14ac:dyDescent="0.2">
      <c r="D1959" s="341"/>
    </row>
    <row r="1960" spans="4:4" x14ac:dyDescent="0.2">
      <c r="D1960" s="341"/>
    </row>
    <row r="1961" spans="4:4" x14ac:dyDescent="0.2">
      <c r="D1961" s="341"/>
    </row>
    <row r="1962" spans="4:4" x14ac:dyDescent="0.2">
      <c r="D1962" s="341"/>
    </row>
    <row r="1963" spans="4:4" x14ac:dyDescent="0.2">
      <c r="D1963" s="341"/>
    </row>
    <row r="1964" spans="4:4" x14ac:dyDescent="0.2">
      <c r="D1964" s="341"/>
    </row>
    <row r="1965" spans="4:4" x14ac:dyDescent="0.2">
      <c r="D1965" s="341"/>
    </row>
    <row r="1966" spans="4:4" x14ac:dyDescent="0.2">
      <c r="D1966" s="341"/>
    </row>
    <row r="1967" spans="4:4" x14ac:dyDescent="0.2">
      <c r="D1967" s="341"/>
    </row>
    <row r="1968" spans="4:4" x14ac:dyDescent="0.2">
      <c r="D1968" s="341"/>
    </row>
    <row r="1969" spans="4:4" x14ac:dyDescent="0.2">
      <c r="D1969" s="341"/>
    </row>
    <row r="1970" spans="4:4" x14ac:dyDescent="0.2">
      <c r="D1970" s="341"/>
    </row>
    <row r="1971" spans="4:4" x14ac:dyDescent="0.2">
      <c r="D1971" s="341"/>
    </row>
    <row r="1972" spans="4:4" x14ac:dyDescent="0.2">
      <c r="D1972" s="341"/>
    </row>
    <row r="1973" spans="4:4" x14ac:dyDescent="0.2">
      <c r="D1973" s="341"/>
    </row>
    <row r="1974" spans="4:4" x14ac:dyDescent="0.2">
      <c r="D1974" s="341"/>
    </row>
    <row r="1975" spans="4:4" x14ac:dyDescent="0.2">
      <c r="D1975" s="341"/>
    </row>
    <row r="1976" spans="4:4" x14ac:dyDescent="0.2">
      <c r="D1976" s="341"/>
    </row>
    <row r="1977" spans="4:4" x14ac:dyDescent="0.2">
      <c r="D1977" s="341"/>
    </row>
    <row r="1978" spans="4:4" x14ac:dyDescent="0.2">
      <c r="D1978" s="341"/>
    </row>
    <row r="1979" spans="4:4" x14ac:dyDescent="0.2">
      <c r="D1979" s="341"/>
    </row>
    <row r="1980" spans="4:4" x14ac:dyDescent="0.2">
      <c r="D1980" s="341"/>
    </row>
    <row r="1981" spans="4:4" x14ac:dyDescent="0.2">
      <c r="D1981" s="341"/>
    </row>
    <row r="1982" spans="4:4" x14ac:dyDescent="0.2">
      <c r="D1982" s="341"/>
    </row>
    <row r="1983" spans="4:4" x14ac:dyDescent="0.2">
      <c r="D1983" s="341"/>
    </row>
    <row r="1984" spans="4:4" x14ac:dyDescent="0.2">
      <c r="D1984" s="341"/>
    </row>
    <row r="1985" spans="4:4" x14ac:dyDescent="0.2">
      <c r="D1985" s="341"/>
    </row>
    <row r="1986" spans="4:4" x14ac:dyDescent="0.2">
      <c r="D1986" s="341"/>
    </row>
    <row r="1987" spans="4:4" x14ac:dyDescent="0.2">
      <c r="D1987" s="341"/>
    </row>
    <row r="1988" spans="4:4" x14ac:dyDescent="0.2">
      <c r="D1988" s="341"/>
    </row>
    <row r="1989" spans="4:4" x14ac:dyDescent="0.2">
      <c r="D1989" s="341"/>
    </row>
    <row r="1990" spans="4:4" x14ac:dyDescent="0.2">
      <c r="D1990" s="341"/>
    </row>
    <row r="1991" spans="4:4" x14ac:dyDescent="0.2">
      <c r="D1991" s="341"/>
    </row>
    <row r="1992" spans="4:4" x14ac:dyDescent="0.2">
      <c r="D1992" s="341"/>
    </row>
    <row r="1993" spans="4:4" x14ac:dyDescent="0.2">
      <c r="D1993" s="341"/>
    </row>
    <row r="1994" spans="4:4" x14ac:dyDescent="0.2">
      <c r="D1994" s="341"/>
    </row>
    <row r="1995" spans="4:4" x14ac:dyDescent="0.2">
      <c r="D1995" s="341"/>
    </row>
    <row r="1996" spans="4:4" x14ac:dyDescent="0.2">
      <c r="D1996" s="341"/>
    </row>
    <row r="1997" spans="4:4" x14ac:dyDescent="0.2">
      <c r="D1997" s="341"/>
    </row>
    <row r="1998" spans="4:4" x14ac:dyDescent="0.2">
      <c r="D1998" s="341"/>
    </row>
    <row r="1999" spans="4:4" x14ac:dyDescent="0.2">
      <c r="D1999" s="341"/>
    </row>
    <row r="2000" spans="4:4" x14ac:dyDescent="0.2">
      <c r="D2000" s="341"/>
    </row>
    <row r="2001" spans="4:4" x14ac:dyDescent="0.2">
      <c r="D2001" s="341"/>
    </row>
    <row r="2002" spans="4:4" x14ac:dyDescent="0.2">
      <c r="D2002" s="341"/>
    </row>
    <row r="2003" spans="4:4" x14ac:dyDescent="0.2">
      <c r="D2003" s="341"/>
    </row>
    <row r="2004" spans="4:4" x14ac:dyDescent="0.2">
      <c r="D2004" s="341"/>
    </row>
    <row r="2005" spans="4:4" x14ac:dyDescent="0.2">
      <c r="D2005" s="341"/>
    </row>
    <row r="2006" spans="4:4" x14ac:dyDescent="0.2">
      <c r="D2006" s="341"/>
    </row>
    <row r="2007" spans="4:4" x14ac:dyDescent="0.2">
      <c r="D2007" s="341"/>
    </row>
    <row r="2008" spans="4:4" x14ac:dyDescent="0.2">
      <c r="D2008" s="341"/>
    </row>
    <row r="2009" spans="4:4" x14ac:dyDescent="0.2">
      <c r="D2009" s="341"/>
    </row>
    <row r="2010" spans="4:4" x14ac:dyDescent="0.2">
      <c r="D2010" s="341"/>
    </row>
    <row r="2011" spans="4:4" x14ac:dyDescent="0.2">
      <c r="D2011" s="341"/>
    </row>
    <row r="2012" spans="4:4" x14ac:dyDescent="0.2">
      <c r="D2012" s="341"/>
    </row>
    <row r="2013" spans="4:4" x14ac:dyDescent="0.2">
      <c r="D2013" s="341"/>
    </row>
    <row r="2014" spans="4:4" x14ac:dyDescent="0.2">
      <c r="D2014" s="341"/>
    </row>
    <row r="2015" spans="4:4" x14ac:dyDescent="0.2">
      <c r="D2015" s="341"/>
    </row>
    <row r="2016" spans="4:4" x14ac:dyDescent="0.2">
      <c r="D2016" s="341"/>
    </row>
    <row r="2017" spans="4:4" x14ac:dyDescent="0.2">
      <c r="D2017" s="341"/>
    </row>
    <row r="2018" spans="4:4" x14ac:dyDescent="0.2">
      <c r="D2018" s="341"/>
    </row>
    <row r="2019" spans="4:4" x14ac:dyDescent="0.2">
      <c r="D2019" s="341"/>
    </row>
    <row r="2020" spans="4:4" x14ac:dyDescent="0.2">
      <c r="D2020" s="341"/>
    </row>
    <row r="2021" spans="4:4" x14ac:dyDescent="0.2">
      <c r="D2021" s="341"/>
    </row>
    <row r="2022" spans="4:4" x14ac:dyDescent="0.2">
      <c r="D2022" s="341"/>
    </row>
    <row r="2023" spans="4:4" x14ac:dyDescent="0.2">
      <c r="D2023" s="341"/>
    </row>
    <row r="2024" spans="4:4" x14ac:dyDescent="0.2">
      <c r="D2024" s="341"/>
    </row>
    <row r="2025" spans="4:4" x14ac:dyDescent="0.2">
      <c r="D2025" s="341"/>
    </row>
    <row r="2026" spans="4:4" x14ac:dyDescent="0.2">
      <c r="D2026" s="341"/>
    </row>
    <row r="2027" spans="4:4" x14ac:dyDescent="0.2">
      <c r="D2027" s="341"/>
    </row>
    <row r="2028" spans="4:4" x14ac:dyDescent="0.2">
      <c r="D2028" s="341"/>
    </row>
    <row r="2029" spans="4:4" x14ac:dyDescent="0.2">
      <c r="D2029" s="341"/>
    </row>
    <row r="2030" spans="4:4" x14ac:dyDescent="0.2">
      <c r="D2030" s="341"/>
    </row>
    <row r="2031" spans="4:4" x14ac:dyDescent="0.2">
      <c r="D2031" s="341"/>
    </row>
    <row r="2032" spans="4:4" x14ac:dyDescent="0.2">
      <c r="D2032" s="341"/>
    </row>
    <row r="2033" spans="4:4" x14ac:dyDescent="0.2">
      <c r="D2033" s="341"/>
    </row>
    <row r="2034" spans="4:4" x14ac:dyDescent="0.2">
      <c r="D2034" s="341"/>
    </row>
    <row r="2035" spans="4:4" x14ac:dyDescent="0.2">
      <c r="D2035" s="341"/>
    </row>
    <row r="2036" spans="4:4" x14ac:dyDescent="0.2">
      <c r="D2036" s="341"/>
    </row>
    <row r="2037" spans="4:4" x14ac:dyDescent="0.2">
      <c r="D2037" s="341"/>
    </row>
    <row r="2038" spans="4:4" x14ac:dyDescent="0.2">
      <c r="D2038" s="341"/>
    </row>
    <row r="2039" spans="4:4" x14ac:dyDescent="0.2">
      <c r="D2039" s="341"/>
    </row>
    <row r="2040" spans="4:4" x14ac:dyDescent="0.2">
      <c r="D2040" s="341"/>
    </row>
    <row r="2041" spans="4:4" x14ac:dyDescent="0.2">
      <c r="D2041" s="341"/>
    </row>
    <row r="2042" spans="4:4" x14ac:dyDescent="0.2">
      <c r="D2042" s="341"/>
    </row>
    <row r="2043" spans="4:4" x14ac:dyDescent="0.2">
      <c r="D2043" s="341"/>
    </row>
    <row r="2044" spans="4:4" x14ac:dyDescent="0.2">
      <c r="D2044" s="341"/>
    </row>
    <row r="2045" spans="4:4" x14ac:dyDescent="0.2">
      <c r="D2045" s="341"/>
    </row>
    <row r="2046" spans="4:4" x14ac:dyDescent="0.2">
      <c r="D2046" s="341"/>
    </row>
    <row r="2047" spans="4:4" x14ac:dyDescent="0.2">
      <c r="D2047" s="341"/>
    </row>
    <row r="2048" spans="4:4" x14ac:dyDescent="0.2">
      <c r="D2048" s="341"/>
    </row>
    <row r="2049" spans="4:4" x14ac:dyDescent="0.2">
      <c r="D2049" s="341"/>
    </row>
    <row r="2050" spans="4:4" x14ac:dyDescent="0.2">
      <c r="D2050" s="341"/>
    </row>
    <row r="2051" spans="4:4" x14ac:dyDescent="0.2">
      <c r="D2051" s="341"/>
    </row>
    <row r="2052" spans="4:4" x14ac:dyDescent="0.2">
      <c r="D2052" s="341"/>
    </row>
    <row r="2053" spans="4:4" x14ac:dyDescent="0.2">
      <c r="D2053" s="341"/>
    </row>
    <row r="2054" spans="4:4" x14ac:dyDescent="0.2">
      <c r="D2054" s="341"/>
    </row>
    <row r="2055" spans="4:4" x14ac:dyDescent="0.2">
      <c r="D2055" s="341"/>
    </row>
    <row r="2056" spans="4:4" x14ac:dyDescent="0.2">
      <c r="D2056" s="341"/>
    </row>
    <row r="2057" spans="4:4" x14ac:dyDescent="0.2">
      <c r="D2057" s="341"/>
    </row>
    <row r="2058" spans="4:4" x14ac:dyDescent="0.2">
      <c r="D2058" s="341"/>
    </row>
    <row r="2059" spans="4:4" x14ac:dyDescent="0.2">
      <c r="D2059" s="341"/>
    </row>
    <row r="2060" spans="4:4" x14ac:dyDescent="0.2">
      <c r="D2060" s="341"/>
    </row>
    <row r="2061" spans="4:4" x14ac:dyDescent="0.2">
      <c r="D2061" s="341"/>
    </row>
    <row r="2062" spans="4:4" x14ac:dyDescent="0.2">
      <c r="D2062" s="341"/>
    </row>
    <row r="2063" spans="4:4" x14ac:dyDescent="0.2">
      <c r="D2063" s="341"/>
    </row>
    <row r="2064" spans="4:4" x14ac:dyDescent="0.2">
      <c r="D2064" s="341"/>
    </row>
    <row r="2065" spans="4:4" x14ac:dyDescent="0.2">
      <c r="D2065" s="341"/>
    </row>
    <row r="2066" spans="4:4" x14ac:dyDescent="0.2">
      <c r="D2066" s="341"/>
    </row>
    <row r="2067" spans="4:4" x14ac:dyDescent="0.2">
      <c r="D2067" s="341"/>
    </row>
    <row r="2068" spans="4:4" x14ac:dyDescent="0.2">
      <c r="D2068" s="341"/>
    </row>
    <row r="2069" spans="4:4" x14ac:dyDescent="0.2">
      <c r="D2069" s="341"/>
    </row>
    <row r="2070" spans="4:4" x14ac:dyDescent="0.2">
      <c r="D2070" s="341"/>
    </row>
    <row r="2071" spans="4:4" x14ac:dyDescent="0.2">
      <c r="D2071" s="341"/>
    </row>
    <row r="2072" spans="4:4" x14ac:dyDescent="0.2">
      <c r="D2072" s="341"/>
    </row>
    <row r="2073" spans="4:4" x14ac:dyDescent="0.2">
      <c r="D2073" s="341"/>
    </row>
    <row r="2074" spans="4:4" x14ac:dyDescent="0.2">
      <c r="D2074" s="341"/>
    </row>
    <row r="2075" spans="4:4" x14ac:dyDescent="0.2">
      <c r="D2075" s="341"/>
    </row>
    <row r="2076" spans="4:4" x14ac:dyDescent="0.2">
      <c r="D2076" s="341"/>
    </row>
    <row r="2077" spans="4:4" x14ac:dyDescent="0.2">
      <c r="D2077" s="341"/>
    </row>
    <row r="2078" spans="4:4" x14ac:dyDescent="0.2">
      <c r="D2078" s="341"/>
    </row>
    <row r="2079" spans="4:4" x14ac:dyDescent="0.2">
      <c r="D2079" s="341"/>
    </row>
    <row r="2080" spans="4:4" x14ac:dyDescent="0.2">
      <c r="D2080" s="341"/>
    </row>
    <row r="2081" spans="4:4" x14ac:dyDescent="0.2">
      <c r="D2081" s="341"/>
    </row>
    <row r="2082" spans="4:4" x14ac:dyDescent="0.2">
      <c r="D2082" s="341"/>
    </row>
    <row r="2083" spans="4:4" x14ac:dyDescent="0.2">
      <c r="D2083" s="341"/>
    </row>
    <row r="2084" spans="4:4" x14ac:dyDescent="0.2">
      <c r="D2084" s="341"/>
    </row>
    <row r="2085" spans="4:4" x14ac:dyDescent="0.2">
      <c r="D2085" s="341"/>
    </row>
    <row r="2086" spans="4:4" x14ac:dyDescent="0.2">
      <c r="D2086" s="341"/>
    </row>
    <row r="2087" spans="4:4" x14ac:dyDescent="0.2">
      <c r="D2087" s="341"/>
    </row>
    <row r="2088" spans="4:4" x14ac:dyDescent="0.2">
      <c r="D2088" s="341"/>
    </row>
    <row r="2089" spans="4:4" x14ac:dyDescent="0.2">
      <c r="D2089" s="341"/>
    </row>
    <row r="2090" spans="4:4" x14ac:dyDescent="0.2">
      <c r="D2090" s="341"/>
    </row>
    <row r="2091" spans="4:4" x14ac:dyDescent="0.2">
      <c r="D2091" s="341"/>
    </row>
    <row r="2092" spans="4:4" x14ac:dyDescent="0.2">
      <c r="D2092" s="341"/>
    </row>
    <row r="2093" spans="4:4" x14ac:dyDescent="0.2">
      <c r="D2093" s="341"/>
    </row>
    <row r="2094" spans="4:4" x14ac:dyDescent="0.2">
      <c r="D2094" s="341"/>
    </row>
    <row r="2095" spans="4:4" x14ac:dyDescent="0.2">
      <c r="D2095" s="341"/>
    </row>
    <row r="2096" spans="4:4" x14ac:dyDescent="0.2">
      <c r="D2096" s="341"/>
    </row>
    <row r="2097" spans="4:4" x14ac:dyDescent="0.2">
      <c r="D2097" s="341"/>
    </row>
    <row r="2098" spans="4:4" x14ac:dyDescent="0.2">
      <c r="D2098" s="341"/>
    </row>
    <row r="2099" spans="4:4" x14ac:dyDescent="0.2">
      <c r="D2099" s="341"/>
    </row>
    <row r="2100" spans="4:4" x14ac:dyDescent="0.2">
      <c r="D2100" s="341"/>
    </row>
    <row r="2101" spans="4:4" x14ac:dyDescent="0.2">
      <c r="D2101" s="341"/>
    </row>
    <row r="2102" spans="4:4" x14ac:dyDescent="0.2">
      <c r="D2102" s="341"/>
    </row>
    <row r="2103" spans="4:4" x14ac:dyDescent="0.2">
      <c r="D2103" s="341"/>
    </row>
    <row r="2104" spans="4:4" x14ac:dyDescent="0.2">
      <c r="D2104" s="341"/>
    </row>
    <row r="2105" spans="4:4" x14ac:dyDescent="0.2">
      <c r="D2105" s="341"/>
    </row>
    <row r="2106" spans="4:4" x14ac:dyDescent="0.2">
      <c r="D2106" s="341"/>
    </row>
    <row r="2107" spans="4:4" x14ac:dyDescent="0.2">
      <c r="D2107" s="341"/>
    </row>
    <row r="2108" spans="4:4" x14ac:dyDescent="0.2">
      <c r="D2108" s="341"/>
    </row>
    <row r="2109" spans="4:4" x14ac:dyDescent="0.2">
      <c r="D2109" s="341"/>
    </row>
    <row r="2110" spans="4:4" x14ac:dyDescent="0.2">
      <c r="D2110" s="341"/>
    </row>
    <row r="2111" spans="4:4" x14ac:dyDescent="0.2">
      <c r="D2111" s="341"/>
    </row>
    <row r="2112" spans="4:4" x14ac:dyDescent="0.2">
      <c r="D2112" s="341"/>
    </row>
    <row r="2113" spans="4:4" x14ac:dyDescent="0.2">
      <c r="D2113" s="341"/>
    </row>
    <row r="2114" spans="4:4" x14ac:dyDescent="0.2">
      <c r="D2114" s="341"/>
    </row>
    <row r="2115" spans="4:4" x14ac:dyDescent="0.2">
      <c r="D2115" s="341"/>
    </row>
    <row r="2116" spans="4:4" x14ac:dyDescent="0.2">
      <c r="D2116" s="341"/>
    </row>
    <row r="2117" spans="4:4" x14ac:dyDescent="0.2">
      <c r="D2117" s="341"/>
    </row>
    <row r="2118" spans="4:4" x14ac:dyDescent="0.2">
      <c r="D2118" s="341"/>
    </row>
    <row r="2119" spans="4:4" x14ac:dyDescent="0.2">
      <c r="D2119" s="341"/>
    </row>
    <row r="2120" spans="4:4" x14ac:dyDescent="0.2">
      <c r="D2120" s="341"/>
    </row>
    <row r="2121" spans="4:4" x14ac:dyDescent="0.2">
      <c r="D2121" s="341"/>
    </row>
    <row r="2122" spans="4:4" x14ac:dyDescent="0.2">
      <c r="D2122" s="341"/>
    </row>
    <row r="2123" spans="4:4" x14ac:dyDescent="0.2">
      <c r="D2123" s="341"/>
    </row>
    <row r="2124" spans="4:4" x14ac:dyDescent="0.2">
      <c r="D2124" s="341"/>
    </row>
    <row r="2125" spans="4:4" x14ac:dyDescent="0.2">
      <c r="D2125" s="341"/>
    </row>
    <row r="2126" spans="4:4" x14ac:dyDescent="0.2">
      <c r="D2126" s="341"/>
    </row>
    <row r="2127" spans="4:4" x14ac:dyDescent="0.2">
      <c r="D2127" s="341"/>
    </row>
    <row r="2128" spans="4:4" x14ac:dyDescent="0.2">
      <c r="D2128" s="341"/>
    </row>
    <row r="2129" spans="4:4" x14ac:dyDescent="0.2">
      <c r="D2129" s="341"/>
    </row>
    <row r="2130" spans="4:4" x14ac:dyDescent="0.2">
      <c r="D2130" s="341"/>
    </row>
    <row r="2131" spans="4:4" x14ac:dyDescent="0.2">
      <c r="D2131" s="341"/>
    </row>
    <row r="2132" spans="4:4" x14ac:dyDescent="0.2">
      <c r="D2132" s="341"/>
    </row>
    <row r="2133" spans="4:4" x14ac:dyDescent="0.2">
      <c r="D2133" s="341"/>
    </row>
    <row r="2134" spans="4:4" x14ac:dyDescent="0.2">
      <c r="D2134" s="341"/>
    </row>
    <row r="2135" spans="4:4" x14ac:dyDescent="0.2">
      <c r="D2135" s="341"/>
    </row>
    <row r="2136" spans="4:4" x14ac:dyDescent="0.2">
      <c r="D2136" s="341"/>
    </row>
    <row r="2137" spans="4:4" x14ac:dyDescent="0.2">
      <c r="D2137" s="341"/>
    </row>
    <row r="2138" spans="4:4" x14ac:dyDescent="0.2">
      <c r="D2138" s="341"/>
    </row>
    <row r="2139" spans="4:4" x14ac:dyDescent="0.2">
      <c r="D2139" s="341"/>
    </row>
    <row r="2140" spans="4:4" x14ac:dyDescent="0.2">
      <c r="D2140" s="341"/>
    </row>
    <row r="2141" spans="4:4" x14ac:dyDescent="0.2">
      <c r="D2141" s="341"/>
    </row>
    <row r="2142" spans="4:4" x14ac:dyDescent="0.2">
      <c r="D2142" s="341"/>
    </row>
    <row r="2143" spans="4:4" x14ac:dyDescent="0.2">
      <c r="D2143" s="341"/>
    </row>
    <row r="2144" spans="4:4" x14ac:dyDescent="0.2">
      <c r="D2144" s="341"/>
    </row>
    <row r="2145" spans="4:4" x14ac:dyDescent="0.2">
      <c r="D2145" s="341"/>
    </row>
    <row r="2146" spans="4:4" x14ac:dyDescent="0.2">
      <c r="D2146" s="341"/>
    </row>
    <row r="2147" spans="4:4" x14ac:dyDescent="0.2">
      <c r="D2147" s="341"/>
    </row>
    <row r="2148" spans="4:4" x14ac:dyDescent="0.2">
      <c r="D2148" s="341"/>
    </row>
    <row r="2149" spans="4:4" x14ac:dyDescent="0.2">
      <c r="D2149" s="341"/>
    </row>
    <row r="2150" spans="4:4" x14ac:dyDescent="0.2">
      <c r="D2150" s="341"/>
    </row>
    <row r="2151" spans="4:4" x14ac:dyDescent="0.2">
      <c r="D2151" s="341"/>
    </row>
    <row r="2152" spans="4:4" x14ac:dyDescent="0.2">
      <c r="D2152" s="341"/>
    </row>
    <row r="2153" spans="4:4" x14ac:dyDescent="0.2">
      <c r="D2153" s="341"/>
    </row>
    <row r="2154" spans="4:4" x14ac:dyDescent="0.2">
      <c r="D2154" s="341"/>
    </row>
    <row r="2155" spans="4:4" x14ac:dyDescent="0.2">
      <c r="D2155" s="341"/>
    </row>
    <row r="2156" spans="4:4" x14ac:dyDescent="0.2">
      <c r="D2156" s="341"/>
    </row>
    <row r="2157" spans="4:4" x14ac:dyDescent="0.2">
      <c r="D2157" s="341"/>
    </row>
    <row r="2158" spans="4:4" x14ac:dyDescent="0.2">
      <c r="D2158" s="341"/>
    </row>
    <row r="2159" spans="4:4" x14ac:dyDescent="0.2">
      <c r="D2159" s="341"/>
    </row>
    <row r="2160" spans="4:4" x14ac:dyDescent="0.2">
      <c r="D2160" s="341"/>
    </row>
    <row r="2161" spans="4:4" x14ac:dyDescent="0.2">
      <c r="D2161" s="341"/>
    </row>
    <row r="2162" spans="4:4" x14ac:dyDescent="0.2">
      <c r="D2162" s="341"/>
    </row>
    <row r="2163" spans="4:4" x14ac:dyDescent="0.2">
      <c r="D2163" s="341"/>
    </row>
    <row r="2164" spans="4:4" x14ac:dyDescent="0.2">
      <c r="D2164" s="341"/>
    </row>
    <row r="2165" spans="4:4" x14ac:dyDescent="0.2">
      <c r="D2165" s="341"/>
    </row>
    <row r="2166" spans="4:4" x14ac:dyDescent="0.2">
      <c r="D2166" s="341"/>
    </row>
    <row r="2167" spans="4:4" x14ac:dyDescent="0.2">
      <c r="D2167" s="341"/>
    </row>
    <row r="2168" spans="4:4" x14ac:dyDescent="0.2">
      <c r="D2168" s="341"/>
    </row>
    <row r="2169" spans="4:4" x14ac:dyDescent="0.2">
      <c r="D2169" s="341"/>
    </row>
    <row r="2170" spans="4:4" x14ac:dyDescent="0.2">
      <c r="D2170" s="341"/>
    </row>
    <row r="2171" spans="4:4" x14ac:dyDescent="0.2">
      <c r="D2171" s="341"/>
    </row>
    <row r="2172" spans="4:4" x14ac:dyDescent="0.2">
      <c r="D2172" s="341"/>
    </row>
    <row r="2173" spans="4:4" x14ac:dyDescent="0.2">
      <c r="D2173" s="341"/>
    </row>
    <row r="2174" spans="4:4" x14ac:dyDescent="0.2">
      <c r="D2174" s="341"/>
    </row>
    <row r="2175" spans="4:4" x14ac:dyDescent="0.2">
      <c r="D2175" s="341"/>
    </row>
    <row r="2176" spans="4:4" x14ac:dyDescent="0.2">
      <c r="D2176" s="341"/>
    </row>
    <row r="2177" spans="4:4" x14ac:dyDescent="0.2">
      <c r="D2177" s="341"/>
    </row>
    <row r="2178" spans="4:4" x14ac:dyDescent="0.2">
      <c r="D2178" s="341"/>
    </row>
    <row r="2179" spans="4:4" x14ac:dyDescent="0.2">
      <c r="D2179" s="341"/>
    </row>
    <row r="2180" spans="4:4" x14ac:dyDescent="0.2">
      <c r="D2180" s="341"/>
    </row>
    <row r="2181" spans="4:4" x14ac:dyDescent="0.2">
      <c r="D2181" s="341"/>
    </row>
    <row r="2182" spans="4:4" x14ac:dyDescent="0.2">
      <c r="D2182" s="341"/>
    </row>
    <row r="2183" spans="4:4" x14ac:dyDescent="0.2">
      <c r="D2183" s="341"/>
    </row>
    <row r="2184" spans="4:4" x14ac:dyDescent="0.2">
      <c r="D2184" s="341"/>
    </row>
    <row r="2185" spans="4:4" x14ac:dyDescent="0.2">
      <c r="D2185" s="341"/>
    </row>
    <row r="2186" spans="4:4" x14ac:dyDescent="0.2">
      <c r="D2186" s="341"/>
    </row>
    <row r="2187" spans="4:4" x14ac:dyDescent="0.2">
      <c r="D2187" s="341"/>
    </row>
    <row r="2188" spans="4:4" x14ac:dyDescent="0.2">
      <c r="D2188" s="341"/>
    </row>
    <row r="2189" spans="4:4" x14ac:dyDescent="0.2">
      <c r="D2189" s="341"/>
    </row>
    <row r="2190" spans="4:4" x14ac:dyDescent="0.2">
      <c r="D2190" s="341"/>
    </row>
    <row r="2191" spans="4:4" x14ac:dyDescent="0.2">
      <c r="D2191" s="341"/>
    </row>
    <row r="2192" spans="4:4" x14ac:dyDescent="0.2">
      <c r="D2192" s="341"/>
    </row>
    <row r="2193" spans="4:4" x14ac:dyDescent="0.2">
      <c r="D2193" s="341"/>
    </row>
    <row r="2194" spans="4:4" x14ac:dyDescent="0.2">
      <c r="D2194" s="341"/>
    </row>
    <row r="2195" spans="4:4" x14ac:dyDescent="0.2">
      <c r="D2195" s="341"/>
    </row>
    <row r="2196" spans="4:4" x14ac:dyDescent="0.2">
      <c r="D2196" s="341"/>
    </row>
    <row r="2197" spans="4:4" x14ac:dyDescent="0.2">
      <c r="D2197" s="341"/>
    </row>
    <row r="2198" spans="4:4" x14ac:dyDescent="0.2">
      <c r="D2198" s="341"/>
    </row>
    <row r="2199" spans="4:4" x14ac:dyDescent="0.2">
      <c r="D2199" s="341"/>
    </row>
    <row r="2200" spans="4:4" x14ac:dyDescent="0.2">
      <c r="D2200" s="341"/>
    </row>
    <row r="2201" spans="4:4" x14ac:dyDescent="0.2">
      <c r="D2201" s="341"/>
    </row>
    <row r="2202" spans="4:4" x14ac:dyDescent="0.2">
      <c r="D2202" s="341"/>
    </row>
    <row r="2203" spans="4:4" x14ac:dyDescent="0.2">
      <c r="D2203" s="341"/>
    </row>
    <row r="2204" spans="4:4" x14ac:dyDescent="0.2">
      <c r="D2204" s="341"/>
    </row>
    <row r="2205" spans="4:4" x14ac:dyDescent="0.2">
      <c r="D2205" s="341"/>
    </row>
    <row r="2206" spans="4:4" x14ac:dyDescent="0.2">
      <c r="D2206" s="341"/>
    </row>
    <row r="2207" spans="4:4" x14ac:dyDescent="0.2">
      <c r="D2207" s="341"/>
    </row>
    <row r="2208" spans="4:4" x14ac:dyDescent="0.2">
      <c r="D2208" s="341"/>
    </row>
    <row r="2209" spans="4:4" x14ac:dyDescent="0.2">
      <c r="D2209" s="341"/>
    </row>
    <row r="2210" spans="4:4" x14ac:dyDescent="0.2">
      <c r="D2210" s="341"/>
    </row>
    <row r="2211" spans="4:4" x14ac:dyDescent="0.2">
      <c r="D2211" s="341"/>
    </row>
    <row r="2212" spans="4:4" x14ac:dyDescent="0.2">
      <c r="D2212" s="341"/>
    </row>
    <row r="2213" spans="4:4" x14ac:dyDescent="0.2">
      <c r="D2213" s="341"/>
    </row>
    <row r="2214" spans="4:4" x14ac:dyDescent="0.2">
      <c r="D2214" s="341"/>
    </row>
    <row r="2215" spans="4:4" x14ac:dyDescent="0.2">
      <c r="D2215" s="341"/>
    </row>
    <row r="2216" spans="4:4" x14ac:dyDescent="0.2">
      <c r="D2216" s="341"/>
    </row>
    <row r="2217" spans="4:4" x14ac:dyDescent="0.2">
      <c r="D2217" s="341"/>
    </row>
    <row r="2218" spans="4:4" x14ac:dyDescent="0.2">
      <c r="D2218" s="341"/>
    </row>
    <row r="2219" spans="4:4" x14ac:dyDescent="0.2">
      <c r="D2219" s="341"/>
    </row>
    <row r="2220" spans="4:4" x14ac:dyDescent="0.2">
      <c r="D2220" s="341"/>
    </row>
    <row r="2221" spans="4:4" x14ac:dyDescent="0.2">
      <c r="D2221" s="341"/>
    </row>
    <row r="2222" spans="4:4" x14ac:dyDescent="0.2">
      <c r="D2222" s="341"/>
    </row>
    <row r="2223" spans="4:4" x14ac:dyDescent="0.2">
      <c r="D2223" s="341"/>
    </row>
    <row r="2224" spans="4:4" x14ac:dyDescent="0.2">
      <c r="D2224" s="341"/>
    </row>
    <row r="2225" spans="4:4" x14ac:dyDescent="0.2">
      <c r="D2225" s="341"/>
    </row>
    <row r="2226" spans="4:4" x14ac:dyDescent="0.2">
      <c r="D2226" s="341"/>
    </row>
    <row r="2227" spans="4:4" x14ac:dyDescent="0.2">
      <c r="D2227" s="341"/>
    </row>
    <row r="2228" spans="4:4" x14ac:dyDescent="0.2">
      <c r="D2228" s="341"/>
    </row>
    <row r="2229" spans="4:4" x14ac:dyDescent="0.2">
      <c r="D2229" s="341"/>
    </row>
    <row r="2230" spans="4:4" x14ac:dyDescent="0.2">
      <c r="D2230" s="341"/>
    </row>
    <row r="2231" spans="4:4" x14ac:dyDescent="0.2">
      <c r="D2231" s="341"/>
    </row>
    <row r="2232" spans="4:4" x14ac:dyDescent="0.2">
      <c r="D2232" s="341"/>
    </row>
    <row r="2233" spans="4:4" x14ac:dyDescent="0.2">
      <c r="D2233" s="341"/>
    </row>
    <row r="2234" spans="4:4" x14ac:dyDescent="0.2">
      <c r="D2234" s="341"/>
    </row>
    <row r="2235" spans="4:4" x14ac:dyDescent="0.2">
      <c r="D2235" s="341"/>
    </row>
    <row r="2236" spans="4:4" x14ac:dyDescent="0.2">
      <c r="D2236" s="341"/>
    </row>
    <row r="2237" spans="4:4" x14ac:dyDescent="0.2">
      <c r="D2237" s="341"/>
    </row>
    <row r="2238" spans="4:4" x14ac:dyDescent="0.2">
      <c r="D2238" s="341"/>
    </row>
    <row r="2239" spans="4:4" x14ac:dyDescent="0.2">
      <c r="D2239" s="341"/>
    </row>
    <row r="2240" spans="4:4" x14ac:dyDescent="0.2">
      <c r="D2240" s="341"/>
    </row>
    <row r="2241" spans="4:4" x14ac:dyDescent="0.2">
      <c r="D2241" s="341"/>
    </row>
    <row r="2242" spans="4:4" x14ac:dyDescent="0.2">
      <c r="D2242" s="341"/>
    </row>
    <row r="2243" spans="4:4" x14ac:dyDescent="0.2">
      <c r="D2243" s="341"/>
    </row>
    <row r="2244" spans="4:4" x14ac:dyDescent="0.2">
      <c r="D2244" s="341"/>
    </row>
    <row r="2245" spans="4:4" x14ac:dyDescent="0.2">
      <c r="D2245" s="341"/>
    </row>
    <row r="2246" spans="4:4" x14ac:dyDescent="0.2">
      <c r="D2246" s="341"/>
    </row>
    <row r="2247" spans="4:4" x14ac:dyDescent="0.2">
      <c r="D2247" s="341"/>
    </row>
    <row r="2248" spans="4:4" x14ac:dyDescent="0.2">
      <c r="D2248" s="341"/>
    </row>
    <row r="2249" spans="4:4" x14ac:dyDescent="0.2">
      <c r="D2249" s="341"/>
    </row>
    <row r="2250" spans="4:4" x14ac:dyDescent="0.2">
      <c r="D2250" s="341"/>
    </row>
    <row r="2251" spans="4:4" x14ac:dyDescent="0.2">
      <c r="D2251" s="341"/>
    </row>
    <row r="2252" spans="4:4" x14ac:dyDescent="0.2">
      <c r="D2252" s="341"/>
    </row>
    <row r="2253" spans="4:4" x14ac:dyDescent="0.2">
      <c r="D2253" s="341"/>
    </row>
    <row r="2254" spans="4:4" x14ac:dyDescent="0.2">
      <c r="D2254" s="341"/>
    </row>
    <row r="2255" spans="4:4" x14ac:dyDescent="0.2">
      <c r="D2255" s="341"/>
    </row>
    <row r="2256" spans="4:4" x14ac:dyDescent="0.2">
      <c r="D2256" s="341"/>
    </row>
    <row r="2257" spans="4:4" x14ac:dyDescent="0.2">
      <c r="D2257" s="341"/>
    </row>
    <row r="2258" spans="4:4" x14ac:dyDescent="0.2">
      <c r="D2258" s="341"/>
    </row>
    <row r="2259" spans="4:4" x14ac:dyDescent="0.2">
      <c r="D2259" s="341"/>
    </row>
    <row r="2260" spans="4:4" x14ac:dyDescent="0.2">
      <c r="D2260" s="341"/>
    </row>
    <row r="2261" spans="4:4" x14ac:dyDescent="0.2">
      <c r="D2261" s="341"/>
    </row>
    <row r="2262" spans="4:4" x14ac:dyDescent="0.2">
      <c r="D2262" s="341"/>
    </row>
    <row r="2263" spans="4:4" x14ac:dyDescent="0.2">
      <c r="D2263" s="341"/>
    </row>
    <row r="2264" spans="4:4" x14ac:dyDescent="0.2">
      <c r="D2264" s="341"/>
    </row>
    <row r="2265" spans="4:4" x14ac:dyDescent="0.2">
      <c r="D2265" s="341"/>
    </row>
    <row r="2266" spans="4:4" x14ac:dyDescent="0.2">
      <c r="D2266" s="341"/>
    </row>
    <row r="2267" spans="4:4" x14ac:dyDescent="0.2">
      <c r="D2267" s="341"/>
    </row>
    <row r="2268" spans="4:4" x14ac:dyDescent="0.2">
      <c r="D2268" s="341"/>
    </row>
    <row r="2269" spans="4:4" x14ac:dyDescent="0.2">
      <c r="D2269" s="341"/>
    </row>
    <row r="2270" spans="4:4" x14ac:dyDescent="0.2">
      <c r="D2270" s="341"/>
    </row>
    <row r="2271" spans="4:4" x14ac:dyDescent="0.2">
      <c r="D2271" s="341"/>
    </row>
    <row r="2272" spans="4:4" x14ac:dyDescent="0.2">
      <c r="D2272" s="341"/>
    </row>
    <row r="2273" spans="4:4" x14ac:dyDescent="0.2">
      <c r="D2273" s="341"/>
    </row>
    <row r="2274" spans="4:4" x14ac:dyDescent="0.2">
      <c r="D2274" s="341"/>
    </row>
    <row r="2275" spans="4:4" x14ac:dyDescent="0.2">
      <c r="D2275" s="341"/>
    </row>
    <row r="2276" spans="4:4" x14ac:dyDescent="0.2">
      <c r="D2276" s="341"/>
    </row>
    <row r="2277" spans="4:4" x14ac:dyDescent="0.2">
      <c r="D2277" s="341"/>
    </row>
    <row r="2278" spans="4:4" x14ac:dyDescent="0.2">
      <c r="D2278" s="341"/>
    </row>
    <row r="2279" spans="4:4" x14ac:dyDescent="0.2">
      <c r="D2279" s="341"/>
    </row>
    <row r="2280" spans="4:4" x14ac:dyDescent="0.2">
      <c r="D2280" s="341"/>
    </row>
    <row r="2281" spans="4:4" x14ac:dyDescent="0.2">
      <c r="D2281" s="341"/>
    </row>
    <row r="2282" spans="4:4" x14ac:dyDescent="0.2">
      <c r="D2282" s="341"/>
    </row>
    <row r="2283" spans="4:4" x14ac:dyDescent="0.2">
      <c r="D2283" s="341"/>
    </row>
    <row r="2284" spans="4:4" x14ac:dyDescent="0.2">
      <c r="D2284" s="341"/>
    </row>
    <row r="2285" spans="4:4" x14ac:dyDescent="0.2">
      <c r="D2285" s="341"/>
    </row>
    <row r="2286" spans="4:4" x14ac:dyDescent="0.2">
      <c r="D2286" s="341"/>
    </row>
    <row r="2287" spans="4:4" x14ac:dyDescent="0.2">
      <c r="D2287" s="341"/>
    </row>
    <row r="2288" spans="4:4" x14ac:dyDescent="0.2">
      <c r="D2288" s="341"/>
    </row>
    <row r="2289" spans="4:4" x14ac:dyDescent="0.2">
      <c r="D2289" s="341"/>
    </row>
    <row r="2290" spans="4:4" x14ac:dyDescent="0.2">
      <c r="D2290" s="341"/>
    </row>
    <row r="2291" spans="4:4" x14ac:dyDescent="0.2">
      <c r="D2291" s="341"/>
    </row>
    <row r="2292" spans="4:4" x14ac:dyDescent="0.2">
      <c r="D2292" s="341"/>
    </row>
    <row r="2293" spans="4:4" x14ac:dyDescent="0.2">
      <c r="D2293" s="341"/>
    </row>
    <row r="2294" spans="4:4" x14ac:dyDescent="0.2">
      <c r="D2294" s="341"/>
    </row>
    <row r="2295" spans="4:4" x14ac:dyDescent="0.2">
      <c r="D2295" s="341"/>
    </row>
    <row r="2296" spans="4:4" x14ac:dyDescent="0.2">
      <c r="D2296" s="341"/>
    </row>
    <row r="2297" spans="4:4" x14ac:dyDescent="0.2">
      <c r="D2297" s="341"/>
    </row>
    <row r="2298" spans="4:4" x14ac:dyDescent="0.2">
      <c r="D2298" s="341"/>
    </row>
    <row r="2299" spans="4:4" x14ac:dyDescent="0.2">
      <c r="D2299" s="341"/>
    </row>
    <row r="2300" spans="4:4" x14ac:dyDescent="0.2">
      <c r="D2300" s="341"/>
    </row>
    <row r="2301" spans="4:4" x14ac:dyDescent="0.2">
      <c r="D2301" s="341"/>
    </row>
    <row r="2302" spans="4:4" x14ac:dyDescent="0.2">
      <c r="D2302" s="341"/>
    </row>
    <row r="2303" spans="4:4" x14ac:dyDescent="0.2">
      <c r="D2303" s="341"/>
    </row>
    <row r="2304" spans="4:4" x14ac:dyDescent="0.2">
      <c r="D2304" s="341"/>
    </row>
    <row r="2305" spans="4:4" x14ac:dyDescent="0.2">
      <c r="D2305" s="341"/>
    </row>
    <row r="2306" spans="4:4" x14ac:dyDescent="0.2">
      <c r="D2306" s="341"/>
    </row>
    <row r="2307" spans="4:4" x14ac:dyDescent="0.2">
      <c r="D2307" s="341"/>
    </row>
    <row r="2308" spans="4:4" x14ac:dyDescent="0.2">
      <c r="D2308" s="341"/>
    </row>
    <row r="2309" spans="4:4" x14ac:dyDescent="0.2">
      <c r="D2309" s="341"/>
    </row>
    <row r="2310" spans="4:4" x14ac:dyDescent="0.2">
      <c r="D2310" s="341"/>
    </row>
    <row r="2311" spans="4:4" x14ac:dyDescent="0.2">
      <c r="D2311" s="341"/>
    </row>
    <row r="2312" spans="4:4" x14ac:dyDescent="0.2">
      <c r="D2312" s="341"/>
    </row>
    <row r="2313" spans="4:4" x14ac:dyDescent="0.2">
      <c r="D2313" s="341"/>
    </row>
    <row r="2314" spans="4:4" x14ac:dyDescent="0.2">
      <c r="D2314" s="341"/>
    </row>
    <row r="2315" spans="4:4" x14ac:dyDescent="0.2">
      <c r="D2315" s="341"/>
    </row>
    <row r="2316" spans="4:4" x14ac:dyDescent="0.2">
      <c r="D2316" s="341"/>
    </row>
    <row r="2317" spans="4:4" x14ac:dyDescent="0.2">
      <c r="D2317" s="341"/>
    </row>
    <row r="2318" spans="4:4" x14ac:dyDescent="0.2">
      <c r="D2318" s="341"/>
    </row>
    <row r="2319" spans="4:4" x14ac:dyDescent="0.2">
      <c r="D2319" s="341"/>
    </row>
    <row r="2320" spans="4:4" x14ac:dyDescent="0.2">
      <c r="D2320" s="341"/>
    </row>
    <row r="2321" spans="4:4" x14ac:dyDescent="0.2">
      <c r="D2321" s="341"/>
    </row>
    <row r="2322" spans="4:4" x14ac:dyDescent="0.2">
      <c r="D2322" s="341"/>
    </row>
    <row r="2323" spans="4:4" x14ac:dyDescent="0.2">
      <c r="D2323" s="341"/>
    </row>
    <row r="2324" spans="4:4" x14ac:dyDescent="0.2">
      <c r="D2324" s="341"/>
    </row>
    <row r="2325" spans="4:4" x14ac:dyDescent="0.2">
      <c r="D2325" s="341"/>
    </row>
    <row r="2326" spans="4:4" x14ac:dyDescent="0.2">
      <c r="D2326" s="341"/>
    </row>
    <row r="2327" spans="4:4" x14ac:dyDescent="0.2">
      <c r="D2327" s="341"/>
    </row>
    <row r="2328" spans="4:4" x14ac:dyDescent="0.2">
      <c r="D2328" s="341"/>
    </row>
    <row r="2329" spans="4:4" x14ac:dyDescent="0.2">
      <c r="D2329" s="341"/>
    </row>
    <row r="2330" spans="4:4" x14ac:dyDescent="0.2">
      <c r="D2330" s="341"/>
    </row>
    <row r="2331" spans="4:4" x14ac:dyDescent="0.2">
      <c r="D2331" s="341"/>
    </row>
    <row r="2332" spans="4:4" x14ac:dyDescent="0.2">
      <c r="D2332" s="341"/>
    </row>
    <row r="2333" spans="4:4" x14ac:dyDescent="0.2">
      <c r="D2333" s="341"/>
    </row>
    <row r="2334" spans="4:4" x14ac:dyDescent="0.2">
      <c r="D2334" s="341"/>
    </row>
    <row r="2335" spans="4:4" x14ac:dyDescent="0.2">
      <c r="D2335" s="341"/>
    </row>
    <row r="2336" spans="4:4" x14ac:dyDescent="0.2">
      <c r="D2336" s="341"/>
    </row>
    <row r="2337" spans="4:4" x14ac:dyDescent="0.2">
      <c r="D2337" s="341"/>
    </row>
    <row r="2338" spans="4:4" x14ac:dyDescent="0.2">
      <c r="D2338" s="341"/>
    </row>
    <row r="2339" spans="4:4" x14ac:dyDescent="0.2">
      <c r="D2339" s="341"/>
    </row>
    <row r="2340" spans="4:4" x14ac:dyDescent="0.2">
      <c r="D2340" s="341"/>
    </row>
    <row r="2341" spans="4:4" x14ac:dyDescent="0.2">
      <c r="D2341" s="341"/>
    </row>
    <row r="2342" spans="4:4" x14ac:dyDescent="0.2">
      <c r="D2342" s="341"/>
    </row>
    <row r="2343" spans="4:4" x14ac:dyDescent="0.2">
      <c r="D2343" s="341"/>
    </row>
    <row r="2344" spans="4:4" x14ac:dyDescent="0.2">
      <c r="D2344" s="341"/>
    </row>
    <row r="2345" spans="4:4" x14ac:dyDescent="0.2">
      <c r="D2345" s="341"/>
    </row>
    <row r="2346" spans="4:4" x14ac:dyDescent="0.2">
      <c r="D2346" s="341"/>
    </row>
    <row r="2347" spans="4:4" x14ac:dyDescent="0.2">
      <c r="D2347" s="341"/>
    </row>
    <row r="2348" spans="4:4" x14ac:dyDescent="0.2">
      <c r="D2348" s="341"/>
    </row>
    <row r="2349" spans="4:4" x14ac:dyDescent="0.2">
      <c r="D2349" s="341"/>
    </row>
    <row r="2350" spans="4:4" x14ac:dyDescent="0.2">
      <c r="D2350" s="341"/>
    </row>
    <row r="2351" spans="4:4" x14ac:dyDescent="0.2">
      <c r="D2351" s="341"/>
    </row>
    <row r="2352" spans="4:4" x14ac:dyDescent="0.2">
      <c r="D2352" s="341"/>
    </row>
    <row r="2353" spans="4:4" x14ac:dyDescent="0.2">
      <c r="D2353" s="341"/>
    </row>
    <row r="2354" spans="4:4" x14ac:dyDescent="0.2">
      <c r="D2354" s="341"/>
    </row>
    <row r="2355" spans="4:4" x14ac:dyDescent="0.2">
      <c r="D2355" s="341"/>
    </row>
    <row r="2356" spans="4:4" x14ac:dyDescent="0.2">
      <c r="D2356" s="341"/>
    </row>
    <row r="2357" spans="4:4" x14ac:dyDescent="0.2">
      <c r="D2357" s="341"/>
    </row>
    <row r="2358" spans="4:4" x14ac:dyDescent="0.2">
      <c r="D2358" s="341"/>
    </row>
    <row r="2359" spans="4:4" x14ac:dyDescent="0.2">
      <c r="D2359" s="341"/>
    </row>
    <row r="2360" spans="4:4" x14ac:dyDescent="0.2">
      <c r="D2360" s="341"/>
    </row>
    <row r="2361" spans="4:4" x14ac:dyDescent="0.2">
      <c r="D2361" s="341"/>
    </row>
    <row r="2362" spans="4:4" x14ac:dyDescent="0.2">
      <c r="D2362" s="341"/>
    </row>
    <row r="2363" spans="4:4" x14ac:dyDescent="0.2">
      <c r="D2363" s="341"/>
    </row>
    <row r="2364" spans="4:4" x14ac:dyDescent="0.2">
      <c r="D2364" s="341"/>
    </row>
    <row r="2365" spans="4:4" x14ac:dyDescent="0.2">
      <c r="D2365" s="341"/>
    </row>
    <row r="2366" spans="4:4" x14ac:dyDescent="0.2">
      <c r="D2366" s="341"/>
    </row>
    <row r="2367" spans="4:4" x14ac:dyDescent="0.2">
      <c r="D2367" s="341"/>
    </row>
    <row r="2368" spans="4:4" x14ac:dyDescent="0.2">
      <c r="D2368" s="341"/>
    </row>
    <row r="2369" spans="4:4" x14ac:dyDescent="0.2">
      <c r="D2369" s="341"/>
    </row>
    <row r="2370" spans="4:4" x14ac:dyDescent="0.2">
      <c r="D2370" s="341"/>
    </row>
    <row r="2371" spans="4:4" x14ac:dyDescent="0.2">
      <c r="D2371" s="341"/>
    </row>
    <row r="2372" spans="4:4" x14ac:dyDescent="0.2">
      <c r="D2372" s="341"/>
    </row>
    <row r="2373" spans="4:4" x14ac:dyDescent="0.2">
      <c r="D2373" s="341"/>
    </row>
    <row r="2374" spans="4:4" x14ac:dyDescent="0.2">
      <c r="D2374" s="341"/>
    </row>
    <row r="2375" spans="4:4" x14ac:dyDescent="0.2">
      <c r="D2375" s="341"/>
    </row>
    <row r="2376" spans="4:4" x14ac:dyDescent="0.2">
      <c r="D2376" s="341"/>
    </row>
    <row r="2377" spans="4:4" x14ac:dyDescent="0.2">
      <c r="D2377" s="341"/>
    </row>
    <row r="2378" spans="4:4" x14ac:dyDescent="0.2">
      <c r="D2378" s="341"/>
    </row>
    <row r="2379" spans="4:4" x14ac:dyDescent="0.2">
      <c r="D2379" s="341"/>
    </row>
    <row r="2380" spans="4:4" x14ac:dyDescent="0.2">
      <c r="D2380" s="341"/>
    </row>
    <row r="2381" spans="4:4" x14ac:dyDescent="0.2">
      <c r="D2381" s="341"/>
    </row>
    <row r="2382" spans="4:4" x14ac:dyDescent="0.2">
      <c r="D2382" s="341"/>
    </row>
    <row r="2383" spans="4:4" x14ac:dyDescent="0.2">
      <c r="D2383" s="341"/>
    </row>
    <row r="2384" spans="4:4" x14ac:dyDescent="0.2">
      <c r="D2384" s="341"/>
    </row>
    <row r="2385" spans="4:4" x14ac:dyDescent="0.2">
      <c r="D2385" s="341"/>
    </row>
    <row r="2386" spans="4:4" x14ac:dyDescent="0.2">
      <c r="D2386" s="341"/>
    </row>
    <row r="2387" spans="4:4" x14ac:dyDescent="0.2">
      <c r="D2387" s="341"/>
    </row>
    <row r="2388" spans="4:4" x14ac:dyDescent="0.2">
      <c r="D2388" s="341"/>
    </row>
    <row r="2389" spans="4:4" x14ac:dyDescent="0.2">
      <c r="D2389" s="341"/>
    </row>
    <row r="2390" spans="4:4" x14ac:dyDescent="0.2">
      <c r="D2390" s="341"/>
    </row>
    <row r="2391" spans="4:4" x14ac:dyDescent="0.2">
      <c r="D2391" s="341"/>
    </row>
    <row r="2392" spans="4:4" x14ac:dyDescent="0.2">
      <c r="D2392" s="341"/>
    </row>
    <row r="2393" spans="4:4" x14ac:dyDescent="0.2">
      <c r="D2393" s="341"/>
    </row>
    <row r="2394" spans="4:4" x14ac:dyDescent="0.2">
      <c r="D2394" s="341"/>
    </row>
    <row r="2395" spans="4:4" x14ac:dyDescent="0.2">
      <c r="D2395" s="341"/>
    </row>
    <row r="2396" spans="4:4" x14ac:dyDescent="0.2">
      <c r="D2396" s="341"/>
    </row>
    <row r="2397" spans="4:4" x14ac:dyDescent="0.2">
      <c r="D2397" s="341"/>
    </row>
    <row r="2398" spans="4:4" x14ac:dyDescent="0.2">
      <c r="D2398" s="341"/>
    </row>
    <row r="2399" spans="4:4" x14ac:dyDescent="0.2">
      <c r="D2399" s="341"/>
    </row>
    <row r="2400" spans="4:4" x14ac:dyDescent="0.2">
      <c r="D2400" s="341"/>
    </row>
    <row r="2401" spans="4:4" x14ac:dyDescent="0.2">
      <c r="D2401" s="341"/>
    </row>
    <row r="2402" spans="4:4" x14ac:dyDescent="0.2">
      <c r="D2402" s="341"/>
    </row>
    <row r="2403" spans="4:4" x14ac:dyDescent="0.2">
      <c r="D2403" s="341"/>
    </row>
    <row r="2404" spans="4:4" x14ac:dyDescent="0.2">
      <c r="D2404" s="341"/>
    </row>
    <row r="2405" spans="4:4" x14ac:dyDescent="0.2">
      <c r="D2405" s="341"/>
    </row>
    <row r="2406" spans="4:4" x14ac:dyDescent="0.2">
      <c r="D2406" s="341"/>
    </row>
    <row r="2407" spans="4:4" x14ac:dyDescent="0.2">
      <c r="D2407" s="341"/>
    </row>
    <row r="2408" spans="4:4" x14ac:dyDescent="0.2">
      <c r="D2408" s="341"/>
    </row>
    <row r="2409" spans="4:4" x14ac:dyDescent="0.2">
      <c r="D2409" s="341"/>
    </row>
    <row r="2410" spans="4:4" x14ac:dyDescent="0.2">
      <c r="D2410" s="341"/>
    </row>
    <row r="2411" spans="4:4" x14ac:dyDescent="0.2">
      <c r="D2411" s="341"/>
    </row>
    <row r="2412" spans="4:4" x14ac:dyDescent="0.2">
      <c r="D2412" s="341"/>
    </row>
    <row r="2413" spans="4:4" x14ac:dyDescent="0.2">
      <c r="D2413" s="341"/>
    </row>
    <row r="2414" spans="4:4" x14ac:dyDescent="0.2">
      <c r="D2414" s="341"/>
    </row>
    <row r="2415" spans="4:4" x14ac:dyDescent="0.2">
      <c r="D2415" s="341"/>
    </row>
    <row r="2416" spans="4:4" x14ac:dyDescent="0.2">
      <c r="D2416" s="341"/>
    </row>
    <row r="2417" spans="4:4" x14ac:dyDescent="0.2">
      <c r="D2417" s="341"/>
    </row>
    <row r="2418" spans="4:4" x14ac:dyDescent="0.2">
      <c r="D2418" s="341"/>
    </row>
    <row r="2419" spans="4:4" x14ac:dyDescent="0.2">
      <c r="D2419" s="341"/>
    </row>
    <row r="2420" spans="4:4" x14ac:dyDescent="0.2">
      <c r="D2420" s="341"/>
    </row>
    <row r="2421" spans="4:4" x14ac:dyDescent="0.2">
      <c r="D2421" s="341"/>
    </row>
    <row r="2422" spans="4:4" x14ac:dyDescent="0.2">
      <c r="D2422" s="341"/>
    </row>
    <row r="2423" spans="4:4" x14ac:dyDescent="0.2">
      <c r="D2423" s="341"/>
    </row>
    <row r="2424" spans="4:4" x14ac:dyDescent="0.2">
      <c r="D2424" s="341"/>
    </row>
    <row r="2425" spans="4:4" x14ac:dyDescent="0.2">
      <c r="D2425" s="341"/>
    </row>
    <row r="2426" spans="4:4" x14ac:dyDescent="0.2">
      <c r="D2426" s="341"/>
    </row>
    <row r="2427" spans="4:4" x14ac:dyDescent="0.2">
      <c r="D2427" s="341"/>
    </row>
    <row r="2428" spans="4:4" x14ac:dyDescent="0.2">
      <c r="D2428" s="341"/>
    </row>
    <row r="2429" spans="4:4" x14ac:dyDescent="0.2">
      <c r="D2429" s="341"/>
    </row>
    <row r="2430" spans="4:4" x14ac:dyDescent="0.2">
      <c r="D2430" s="341"/>
    </row>
    <row r="2431" spans="4:4" x14ac:dyDescent="0.2">
      <c r="D2431" s="341"/>
    </row>
    <row r="2432" spans="4:4" x14ac:dyDescent="0.2">
      <c r="D2432" s="341"/>
    </row>
    <row r="2433" spans="4:4" x14ac:dyDescent="0.2">
      <c r="D2433" s="341"/>
    </row>
    <row r="2434" spans="4:4" x14ac:dyDescent="0.2">
      <c r="D2434" s="341"/>
    </row>
    <row r="2435" spans="4:4" x14ac:dyDescent="0.2">
      <c r="D2435" s="341"/>
    </row>
    <row r="2436" spans="4:4" x14ac:dyDescent="0.2">
      <c r="D2436" s="341"/>
    </row>
    <row r="2437" spans="4:4" x14ac:dyDescent="0.2">
      <c r="D2437" s="341"/>
    </row>
    <row r="2438" spans="4:4" x14ac:dyDescent="0.2">
      <c r="D2438" s="341"/>
    </row>
    <row r="2439" spans="4:4" x14ac:dyDescent="0.2">
      <c r="D2439" s="341"/>
    </row>
    <row r="2440" spans="4:4" x14ac:dyDescent="0.2">
      <c r="D2440" s="341"/>
    </row>
    <row r="2441" spans="4:4" x14ac:dyDescent="0.2">
      <c r="D2441" s="341"/>
    </row>
    <row r="2442" spans="4:4" x14ac:dyDescent="0.2">
      <c r="D2442" s="341"/>
    </row>
    <row r="2443" spans="4:4" x14ac:dyDescent="0.2">
      <c r="D2443" s="341"/>
    </row>
    <row r="2444" spans="4:4" x14ac:dyDescent="0.2">
      <c r="D2444" s="341"/>
    </row>
    <row r="2445" spans="4:4" x14ac:dyDescent="0.2">
      <c r="D2445" s="341"/>
    </row>
    <row r="2446" spans="4:4" x14ac:dyDescent="0.2">
      <c r="D2446" s="341"/>
    </row>
    <row r="2447" spans="4:4" x14ac:dyDescent="0.2">
      <c r="D2447" s="341"/>
    </row>
    <row r="2448" spans="4:4" x14ac:dyDescent="0.2">
      <c r="D2448" s="341"/>
    </row>
    <row r="2449" spans="4:4" x14ac:dyDescent="0.2">
      <c r="D2449" s="341"/>
    </row>
    <row r="2450" spans="4:4" x14ac:dyDescent="0.2">
      <c r="D2450" s="341"/>
    </row>
    <row r="2451" spans="4:4" x14ac:dyDescent="0.2">
      <c r="D2451" s="341"/>
    </row>
    <row r="2452" spans="4:4" x14ac:dyDescent="0.2">
      <c r="D2452" s="341"/>
    </row>
    <row r="2453" spans="4:4" x14ac:dyDescent="0.2">
      <c r="D2453" s="341"/>
    </row>
    <row r="2454" spans="4:4" x14ac:dyDescent="0.2">
      <c r="D2454" s="341"/>
    </row>
    <row r="2455" spans="4:4" x14ac:dyDescent="0.2">
      <c r="D2455" s="341"/>
    </row>
    <row r="2456" spans="4:4" x14ac:dyDescent="0.2">
      <c r="D2456" s="341"/>
    </row>
    <row r="2457" spans="4:4" x14ac:dyDescent="0.2">
      <c r="D2457" s="341"/>
    </row>
    <row r="2458" spans="4:4" x14ac:dyDescent="0.2">
      <c r="D2458" s="341"/>
    </row>
    <row r="2459" spans="4:4" x14ac:dyDescent="0.2">
      <c r="D2459" s="341"/>
    </row>
    <row r="2460" spans="4:4" x14ac:dyDescent="0.2">
      <c r="D2460" s="341"/>
    </row>
    <row r="2461" spans="4:4" x14ac:dyDescent="0.2">
      <c r="D2461" s="341"/>
    </row>
    <row r="2462" spans="4:4" x14ac:dyDescent="0.2">
      <c r="D2462" s="341"/>
    </row>
    <row r="2463" spans="4:4" x14ac:dyDescent="0.2">
      <c r="D2463" s="341"/>
    </row>
    <row r="2464" spans="4:4" x14ac:dyDescent="0.2">
      <c r="D2464" s="341"/>
    </row>
    <row r="2465" spans="4:4" x14ac:dyDescent="0.2">
      <c r="D2465" s="341"/>
    </row>
    <row r="2466" spans="4:4" x14ac:dyDescent="0.2">
      <c r="D2466" s="341"/>
    </row>
    <row r="2467" spans="4:4" x14ac:dyDescent="0.2">
      <c r="D2467" s="341"/>
    </row>
    <row r="2468" spans="4:4" x14ac:dyDescent="0.2">
      <c r="D2468" s="341"/>
    </row>
    <row r="2469" spans="4:4" x14ac:dyDescent="0.2">
      <c r="D2469" s="341"/>
    </row>
    <row r="2470" spans="4:4" x14ac:dyDescent="0.2">
      <c r="D2470" s="341"/>
    </row>
    <row r="2471" spans="4:4" x14ac:dyDescent="0.2">
      <c r="D2471" s="341"/>
    </row>
    <row r="2472" spans="4:4" x14ac:dyDescent="0.2">
      <c r="D2472" s="341"/>
    </row>
    <row r="2473" spans="4:4" x14ac:dyDescent="0.2">
      <c r="D2473" s="341"/>
    </row>
    <row r="2474" spans="4:4" x14ac:dyDescent="0.2">
      <c r="D2474" s="341"/>
    </row>
    <row r="2475" spans="4:4" x14ac:dyDescent="0.2">
      <c r="D2475" s="341"/>
    </row>
    <row r="2476" spans="4:4" x14ac:dyDescent="0.2">
      <c r="D2476" s="341"/>
    </row>
    <row r="2477" spans="4:4" x14ac:dyDescent="0.2">
      <c r="D2477" s="341"/>
    </row>
    <row r="2478" spans="4:4" x14ac:dyDescent="0.2">
      <c r="D2478" s="341"/>
    </row>
    <row r="2479" spans="4:4" x14ac:dyDescent="0.2">
      <c r="D2479" s="341"/>
    </row>
    <row r="2480" spans="4:4" x14ac:dyDescent="0.2">
      <c r="D2480" s="341"/>
    </row>
    <row r="2481" spans="4:4" x14ac:dyDescent="0.2">
      <c r="D2481" s="341"/>
    </row>
    <row r="2482" spans="4:4" x14ac:dyDescent="0.2">
      <c r="D2482" s="341"/>
    </row>
    <row r="2483" spans="4:4" x14ac:dyDescent="0.2">
      <c r="D2483" s="341"/>
    </row>
    <row r="2484" spans="4:4" x14ac:dyDescent="0.2">
      <c r="D2484" s="341"/>
    </row>
    <row r="2485" spans="4:4" x14ac:dyDescent="0.2">
      <c r="D2485" s="341"/>
    </row>
    <row r="2486" spans="4:4" x14ac:dyDescent="0.2">
      <c r="D2486" s="341"/>
    </row>
    <row r="2487" spans="4:4" x14ac:dyDescent="0.2">
      <c r="D2487" s="341"/>
    </row>
    <row r="2488" spans="4:4" x14ac:dyDescent="0.2">
      <c r="D2488" s="341"/>
    </row>
    <row r="2489" spans="4:4" x14ac:dyDescent="0.2">
      <c r="D2489" s="341"/>
    </row>
    <row r="2490" spans="4:4" x14ac:dyDescent="0.2">
      <c r="D2490" s="341"/>
    </row>
    <row r="2491" spans="4:4" x14ac:dyDescent="0.2">
      <c r="D2491" s="341"/>
    </row>
    <row r="2492" spans="4:4" x14ac:dyDescent="0.2">
      <c r="D2492" s="341"/>
    </row>
    <row r="2493" spans="4:4" x14ac:dyDescent="0.2">
      <c r="D2493" s="341"/>
    </row>
    <row r="2494" spans="4:4" x14ac:dyDescent="0.2">
      <c r="D2494" s="341"/>
    </row>
    <row r="2495" spans="4:4" x14ac:dyDescent="0.2">
      <c r="D2495" s="341"/>
    </row>
    <row r="2496" spans="4:4" x14ac:dyDescent="0.2">
      <c r="D2496" s="341"/>
    </row>
    <row r="2497" spans="4:4" x14ac:dyDescent="0.2">
      <c r="D2497" s="341"/>
    </row>
    <row r="2498" spans="4:4" x14ac:dyDescent="0.2">
      <c r="D2498" s="341"/>
    </row>
    <row r="2499" spans="4:4" x14ac:dyDescent="0.2">
      <c r="D2499" s="341"/>
    </row>
    <row r="2500" spans="4:4" x14ac:dyDescent="0.2">
      <c r="D2500" s="341"/>
    </row>
    <row r="2501" spans="4:4" x14ac:dyDescent="0.2">
      <c r="D2501" s="341"/>
    </row>
    <row r="2502" spans="4:4" x14ac:dyDescent="0.2">
      <c r="D2502" s="341"/>
    </row>
    <row r="2503" spans="4:4" x14ac:dyDescent="0.2">
      <c r="D2503" s="341"/>
    </row>
    <row r="2504" spans="4:4" x14ac:dyDescent="0.2">
      <c r="D2504" s="341"/>
    </row>
    <row r="2505" spans="4:4" x14ac:dyDescent="0.2">
      <c r="D2505" s="341"/>
    </row>
    <row r="2506" spans="4:4" x14ac:dyDescent="0.2">
      <c r="D2506" s="341"/>
    </row>
    <row r="2507" spans="4:4" x14ac:dyDescent="0.2">
      <c r="D2507" s="341"/>
    </row>
    <row r="2508" spans="4:4" x14ac:dyDescent="0.2">
      <c r="D2508" s="341"/>
    </row>
    <row r="2509" spans="4:4" x14ac:dyDescent="0.2">
      <c r="D2509" s="341"/>
    </row>
    <row r="2510" spans="4:4" x14ac:dyDescent="0.2">
      <c r="D2510" s="341"/>
    </row>
    <row r="2511" spans="4:4" x14ac:dyDescent="0.2">
      <c r="D2511" s="341"/>
    </row>
    <row r="2512" spans="4:4" x14ac:dyDescent="0.2">
      <c r="D2512" s="341"/>
    </row>
    <row r="2513" spans="4:4" x14ac:dyDescent="0.2">
      <c r="D2513" s="341"/>
    </row>
    <row r="2514" spans="4:4" x14ac:dyDescent="0.2">
      <c r="D2514" s="341"/>
    </row>
    <row r="2515" spans="4:4" x14ac:dyDescent="0.2">
      <c r="D2515" s="341"/>
    </row>
    <row r="2516" spans="4:4" x14ac:dyDescent="0.2">
      <c r="D2516" s="341"/>
    </row>
    <row r="2517" spans="4:4" x14ac:dyDescent="0.2">
      <c r="D2517" s="341"/>
    </row>
    <row r="2518" spans="4:4" x14ac:dyDescent="0.2">
      <c r="D2518" s="341"/>
    </row>
    <row r="2519" spans="4:4" x14ac:dyDescent="0.2">
      <c r="D2519" s="341"/>
    </row>
    <row r="2520" spans="4:4" x14ac:dyDescent="0.2">
      <c r="D2520" s="341"/>
    </row>
    <row r="2521" spans="4:4" x14ac:dyDescent="0.2">
      <c r="D2521" s="341"/>
    </row>
    <row r="2522" spans="4:4" x14ac:dyDescent="0.2">
      <c r="D2522" s="341"/>
    </row>
    <row r="2523" spans="4:4" x14ac:dyDescent="0.2">
      <c r="D2523" s="341"/>
    </row>
    <row r="2524" spans="4:4" x14ac:dyDescent="0.2">
      <c r="D2524" s="341"/>
    </row>
    <row r="2525" spans="4:4" x14ac:dyDescent="0.2">
      <c r="D2525" s="341"/>
    </row>
    <row r="2526" spans="4:4" x14ac:dyDescent="0.2">
      <c r="D2526" s="341"/>
    </row>
    <row r="2527" spans="4:4" x14ac:dyDescent="0.2">
      <c r="D2527" s="341"/>
    </row>
    <row r="2528" spans="4:4" x14ac:dyDescent="0.2">
      <c r="D2528" s="341"/>
    </row>
    <row r="2529" spans="4:4" x14ac:dyDescent="0.2">
      <c r="D2529" s="341"/>
    </row>
    <row r="2530" spans="4:4" x14ac:dyDescent="0.2">
      <c r="D2530" s="341"/>
    </row>
    <row r="2531" spans="4:4" x14ac:dyDescent="0.2">
      <c r="D2531" s="341"/>
    </row>
    <row r="2532" spans="4:4" x14ac:dyDescent="0.2">
      <c r="D2532" s="341"/>
    </row>
    <row r="2533" spans="4:4" x14ac:dyDescent="0.2">
      <c r="D2533" s="341"/>
    </row>
    <row r="2534" spans="4:4" x14ac:dyDescent="0.2">
      <c r="D2534" s="341"/>
    </row>
    <row r="2535" spans="4:4" x14ac:dyDescent="0.2">
      <c r="D2535" s="341"/>
    </row>
    <row r="2536" spans="4:4" x14ac:dyDescent="0.2">
      <c r="D2536" s="341"/>
    </row>
    <row r="2537" spans="4:4" x14ac:dyDescent="0.2">
      <c r="D2537" s="341"/>
    </row>
    <row r="2538" spans="4:4" x14ac:dyDescent="0.2">
      <c r="D2538" s="341"/>
    </row>
    <row r="2539" spans="4:4" x14ac:dyDescent="0.2">
      <c r="D2539" s="341"/>
    </row>
    <row r="2540" spans="4:4" x14ac:dyDescent="0.2">
      <c r="D2540" s="341"/>
    </row>
    <row r="2541" spans="4:4" x14ac:dyDescent="0.2">
      <c r="D2541" s="341"/>
    </row>
    <row r="2542" spans="4:4" x14ac:dyDescent="0.2">
      <c r="D2542" s="341"/>
    </row>
    <row r="2543" spans="4:4" x14ac:dyDescent="0.2">
      <c r="D2543" s="341"/>
    </row>
    <row r="2544" spans="4:4" x14ac:dyDescent="0.2">
      <c r="D2544" s="341"/>
    </row>
    <row r="2545" spans="4:4" x14ac:dyDescent="0.2">
      <c r="D2545" s="341"/>
    </row>
    <row r="2546" spans="4:4" x14ac:dyDescent="0.2">
      <c r="D2546" s="341"/>
    </row>
    <row r="2547" spans="4:4" x14ac:dyDescent="0.2">
      <c r="D2547" s="341"/>
    </row>
    <row r="2548" spans="4:4" x14ac:dyDescent="0.2">
      <c r="D2548" s="341"/>
    </row>
    <row r="2549" spans="4:4" x14ac:dyDescent="0.2">
      <c r="D2549" s="341"/>
    </row>
    <row r="2550" spans="4:4" x14ac:dyDescent="0.2">
      <c r="D2550" s="341"/>
    </row>
    <row r="2551" spans="4:4" x14ac:dyDescent="0.2">
      <c r="D2551" s="341"/>
    </row>
    <row r="2552" spans="4:4" x14ac:dyDescent="0.2">
      <c r="D2552" s="341"/>
    </row>
    <row r="2553" spans="4:4" x14ac:dyDescent="0.2">
      <c r="D2553" s="341"/>
    </row>
    <row r="2554" spans="4:4" x14ac:dyDescent="0.2">
      <c r="D2554" s="341"/>
    </row>
    <row r="2555" spans="4:4" x14ac:dyDescent="0.2">
      <c r="D2555" s="341"/>
    </row>
    <row r="2556" spans="4:4" x14ac:dyDescent="0.2">
      <c r="D2556" s="341"/>
    </row>
    <row r="2557" spans="4:4" x14ac:dyDescent="0.2">
      <c r="D2557" s="341"/>
    </row>
    <row r="2558" spans="4:4" x14ac:dyDescent="0.2">
      <c r="D2558" s="341"/>
    </row>
    <row r="2559" spans="4:4" x14ac:dyDescent="0.2">
      <c r="D2559" s="341"/>
    </row>
    <row r="2560" spans="4:4" x14ac:dyDescent="0.2">
      <c r="D2560" s="341"/>
    </row>
    <row r="2561" spans="4:4" x14ac:dyDescent="0.2">
      <c r="D2561" s="341"/>
    </row>
    <row r="2562" spans="4:4" x14ac:dyDescent="0.2">
      <c r="D2562" s="341"/>
    </row>
    <row r="2563" spans="4:4" x14ac:dyDescent="0.2">
      <c r="D2563" s="341"/>
    </row>
    <row r="2564" spans="4:4" x14ac:dyDescent="0.2">
      <c r="D2564" s="341"/>
    </row>
    <row r="2565" spans="4:4" x14ac:dyDescent="0.2">
      <c r="D2565" s="341"/>
    </row>
    <row r="2566" spans="4:4" x14ac:dyDescent="0.2">
      <c r="D2566" s="341"/>
    </row>
    <row r="2567" spans="4:4" x14ac:dyDescent="0.2">
      <c r="D2567" s="341"/>
    </row>
    <row r="2568" spans="4:4" x14ac:dyDescent="0.2">
      <c r="D2568" s="341"/>
    </row>
    <row r="2569" spans="4:4" x14ac:dyDescent="0.2">
      <c r="D2569" s="341"/>
    </row>
    <row r="2570" spans="4:4" x14ac:dyDescent="0.2">
      <c r="D2570" s="341"/>
    </row>
    <row r="2571" spans="4:4" x14ac:dyDescent="0.2">
      <c r="D2571" s="341"/>
    </row>
    <row r="2572" spans="4:4" x14ac:dyDescent="0.2">
      <c r="D2572" s="341"/>
    </row>
    <row r="2573" spans="4:4" x14ac:dyDescent="0.2">
      <c r="D2573" s="341"/>
    </row>
    <row r="2574" spans="4:4" x14ac:dyDescent="0.2">
      <c r="D2574" s="341"/>
    </row>
    <row r="2575" spans="4:4" x14ac:dyDescent="0.2">
      <c r="D2575" s="341"/>
    </row>
    <row r="2576" spans="4:4" x14ac:dyDescent="0.2">
      <c r="D2576" s="341"/>
    </row>
    <row r="2577" spans="4:4" x14ac:dyDescent="0.2">
      <c r="D2577" s="341"/>
    </row>
    <row r="2578" spans="4:4" x14ac:dyDescent="0.2">
      <c r="D2578" s="341"/>
    </row>
    <row r="2579" spans="4:4" x14ac:dyDescent="0.2">
      <c r="D2579" s="341"/>
    </row>
    <row r="2580" spans="4:4" x14ac:dyDescent="0.2">
      <c r="D2580" s="341"/>
    </row>
    <row r="2581" spans="4:4" x14ac:dyDescent="0.2">
      <c r="D2581" s="341"/>
    </row>
    <row r="2582" spans="4:4" x14ac:dyDescent="0.2">
      <c r="D2582" s="341"/>
    </row>
    <row r="2583" spans="4:4" x14ac:dyDescent="0.2">
      <c r="D2583" s="341"/>
    </row>
    <row r="2584" spans="4:4" x14ac:dyDescent="0.2">
      <c r="D2584" s="341"/>
    </row>
    <row r="2585" spans="4:4" x14ac:dyDescent="0.2">
      <c r="D2585" s="341"/>
    </row>
    <row r="2586" spans="4:4" x14ac:dyDescent="0.2">
      <c r="D2586" s="341"/>
    </row>
    <row r="2587" spans="4:4" x14ac:dyDescent="0.2">
      <c r="D2587" s="341"/>
    </row>
    <row r="2588" spans="4:4" x14ac:dyDescent="0.2">
      <c r="D2588" s="341"/>
    </row>
    <row r="2589" spans="4:4" x14ac:dyDescent="0.2">
      <c r="D2589" s="341"/>
    </row>
    <row r="2590" spans="4:4" x14ac:dyDescent="0.2">
      <c r="D2590" s="341"/>
    </row>
    <row r="2591" spans="4:4" x14ac:dyDescent="0.2">
      <c r="D2591" s="341"/>
    </row>
    <row r="2592" spans="4:4" x14ac:dyDescent="0.2">
      <c r="D2592" s="341"/>
    </row>
    <row r="2593" spans="4:4" x14ac:dyDescent="0.2">
      <c r="D2593" s="341"/>
    </row>
    <row r="2594" spans="4:4" x14ac:dyDescent="0.2">
      <c r="D2594" s="341"/>
    </row>
    <row r="2595" spans="4:4" x14ac:dyDescent="0.2">
      <c r="D2595" s="341"/>
    </row>
    <row r="2596" spans="4:4" x14ac:dyDescent="0.2">
      <c r="D2596" s="341"/>
    </row>
    <row r="2597" spans="4:4" x14ac:dyDescent="0.2">
      <c r="D2597" s="341"/>
    </row>
    <row r="2598" spans="4:4" x14ac:dyDescent="0.2">
      <c r="D2598" s="341"/>
    </row>
    <row r="2599" spans="4:4" x14ac:dyDescent="0.2">
      <c r="D2599" s="341"/>
    </row>
    <row r="2600" spans="4:4" x14ac:dyDescent="0.2">
      <c r="D2600" s="341"/>
    </row>
    <row r="2601" spans="4:4" x14ac:dyDescent="0.2">
      <c r="D2601" s="341"/>
    </row>
    <row r="2602" spans="4:4" x14ac:dyDescent="0.2">
      <c r="D2602" s="341"/>
    </row>
    <row r="2603" spans="4:4" x14ac:dyDescent="0.2">
      <c r="D2603" s="341"/>
    </row>
    <row r="2604" spans="4:4" x14ac:dyDescent="0.2">
      <c r="D2604" s="341"/>
    </row>
    <row r="2605" spans="4:4" x14ac:dyDescent="0.2">
      <c r="D2605" s="341"/>
    </row>
    <row r="2606" spans="4:4" x14ac:dyDescent="0.2">
      <c r="D2606" s="341"/>
    </row>
    <row r="2607" spans="4:4" x14ac:dyDescent="0.2">
      <c r="D2607" s="341"/>
    </row>
    <row r="2608" spans="4:4" x14ac:dyDescent="0.2">
      <c r="D2608" s="341"/>
    </row>
    <row r="2609" spans="4:4" x14ac:dyDescent="0.2">
      <c r="D2609" s="341"/>
    </row>
    <row r="2610" spans="4:4" x14ac:dyDescent="0.2">
      <c r="D2610" s="341"/>
    </row>
    <row r="2611" spans="4:4" x14ac:dyDescent="0.2">
      <c r="D2611" s="341"/>
    </row>
    <row r="2612" spans="4:4" x14ac:dyDescent="0.2">
      <c r="D2612" s="341"/>
    </row>
    <row r="2613" spans="4:4" x14ac:dyDescent="0.2">
      <c r="D2613" s="341"/>
    </row>
    <row r="2614" spans="4:4" x14ac:dyDescent="0.2">
      <c r="D2614" s="341"/>
    </row>
    <row r="2615" spans="4:4" x14ac:dyDescent="0.2">
      <c r="D2615" s="341"/>
    </row>
    <row r="2616" spans="4:4" x14ac:dyDescent="0.2">
      <c r="D2616" s="341"/>
    </row>
    <row r="2617" spans="4:4" x14ac:dyDescent="0.2">
      <c r="D2617" s="341"/>
    </row>
    <row r="2618" spans="4:4" x14ac:dyDescent="0.2">
      <c r="D2618" s="341"/>
    </row>
    <row r="2619" spans="4:4" x14ac:dyDescent="0.2">
      <c r="D2619" s="341"/>
    </row>
    <row r="2620" spans="4:4" x14ac:dyDescent="0.2">
      <c r="D2620" s="341"/>
    </row>
    <row r="2621" spans="4:4" x14ac:dyDescent="0.2">
      <c r="D2621" s="341"/>
    </row>
    <row r="2622" spans="4:4" x14ac:dyDescent="0.2">
      <c r="D2622" s="341"/>
    </row>
    <row r="2623" spans="4:4" x14ac:dyDescent="0.2">
      <c r="D2623" s="341"/>
    </row>
    <row r="2624" spans="4:4" x14ac:dyDescent="0.2">
      <c r="D2624" s="341"/>
    </row>
    <row r="2625" spans="4:4" x14ac:dyDescent="0.2">
      <c r="D2625" s="341"/>
    </row>
    <row r="2626" spans="4:4" x14ac:dyDescent="0.2">
      <c r="D2626" s="341"/>
    </row>
    <row r="2627" spans="4:4" x14ac:dyDescent="0.2">
      <c r="D2627" s="341"/>
    </row>
    <row r="2628" spans="4:4" x14ac:dyDescent="0.2">
      <c r="D2628" s="341"/>
    </row>
    <row r="2629" spans="4:4" x14ac:dyDescent="0.2">
      <c r="D2629" s="341"/>
    </row>
    <row r="2630" spans="4:4" x14ac:dyDescent="0.2">
      <c r="D2630" s="341"/>
    </row>
    <row r="2631" spans="4:4" x14ac:dyDescent="0.2">
      <c r="D2631" s="341"/>
    </row>
    <row r="2632" spans="4:4" x14ac:dyDescent="0.2">
      <c r="D2632" s="341"/>
    </row>
    <row r="2633" spans="4:4" x14ac:dyDescent="0.2">
      <c r="D2633" s="341"/>
    </row>
    <row r="2634" spans="4:4" x14ac:dyDescent="0.2">
      <c r="D2634" s="341"/>
    </row>
    <row r="2635" spans="4:4" x14ac:dyDescent="0.2">
      <c r="D2635" s="341"/>
    </row>
    <row r="2636" spans="4:4" x14ac:dyDescent="0.2">
      <c r="D2636" s="341"/>
    </row>
    <row r="2637" spans="4:4" x14ac:dyDescent="0.2">
      <c r="D2637" s="341"/>
    </row>
    <row r="2638" spans="4:4" x14ac:dyDescent="0.2">
      <c r="D2638" s="341"/>
    </row>
    <row r="2639" spans="4:4" x14ac:dyDescent="0.2">
      <c r="D2639" s="341"/>
    </row>
    <row r="2640" spans="4:4" x14ac:dyDescent="0.2">
      <c r="D2640" s="341"/>
    </row>
    <row r="2641" spans="4:4" x14ac:dyDescent="0.2">
      <c r="D2641" s="341"/>
    </row>
    <row r="2642" spans="4:4" x14ac:dyDescent="0.2">
      <c r="D2642" s="341"/>
    </row>
    <row r="2643" spans="4:4" x14ac:dyDescent="0.2">
      <c r="D2643" s="341"/>
    </row>
    <row r="2644" spans="4:4" x14ac:dyDescent="0.2">
      <c r="D2644" s="341"/>
    </row>
    <row r="2645" spans="4:4" x14ac:dyDescent="0.2">
      <c r="D2645" s="341"/>
    </row>
    <row r="2646" spans="4:4" x14ac:dyDescent="0.2">
      <c r="D2646" s="341"/>
    </row>
    <row r="2647" spans="4:4" x14ac:dyDescent="0.2">
      <c r="D2647" s="341"/>
    </row>
    <row r="2648" spans="4:4" x14ac:dyDescent="0.2">
      <c r="D2648" s="341"/>
    </row>
    <row r="2649" spans="4:4" x14ac:dyDescent="0.2">
      <c r="D2649" s="341"/>
    </row>
    <row r="2650" spans="4:4" x14ac:dyDescent="0.2">
      <c r="D2650" s="341"/>
    </row>
    <row r="2651" spans="4:4" x14ac:dyDescent="0.2">
      <c r="D2651" s="341"/>
    </row>
    <row r="2652" spans="4:4" x14ac:dyDescent="0.2">
      <c r="D2652" s="341"/>
    </row>
    <row r="2653" spans="4:4" x14ac:dyDescent="0.2">
      <c r="D2653" s="341"/>
    </row>
    <row r="2654" spans="4:4" x14ac:dyDescent="0.2">
      <c r="D2654" s="341"/>
    </row>
    <row r="2655" spans="4:4" x14ac:dyDescent="0.2">
      <c r="D2655" s="341"/>
    </row>
    <row r="2656" spans="4:4" x14ac:dyDescent="0.2">
      <c r="D2656" s="341"/>
    </row>
    <row r="2657" spans="4:4" x14ac:dyDescent="0.2">
      <c r="D2657" s="341"/>
    </row>
    <row r="2658" spans="4:4" x14ac:dyDescent="0.2">
      <c r="D2658" s="341"/>
    </row>
    <row r="2659" spans="4:4" x14ac:dyDescent="0.2">
      <c r="D2659" s="341"/>
    </row>
    <row r="2660" spans="4:4" x14ac:dyDescent="0.2">
      <c r="D2660" s="341"/>
    </row>
    <row r="2661" spans="4:4" x14ac:dyDescent="0.2">
      <c r="D2661" s="341"/>
    </row>
    <row r="2662" spans="4:4" x14ac:dyDescent="0.2">
      <c r="D2662" s="341"/>
    </row>
    <row r="2663" spans="4:4" x14ac:dyDescent="0.2">
      <c r="D2663" s="341"/>
    </row>
    <row r="2664" spans="4:4" x14ac:dyDescent="0.2">
      <c r="D2664" s="341"/>
    </row>
    <row r="2665" spans="4:4" x14ac:dyDescent="0.2">
      <c r="D2665" s="341"/>
    </row>
    <row r="2666" spans="4:4" x14ac:dyDescent="0.2">
      <c r="D2666" s="341"/>
    </row>
    <row r="2667" spans="4:4" x14ac:dyDescent="0.2">
      <c r="D2667" s="341"/>
    </row>
    <row r="2668" spans="4:4" x14ac:dyDescent="0.2">
      <c r="D2668" s="341"/>
    </row>
    <row r="2669" spans="4:4" x14ac:dyDescent="0.2">
      <c r="D2669" s="341"/>
    </row>
    <row r="2670" spans="4:4" x14ac:dyDescent="0.2">
      <c r="D2670" s="341"/>
    </row>
    <row r="2671" spans="4:4" x14ac:dyDescent="0.2">
      <c r="D2671" s="341"/>
    </row>
    <row r="2672" spans="4:4" x14ac:dyDescent="0.2">
      <c r="D2672" s="341"/>
    </row>
    <row r="2673" spans="4:4" x14ac:dyDescent="0.2">
      <c r="D2673" s="341"/>
    </row>
    <row r="2674" spans="4:4" x14ac:dyDescent="0.2">
      <c r="D2674" s="341"/>
    </row>
    <row r="2675" spans="4:4" x14ac:dyDescent="0.2">
      <c r="D2675" s="341"/>
    </row>
    <row r="2676" spans="4:4" x14ac:dyDescent="0.2">
      <c r="D2676" s="341"/>
    </row>
    <row r="2677" spans="4:4" x14ac:dyDescent="0.2">
      <c r="D2677" s="341"/>
    </row>
    <row r="2678" spans="4:4" x14ac:dyDescent="0.2">
      <c r="D2678" s="341"/>
    </row>
    <row r="2679" spans="4:4" x14ac:dyDescent="0.2">
      <c r="D2679" s="341"/>
    </row>
    <row r="2680" spans="4:4" x14ac:dyDescent="0.2">
      <c r="D2680" s="341"/>
    </row>
    <row r="2681" spans="4:4" x14ac:dyDescent="0.2">
      <c r="D2681" s="341"/>
    </row>
    <row r="2682" spans="4:4" x14ac:dyDescent="0.2">
      <c r="D2682" s="341"/>
    </row>
    <row r="2683" spans="4:4" x14ac:dyDescent="0.2">
      <c r="D2683" s="341"/>
    </row>
    <row r="2684" spans="4:4" x14ac:dyDescent="0.2">
      <c r="D2684" s="341"/>
    </row>
    <row r="2685" spans="4:4" x14ac:dyDescent="0.2">
      <c r="D2685" s="341"/>
    </row>
    <row r="2686" spans="4:4" x14ac:dyDescent="0.2">
      <c r="D2686" s="341"/>
    </row>
    <row r="2687" spans="4:4" x14ac:dyDescent="0.2">
      <c r="D2687" s="341"/>
    </row>
    <row r="2688" spans="4:4" x14ac:dyDescent="0.2">
      <c r="D2688" s="341"/>
    </row>
    <row r="2689" spans="4:4" x14ac:dyDescent="0.2">
      <c r="D2689" s="341"/>
    </row>
    <row r="2690" spans="4:4" x14ac:dyDescent="0.2">
      <c r="D2690" s="341"/>
    </row>
    <row r="2691" spans="4:4" x14ac:dyDescent="0.2">
      <c r="D2691" s="341"/>
    </row>
    <row r="2692" spans="4:4" x14ac:dyDescent="0.2">
      <c r="D2692" s="341"/>
    </row>
    <row r="2693" spans="4:4" x14ac:dyDescent="0.2">
      <c r="D2693" s="341"/>
    </row>
    <row r="2694" spans="4:4" x14ac:dyDescent="0.2">
      <c r="D2694" s="341"/>
    </row>
    <row r="2695" spans="4:4" x14ac:dyDescent="0.2">
      <c r="D2695" s="341"/>
    </row>
    <row r="2696" spans="4:4" x14ac:dyDescent="0.2">
      <c r="D2696" s="341"/>
    </row>
    <row r="2697" spans="4:4" x14ac:dyDescent="0.2">
      <c r="D2697" s="341"/>
    </row>
    <row r="2698" spans="4:4" x14ac:dyDescent="0.2">
      <c r="D2698" s="341"/>
    </row>
    <row r="2699" spans="4:4" x14ac:dyDescent="0.2">
      <c r="D2699" s="341"/>
    </row>
    <row r="2700" spans="4:4" x14ac:dyDescent="0.2">
      <c r="D2700" s="341"/>
    </row>
    <row r="2701" spans="4:4" x14ac:dyDescent="0.2">
      <c r="D2701" s="341"/>
    </row>
    <row r="2702" spans="4:4" x14ac:dyDescent="0.2">
      <c r="D2702" s="341"/>
    </row>
    <row r="2703" spans="4:4" x14ac:dyDescent="0.2">
      <c r="D2703" s="341"/>
    </row>
    <row r="2704" spans="4:4" x14ac:dyDescent="0.2">
      <c r="D2704" s="341"/>
    </row>
    <row r="2705" spans="4:4" x14ac:dyDescent="0.2">
      <c r="D2705" s="341"/>
    </row>
    <row r="2706" spans="4:4" x14ac:dyDescent="0.2">
      <c r="D2706" s="341"/>
    </row>
    <row r="2707" spans="4:4" x14ac:dyDescent="0.2">
      <c r="D2707" s="341"/>
    </row>
    <row r="2708" spans="4:4" x14ac:dyDescent="0.2">
      <c r="D2708" s="341"/>
    </row>
    <row r="2709" spans="4:4" x14ac:dyDescent="0.2">
      <c r="D2709" s="341"/>
    </row>
    <row r="2710" spans="4:4" x14ac:dyDescent="0.2">
      <c r="D2710" s="341"/>
    </row>
    <row r="2711" spans="4:4" x14ac:dyDescent="0.2">
      <c r="D2711" s="341"/>
    </row>
    <row r="2712" spans="4:4" x14ac:dyDescent="0.2">
      <c r="D2712" s="341"/>
    </row>
    <row r="2713" spans="4:4" x14ac:dyDescent="0.2">
      <c r="D2713" s="341"/>
    </row>
    <row r="2714" spans="4:4" x14ac:dyDescent="0.2">
      <c r="D2714" s="341"/>
    </row>
    <row r="2715" spans="4:4" x14ac:dyDescent="0.2">
      <c r="D2715" s="341"/>
    </row>
    <row r="2716" spans="4:4" x14ac:dyDescent="0.2">
      <c r="D2716" s="341"/>
    </row>
    <row r="2717" spans="4:4" x14ac:dyDescent="0.2">
      <c r="D2717" s="341"/>
    </row>
    <row r="2718" spans="4:4" x14ac:dyDescent="0.2">
      <c r="D2718" s="341"/>
    </row>
    <row r="2719" spans="4:4" x14ac:dyDescent="0.2">
      <c r="D2719" s="341"/>
    </row>
    <row r="2720" spans="4:4" x14ac:dyDescent="0.2">
      <c r="D2720" s="341"/>
    </row>
    <row r="2721" spans="4:4" x14ac:dyDescent="0.2">
      <c r="D2721" s="341"/>
    </row>
    <row r="2722" spans="4:4" x14ac:dyDescent="0.2">
      <c r="D2722" s="341"/>
    </row>
    <row r="2723" spans="4:4" x14ac:dyDescent="0.2">
      <c r="D2723" s="341"/>
    </row>
    <row r="2724" spans="4:4" x14ac:dyDescent="0.2">
      <c r="D2724" s="341"/>
    </row>
    <row r="2725" spans="4:4" x14ac:dyDescent="0.2">
      <c r="D2725" s="341"/>
    </row>
    <row r="2726" spans="4:4" x14ac:dyDescent="0.2">
      <c r="D2726" s="341"/>
    </row>
    <row r="2727" spans="4:4" x14ac:dyDescent="0.2">
      <c r="D2727" s="341"/>
    </row>
    <row r="2728" spans="4:4" x14ac:dyDescent="0.2">
      <c r="D2728" s="341"/>
    </row>
    <row r="2729" spans="4:4" x14ac:dyDescent="0.2">
      <c r="D2729" s="341"/>
    </row>
    <row r="2730" spans="4:4" x14ac:dyDescent="0.2">
      <c r="D2730" s="341"/>
    </row>
    <row r="2731" spans="4:4" x14ac:dyDescent="0.2">
      <c r="D2731" s="341"/>
    </row>
    <row r="2732" spans="4:4" x14ac:dyDescent="0.2">
      <c r="D2732" s="341"/>
    </row>
    <row r="2733" spans="4:4" x14ac:dyDescent="0.2">
      <c r="D2733" s="341"/>
    </row>
    <row r="2734" spans="4:4" x14ac:dyDescent="0.2">
      <c r="D2734" s="341"/>
    </row>
    <row r="2735" spans="4:4" x14ac:dyDescent="0.2">
      <c r="D2735" s="341"/>
    </row>
    <row r="2736" spans="4:4" x14ac:dyDescent="0.2">
      <c r="D2736" s="341"/>
    </row>
    <row r="2737" spans="4:4" x14ac:dyDescent="0.2">
      <c r="D2737" s="341"/>
    </row>
    <row r="2738" spans="4:4" x14ac:dyDescent="0.2">
      <c r="D2738" s="341"/>
    </row>
    <row r="2739" spans="4:4" x14ac:dyDescent="0.2">
      <c r="D2739" s="341"/>
    </row>
    <row r="2740" spans="4:4" x14ac:dyDescent="0.2">
      <c r="D2740" s="341"/>
    </row>
    <row r="2741" spans="4:4" x14ac:dyDescent="0.2">
      <c r="D2741" s="341"/>
    </row>
    <row r="2742" spans="4:4" x14ac:dyDescent="0.2">
      <c r="D2742" s="341"/>
    </row>
    <row r="2743" spans="4:4" x14ac:dyDescent="0.2">
      <c r="D2743" s="341"/>
    </row>
    <row r="2744" spans="4:4" x14ac:dyDescent="0.2">
      <c r="D2744" s="341"/>
    </row>
    <row r="2745" spans="4:4" x14ac:dyDescent="0.2">
      <c r="D2745" s="341"/>
    </row>
    <row r="2746" spans="4:4" x14ac:dyDescent="0.2">
      <c r="D2746" s="341"/>
    </row>
    <row r="2747" spans="4:4" x14ac:dyDescent="0.2">
      <c r="D2747" s="341"/>
    </row>
    <row r="2748" spans="4:4" x14ac:dyDescent="0.2">
      <c r="D2748" s="341"/>
    </row>
    <row r="2749" spans="4:4" x14ac:dyDescent="0.2">
      <c r="D2749" s="341"/>
    </row>
    <row r="2750" spans="4:4" x14ac:dyDescent="0.2">
      <c r="D2750" s="341"/>
    </row>
    <row r="2751" spans="4:4" x14ac:dyDescent="0.2">
      <c r="D2751" s="341"/>
    </row>
    <row r="2752" spans="4:4" x14ac:dyDescent="0.2">
      <c r="D2752" s="341"/>
    </row>
    <row r="2753" spans="4:4" x14ac:dyDescent="0.2">
      <c r="D2753" s="341"/>
    </row>
    <row r="2754" spans="4:4" x14ac:dyDescent="0.2">
      <c r="D2754" s="341"/>
    </row>
    <row r="2755" spans="4:4" x14ac:dyDescent="0.2">
      <c r="D2755" s="341"/>
    </row>
    <row r="2756" spans="4:4" x14ac:dyDescent="0.2">
      <c r="D2756" s="341"/>
    </row>
    <row r="2757" spans="4:4" x14ac:dyDescent="0.2">
      <c r="D2757" s="341"/>
    </row>
    <row r="2758" spans="4:4" x14ac:dyDescent="0.2">
      <c r="D2758" s="341"/>
    </row>
    <row r="2759" spans="4:4" x14ac:dyDescent="0.2">
      <c r="D2759" s="341"/>
    </row>
    <row r="2760" spans="4:4" x14ac:dyDescent="0.2">
      <c r="D2760" s="341"/>
    </row>
    <row r="2761" spans="4:4" x14ac:dyDescent="0.2">
      <c r="D2761" s="341"/>
    </row>
    <row r="2762" spans="4:4" x14ac:dyDescent="0.2">
      <c r="D2762" s="341"/>
    </row>
    <row r="2763" spans="4:4" x14ac:dyDescent="0.2">
      <c r="D2763" s="341"/>
    </row>
    <row r="2764" spans="4:4" x14ac:dyDescent="0.2">
      <c r="D2764" s="341"/>
    </row>
    <row r="2765" spans="4:4" x14ac:dyDescent="0.2">
      <c r="D2765" s="341"/>
    </row>
    <row r="2766" spans="4:4" x14ac:dyDescent="0.2">
      <c r="D2766" s="341"/>
    </row>
    <row r="2767" spans="4:4" x14ac:dyDescent="0.2">
      <c r="D2767" s="341"/>
    </row>
    <row r="2768" spans="4:4" x14ac:dyDescent="0.2">
      <c r="D2768" s="341"/>
    </row>
    <row r="2769" spans="4:4" x14ac:dyDescent="0.2">
      <c r="D2769" s="341"/>
    </row>
    <row r="2770" spans="4:4" x14ac:dyDescent="0.2">
      <c r="D2770" s="341"/>
    </row>
    <row r="2771" spans="4:4" x14ac:dyDescent="0.2">
      <c r="D2771" s="341"/>
    </row>
    <row r="2772" spans="4:4" x14ac:dyDescent="0.2">
      <c r="D2772" s="341"/>
    </row>
    <row r="2773" spans="4:4" x14ac:dyDescent="0.2">
      <c r="D2773" s="341"/>
    </row>
    <row r="2774" spans="4:4" x14ac:dyDescent="0.2">
      <c r="D2774" s="341"/>
    </row>
    <row r="2775" spans="4:4" x14ac:dyDescent="0.2">
      <c r="D2775" s="341"/>
    </row>
    <row r="2776" spans="4:4" x14ac:dyDescent="0.2">
      <c r="D2776" s="341"/>
    </row>
    <row r="2777" spans="4:4" x14ac:dyDescent="0.2">
      <c r="D2777" s="341"/>
    </row>
    <row r="2778" spans="4:4" x14ac:dyDescent="0.2">
      <c r="D2778" s="341"/>
    </row>
    <row r="2779" spans="4:4" x14ac:dyDescent="0.2">
      <c r="D2779" s="341"/>
    </row>
    <row r="2780" spans="4:4" x14ac:dyDescent="0.2">
      <c r="D2780" s="341"/>
    </row>
    <row r="2781" spans="4:4" x14ac:dyDescent="0.2">
      <c r="D2781" s="341"/>
    </row>
    <row r="2782" spans="4:4" x14ac:dyDescent="0.2">
      <c r="D2782" s="341"/>
    </row>
    <row r="2783" spans="4:4" x14ac:dyDescent="0.2">
      <c r="D2783" s="341"/>
    </row>
    <row r="2784" spans="4:4" x14ac:dyDescent="0.2">
      <c r="D2784" s="341"/>
    </row>
    <row r="2785" spans="4:4" x14ac:dyDescent="0.2">
      <c r="D2785" s="341"/>
    </row>
    <row r="2786" spans="4:4" x14ac:dyDescent="0.2">
      <c r="D2786" s="341"/>
    </row>
    <row r="2787" spans="4:4" x14ac:dyDescent="0.2">
      <c r="D2787" s="341"/>
    </row>
    <row r="2788" spans="4:4" x14ac:dyDescent="0.2">
      <c r="D2788" s="341"/>
    </row>
    <row r="2789" spans="4:4" x14ac:dyDescent="0.2">
      <c r="D2789" s="341"/>
    </row>
    <row r="2790" spans="4:4" x14ac:dyDescent="0.2">
      <c r="D2790" s="341"/>
    </row>
    <row r="2791" spans="4:4" x14ac:dyDescent="0.2">
      <c r="D2791" s="341"/>
    </row>
    <row r="2792" spans="4:4" x14ac:dyDescent="0.2">
      <c r="D2792" s="341"/>
    </row>
    <row r="2793" spans="4:4" x14ac:dyDescent="0.2">
      <c r="D2793" s="341"/>
    </row>
    <row r="2794" spans="4:4" x14ac:dyDescent="0.2">
      <c r="D2794" s="341"/>
    </row>
    <row r="2795" spans="4:4" x14ac:dyDescent="0.2">
      <c r="D2795" s="341"/>
    </row>
    <row r="2796" spans="4:4" x14ac:dyDescent="0.2">
      <c r="D2796" s="341"/>
    </row>
    <row r="2797" spans="4:4" x14ac:dyDescent="0.2">
      <c r="D2797" s="341"/>
    </row>
    <row r="2798" spans="4:4" x14ac:dyDescent="0.2">
      <c r="D2798" s="341"/>
    </row>
    <row r="2799" spans="4:4" x14ac:dyDescent="0.2">
      <c r="D2799" s="341"/>
    </row>
    <row r="2800" spans="4:4" x14ac:dyDescent="0.2">
      <c r="D2800" s="341"/>
    </row>
    <row r="2801" spans="4:4" x14ac:dyDescent="0.2">
      <c r="D2801" s="341"/>
    </row>
    <row r="2802" spans="4:4" x14ac:dyDescent="0.2">
      <c r="D2802" s="341"/>
    </row>
    <row r="2803" spans="4:4" x14ac:dyDescent="0.2">
      <c r="D2803" s="341"/>
    </row>
    <row r="2804" spans="4:4" x14ac:dyDescent="0.2">
      <c r="D2804" s="341"/>
    </row>
    <row r="2805" spans="4:4" x14ac:dyDescent="0.2">
      <c r="D2805" s="341"/>
    </row>
    <row r="2806" spans="4:4" x14ac:dyDescent="0.2">
      <c r="D2806" s="341"/>
    </row>
    <row r="2807" spans="4:4" x14ac:dyDescent="0.2">
      <c r="D2807" s="341"/>
    </row>
    <row r="2808" spans="4:4" x14ac:dyDescent="0.2">
      <c r="D2808" s="341"/>
    </row>
    <row r="2809" spans="4:4" x14ac:dyDescent="0.2">
      <c r="D2809" s="341"/>
    </row>
    <row r="2810" spans="4:4" x14ac:dyDescent="0.2">
      <c r="D2810" s="341"/>
    </row>
    <row r="2811" spans="4:4" x14ac:dyDescent="0.2">
      <c r="D2811" s="341"/>
    </row>
    <row r="2812" spans="4:4" x14ac:dyDescent="0.2">
      <c r="D2812" s="341"/>
    </row>
    <row r="2813" spans="4:4" x14ac:dyDescent="0.2">
      <c r="D2813" s="341"/>
    </row>
    <row r="2814" spans="4:4" x14ac:dyDescent="0.2">
      <c r="D2814" s="341"/>
    </row>
    <row r="2815" spans="4:4" x14ac:dyDescent="0.2">
      <c r="D2815" s="341"/>
    </row>
    <row r="2816" spans="4:4" x14ac:dyDescent="0.2">
      <c r="D2816" s="341"/>
    </row>
    <row r="2817" spans="4:4" x14ac:dyDescent="0.2">
      <c r="D2817" s="341"/>
    </row>
    <row r="2818" spans="4:4" x14ac:dyDescent="0.2">
      <c r="D2818" s="341"/>
    </row>
    <row r="2819" spans="4:4" x14ac:dyDescent="0.2">
      <c r="D2819" s="341"/>
    </row>
    <row r="2820" spans="4:4" x14ac:dyDescent="0.2">
      <c r="D2820" s="341"/>
    </row>
    <row r="2821" spans="4:4" x14ac:dyDescent="0.2">
      <c r="D2821" s="341"/>
    </row>
    <row r="2822" spans="4:4" x14ac:dyDescent="0.2">
      <c r="D2822" s="341"/>
    </row>
    <row r="2823" spans="4:4" x14ac:dyDescent="0.2">
      <c r="D2823" s="341"/>
    </row>
    <row r="2824" spans="4:4" x14ac:dyDescent="0.2">
      <c r="D2824" s="341"/>
    </row>
    <row r="2825" spans="4:4" x14ac:dyDescent="0.2">
      <c r="D2825" s="341"/>
    </row>
    <row r="2826" spans="4:4" x14ac:dyDescent="0.2">
      <c r="D2826" s="341"/>
    </row>
    <row r="2827" spans="4:4" x14ac:dyDescent="0.2">
      <c r="D2827" s="341"/>
    </row>
    <row r="2828" spans="4:4" x14ac:dyDescent="0.2">
      <c r="D2828" s="341"/>
    </row>
    <row r="2829" spans="4:4" x14ac:dyDescent="0.2">
      <c r="D2829" s="341"/>
    </row>
    <row r="2830" spans="4:4" x14ac:dyDescent="0.2">
      <c r="D2830" s="341"/>
    </row>
    <row r="2831" spans="4:4" x14ac:dyDescent="0.2">
      <c r="D2831" s="341"/>
    </row>
    <row r="2832" spans="4:4" x14ac:dyDescent="0.2">
      <c r="D2832" s="341"/>
    </row>
    <row r="2833" spans="4:4" x14ac:dyDescent="0.2">
      <c r="D2833" s="341"/>
    </row>
    <row r="2834" spans="4:4" x14ac:dyDescent="0.2">
      <c r="D2834" s="341"/>
    </row>
    <row r="2835" spans="4:4" x14ac:dyDescent="0.2">
      <c r="D2835" s="341"/>
    </row>
    <row r="2836" spans="4:4" x14ac:dyDescent="0.2">
      <c r="D2836" s="341"/>
    </row>
    <row r="2837" spans="4:4" x14ac:dyDescent="0.2">
      <c r="D2837" s="341"/>
    </row>
    <row r="2838" spans="4:4" x14ac:dyDescent="0.2">
      <c r="D2838" s="341"/>
    </row>
    <row r="2839" spans="4:4" x14ac:dyDescent="0.2">
      <c r="D2839" s="341"/>
    </row>
    <row r="2840" spans="4:4" x14ac:dyDescent="0.2">
      <c r="D2840" s="341"/>
    </row>
    <row r="2841" spans="4:4" x14ac:dyDescent="0.2">
      <c r="D2841" s="341"/>
    </row>
    <row r="2842" spans="4:4" x14ac:dyDescent="0.2">
      <c r="D2842" s="341"/>
    </row>
    <row r="2843" spans="4:4" x14ac:dyDescent="0.2">
      <c r="D2843" s="341"/>
    </row>
    <row r="2844" spans="4:4" x14ac:dyDescent="0.2">
      <c r="D2844" s="341"/>
    </row>
    <row r="2845" spans="4:4" x14ac:dyDescent="0.2">
      <c r="D2845" s="341"/>
    </row>
    <row r="2846" spans="4:4" x14ac:dyDescent="0.2">
      <c r="D2846" s="341"/>
    </row>
    <row r="2847" spans="4:4" x14ac:dyDescent="0.2">
      <c r="D2847" s="341"/>
    </row>
    <row r="2848" spans="4:4" x14ac:dyDescent="0.2">
      <c r="D2848" s="341"/>
    </row>
    <row r="2849" spans="4:4" x14ac:dyDescent="0.2">
      <c r="D2849" s="341"/>
    </row>
    <row r="2850" spans="4:4" x14ac:dyDescent="0.2">
      <c r="D2850" s="341"/>
    </row>
    <row r="2851" spans="4:4" x14ac:dyDescent="0.2">
      <c r="D2851" s="341"/>
    </row>
    <row r="2852" spans="4:4" x14ac:dyDescent="0.2">
      <c r="D2852" s="341"/>
    </row>
    <row r="2853" spans="4:4" x14ac:dyDescent="0.2">
      <c r="D2853" s="341"/>
    </row>
    <row r="2854" spans="4:4" x14ac:dyDescent="0.2">
      <c r="D2854" s="341"/>
    </row>
    <row r="2855" spans="4:4" x14ac:dyDescent="0.2">
      <c r="D2855" s="341"/>
    </row>
    <row r="2856" spans="4:4" x14ac:dyDescent="0.2">
      <c r="D2856" s="341"/>
    </row>
    <row r="2857" spans="4:4" x14ac:dyDescent="0.2">
      <c r="D2857" s="341"/>
    </row>
    <row r="2858" spans="4:4" x14ac:dyDescent="0.2">
      <c r="D2858" s="341"/>
    </row>
    <row r="2859" spans="4:4" x14ac:dyDescent="0.2">
      <c r="D2859" s="341"/>
    </row>
    <row r="2860" spans="4:4" x14ac:dyDescent="0.2">
      <c r="D2860" s="341"/>
    </row>
    <row r="2861" spans="4:4" x14ac:dyDescent="0.2">
      <c r="D2861" s="341"/>
    </row>
    <row r="2862" spans="4:4" x14ac:dyDescent="0.2">
      <c r="D2862" s="341"/>
    </row>
    <row r="2863" spans="4:4" x14ac:dyDescent="0.2">
      <c r="D2863" s="341"/>
    </row>
    <row r="2864" spans="4:4" x14ac:dyDescent="0.2">
      <c r="D2864" s="341"/>
    </row>
    <row r="2865" spans="4:4" x14ac:dyDescent="0.2">
      <c r="D2865" s="341"/>
    </row>
    <row r="2866" spans="4:4" x14ac:dyDescent="0.2">
      <c r="D2866" s="341"/>
    </row>
    <row r="2867" spans="4:4" x14ac:dyDescent="0.2">
      <c r="D2867" s="341"/>
    </row>
    <row r="2868" spans="4:4" x14ac:dyDescent="0.2">
      <c r="D2868" s="341"/>
    </row>
    <row r="2869" spans="4:4" x14ac:dyDescent="0.2">
      <c r="D2869" s="341"/>
    </row>
    <row r="2870" spans="4:4" x14ac:dyDescent="0.2">
      <c r="D2870" s="341"/>
    </row>
    <row r="2871" spans="4:4" x14ac:dyDescent="0.2">
      <c r="D2871" s="341"/>
    </row>
    <row r="2872" spans="4:4" x14ac:dyDescent="0.2">
      <c r="D2872" s="341"/>
    </row>
    <row r="2873" spans="4:4" x14ac:dyDescent="0.2">
      <c r="D2873" s="341"/>
    </row>
    <row r="2874" spans="4:4" x14ac:dyDescent="0.2">
      <c r="D2874" s="341"/>
    </row>
    <row r="2875" spans="4:4" x14ac:dyDescent="0.2">
      <c r="D2875" s="341"/>
    </row>
    <row r="2876" spans="4:4" x14ac:dyDescent="0.2">
      <c r="D2876" s="341"/>
    </row>
    <row r="2877" spans="4:4" x14ac:dyDescent="0.2">
      <c r="D2877" s="341"/>
    </row>
    <row r="2878" spans="4:4" x14ac:dyDescent="0.2">
      <c r="D2878" s="341"/>
    </row>
    <row r="2879" spans="4:4" x14ac:dyDescent="0.2">
      <c r="D2879" s="341"/>
    </row>
    <row r="2880" spans="4:4" x14ac:dyDescent="0.2">
      <c r="D2880" s="341"/>
    </row>
    <row r="2881" spans="4:4" x14ac:dyDescent="0.2">
      <c r="D2881" s="341"/>
    </row>
    <row r="2882" spans="4:4" x14ac:dyDescent="0.2">
      <c r="D2882" s="341"/>
    </row>
    <row r="2883" spans="4:4" x14ac:dyDescent="0.2">
      <c r="D2883" s="341"/>
    </row>
    <row r="2884" spans="4:4" x14ac:dyDescent="0.2">
      <c r="D2884" s="341"/>
    </row>
    <row r="2885" spans="4:4" x14ac:dyDescent="0.2">
      <c r="D2885" s="341"/>
    </row>
    <row r="2886" spans="4:4" x14ac:dyDescent="0.2">
      <c r="D2886" s="341"/>
    </row>
    <row r="2887" spans="4:4" x14ac:dyDescent="0.2">
      <c r="D2887" s="341"/>
    </row>
    <row r="2888" spans="4:4" x14ac:dyDescent="0.2">
      <c r="D2888" s="341"/>
    </row>
    <row r="2889" spans="4:4" x14ac:dyDescent="0.2">
      <c r="D2889" s="341"/>
    </row>
    <row r="2890" spans="4:4" x14ac:dyDescent="0.2">
      <c r="D2890" s="341"/>
    </row>
    <row r="2891" spans="4:4" x14ac:dyDescent="0.2">
      <c r="D2891" s="341"/>
    </row>
    <row r="2892" spans="4:4" x14ac:dyDescent="0.2">
      <c r="D2892" s="341"/>
    </row>
    <row r="2893" spans="4:4" x14ac:dyDescent="0.2">
      <c r="D2893" s="341"/>
    </row>
    <row r="2894" spans="4:4" x14ac:dyDescent="0.2">
      <c r="D2894" s="341"/>
    </row>
    <row r="2895" spans="4:4" x14ac:dyDescent="0.2">
      <c r="D2895" s="341"/>
    </row>
    <row r="2896" spans="4:4" x14ac:dyDescent="0.2">
      <c r="D2896" s="341"/>
    </row>
    <row r="2897" spans="4:4" x14ac:dyDescent="0.2">
      <c r="D2897" s="341"/>
    </row>
    <row r="2898" spans="4:4" x14ac:dyDescent="0.2">
      <c r="D2898" s="341"/>
    </row>
    <row r="2899" spans="4:4" x14ac:dyDescent="0.2">
      <c r="D2899" s="341"/>
    </row>
    <row r="2900" spans="4:4" x14ac:dyDescent="0.2">
      <c r="D2900" s="341"/>
    </row>
    <row r="2901" spans="4:4" x14ac:dyDescent="0.2">
      <c r="D2901" s="341"/>
    </row>
    <row r="2902" spans="4:4" x14ac:dyDescent="0.2">
      <c r="D2902" s="341"/>
    </row>
    <row r="2903" spans="4:4" x14ac:dyDescent="0.2">
      <c r="D2903" s="341"/>
    </row>
    <row r="2904" spans="4:4" x14ac:dyDescent="0.2">
      <c r="D2904" s="341"/>
    </row>
    <row r="2905" spans="4:4" x14ac:dyDescent="0.2">
      <c r="D2905" s="341"/>
    </row>
    <row r="2906" spans="4:4" x14ac:dyDescent="0.2">
      <c r="D2906" s="341"/>
    </row>
    <row r="2907" spans="4:4" x14ac:dyDescent="0.2">
      <c r="D2907" s="341"/>
    </row>
    <row r="2908" spans="4:4" x14ac:dyDescent="0.2">
      <c r="D2908" s="341"/>
    </row>
    <row r="2909" spans="4:4" x14ac:dyDescent="0.2">
      <c r="D2909" s="341"/>
    </row>
    <row r="2910" spans="4:4" x14ac:dyDescent="0.2">
      <c r="D2910" s="341"/>
    </row>
    <row r="2911" spans="4:4" x14ac:dyDescent="0.2">
      <c r="D2911" s="341"/>
    </row>
    <row r="2912" spans="4:4" x14ac:dyDescent="0.2">
      <c r="D2912" s="341"/>
    </row>
    <row r="2913" spans="4:4" x14ac:dyDescent="0.2">
      <c r="D2913" s="341"/>
    </row>
    <row r="2914" spans="4:4" x14ac:dyDescent="0.2">
      <c r="D2914" s="341"/>
    </row>
    <row r="2915" spans="4:4" x14ac:dyDescent="0.2">
      <c r="D2915" s="341"/>
    </row>
    <row r="2916" spans="4:4" x14ac:dyDescent="0.2">
      <c r="D2916" s="341"/>
    </row>
    <row r="2917" spans="4:4" x14ac:dyDescent="0.2">
      <c r="D2917" s="341"/>
    </row>
    <row r="2918" spans="4:4" x14ac:dyDescent="0.2">
      <c r="D2918" s="341"/>
    </row>
    <row r="2919" spans="4:4" x14ac:dyDescent="0.2">
      <c r="D2919" s="341"/>
    </row>
    <row r="2920" spans="4:4" x14ac:dyDescent="0.2">
      <c r="D2920" s="341"/>
    </row>
    <row r="2921" spans="4:4" x14ac:dyDescent="0.2">
      <c r="D2921" s="341"/>
    </row>
    <row r="2922" spans="4:4" x14ac:dyDescent="0.2">
      <c r="D2922" s="341"/>
    </row>
    <row r="2923" spans="4:4" x14ac:dyDescent="0.2">
      <c r="D2923" s="341"/>
    </row>
    <row r="2924" spans="4:4" x14ac:dyDescent="0.2">
      <c r="D2924" s="341"/>
    </row>
    <row r="2925" spans="4:4" x14ac:dyDescent="0.2">
      <c r="D2925" s="341"/>
    </row>
    <row r="2926" spans="4:4" x14ac:dyDescent="0.2">
      <c r="D2926" s="341"/>
    </row>
    <row r="2927" spans="4:4" x14ac:dyDescent="0.2">
      <c r="D2927" s="341"/>
    </row>
    <row r="2928" spans="4:4" x14ac:dyDescent="0.2">
      <c r="D2928" s="341"/>
    </row>
    <row r="2929" spans="4:4" x14ac:dyDescent="0.2">
      <c r="D2929" s="341"/>
    </row>
    <row r="2930" spans="4:4" x14ac:dyDescent="0.2">
      <c r="D2930" s="341"/>
    </row>
    <row r="2931" spans="4:4" x14ac:dyDescent="0.2">
      <c r="D2931" s="341"/>
    </row>
    <row r="2932" spans="4:4" x14ac:dyDescent="0.2">
      <c r="D2932" s="341"/>
    </row>
    <row r="2933" spans="4:4" x14ac:dyDescent="0.2">
      <c r="D2933" s="341"/>
    </row>
    <row r="2934" spans="4:4" x14ac:dyDescent="0.2">
      <c r="D2934" s="341"/>
    </row>
    <row r="2935" spans="4:4" x14ac:dyDescent="0.2">
      <c r="D2935" s="341"/>
    </row>
    <row r="2936" spans="4:4" x14ac:dyDescent="0.2">
      <c r="D2936" s="341"/>
    </row>
    <row r="2937" spans="4:4" x14ac:dyDescent="0.2">
      <c r="D2937" s="341"/>
    </row>
    <row r="2938" spans="4:4" x14ac:dyDescent="0.2">
      <c r="D2938" s="341"/>
    </row>
    <row r="2939" spans="4:4" x14ac:dyDescent="0.2">
      <c r="D2939" s="341"/>
    </row>
    <row r="2940" spans="4:4" x14ac:dyDescent="0.2">
      <c r="D2940" s="341"/>
    </row>
    <row r="2941" spans="4:4" x14ac:dyDescent="0.2">
      <c r="D2941" s="341"/>
    </row>
    <row r="2942" spans="4:4" x14ac:dyDescent="0.2">
      <c r="D2942" s="341"/>
    </row>
    <row r="2943" spans="4:4" x14ac:dyDescent="0.2">
      <c r="D2943" s="341"/>
    </row>
    <row r="2944" spans="4:4" x14ac:dyDescent="0.2">
      <c r="D2944" s="341"/>
    </row>
    <row r="2945" spans="4:4" x14ac:dyDescent="0.2">
      <c r="D2945" s="341"/>
    </row>
    <row r="2946" spans="4:4" x14ac:dyDescent="0.2">
      <c r="D2946" s="341"/>
    </row>
    <row r="2947" spans="4:4" x14ac:dyDescent="0.2">
      <c r="D2947" s="341"/>
    </row>
    <row r="2948" spans="4:4" x14ac:dyDescent="0.2">
      <c r="D2948" s="341"/>
    </row>
    <row r="2949" spans="4:4" x14ac:dyDescent="0.2">
      <c r="D2949" s="341"/>
    </row>
    <row r="2950" spans="4:4" x14ac:dyDescent="0.2">
      <c r="D2950" s="341"/>
    </row>
    <row r="2951" spans="4:4" x14ac:dyDescent="0.2">
      <c r="D2951" s="341"/>
    </row>
    <row r="2952" spans="4:4" x14ac:dyDescent="0.2">
      <c r="D2952" s="341"/>
    </row>
    <row r="2953" spans="4:4" x14ac:dyDescent="0.2">
      <c r="D2953" s="341"/>
    </row>
    <row r="2954" spans="4:4" x14ac:dyDescent="0.2">
      <c r="D2954" s="341"/>
    </row>
    <row r="2955" spans="4:4" x14ac:dyDescent="0.2">
      <c r="D2955" s="341"/>
    </row>
    <row r="2956" spans="4:4" x14ac:dyDescent="0.2">
      <c r="D2956" s="341"/>
    </row>
    <row r="2957" spans="4:4" x14ac:dyDescent="0.2">
      <c r="D2957" s="341"/>
    </row>
    <row r="2958" spans="4:4" x14ac:dyDescent="0.2">
      <c r="D2958" s="341"/>
    </row>
    <row r="2959" spans="4:4" x14ac:dyDescent="0.2">
      <c r="D2959" s="341"/>
    </row>
    <row r="2960" spans="4:4" x14ac:dyDescent="0.2">
      <c r="D2960" s="341"/>
    </row>
    <row r="2961" spans="4:4" x14ac:dyDescent="0.2">
      <c r="D2961" s="341"/>
    </row>
    <row r="2962" spans="4:4" x14ac:dyDescent="0.2">
      <c r="D2962" s="341"/>
    </row>
    <row r="2963" spans="4:4" x14ac:dyDescent="0.2">
      <c r="D2963" s="341"/>
    </row>
    <row r="2964" spans="4:4" x14ac:dyDescent="0.2">
      <c r="D2964" s="341"/>
    </row>
    <row r="2965" spans="4:4" x14ac:dyDescent="0.2">
      <c r="D2965" s="341"/>
    </row>
    <row r="2966" spans="4:4" x14ac:dyDescent="0.2">
      <c r="D2966" s="341"/>
    </row>
    <row r="2967" spans="4:4" x14ac:dyDescent="0.2">
      <c r="D2967" s="341"/>
    </row>
    <row r="2968" spans="4:4" x14ac:dyDescent="0.2">
      <c r="D2968" s="341"/>
    </row>
    <row r="2969" spans="4:4" x14ac:dyDescent="0.2">
      <c r="D2969" s="341"/>
    </row>
    <row r="2970" spans="4:4" x14ac:dyDescent="0.2">
      <c r="D2970" s="341"/>
    </row>
    <row r="2971" spans="4:4" x14ac:dyDescent="0.2">
      <c r="D2971" s="341"/>
    </row>
    <row r="2972" spans="4:4" x14ac:dyDescent="0.2">
      <c r="D2972" s="341"/>
    </row>
    <row r="2973" spans="4:4" x14ac:dyDescent="0.2">
      <c r="D2973" s="341"/>
    </row>
    <row r="2974" spans="4:4" x14ac:dyDescent="0.2">
      <c r="D2974" s="341"/>
    </row>
    <row r="2975" spans="4:4" x14ac:dyDescent="0.2">
      <c r="D2975" s="341"/>
    </row>
    <row r="2976" spans="4:4" x14ac:dyDescent="0.2">
      <c r="D2976" s="341"/>
    </row>
    <row r="2977" spans="4:4" x14ac:dyDescent="0.2">
      <c r="D2977" s="341"/>
    </row>
    <row r="2978" spans="4:4" x14ac:dyDescent="0.2">
      <c r="D2978" s="341"/>
    </row>
    <row r="2979" spans="4:4" x14ac:dyDescent="0.2">
      <c r="D2979" s="341"/>
    </row>
    <row r="2980" spans="4:4" x14ac:dyDescent="0.2">
      <c r="D2980" s="341"/>
    </row>
    <row r="2981" spans="4:4" x14ac:dyDescent="0.2">
      <c r="D2981" s="341"/>
    </row>
    <row r="2982" spans="4:4" x14ac:dyDescent="0.2">
      <c r="D2982" s="341"/>
    </row>
    <row r="2983" spans="4:4" x14ac:dyDescent="0.2">
      <c r="D2983" s="341"/>
    </row>
    <row r="2984" spans="4:4" x14ac:dyDescent="0.2">
      <c r="D2984" s="341"/>
    </row>
    <row r="2985" spans="4:4" x14ac:dyDescent="0.2">
      <c r="D2985" s="341"/>
    </row>
    <row r="2986" spans="4:4" x14ac:dyDescent="0.2">
      <c r="D2986" s="341"/>
    </row>
    <row r="2987" spans="4:4" x14ac:dyDescent="0.2">
      <c r="D2987" s="341"/>
    </row>
    <row r="2988" spans="4:4" x14ac:dyDescent="0.2">
      <c r="D2988" s="341"/>
    </row>
    <row r="2989" spans="4:4" x14ac:dyDescent="0.2">
      <c r="D2989" s="341"/>
    </row>
    <row r="2990" spans="4:4" x14ac:dyDescent="0.2">
      <c r="D2990" s="341"/>
    </row>
    <row r="2991" spans="4:4" x14ac:dyDescent="0.2">
      <c r="D2991" s="341"/>
    </row>
    <row r="2992" spans="4:4" x14ac:dyDescent="0.2">
      <c r="D2992" s="341"/>
    </row>
    <row r="2993" spans="4:4" x14ac:dyDescent="0.2">
      <c r="D2993" s="341"/>
    </row>
    <row r="2994" spans="4:4" x14ac:dyDescent="0.2">
      <c r="D2994" s="341"/>
    </row>
    <row r="2995" spans="4:4" x14ac:dyDescent="0.2">
      <c r="D2995" s="341"/>
    </row>
    <row r="2996" spans="4:4" x14ac:dyDescent="0.2">
      <c r="D2996" s="341"/>
    </row>
    <row r="2997" spans="4:4" x14ac:dyDescent="0.2">
      <c r="D2997" s="341"/>
    </row>
    <row r="2998" spans="4:4" x14ac:dyDescent="0.2">
      <c r="D2998" s="341"/>
    </row>
    <row r="2999" spans="4:4" x14ac:dyDescent="0.2">
      <c r="D2999" s="341"/>
    </row>
    <row r="3000" spans="4:4" x14ac:dyDescent="0.2">
      <c r="D3000" s="341"/>
    </row>
    <row r="3001" spans="4:4" x14ac:dyDescent="0.2">
      <c r="D3001" s="341"/>
    </row>
    <row r="3002" spans="4:4" x14ac:dyDescent="0.2">
      <c r="D3002" s="341"/>
    </row>
    <row r="3003" spans="4:4" x14ac:dyDescent="0.2">
      <c r="D3003" s="341"/>
    </row>
    <row r="3004" spans="4:4" x14ac:dyDescent="0.2">
      <c r="D3004" s="341"/>
    </row>
    <row r="3005" spans="4:4" x14ac:dyDescent="0.2">
      <c r="D3005" s="341"/>
    </row>
    <row r="3006" spans="4:4" x14ac:dyDescent="0.2">
      <c r="D3006" s="341"/>
    </row>
    <row r="3007" spans="4:4" x14ac:dyDescent="0.2">
      <c r="D3007" s="341"/>
    </row>
    <row r="3008" spans="4:4" x14ac:dyDescent="0.2">
      <c r="D3008" s="341"/>
    </row>
    <row r="3009" spans="4:4" x14ac:dyDescent="0.2">
      <c r="D3009" s="341"/>
    </row>
    <row r="3010" spans="4:4" x14ac:dyDescent="0.2">
      <c r="D3010" s="341"/>
    </row>
    <row r="3011" spans="4:4" x14ac:dyDescent="0.2">
      <c r="D3011" s="341"/>
    </row>
    <row r="3012" spans="4:4" x14ac:dyDescent="0.2">
      <c r="D3012" s="341"/>
    </row>
    <row r="3013" spans="4:4" x14ac:dyDescent="0.2">
      <c r="D3013" s="341"/>
    </row>
    <row r="3014" spans="4:4" x14ac:dyDescent="0.2">
      <c r="D3014" s="341"/>
    </row>
    <row r="3015" spans="4:4" x14ac:dyDescent="0.2">
      <c r="D3015" s="341"/>
    </row>
    <row r="3016" spans="4:4" x14ac:dyDescent="0.2">
      <c r="D3016" s="341"/>
    </row>
    <row r="3017" spans="4:4" x14ac:dyDescent="0.2">
      <c r="D3017" s="341"/>
    </row>
    <row r="3018" spans="4:4" x14ac:dyDescent="0.2">
      <c r="D3018" s="341"/>
    </row>
    <row r="3019" spans="4:4" x14ac:dyDescent="0.2">
      <c r="D3019" s="341"/>
    </row>
    <row r="3020" spans="4:4" x14ac:dyDescent="0.2">
      <c r="D3020" s="341"/>
    </row>
    <row r="3021" spans="4:4" x14ac:dyDescent="0.2">
      <c r="D3021" s="341"/>
    </row>
    <row r="3022" spans="4:4" x14ac:dyDescent="0.2">
      <c r="D3022" s="341"/>
    </row>
    <row r="3023" spans="4:4" x14ac:dyDescent="0.2">
      <c r="D3023" s="341"/>
    </row>
    <row r="3024" spans="4:4" x14ac:dyDescent="0.2">
      <c r="D3024" s="341"/>
    </row>
    <row r="3025" spans="4:4" x14ac:dyDescent="0.2">
      <c r="D3025" s="341"/>
    </row>
    <row r="3026" spans="4:4" x14ac:dyDescent="0.2">
      <c r="D3026" s="341"/>
    </row>
    <row r="3027" spans="4:4" x14ac:dyDescent="0.2">
      <c r="D3027" s="341"/>
    </row>
    <row r="3028" spans="4:4" x14ac:dyDescent="0.2">
      <c r="D3028" s="341"/>
    </row>
    <row r="3029" spans="4:4" x14ac:dyDescent="0.2">
      <c r="D3029" s="341"/>
    </row>
    <row r="3030" spans="4:4" x14ac:dyDescent="0.2">
      <c r="D3030" s="341"/>
    </row>
    <row r="3031" spans="4:4" x14ac:dyDescent="0.2">
      <c r="D3031" s="341"/>
    </row>
    <row r="3032" spans="4:4" x14ac:dyDescent="0.2">
      <c r="D3032" s="341"/>
    </row>
    <row r="3033" spans="4:4" x14ac:dyDescent="0.2">
      <c r="D3033" s="341"/>
    </row>
    <row r="3034" spans="4:4" x14ac:dyDescent="0.2">
      <c r="D3034" s="341"/>
    </row>
    <row r="3035" spans="4:4" x14ac:dyDescent="0.2">
      <c r="D3035" s="341"/>
    </row>
    <row r="3036" spans="4:4" x14ac:dyDescent="0.2">
      <c r="D3036" s="341"/>
    </row>
    <row r="3037" spans="4:4" x14ac:dyDescent="0.2">
      <c r="D3037" s="341"/>
    </row>
    <row r="3038" spans="4:4" x14ac:dyDescent="0.2">
      <c r="D3038" s="341"/>
    </row>
    <row r="3039" spans="4:4" x14ac:dyDescent="0.2">
      <c r="D3039" s="341"/>
    </row>
    <row r="3040" spans="4:4" x14ac:dyDescent="0.2">
      <c r="D3040" s="341"/>
    </row>
    <row r="3041" spans="4:4" x14ac:dyDescent="0.2">
      <c r="D3041" s="341"/>
    </row>
    <row r="3042" spans="4:4" x14ac:dyDescent="0.2">
      <c r="D3042" s="341"/>
    </row>
    <row r="3043" spans="4:4" x14ac:dyDescent="0.2">
      <c r="D3043" s="341"/>
    </row>
    <row r="3044" spans="4:4" x14ac:dyDescent="0.2">
      <c r="D3044" s="341"/>
    </row>
    <row r="3045" spans="4:4" x14ac:dyDescent="0.2">
      <c r="D3045" s="341"/>
    </row>
    <row r="3046" spans="4:4" x14ac:dyDescent="0.2">
      <c r="D3046" s="341"/>
    </row>
    <row r="3047" spans="4:4" x14ac:dyDescent="0.2">
      <c r="D3047" s="341"/>
    </row>
    <row r="3048" spans="4:4" x14ac:dyDescent="0.2">
      <c r="D3048" s="341"/>
    </row>
    <row r="3049" spans="4:4" x14ac:dyDescent="0.2">
      <c r="D3049" s="341"/>
    </row>
    <row r="3050" spans="4:4" x14ac:dyDescent="0.2">
      <c r="D3050" s="341"/>
    </row>
    <row r="3051" spans="4:4" x14ac:dyDescent="0.2">
      <c r="D3051" s="341"/>
    </row>
    <row r="3052" spans="4:4" x14ac:dyDescent="0.2">
      <c r="D3052" s="341"/>
    </row>
    <row r="3053" spans="4:4" x14ac:dyDescent="0.2">
      <c r="D3053" s="341"/>
    </row>
    <row r="3054" spans="4:4" x14ac:dyDescent="0.2">
      <c r="D3054" s="341"/>
    </row>
    <row r="3055" spans="4:4" x14ac:dyDescent="0.2">
      <c r="D3055" s="341"/>
    </row>
    <row r="3056" spans="4:4" x14ac:dyDescent="0.2">
      <c r="D3056" s="341"/>
    </row>
    <row r="3057" spans="4:4" x14ac:dyDescent="0.2">
      <c r="D3057" s="341"/>
    </row>
    <row r="3058" spans="4:4" x14ac:dyDescent="0.2">
      <c r="D3058" s="341"/>
    </row>
    <row r="3059" spans="4:4" x14ac:dyDescent="0.2">
      <c r="D3059" s="341"/>
    </row>
    <row r="3060" spans="4:4" x14ac:dyDescent="0.2">
      <c r="D3060" s="341"/>
    </row>
    <row r="3061" spans="4:4" x14ac:dyDescent="0.2">
      <c r="D3061" s="341"/>
    </row>
    <row r="3062" spans="4:4" x14ac:dyDescent="0.2">
      <c r="D3062" s="341"/>
    </row>
    <row r="3063" spans="4:4" x14ac:dyDescent="0.2">
      <c r="D3063" s="341"/>
    </row>
    <row r="3064" spans="4:4" x14ac:dyDescent="0.2">
      <c r="D3064" s="341"/>
    </row>
    <row r="3065" spans="4:4" x14ac:dyDescent="0.2">
      <c r="D3065" s="341"/>
    </row>
    <row r="3066" spans="4:4" x14ac:dyDescent="0.2">
      <c r="D3066" s="341"/>
    </row>
    <row r="3067" spans="4:4" x14ac:dyDescent="0.2">
      <c r="D3067" s="341"/>
    </row>
    <row r="3068" spans="4:4" x14ac:dyDescent="0.2">
      <c r="D3068" s="341"/>
    </row>
    <row r="3069" spans="4:4" x14ac:dyDescent="0.2">
      <c r="D3069" s="341"/>
    </row>
    <row r="3070" spans="4:4" x14ac:dyDescent="0.2">
      <c r="D3070" s="341"/>
    </row>
    <row r="3071" spans="4:4" x14ac:dyDescent="0.2">
      <c r="D3071" s="341"/>
    </row>
    <row r="3072" spans="4:4" x14ac:dyDescent="0.2">
      <c r="D3072" s="341"/>
    </row>
    <row r="3073" spans="4:4" x14ac:dyDescent="0.2">
      <c r="D3073" s="341"/>
    </row>
    <row r="3074" spans="4:4" x14ac:dyDescent="0.2">
      <c r="D3074" s="341"/>
    </row>
    <row r="3075" spans="4:4" x14ac:dyDescent="0.2">
      <c r="D3075" s="341"/>
    </row>
    <row r="3076" spans="4:4" x14ac:dyDescent="0.2">
      <c r="D3076" s="341"/>
    </row>
    <row r="3077" spans="4:4" x14ac:dyDescent="0.2">
      <c r="D3077" s="341"/>
    </row>
    <row r="3078" spans="4:4" x14ac:dyDescent="0.2">
      <c r="D3078" s="341"/>
    </row>
    <row r="3079" spans="4:4" x14ac:dyDescent="0.2">
      <c r="D3079" s="341"/>
    </row>
    <row r="3080" spans="4:4" x14ac:dyDescent="0.2">
      <c r="D3080" s="341"/>
    </row>
    <row r="3081" spans="4:4" x14ac:dyDescent="0.2">
      <c r="D3081" s="341"/>
    </row>
    <row r="3082" spans="4:4" x14ac:dyDescent="0.2">
      <c r="D3082" s="341"/>
    </row>
    <row r="3083" spans="4:4" x14ac:dyDescent="0.2">
      <c r="D3083" s="341"/>
    </row>
    <row r="3084" spans="4:4" x14ac:dyDescent="0.2">
      <c r="D3084" s="341"/>
    </row>
    <row r="3085" spans="4:4" x14ac:dyDescent="0.2">
      <c r="D3085" s="341"/>
    </row>
    <row r="3086" spans="4:4" x14ac:dyDescent="0.2">
      <c r="D3086" s="341"/>
    </row>
    <row r="3087" spans="4:4" x14ac:dyDescent="0.2">
      <c r="D3087" s="341"/>
    </row>
    <row r="3088" spans="4:4" x14ac:dyDescent="0.2">
      <c r="D3088" s="341"/>
    </row>
    <row r="3089" spans="4:4" x14ac:dyDescent="0.2">
      <c r="D3089" s="341"/>
    </row>
    <row r="3090" spans="4:4" x14ac:dyDescent="0.2">
      <c r="D3090" s="341"/>
    </row>
    <row r="3091" spans="4:4" x14ac:dyDescent="0.2">
      <c r="D3091" s="341"/>
    </row>
    <row r="3092" spans="4:4" x14ac:dyDescent="0.2">
      <c r="D3092" s="341"/>
    </row>
    <row r="3093" spans="4:4" x14ac:dyDescent="0.2">
      <c r="D3093" s="341"/>
    </row>
    <row r="3094" spans="4:4" x14ac:dyDescent="0.2">
      <c r="D3094" s="341"/>
    </row>
    <row r="3095" spans="4:4" x14ac:dyDescent="0.2">
      <c r="D3095" s="341"/>
    </row>
    <row r="3096" spans="4:4" x14ac:dyDescent="0.2">
      <c r="D3096" s="341"/>
    </row>
    <row r="3097" spans="4:4" x14ac:dyDescent="0.2">
      <c r="D3097" s="341"/>
    </row>
    <row r="3098" spans="4:4" x14ac:dyDescent="0.2">
      <c r="D3098" s="341"/>
    </row>
    <row r="3099" spans="4:4" x14ac:dyDescent="0.2">
      <c r="D3099" s="341"/>
    </row>
    <row r="3100" spans="4:4" x14ac:dyDescent="0.2">
      <c r="D3100" s="341"/>
    </row>
    <row r="3101" spans="4:4" x14ac:dyDescent="0.2">
      <c r="D3101" s="341"/>
    </row>
    <row r="3102" spans="4:4" x14ac:dyDescent="0.2">
      <c r="D3102" s="341"/>
    </row>
    <row r="3103" spans="4:4" x14ac:dyDescent="0.2">
      <c r="D3103" s="341"/>
    </row>
    <row r="3104" spans="4:4" x14ac:dyDescent="0.2">
      <c r="D3104" s="341"/>
    </row>
    <row r="3105" spans="4:4" x14ac:dyDescent="0.2">
      <c r="D3105" s="341"/>
    </row>
    <row r="3106" spans="4:4" x14ac:dyDescent="0.2">
      <c r="D3106" s="341"/>
    </row>
    <row r="3107" spans="4:4" x14ac:dyDescent="0.2">
      <c r="D3107" s="341"/>
    </row>
    <row r="3108" spans="4:4" x14ac:dyDescent="0.2">
      <c r="D3108" s="341"/>
    </row>
    <row r="3109" spans="4:4" x14ac:dyDescent="0.2">
      <c r="D3109" s="341"/>
    </row>
    <row r="3110" spans="4:4" x14ac:dyDescent="0.2">
      <c r="D3110" s="341"/>
    </row>
    <row r="3111" spans="4:4" x14ac:dyDescent="0.2">
      <c r="D3111" s="341"/>
    </row>
    <row r="3112" spans="4:4" x14ac:dyDescent="0.2">
      <c r="D3112" s="341"/>
    </row>
    <row r="3113" spans="4:4" x14ac:dyDescent="0.2">
      <c r="D3113" s="341"/>
    </row>
    <row r="3114" spans="4:4" x14ac:dyDescent="0.2">
      <c r="D3114" s="341"/>
    </row>
    <row r="3115" spans="4:4" x14ac:dyDescent="0.2">
      <c r="D3115" s="341"/>
    </row>
    <row r="3116" spans="4:4" x14ac:dyDescent="0.2">
      <c r="D3116" s="341"/>
    </row>
    <row r="3117" spans="4:4" x14ac:dyDescent="0.2">
      <c r="D3117" s="341"/>
    </row>
    <row r="3118" spans="4:4" x14ac:dyDescent="0.2">
      <c r="D3118" s="341"/>
    </row>
    <row r="3119" spans="4:4" x14ac:dyDescent="0.2">
      <c r="D3119" s="341"/>
    </row>
    <row r="3120" spans="4:4" x14ac:dyDescent="0.2">
      <c r="D3120" s="341"/>
    </row>
    <row r="3121" spans="4:4" x14ac:dyDescent="0.2">
      <c r="D3121" s="341"/>
    </row>
    <row r="3122" spans="4:4" x14ac:dyDescent="0.2">
      <c r="D3122" s="341"/>
    </row>
    <row r="3123" spans="4:4" x14ac:dyDescent="0.2">
      <c r="D3123" s="341"/>
    </row>
    <row r="3124" spans="4:4" x14ac:dyDescent="0.2">
      <c r="D3124" s="341"/>
    </row>
    <row r="3125" spans="4:4" x14ac:dyDescent="0.2">
      <c r="D3125" s="341"/>
    </row>
    <row r="3126" spans="4:4" x14ac:dyDescent="0.2">
      <c r="D3126" s="341"/>
    </row>
    <row r="3127" spans="4:4" x14ac:dyDescent="0.2">
      <c r="D3127" s="341"/>
    </row>
    <row r="3128" spans="4:4" x14ac:dyDescent="0.2">
      <c r="D3128" s="341"/>
    </row>
    <row r="3129" spans="4:4" x14ac:dyDescent="0.2">
      <c r="D3129" s="341"/>
    </row>
    <row r="3130" spans="4:4" x14ac:dyDescent="0.2">
      <c r="D3130" s="341"/>
    </row>
    <row r="3131" spans="4:4" x14ac:dyDescent="0.2">
      <c r="D3131" s="341"/>
    </row>
    <row r="3132" spans="4:4" x14ac:dyDescent="0.2">
      <c r="D3132" s="341"/>
    </row>
    <row r="3133" spans="4:4" x14ac:dyDescent="0.2">
      <c r="D3133" s="341"/>
    </row>
    <row r="3134" spans="4:4" x14ac:dyDescent="0.2">
      <c r="D3134" s="341"/>
    </row>
    <row r="3135" spans="4:4" x14ac:dyDescent="0.2">
      <c r="D3135" s="341"/>
    </row>
    <row r="3136" spans="4:4" x14ac:dyDescent="0.2">
      <c r="D3136" s="341"/>
    </row>
    <row r="3137" spans="4:4" x14ac:dyDescent="0.2">
      <c r="D3137" s="341"/>
    </row>
    <row r="3138" spans="4:4" x14ac:dyDescent="0.2">
      <c r="D3138" s="341"/>
    </row>
    <row r="3139" spans="4:4" x14ac:dyDescent="0.2">
      <c r="D3139" s="341"/>
    </row>
    <row r="3140" spans="4:4" x14ac:dyDescent="0.2">
      <c r="D3140" s="341"/>
    </row>
    <row r="3141" spans="4:4" x14ac:dyDescent="0.2">
      <c r="D3141" s="341"/>
    </row>
    <row r="3142" spans="4:4" x14ac:dyDescent="0.2">
      <c r="D3142" s="341"/>
    </row>
    <row r="3143" spans="4:4" x14ac:dyDescent="0.2">
      <c r="D3143" s="341"/>
    </row>
    <row r="3144" spans="4:4" x14ac:dyDescent="0.2">
      <c r="D3144" s="341"/>
    </row>
    <row r="3145" spans="4:4" x14ac:dyDescent="0.2">
      <c r="D3145" s="341"/>
    </row>
    <row r="3146" spans="4:4" x14ac:dyDescent="0.2">
      <c r="D3146" s="341"/>
    </row>
    <row r="3147" spans="4:4" x14ac:dyDescent="0.2">
      <c r="D3147" s="341"/>
    </row>
    <row r="3148" spans="4:4" x14ac:dyDescent="0.2">
      <c r="D3148" s="341"/>
    </row>
    <row r="3149" spans="4:4" x14ac:dyDescent="0.2">
      <c r="D3149" s="341"/>
    </row>
    <row r="3150" spans="4:4" x14ac:dyDescent="0.2">
      <c r="D3150" s="341"/>
    </row>
    <row r="3151" spans="4:4" x14ac:dyDescent="0.2">
      <c r="D3151" s="341"/>
    </row>
    <row r="3152" spans="4:4" x14ac:dyDescent="0.2">
      <c r="D3152" s="341"/>
    </row>
    <row r="3153" spans="4:4" x14ac:dyDescent="0.2">
      <c r="D3153" s="341"/>
    </row>
    <row r="3154" spans="4:4" x14ac:dyDescent="0.2">
      <c r="D3154" s="341"/>
    </row>
    <row r="3155" spans="4:4" x14ac:dyDescent="0.2">
      <c r="D3155" s="341"/>
    </row>
    <row r="3156" spans="4:4" x14ac:dyDescent="0.2">
      <c r="D3156" s="341"/>
    </row>
    <row r="3157" spans="4:4" x14ac:dyDescent="0.2">
      <c r="D3157" s="341"/>
    </row>
    <row r="3158" spans="4:4" x14ac:dyDescent="0.2">
      <c r="D3158" s="341"/>
    </row>
    <row r="3159" spans="4:4" x14ac:dyDescent="0.2">
      <c r="D3159" s="341"/>
    </row>
    <row r="3160" spans="4:4" x14ac:dyDescent="0.2">
      <c r="D3160" s="341"/>
    </row>
    <row r="3161" spans="4:4" x14ac:dyDescent="0.2">
      <c r="D3161" s="341"/>
    </row>
    <row r="3162" spans="4:4" x14ac:dyDescent="0.2">
      <c r="D3162" s="341"/>
    </row>
    <row r="3163" spans="4:4" x14ac:dyDescent="0.2">
      <c r="D3163" s="341"/>
    </row>
    <row r="3164" spans="4:4" x14ac:dyDescent="0.2">
      <c r="D3164" s="341"/>
    </row>
    <row r="3165" spans="4:4" x14ac:dyDescent="0.2">
      <c r="D3165" s="341"/>
    </row>
    <row r="3166" spans="4:4" x14ac:dyDescent="0.2">
      <c r="D3166" s="341"/>
    </row>
    <row r="3167" spans="4:4" x14ac:dyDescent="0.2">
      <c r="D3167" s="341"/>
    </row>
    <row r="3168" spans="4:4" x14ac:dyDescent="0.2">
      <c r="D3168" s="341"/>
    </row>
    <row r="3169" spans="4:4" x14ac:dyDescent="0.2">
      <c r="D3169" s="341"/>
    </row>
    <row r="3170" spans="4:4" x14ac:dyDescent="0.2">
      <c r="D3170" s="341"/>
    </row>
    <row r="3171" spans="4:4" x14ac:dyDescent="0.2">
      <c r="D3171" s="341"/>
    </row>
    <row r="3172" spans="4:4" x14ac:dyDescent="0.2">
      <c r="D3172" s="341"/>
    </row>
    <row r="3173" spans="4:4" x14ac:dyDescent="0.2">
      <c r="D3173" s="341"/>
    </row>
    <row r="3174" spans="4:4" x14ac:dyDescent="0.2">
      <c r="D3174" s="341"/>
    </row>
    <row r="3175" spans="4:4" x14ac:dyDescent="0.2">
      <c r="D3175" s="341"/>
    </row>
    <row r="3176" spans="4:4" x14ac:dyDescent="0.2">
      <c r="D3176" s="341"/>
    </row>
    <row r="3177" spans="4:4" x14ac:dyDescent="0.2">
      <c r="D3177" s="341"/>
    </row>
    <row r="3178" spans="4:4" x14ac:dyDescent="0.2">
      <c r="D3178" s="341"/>
    </row>
    <row r="3179" spans="4:4" x14ac:dyDescent="0.2">
      <c r="D3179" s="341"/>
    </row>
    <row r="3180" spans="4:4" x14ac:dyDescent="0.2">
      <c r="D3180" s="341"/>
    </row>
    <row r="3181" spans="4:4" x14ac:dyDescent="0.2">
      <c r="D3181" s="341"/>
    </row>
    <row r="3182" spans="4:4" x14ac:dyDescent="0.2">
      <c r="D3182" s="341"/>
    </row>
    <row r="3183" spans="4:4" x14ac:dyDescent="0.2">
      <c r="D3183" s="341"/>
    </row>
    <row r="3184" spans="4:4" x14ac:dyDescent="0.2">
      <c r="D3184" s="341"/>
    </row>
    <row r="3185" spans="4:4" x14ac:dyDescent="0.2">
      <c r="D3185" s="341"/>
    </row>
    <row r="3186" spans="4:4" x14ac:dyDescent="0.2">
      <c r="D3186" s="341"/>
    </row>
    <row r="3187" spans="4:4" x14ac:dyDescent="0.2">
      <c r="D3187" s="341"/>
    </row>
    <row r="3188" spans="4:4" x14ac:dyDescent="0.2">
      <c r="D3188" s="341"/>
    </row>
    <row r="3189" spans="4:4" x14ac:dyDescent="0.2">
      <c r="D3189" s="341"/>
    </row>
    <row r="3190" spans="4:4" x14ac:dyDescent="0.2">
      <c r="D3190" s="341"/>
    </row>
    <row r="3191" spans="4:4" x14ac:dyDescent="0.2">
      <c r="D3191" s="341"/>
    </row>
    <row r="3192" spans="4:4" x14ac:dyDescent="0.2">
      <c r="D3192" s="341"/>
    </row>
    <row r="3193" spans="4:4" x14ac:dyDescent="0.2">
      <c r="D3193" s="341"/>
    </row>
    <row r="3194" spans="4:4" x14ac:dyDescent="0.2">
      <c r="D3194" s="341"/>
    </row>
    <row r="3195" spans="4:4" x14ac:dyDescent="0.2">
      <c r="D3195" s="341"/>
    </row>
    <row r="3196" spans="4:4" x14ac:dyDescent="0.2">
      <c r="D3196" s="341"/>
    </row>
    <row r="3197" spans="4:4" x14ac:dyDescent="0.2">
      <c r="D3197" s="341"/>
    </row>
    <row r="3198" spans="4:4" x14ac:dyDescent="0.2">
      <c r="D3198" s="341"/>
    </row>
    <row r="3199" spans="4:4" x14ac:dyDescent="0.2">
      <c r="D3199" s="341"/>
    </row>
    <row r="3200" spans="4:4" x14ac:dyDescent="0.2">
      <c r="D3200" s="341"/>
    </row>
    <row r="3201" spans="4:4" x14ac:dyDescent="0.2">
      <c r="D3201" s="341"/>
    </row>
    <row r="3202" spans="4:4" x14ac:dyDescent="0.2">
      <c r="D3202" s="341"/>
    </row>
    <row r="3203" spans="4:4" x14ac:dyDescent="0.2">
      <c r="D3203" s="341"/>
    </row>
    <row r="3204" spans="4:4" x14ac:dyDescent="0.2">
      <c r="D3204" s="341"/>
    </row>
    <row r="3205" spans="4:4" x14ac:dyDescent="0.2">
      <c r="D3205" s="341"/>
    </row>
    <row r="3206" spans="4:4" x14ac:dyDescent="0.2">
      <c r="D3206" s="341"/>
    </row>
    <row r="3207" spans="4:4" x14ac:dyDescent="0.2">
      <c r="D3207" s="341"/>
    </row>
    <row r="3208" spans="4:4" x14ac:dyDescent="0.2">
      <c r="D3208" s="341"/>
    </row>
    <row r="3209" spans="4:4" x14ac:dyDescent="0.2">
      <c r="D3209" s="341"/>
    </row>
    <row r="3210" spans="4:4" x14ac:dyDescent="0.2">
      <c r="D3210" s="341"/>
    </row>
    <row r="3211" spans="4:4" x14ac:dyDescent="0.2">
      <c r="D3211" s="341"/>
    </row>
    <row r="3212" spans="4:4" x14ac:dyDescent="0.2">
      <c r="D3212" s="341"/>
    </row>
    <row r="3213" spans="4:4" x14ac:dyDescent="0.2">
      <c r="D3213" s="341"/>
    </row>
    <row r="3214" spans="4:4" x14ac:dyDescent="0.2">
      <c r="D3214" s="341"/>
    </row>
    <row r="3215" spans="4:4" x14ac:dyDescent="0.2">
      <c r="D3215" s="341"/>
    </row>
    <row r="3216" spans="4:4" x14ac:dyDescent="0.2">
      <c r="D3216" s="341"/>
    </row>
    <row r="3217" spans="4:4" x14ac:dyDescent="0.2">
      <c r="D3217" s="341"/>
    </row>
    <row r="3218" spans="4:4" x14ac:dyDescent="0.2">
      <c r="D3218" s="341"/>
    </row>
    <row r="3219" spans="4:4" x14ac:dyDescent="0.2">
      <c r="D3219" s="341"/>
    </row>
    <row r="3220" spans="4:4" x14ac:dyDescent="0.2">
      <c r="D3220" s="341"/>
    </row>
    <row r="3221" spans="4:4" x14ac:dyDescent="0.2">
      <c r="D3221" s="341"/>
    </row>
    <row r="3222" spans="4:4" x14ac:dyDescent="0.2">
      <c r="D3222" s="341"/>
    </row>
    <row r="3223" spans="4:4" x14ac:dyDescent="0.2">
      <c r="D3223" s="341"/>
    </row>
    <row r="3224" spans="4:4" x14ac:dyDescent="0.2">
      <c r="D3224" s="341"/>
    </row>
    <row r="3225" spans="4:4" x14ac:dyDescent="0.2">
      <c r="D3225" s="341"/>
    </row>
    <row r="3226" spans="4:4" x14ac:dyDescent="0.2">
      <c r="D3226" s="341"/>
    </row>
    <row r="3227" spans="4:4" x14ac:dyDescent="0.2">
      <c r="D3227" s="341"/>
    </row>
    <row r="3228" spans="4:4" x14ac:dyDescent="0.2">
      <c r="D3228" s="341"/>
    </row>
    <row r="3229" spans="4:4" x14ac:dyDescent="0.2">
      <c r="D3229" s="341"/>
    </row>
    <row r="3230" spans="4:4" x14ac:dyDescent="0.2">
      <c r="D3230" s="341"/>
    </row>
    <row r="3231" spans="4:4" x14ac:dyDescent="0.2">
      <c r="D3231" s="341"/>
    </row>
    <row r="3232" spans="4:4" x14ac:dyDescent="0.2">
      <c r="D3232" s="341"/>
    </row>
    <row r="3233" spans="4:4" x14ac:dyDescent="0.2">
      <c r="D3233" s="341"/>
    </row>
    <row r="3234" spans="4:4" x14ac:dyDescent="0.2">
      <c r="D3234" s="341"/>
    </row>
    <row r="3235" spans="4:4" x14ac:dyDescent="0.2">
      <c r="D3235" s="341"/>
    </row>
    <row r="3236" spans="4:4" x14ac:dyDescent="0.2">
      <c r="D3236" s="341"/>
    </row>
    <row r="3237" spans="4:4" x14ac:dyDescent="0.2">
      <c r="D3237" s="341"/>
    </row>
    <row r="3238" spans="4:4" x14ac:dyDescent="0.2">
      <c r="D3238" s="341"/>
    </row>
    <row r="3239" spans="4:4" x14ac:dyDescent="0.2">
      <c r="D3239" s="341"/>
    </row>
    <row r="3240" spans="4:4" x14ac:dyDescent="0.2">
      <c r="D3240" s="341"/>
    </row>
    <row r="3241" spans="4:4" x14ac:dyDescent="0.2">
      <c r="D3241" s="341"/>
    </row>
    <row r="3242" spans="4:4" x14ac:dyDescent="0.2">
      <c r="D3242" s="341"/>
    </row>
    <row r="3243" spans="4:4" x14ac:dyDescent="0.2">
      <c r="D3243" s="341"/>
    </row>
    <row r="3244" spans="4:4" x14ac:dyDescent="0.2">
      <c r="D3244" s="341"/>
    </row>
    <row r="3245" spans="4:4" x14ac:dyDescent="0.2">
      <c r="D3245" s="341"/>
    </row>
    <row r="3246" spans="4:4" x14ac:dyDescent="0.2">
      <c r="D3246" s="341"/>
    </row>
    <row r="3247" spans="4:4" x14ac:dyDescent="0.2">
      <c r="D3247" s="341"/>
    </row>
    <row r="3248" spans="4:4" x14ac:dyDescent="0.2">
      <c r="D3248" s="341"/>
    </row>
    <row r="3249" spans="4:4" x14ac:dyDescent="0.2">
      <c r="D3249" s="341"/>
    </row>
    <row r="3250" spans="4:4" x14ac:dyDescent="0.2">
      <c r="D3250" s="341"/>
    </row>
    <row r="3251" spans="4:4" x14ac:dyDescent="0.2">
      <c r="D3251" s="341"/>
    </row>
    <row r="3252" spans="4:4" x14ac:dyDescent="0.2">
      <c r="D3252" s="341"/>
    </row>
    <row r="3253" spans="4:4" x14ac:dyDescent="0.2">
      <c r="D3253" s="341"/>
    </row>
    <row r="3254" spans="4:4" x14ac:dyDescent="0.2">
      <c r="D3254" s="341"/>
    </row>
    <row r="3255" spans="4:4" x14ac:dyDescent="0.2">
      <c r="D3255" s="341"/>
    </row>
    <row r="3256" spans="4:4" x14ac:dyDescent="0.2">
      <c r="D3256" s="341"/>
    </row>
    <row r="3257" spans="4:4" x14ac:dyDescent="0.2">
      <c r="D3257" s="341"/>
    </row>
    <row r="3258" spans="4:4" x14ac:dyDescent="0.2">
      <c r="D3258" s="341"/>
    </row>
    <row r="3259" spans="4:4" x14ac:dyDescent="0.2">
      <c r="D3259" s="341"/>
    </row>
    <row r="3260" spans="4:4" x14ac:dyDescent="0.2">
      <c r="D3260" s="341"/>
    </row>
    <row r="3261" spans="4:4" x14ac:dyDescent="0.2">
      <c r="D3261" s="341"/>
    </row>
    <row r="3262" spans="4:4" x14ac:dyDescent="0.2">
      <c r="D3262" s="341"/>
    </row>
    <row r="3263" spans="4:4" x14ac:dyDescent="0.2">
      <c r="D3263" s="341"/>
    </row>
    <row r="3264" spans="4:4" x14ac:dyDescent="0.2">
      <c r="D3264" s="341"/>
    </row>
    <row r="3265" spans="4:4" x14ac:dyDescent="0.2">
      <c r="D3265" s="341"/>
    </row>
    <row r="3266" spans="4:4" x14ac:dyDescent="0.2">
      <c r="D3266" s="341"/>
    </row>
    <row r="3267" spans="4:4" x14ac:dyDescent="0.2">
      <c r="D3267" s="341"/>
    </row>
    <row r="3268" spans="4:4" x14ac:dyDescent="0.2">
      <c r="D3268" s="341"/>
    </row>
    <row r="3269" spans="4:4" x14ac:dyDescent="0.2">
      <c r="D3269" s="341"/>
    </row>
    <row r="3270" spans="4:4" x14ac:dyDescent="0.2">
      <c r="D3270" s="341"/>
    </row>
    <row r="3271" spans="4:4" x14ac:dyDescent="0.2">
      <c r="D3271" s="341"/>
    </row>
    <row r="3272" spans="4:4" x14ac:dyDescent="0.2">
      <c r="D3272" s="341"/>
    </row>
    <row r="3273" spans="4:4" x14ac:dyDescent="0.2">
      <c r="D3273" s="341"/>
    </row>
    <row r="3274" spans="4:4" x14ac:dyDescent="0.2">
      <c r="D3274" s="341"/>
    </row>
    <row r="3275" spans="4:4" x14ac:dyDescent="0.2">
      <c r="D3275" s="341"/>
    </row>
    <row r="3276" spans="4:4" x14ac:dyDescent="0.2">
      <c r="D3276" s="341"/>
    </row>
    <row r="3277" spans="4:4" x14ac:dyDescent="0.2">
      <c r="D3277" s="341"/>
    </row>
    <row r="3278" spans="4:4" x14ac:dyDescent="0.2">
      <c r="D3278" s="341"/>
    </row>
    <row r="3279" spans="4:4" x14ac:dyDescent="0.2">
      <c r="D3279" s="341"/>
    </row>
    <row r="3280" spans="4:4" x14ac:dyDescent="0.2">
      <c r="D3280" s="341"/>
    </row>
    <row r="3281" spans="4:4" x14ac:dyDescent="0.2">
      <c r="D3281" s="341"/>
    </row>
    <row r="3282" spans="4:4" x14ac:dyDescent="0.2">
      <c r="D3282" s="341"/>
    </row>
    <row r="3283" spans="4:4" x14ac:dyDescent="0.2">
      <c r="D3283" s="341"/>
    </row>
    <row r="3284" spans="4:4" x14ac:dyDescent="0.2">
      <c r="D3284" s="341"/>
    </row>
    <row r="3285" spans="4:4" x14ac:dyDescent="0.2">
      <c r="D3285" s="341"/>
    </row>
    <row r="3286" spans="4:4" x14ac:dyDescent="0.2">
      <c r="D3286" s="341"/>
    </row>
    <row r="3287" spans="4:4" x14ac:dyDescent="0.2">
      <c r="D3287" s="341"/>
    </row>
    <row r="3288" spans="4:4" x14ac:dyDescent="0.2">
      <c r="D3288" s="341"/>
    </row>
    <row r="3289" spans="4:4" x14ac:dyDescent="0.2">
      <c r="D3289" s="341"/>
    </row>
    <row r="3290" spans="4:4" x14ac:dyDescent="0.2">
      <c r="D3290" s="341"/>
    </row>
    <row r="3291" spans="4:4" x14ac:dyDescent="0.2">
      <c r="D3291" s="341"/>
    </row>
    <row r="3292" spans="4:4" x14ac:dyDescent="0.2">
      <c r="D3292" s="341"/>
    </row>
    <row r="3293" spans="4:4" x14ac:dyDescent="0.2">
      <c r="D3293" s="341"/>
    </row>
    <row r="3294" spans="4:4" x14ac:dyDescent="0.2">
      <c r="D3294" s="341"/>
    </row>
    <row r="3295" spans="4:4" x14ac:dyDescent="0.2">
      <c r="D3295" s="341"/>
    </row>
    <row r="3296" spans="4:4" x14ac:dyDescent="0.2">
      <c r="D3296" s="341"/>
    </row>
    <row r="3297" spans="4:4" x14ac:dyDescent="0.2">
      <c r="D3297" s="341"/>
    </row>
    <row r="3298" spans="4:4" x14ac:dyDescent="0.2">
      <c r="D3298" s="341"/>
    </row>
    <row r="3299" spans="4:4" x14ac:dyDescent="0.2">
      <c r="D3299" s="341"/>
    </row>
    <row r="3300" spans="4:4" x14ac:dyDescent="0.2">
      <c r="D3300" s="341"/>
    </row>
    <row r="3301" spans="4:4" x14ac:dyDescent="0.2">
      <c r="D3301" s="341"/>
    </row>
    <row r="3302" spans="4:4" x14ac:dyDescent="0.2">
      <c r="D3302" s="341"/>
    </row>
    <row r="3303" spans="4:4" x14ac:dyDescent="0.2">
      <c r="D3303" s="341"/>
    </row>
    <row r="3304" spans="4:4" x14ac:dyDescent="0.2">
      <c r="D3304" s="341"/>
    </row>
    <row r="3305" spans="4:4" x14ac:dyDescent="0.2">
      <c r="D3305" s="341"/>
    </row>
    <row r="3306" spans="4:4" x14ac:dyDescent="0.2">
      <c r="D3306" s="341"/>
    </row>
    <row r="3307" spans="4:4" x14ac:dyDescent="0.2">
      <c r="D3307" s="341"/>
    </row>
    <row r="3308" spans="4:4" x14ac:dyDescent="0.2">
      <c r="D3308" s="341"/>
    </row>
    <row r="3309" spans="4:4" x14ac:dyDescent="0.2">
      <c r="D3309" s="341"/>
    </row>
    <row r="3310" spans="4:4" x14ac:dyDescent="0.2">
      <c r="D3310" s="341"/>
    </row>
    <row r="3311" spans="4:4" x14ac:dyDescent="0.2">
      <c r="D3311" s="341"/>
    </row>
    <row r="3312" spans="4:4" x14ac:dyDescent="0.2">
      <c r="D3312" s="341"/>
    </row>
    <row r="3313" spans="4:4" x14ac:dyDescent="0.2">
      <c r="D3313" s="341"/>
    </row>
    <row r="3314" spans="4:4" x14ac:dyDescent="0.2">
      <c r="D3314" s="341"/>
    </row>
    <row r="3315" spans="4:4" x14ac:dyDescent="0.2">
      <c r="D3315" s="341"/>
    </row>
    <row r="3316" spans="4:4" x14ac:dyDescent="0.2">
      <c r="D3316" s="341"/>
    </row>
    <row r="3317" spans="4:4" x14ac:dyDescent="0.2">
      <c r="D3317" s="341"/>
    </row>
    <row r="3318" spans="4:4" x14ac:dyDescent="0.2">
      <c r="D3318" s="341"/>
    </row>
    <row r="3319" spans="4:4" x14ac:dyDescent="0.2">
      <c r="D3319" s="341"/>
    </row>
    <row r="3320" spans="4:4" x14ac:dyDescent="0.2">
      <c r="D3320" s="341"/>
    </row>
    <row r="3321" spans="4:4" x14ac:dyDescent="0.2">
      <c r="D3321" s="341"/>
    </row>
    <row r="3322" spans="4:4" x14ac:dyDescent="0.2">
      <c r="D3322" s="341"/>
    </row>
    <row r="3323" spans="4:4" x14ac:dyDescent="0.2">
      <c r="D3323" s="341"/>
    </row>
    <row r="3324" spans="4:4" x14ac:dyDescent="0.2">
      <c r="D3324" s="341"/>
    </row>
    <row r="3325" spans="4:4" x14ac:dyDescent="0.2">
      <c r="D3325" s="341"/>
    </row>
    <row r="3326" spans="4:4" x14ac:dyDescent="0.2">
      <c r="D3326" s="341"/>
    </row>
    <row r="3327" spans="4:4" x14ac:dyDescent="0.2">
      <c r="D3327" s="341"/>
    </row>
    <row r="3328" spans="4:4" x14ac:dyDescent="0.2">
      <c r="D3328" s="341"/>
    </row>
    <row r="3329" spans="4:4" x14ac:dyDescent="0.2">
      <c r="D3329" s="341"/>
    </row>
    <row r="3330" spans="4:4" x14ac:dyDescent="0.2">
      <c r="D3330" s="341"/>
    </row>
  </sheetData>
  <autoFilter ref="A3:AA457"/>
  <sortState ref="B4:B52">
    <sortCondition ref="B3"/>
  </sortState>
  <conditionalFormatting sqref="AG4:AG786">
    <cfRule type="duplicateValues" dxfId="82" priority="140"/>
  </conditionalFormatting>
  <pageMargins left="0.7" right="0.7" top="0.75" bottom="0.75" header="0.3" footer="0.3"/>
  <pageSetup orientation="portrait" r:id="rId1"/>
  <drawing r:id="rId2"/>
  <legacyDrawing r:id="rId3"/>
  <tableParts count="2">
    <tablePart r:id="rId4"/>
    <tablePart r:id="rId5"/>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V178"/>
  <sheetViews>
    <sheetView showGridLines="0" zoomScale="70" zoomScaleNormal="70" workbookViewId="0">
      <selection activeCell="G176" sqref="G176"/>
    </sheetView>
  </sheetViews>
  <sheetFormatPr defaultRowHeight="15.75" x14ac:dyDescent="0.25"/>
  <cols>
    <col min="1" max="1" width="9.625" style="303" customWidth="1"/>
    <col min="2" max="2" width="12.375" style="303" customWidth="1"/>
    <col min="3" max="3" width="29.625" style="303" customWidth="1"/>
    <col min="4" max="5" width="25.25" style="303" customWidth="1"/>
    <col min="6" max="6" width="27.875" style="303" customWidth="1"/>
    <col min="7" max="7" width="16.375" style="303" customWidth="1"/>
    <col min="8" max="9" width="22.125" style="303" customWidth="1"/>
    <col min="10" max="21" width="9.625" style="303" customWidth="1"/>
    <col min="22" max="22" width="27" style="303" customWidth="1"/>
    <col min="23" max="23" width="19.25" style="303" bestFit="1" customWidth="1"/>
    <col min="24" max="24" width="9.625" style="303" customWidth="1"/>
    <col min="25" max="25" width="30.125" style="303" bestFit="1" customWidth="1"/>
    <col min="26" max="26" width="10.75" style="303" bestFit="1" customWidth="1"/>
    <col min="27" max="41" width="9.25" style="303" customWidth="1"/>
    <col min="42" max="42" width="22.375" style="303" customWidth="1"/>
    <col min="43" max="43" width="19.25" style="303" bestFit="1" customWidth="1"/>
    <col min="44" max="44" width="9.25" style="303" customWidth="1"/>
    <col min="45" max="45" width="23" style="303" customWidth="1"/>
    <col min="46" max="46" width="9.25" style="303" customWidth="1"/>
    <col min="47" max="16384" width="9" style="303"/>
  </cols>
  <sheetData>
    <row r="1" spans="2:12" x14ac:dyDescent="0.25">
      <c r="B1"/>
      <c r="C1"/>
    </row>
    <row r="2" spans="2:12" x14ac:dyDescent="0.25">
      <c r="B2" s="803" t="s">
        <v>24</v>
      </c>
      <c r="C2" s="804" t="s">
        <v>1409</v>
      </c>
    </row>
    <row r="3" spans="2:12" s="304" customFormat="1" x14ac:dyDescent="0.25">
      <c r="B3" s="803" t="s">
        <v>40</v>
      </c>
      <c r="C3" s="804" t="s">
        <v>40</v>
      </c>
      <c r="D3" s="303"/>
      <c r="E3" s="303"/>
      <c r="F3" s="303"/>
      <c r="G3" s="303"/>
      <c r="H3" s="303"/>
    </row>
    <row r="4" spans="2:12" x14ac:dyDescent="0.25">
      <c r="B4" s="803" t="s">
        <v>290</v>
      </c>
      <c r="C4" s="804" t="s">
        <v>2180</v>
      </c>
    </row>
    <row r="5" spans="2:12" x14ac:dyDescent="0.25">
      <c r="B5"/>
      <c r="C5"/>
      <c r="D5"/>
      <c r="E5"/>
      <c r="F5"/>
      <c r="G5"/>
      <c r="H5"/>
      <c r="I5"/>
    </row>
    <row r="6" spans="2:12" ht="78.75" x14ac:dyDescent="0.25">
      <c r="B6" s="804"/>
      <c r="C6" s="820" t="s">
        <v>2221</v>
      </c>
      <c r="D6" s="812" t="s">
        <v>2197</v>
      </c>
      <c r="E6" s="812" t="s">
        <v>2198</v>
      </c>
      <c r="F6" s="813" t="s">
        <v>2199</v>
      </c>
      <c r="G6" s="814" t="s">
        <v>2662</v>
      </c>
      <c r="H6" s="815" t="s">
        <v>2663</v>
      </c>
      <c r="I6" s="815" t="s">
        <v>2687</v>
      </c>
    </row>
    <row r="7" spans="2:12" x14ac:dyDescent="0.25">
      <c r="B7" s="805" t="s">
        <v>44</v>
      </c>
      <c r="C7" s="806">
        <v>87718</v>
      </c>
      <c r="D7" s="808">
        <v>77868.799999999988</v>
      </c>
      <c r="E7" s="808">
        <v>77868.799999999988</v>
      </c>
      <c r="F7" s="809">
        <v>71263</v>
      </c>
      <c r="G7" s="810">
        <v>8845</v>
      </c>
      <c r="H7" s="811">
        <v>55466</v>
      </c>
      <c r="I7" s="816">
        <v>19340</v>
      </c>
      <c r="L7" s="350">
        <f>GETPIVOTDATA("Number of People received regular supply of hygiene items_6",$B$6,"State","Kachin")/GETPIVOTDATA("Total Population reached",$B$6,"State","Kachin")</f>
        <v>0.22047926309309379</v>
      </c>
    </row>
    <row r="8" spans="2:12" x14ac:dyDescent="0.25">
      <c r="B8" s="805" t="s">
        <v>464</v>
      </c>
      <c r="C8" s="806">
        <v>121491</v>
      </c>
      <c r="D8" s="808">
        <v>115820.33333333333</v>
      </c>
      <c r="E8" s="808">
        <v>118151.33333333333</v>
      </c>
      <c r="F8" s="809">
        <v>93743</v>
      </c>
      <c r="G8" s="810">
        <v>15540</v>
      </c>
      <c r="H8" s="811">
        <v>92593</v>
      </c>
      <c r="I8" s="816">
        <v>95695</v>
      </c>
    </row>
    <row r="9" spans="2:12" x14ac:dyDescent="0.25">
      <c r="B9" s="805" t="s">
        <v>878</v>
      </c>
      <c r="C9" s="806">
        <v>9753</v>
      </c>
      <c r="D9" s="808">
        <v>8969</v>
      </c>
      <c r="E9" s="808">
        <v>8969</v>
      </c>
      <c r="F9" s="809">
        <v>8206</v>
      </c>
      <c r="G9" s="810">
        <v>140</v>
      </c>
      <c r="H9" s="811">
        <v>8113</v>
      </c>
      <c r="I9" s="816">
        <v>5550</v>
      </c>
    </row>
    <row r="10" spans="2:12" x14ac:dyDescent="0.25">
      <c r="B10" s="805" t="s">
        <v>2181</v>
      </c>
      <c r="C10" s="806">
        <v>218962</v>
      </c>
      <c r="D10" s="808">
        <v>202658.1333333333</v>
      </c>
      <c r="E10" s="808">
        <v>204989.1333333333</v>
      </c>
      <c r="F10" s="809">
        <v>173212</v>
      </c>
      <c r="G10" s="810">
        <v>24525</v>
      </c>
      <c r="H10" s="811">
        <v>156172</v>
      </c>
      <c r="I10" s="816">
        <v>120585</v>
      </c>
    </row>
    <row r="13" spans="2:12" x14ac:dyDescent="0.25">
      <c r="B13" s="803" t="s">
        <v>24</v>
      </c>
      <c r="C13" s="804" t="s">
        <v>1409</v>
      </c>
    </row>
    <row r="14" spans="2:12" x14ac:dyDescent="0.25">
      <c r="B14" s="803" t="s">
        <v>40</v>
      </c>
      <c r="C14" s="804" t="s">
        <v>40</v>
      </c>
    </row>
    <row r="15" spans="2:12" x14ac:dyDescent="0.25">
      <c r="B15" s="803" t="s">
        <v>290</v>
      </c>
      <c r="C15" s="804" t="s">
        <v>984</v>
      </c>
      <c r="I15" s="304"/>
      <c r="J15" s="304"/>
    </row>
    <row r="17" spans="2:13" ht="78.75" x14ac:dyDescent="0.25">
      <c r="B17" s="819" t="s">
        <v>2173</v>
      </c>
      <c r="C17" s="820" t="s">
        <v>2221</v>
      </c>
      <c r="D17" s="812" t="s">
        <v>2197</v>
      </c>
      <c r="E17" s="812" t="s">
        <v>2198</v>
      </c>
      <c r="F17" s="813" t="s">
        <v>2199</v>
      </c>
      <c r="G17" s="814" t="s">
        <v>2662</v>
      </c>
      <c r="H17" s="815" t="s">
        <v>2663</v>
      </c>
      <c r="I17" s="815" t="s">
        <v>2687</v>
      </c>
    </row>
    <row r="18" spans="2:13" x14ac:dyDescent="0.25">
      <c r="B18" s="805" t="s">
        <v>464</v>
      </c>
      <c r="C18" s="806">
        <v>60954</v>
      </c>
      <c r="D18" s="808">
        <v>26140</v>
      </c>
      <c r="E18" s="808">
        <v>36548</v>
      </c>
      <c r="F18" s="809">
        <v>12996</v>
      </c>
      <c r="G18" s="810">
        <v>0</v>
      </c>
      <c r="H18" s="811">
        <v>47063</v>
      </c>
      <c r="I18" s="816">
        <v>4175</v>
      </c>
    </row>
    <row r="19" spans="2:13" x14ac:dyDescent="0.25">
      <c r="B19" s="805" t="s">
        <v>2181</v>
      </c>
      <c r="C19" s="806">
        <v>60954</v>
      </c>
      <c r="D19" s="808">
        <v>26140</v>
      </c>
      <c r="E19" s="808">
        <v>36548</v>
      </c>
      <c r="F19" s="809">
        <v>12996</v>
      </c>
      <c r="G19" s="810">
        <v>0</v>
      </c>
      <c r="H19" s="811">
        <v>47063</v>
      </c>
      <c r="I19" s="816">
        <v>4175</v>
      </c>
    </row>
    <row r="23" spans="2:13" ht="16.5" thickBot="1" x14ac:dyDescent="0.3"/>
    <row r="24" spans="2:13" ht="16.5" thickBot="1" x14ac:dyDescent="0.3">
      <c r="H24" s="872" t="s">
        <v>2669</v>
      </c>
      <c r="I24" s="873"/>
      <c r="J24" s="873" t="s">
        <v>2670</v>
      </c>
      <c r="K24" s="873"/>
      <c r="L24" s="874"/>
    </row>
    <row r="25" spans="2:13" ht="60" customHeight="1" x14ac:dyDescent="0.25">
      <c r="C25" s="709" t="s">
        <v>2182</v>
      </c>
      <c r="D25" s="710" t="s">
        <v>2183</v>
      </c>
      <c r="E25" s="710" t="s">
        <v>2184</v>
      </c>
      <c r="F25" s="711" t="s">
        <v>2222</v>
      </c>
      <c r="G25" s="712" t="s">
        <v>2185</v>
      </c>
      <c r="H25" s="697" t="s">
        <v>2186</v>
      </c>
      <c r="I25" s="698" t="s">
        <v>2187</v>
      </c>
      <c r="J25" s="698" t="s">
        <v>2188</v>
      </c>
      <c r="K25" s="698" t="s">
        <v>2189</v>
      </c>
      <c r="L25" s="699" t="s">
        <v>2190</v>
      </c>
      <c r="M25" s="712" t="s">
        <v>2192</v>
      </c>
    </row>
    <row r="26" spans="2:13" ht="17.25" customHeight="1" x14ac:dyDescent="0.25">
      <c r="C26" s="878" t="s">
        <v>2193</v>
      </c>
      <c r="D26" s="691" t="s">
        <v>44</v>
      </c>
      <c r="E26" s="692">
        <v>124903</v>
      </c>
      <c r="F26" s="692">
        <v>116862</v>
      </c>
      <c r="G26" s="701">
        <f>GETPIVOTDATA("Number of people with equitable and safe access to sufficient quantity of drinking water_1",$B$5,"State","Kachin")</f>
        <v>77868.799999999988</v>
      </c>
      <c r="H26" s="700">
        <f>G26*0.45</f>
        <v>35040.959999999999</v>
      </c>
      <c r="I26" s="692">
        <f>G26*0.55</f>
        <v>42827.839999999997</v>
      </c>
      <c r="J26" s="692">
        <f>G26*0.35</f>
        <v>27254.079999999994</v>
      </c>
      <c r="K26" s="692">
        <f>G26*0.4</f>
        <v>31147.519999999997</v>
      </c>
      <c r="L26" s="701">
        <f>G26*0.25</f>
        <v>19467.199999999997</v>
      </c>
      <c r="M26" s="701">
        <f>F26-G26</f>
        <v>38993.200000000012</v>
      </c>
    </row>
    <row r="27" spans="2:13" ht="17.25" customHeight="1" x14ac:dyDescent="0.25">
      <c r="C27" s="878"/>
      <c r="D27" s="691" t="s">
        <v>464</v>
      </c>
      <c r="E27" s="692">
        <v>689126</v>
      </c>
      <c r="F27" s="692">
        <v>379137</v>
      </c>
      <c r="G27" s="701">
        <f>GETPIVOTDATA("Number of people with equitable and safe access to sufficient quantity of drinking water_1",$B$5,"State","Rakhine")+GETPIVOTDATA("Number of people with equitable and safe access to sufficient quantity of drinking water_1",$B$17,"State","Rakhine")</f>
        <v>141960.33333333331</v>
      </c>
      <c r="H27" s="700">
        <f t="shared" ref="H27:H43" si="0">G27*0.45</f>
        <v>63882.149999999994</v>
      </c>
      <c r="I27" s="692">
        <f t="shared" ref="I27:I43" si="1">G27*0.55</f>
        <v>78078.183333333334</v>
      </c>
      <c r="J27" s="692">
        <f t="shared" ref="J27:J43" si="2">G27*0.35</f>
        <v>49686.116666666654</v>
      </c>
      <c r="K27" s="692">
        <f t="shared" ref="K27:K43" si="3">G27*0.4</f>
        <v>56784.133333333331</v>
      </c>
      <c r="L27" s="701">
        <f t="shared" ref="L27:L43" si="4">G27*0.25</f>
        <v>35490.083333333328</v>
      </c>
      <c r="M27" s="701">
        <f t="shared" ref="M27:M43" si="5">F27-G27</f>
        <v>237176.66666666669</v>
      </c>
    </row>
    <row r="28" spans="2:13" ht="17.25" customHeight="1" x14ac:dyDescent="0.25">
      <c r="C28" s="878"/>
      <c r="D28" s="691" t="s">
        <v>878</v>
      </c>
      <c r="E28" s="692">
        <v>27308</v>
      </c>
      <c r="F28" s="692">
        <v>20479</v>
      </c>
      <c r="G28" s="701">
        <f>GETPIVOTDATA("Number of people with equitable and safe access to sufficient quantity of drinking water_1",$B$5,"State","Shan (North)")</f>
        <v>8969</v>
      </c>
      <c r="H28" s="700">
        <f t="shared" si="0"/>
        <v>4036.05</v>
      </c>
      <c r="I28" s="692">
        <f t="shared" si="1"/>
        <v>4932.9500000000007</v>
      </c>
      <c r="J28" s="692">
        <f t="shared" si="2"/>
        <v>3139.1499999999996</v>
      </c>
      <c r="K28" s="692">
        <f t="shared" si="3"/>
        <v>3587.6000000000004</v>
      </c>
      <c r="L28" s="701">
        <f t="shared" si="4"/>
        <v>2242.25</v>
      </c>
      <c r="M28" s="701">
        <f t="shared" si="5"/>
        <v>11510</v>
      </c>
    </row>
    <row r="29" spans="2:13" x14ac:dyDescent="0.25">
      <c r="C29" s="879" t="s">
        <v>2194</v>
      </c>
      <c r="D29" s="691" t="s">
        <v>44</v>
      </c>
      <c r="E29" s="692">
        <v>124903</v>
      </c>
      <c r="F29" s="692">
        <v>116862</v>
      </c>
      <c r="G29" s="701">
        <f>GETPIVOTDATA("Number of people with equitable and safe access to sufficient quantity of domestic water_2",$B$5,"State","Kachin")</f>
        <v>77868.799999999988</v>
      </c>
      <c r="H29" s="700">
        <f t="shared" si="0"/>
        <v>35040.959999999999</v>
      </c>
      <c r="I29" s="692">
        <f t="shared" si="1"/>
        <v>42827.839999999997</v>
      </c>
      <c r="J29" s="692">
        <f t="shared" si="2"/>
        <v>27254.079999999994</v>
      </c>
      <c r="K29" s="692">
        <f t="shared" si="3"/>
        <v>31147.519999999997</v>
      </c>
      <c r="L29" s="701">
        <f t="shared" si="4"/>
        <v>19467.199999999997</v>
      </c>
      <c r="M29" s="701">
        <f t="shared" si="5"/>
        <v>38993.200000000012</v>
      </c>
    </row>
    <row r="30" spans="2:13" x14ac:dyDescent="0.25">
      <c r="C30" s="879"/>
      <c r="D30" s="691" t="s">
        <v>464</v>
      </c>
      <c r="E30" s="692">
        <v>689126</v>
      </c>
      <c r="F30" s="692">
        <v>379137</v>
      </c>
      <c r="G30" s="701">
        <f>GETPIVOTDATA("Number of people with equitable and safe access to sufficient quantity of domestic water_2",$B$5,"State","Rakhine")+GETPIVOTDATA("Number of people with equitable and safe access to sufficient quantity of domestic water_2",$B$17,"State","Rakhine")</f>
        <v>154699.33333333331</v>
      </c>
      <c r="H30" s="700">
        <f t="shared" si="0"/>
        <v>69614.7</v>
      </c>
      <c r="I30" s="692">
        <f t="shared" si="1"/>
        <v>85084.633333333331</v>
      </c>
      <c r="J30" s="692">
        <f t="shared" si="2"/>
        <v>54144.766666666656</v>
      </c>
      <c r="K30" s="692">
        <f t="shared" si="3"/>
        <v>61879.73333333333</v>
      </c>
      <c r="L30" s="701">
        <f t="shared" si="4"/>
        <v>38674.833333333328</v>
      </c>
      <c r="M30" s="701">
        <f t="shared" si="5"/>
        <v>224437.66666666669</v>
      </c>
    </row>
    <row r="31" spans="2:13" x14ac:dyDescent="0.25">
      <c r="C31" s="879"/>
      <c r="D31" s="691" t="s">
        <v>878</v>
      </c>
      <c r="E31" s="692">
        <v>27308</v>
      </c>
      <c r="F31" s="692">
        <v>20479</v>
      </c>
      <c r="G31" s="701">
        <f>GETPIVOTDATA("Number of people with equitable and safe access to sufficient quantity of domestic water_2",$B$5,"State","Shan (North)")</f>
        <v>8969</v>
      </c>
      <c r="H31" s="700">
        <f t="shared" si="0"/>
        <v>4036.05</v>
      </c>
      <c r="I31" s="692">
        <f t="shared" si="1"/>
        <v>4932.9500000000007</v>
      </c>
      <c r="J31" s="692">
        <f t="shared" si="2"/>
        <v>3139.1499999999996</v>
      </c>
      <c r="K31" s="692">
        <f t="shared" si="3"/>
        <v>3587.6000000000004</v>
      </c>
      <c r="L31" s="701">
        <f t="shared" si="4"/>
        <v>2242.25</v>
      </c>
      <c r="M31" s="701">
        <f t="shared" si="5"/>
        <v>11510</v>
      </c>
    </row>
    <row r="32" spans="2:13" x14ac:dyDescent="0.25">
      <c r="C32" s="875" t="s">
        <v>189</v>
      </c>
      <c r="D32" s="693" t="s">
        <v>44</v>
      </c>
      <c r="E32" s="694">
        <v>124903</v>
      </c>
      <c r="F32" s="694">
        <v>116862</v>
      </c>
      <c r="G32" s="703">
        <f>GETPIVOTDATA("Number of people with access to functional sanitation facilities_3",$B$5,"State","Kachin")</f>
        <v>71263</v>
      </c>
      <c r="H32" s="702">
        <f t="shared" si="0"/>
        <v>32068.350000000002</v>
      </c>
      <c r="I32" s="694">
        <f t="shared" si="1"/>
        <v>39194.65</v>
      </c>
      <c r="J32" s="694">
        <f t="shared" si="2"/>
        <v>24942.05</v>
      </c>
      <c r="K32" s="694">
        <f t="shared" si="3"/>
        <v>28505.200000000001</v>
      </c>
      <c r="L32" s="703">
        <f t="shared" si="4"/>
        <v>17815.75</v>
      </c>
      <c r="M32" s="703">
        <f t="shared" si="5"/>
        <v>45599</v>
      </c>
    </row>
    <row r="33" spans="3:18" x14ac:dyDescent="0.25">
      <c r="C33" s="875"/>
      <c r="D33" s="693" t="s">
        <v>464</v>
      </c>
      <c r="E33" s="694">
        <v>689126</v>
      </c>
      <c r="F33" s="694">
        <v>379137</v>
      </c>
      <c r="G33" s="703">
        <f>GETPIVOTDATA("Number of people with access to functional sanitation facilities_3",$B$5,"State","Rakhine")+GETPIVOTDATA("Number of people with access to functional sanitation facilities_3",$B$17,"State","Rakhine")</f>
        <v>106739</v>
      </c>
      <c r="H33" s="702">
        <f t="shared" si="0"/>
        <v>48032.55</v>
      </c>
      <c r="I33" s="694">
        <f t="shared" si="1"/>
        <v>58706.450000000004</v>
      </c>
      <c r="J33" s="694">
        <f t="shared" si="2"/>
        <v>37358.649999999994</v>
      </c>
      <c r="K33" s="694">
        <f t="shared" si="3"/>
        <v>42695.600000000006</v>
      </c>
      <c r="L33" s="703">
        <f t="shared" si="4"/>
        <v>26684.75</v>
      </c>
      <c r="M33" s="703">
        <f t="shared" si="5"/>
        <v>272398</v>
      </c>
    </row>
    <row r="34" spans="3:18" x14ac:dyDescent="0.25">
      <c r="C34" s="875"/>
      <c r="D34" s="693" t="s">
        <v>878</v>
      </c>
      <c r="E34" s="694">
        <v>27308</v>
      </c>
      <c r="F34" s="694">
        <v>20479</v>
      </c>
      <c r="G34" s="703">
        <f>GETPIVOTDATA("Number of people with access to functional sanitation facilities_3",$B$5,"State","Shan (North)")</f>
        <v>8206</v>
      </c>
      <c r="H34" s="702">
        <f t="shared" si="0"/>
        <v>3692.7000000000003</v>
      </c>
      <c r="I34" s="694">
        <f t="shared" si="1"/>
        <v>4513.3</v>
      </c>
      <c r="J34" s="694">
        <f t="shared" si="2"/>
        <v>2872.1</v>
      </c>
      <c r="K34" s="694">
        <f t="shared" si="3"/>
        <v>3282.4</v>
      </c>
      <c r="L34" s="703">
        <f t="shared" si="4"/>
        <v>2051.5</v>
      </c>
      <c r="M34" s="703">
        <f t="shared" si="5"/>
        <v>12273</v>
      </c>
    </row>
    <row r="35" spans="3:18" x14ac:dyDescent="0.25">
      <c r="C35" s="875" t="s">
        <v>2196</v>
      </c>
      <c r="D35" s="693" t="s">
        <v>44</v>
      </c>
      <c r="E35" s="694">
        <v>124903</v>
      </c>
      <c r="F35" s="694">
        <f>116862*25%</f>
        <v>29215.5</v>
      </c>
      <c r="G35" s="703">
        <f>GETPIVOTDATA("Number of people with access to continuous sanitation services_4",$B$6,"State","Kachin")</f>
        <v>8845</v>
      </c>
      <c r="H35" s="702">
        <f t="shared" si="0"/>
        <v>3980.25</v>
      </c>
      <c r="I35" s="694">
        <f t="shared" si="1"/>
        <v>4864.75</v>
      </c>
      <c r="J35" s="694">
        <f t="shared" si="2"/>
        <v>3095.75</v>
      </c>
      <c r="K35" s="694">
        <f t="shared" si="3"/>
        <v>3538</v>
      </c>
      <c r="L35" s="703">
        <f t="shared" si="4"/>
        <v>2211.25</v>
      </c>
      <c r="M35" s="703">
        <f t="shared" si="5"/>
        <v>20370.5</v>
      </c>
    </row>
    <row r="36" spans="3:18" x14ac:dyDescent="0.25">
      <c r="C36" s="875"/>
      <c r="D36" s="693" t="s">
        <v>464</v>
      </c>
      <c r="E36" s="694">
        <v>689126</v>
      </c>
      <c r="F36" s="694">
        <f>379137*25%</f>
        <v>94784.25</v>
      </c>
      <c r="G36" s="703">
        <f>GETPIVOTDATA("Number of people with access to continuous sanitation services_4",$B$6,"State","Rakhine")+GETPIVOTDATA("Number of people with access to continuous sanitation services_4",$B$17,"State","Rakhine")</f>
        <v>15540</v>
      </c>
      <c r="H36" s="702">
        <f t="shared" si="0"/>
        <v>6993</v>
      </c>
      <c r="I36" s="694">
        <f t="shared" si="1"/>
        <v>8547</v>
      </c>
      <c r="J36" s="694">
        <f t="shared" si="2"/>
        <v>5439</v>
      </c>
      <c r="K36" s="694">
        <f t="shared" si="3"/>
        <v>6216</v>
      </c>
      <c r="L36" s="703">
        <f t="shared" si="4"/>
        <v>3885</v>
      </c>
      <c r="M36" s="703">
        <f t="shared" si="5"/>
        <v>79244.25</v>
      </c>
    </row>
    <row r="37" spans="3:18" x14ac:dyDescent="0.25">
      <c r="C37" s="875"/>
      <c r="D37" s="693" t="s">
        <v>878</v>
      </c>
      <c r="E37" s="694">
        <v>27308</v>
      </c>
      <c r="F37" s="694">
        <f>20479*25%</f>
        <v>5119.75</v>
      </c>
      <c r="G37" s="703">
        <f>GETPIVOTDATA("Number of people with access to continuous sanitation services_4",$B$6,"State","Shan (North)")</f>
        <v>140</v>
      </c>
      <c r="H37" s="702">
        <f t="shared" si="0"/>
        <v>63</v>
      </c>
      <c r="I37" s="694">
        <f t="shared" si="1"/>
        <v>77</v>
      </c>
      <c r="J37" s="694">
        <f t="shared" si="2"/>
        <v>49</v>
      </c>
      <c r="K37" s="694">
        <f t="shared" si="3"/>
        <v>56</v>
      </c>
      <c r="L37" s="703">
        <f t="shared" si="4"/>
        <v>35</v>
      </c>
      <c r="M37" s="703">
        <f t="shared" si="5"/>
        <v>4979.75</v>
      </c>
    </row>
    <row r="38" spans="3:18" x14ac:dyDescent="0.25">
      <c r="C38" s="876" t="s">
        <v>195</v>
      </c>
      <c r="D38" s="695" t="s">
        <v>44</v>
      </c>
      <c r="E38" s="696">
        <v>124903</v>
      </c>
      <c r="F38" s="696">
        <v>116862</v>
      </c>
      <c r="G38" s="705">
        <f>GETPIVOTDATA("Number of people reached by regular dedicated hygiene promotion_5",$B$6,"State","Kachin")</f>
        <v>55466</v>
      </c>
      <c r="H38" s="704">
        <f t="shared" si="0"/>
        <v>24959.7</v>
      </c>
      <c r="I38" s="696">
        <f t="shared" si="1"/>
        <v>30506.300000000003</v>
      </c>
      <c r="J38" s="696">
        <f t="shared" si="2"/>
        <v>19413.099999999999</v>
      </c>
      <c r="K38" s="696">
        <f t="shared" si="3"/>
        <v>22186.400000000001</v>
      </c>
      <c r="L38" s="705">
        <f t="shared" si="4"/>
        <v>13866.5</v>
      </c>
      <c r="M38" s="705">
        <f t="shared" si="5"/>
        <v>61396</v>
      </c>
    </row>
    <row r="39" spans="3:18" x14ac:dyDescent="0.25">
      <c r="C39" s="876"/>
      <c r="D39" s="695" t="s">
        <v>464</v>
      </c>
      <c r="E39" s="696">
        <v>689126</v>
      </c>
      <c r="F39" s="696">
        <v>379137</v>
      </c>
      <c r="G39" s="705">
        <f>GETPIVOTDATA("Number of people reached by regular dedicated hygiene promotion_5",$B$6,"State","Rakhine")+GETPIVOTDATA("Number of people reached by regular dedicated hygiene promotion_5",$B$17,"State","Rakhine")</f>
        <v>139656</v>
      </c>
      <c r="H39" s="704">
        <f t="shared" si="0"/>
        <v>62845.200000000004</v>
      </c>
      <c r="I39" s="696">
        <f t="shared" si="1"/>
        <v>76810.8</v>
      </c>
      <c r="J39" s="696">
        <f t="shared" si="2"/>
        <v>48879.6</v>
      </c>
      <c r="K39" s="696">
        <f t="shared" si="3"/>
        <v>55862.400000000001</v>
      </c>
      <c r="L39" s="705">
        <f t="shared" si="4"/>
        <v>34914</v>
      </c>
      <c r="M39" s="705">
        <f t="shared" si="5"/>
        <v>239481</v>
      </c>
    </row>
    <row r="40" spans="3:18" x14ac:dyDescent="0.25">
      <c r="C40" s="876"/>
      <c r="D40" s="695" t="s">
        <v>878</v>
      </c>
      <c r="E40" s="696">
        <v>27308</v>
      </c>
      <c r="F40" s="696">
        <v>20479</v>
      </c>
      <c r="G40" s="705">
        <f>GETPIVOTDATA("Number of people reached by regular dedicated hygiene promotion_5",$B$6,"State","Shan (North)")</f>
        <v>8113</v>
      </c>
      <c r="H40" s="704">
        <f t="shared" si="0"/>
        <v>3650.85</v>
      </c>
      <c r="I40" s="696">
        <f t="shared" si="1"/>
        <v>4462.1500000000005</v>
      </c>
      <c r="J40" s="696">
        <f t="shared" si="2"/>
        <v>2839.5499999999997</v>
      </c>
      <c r="K40" s="696">
        <f t="shared" si="3"/>
        <v>3245.2000000000003</v>
      </c>
      <c r="L40" s="705">
        <f t="shared" si="4"/>
        <v>2028.25</v>
      </c>
      <c r="M40" s="705">
        <f t="shared" si="5"/>
        <v>12366</v>
      </c>
    </row>
    <row r="41" spans="3:18" x14ac:dyDescent="0.25">
      <c r="C41" s="876" t="s">
        <v>2195</v>
      </c>
      <c r="D41" s="695" t="s">
        <v>44</v>
      </c>
      <c r="E41" s="696">
        <v>124903</v>
      </c>
      <c r="F41" s="696">
        <f>116862</f>
        <v>116862</v>
      </c>
      <c r="G41" s="705">
        <f>GETPIVOTDATA("Number of People received regular supply of hygiene items_6",$B$6,"State","Kachin")</f>
        <v>19340</v>
      </c>
      <c r="H41" s="704">
        <f t="shared" si="0"/>
        <v>8703</v>
      </c>
      <c r="I41" s="696">
        <f t="shared" si="1"/>
        <v>10637</v>
      </c>
      <c r="J41" s="696">
        <f t="shared" si="2"/>
        <v>6769</v>
      </c>
      <c r="K41" s="696">
        <f t="shared" si="3"/>
        <v>7736</v>
      </c>
      <c r="L41" s="705">
        <f t="shared" si="4"/>
        <v>4835</v>
      </c>
      <c r="M41" s="705">
        <f t="shared" si="5"/>
        <v>97522</v>
      </c>
    </row>
    <row r="42" spans="3:18" x14ac:dyDescent="0.25">
      <c r="C42" s="876"/>
      <c r="D42" s="695" t="s">
        <v>464</v>
      </c>
      <c r="E42" s="696">
        <v>689126</v>
      </c>
      <c r="F42" s="696">
        <f>379137*89%</f>
        <v>337431.93</v>
      </c>
      <c r="G42" s="705">
        <f>GETPIVOTDATA("Number of People received regular supply of hygiene items_6",$B$6,"State","Rakhine")+GETPIVOTDATA("Number of People received regular supply of hygiene items_6",$B$17,"State","Rakhine")</f>
        <v>99870</v>
      </c>
      <c r="H42" s="704">
        <f t="shared" si="0"/>
        <v>44941.5</v>
      </c>
      <c r="I42" s="696">
        <f t="shared" si="1"/>
        <v>54928.500000000007</v>
      </c>
      <c r="J42" s="696">
        <f t="shared" si="2"/>
        <v>34954.5</v>
      </c>
      <c r="K42" s="696">
        <f t="shared" si="3"/>
        <v>39948</v>
      </c>
      <c r="L42" s="705">
        <f t="shared" si="4"/>
        <v>24967.5</v>
      </c>
      <c r="M42" s="705">
        <f t="shared" si="5"/>
        <v>237561.93</v>
      </c>
    </row>
    <row r="43" spans="3:18" ht="16.5" thickBot="1" x14ac:dyDescent="0.3">
      <c r="C43" s="877"/>
      <c r="D43" s="713" t="s">
        <v>878</v>
      </c>
      <c r="E43" s="707">
        <v>27308</v>
      </c>
      <c r="F43" s="707">
        <v>20479</v>
      </c>
      <c r="G43" s="708">
        <f>GETPIVOTDATA("Number of People received regular supply of hygiene items_6",$B$6,"State","Shan (North)")</f>
        <v>5550</v>
      </c>
      <c r="H43" s="706">
        <f t="shared" si="0"/>
        <v>2497.5</v>
      </c>
      <c r="I43" s="707">
        <f t="shared" si="1"/>
        <v>3052.5000000000005</v>
      </c>
      <c r="J43" s="707">
        <f t="shared" si="2"/>
        <v>1942.4999999999998</v>
      </c>
      <c r="K43" s="707">
        <f t="shared" si="3"/>
        <v>2220</v>
      </c>
      <c r="L43" s="708">
        <f t="shared" si="4"/>
        <v>1387.5</v>
      </c>
      <c r="M43" s="708">
        <f t="shared" si="5"/>
        <v>14929</v>
      </c>
    </row>
    <row r="46" spans="3:18" x14ac:dyDescent="0.25">
      <c r="C46" s="688" t="s">
        <v>50</v>
      </c>
      <c r="D46" s="689"/>
      <c r="E46" s="689"/>
      <c r="F46" s="689"/>
      <c r="G46" s="689"/>
      <c r="H46" s="689"/>
      <c r="I46" s="689"/>
      <c r="J46" s="689"/>
      <c r="K46" s="689"/>
      <c r="L46" s="689"/>
      <c r="M46" s="689"/>
      <c r="N46" s="689"/>
      <c r="O46" s="689"/>
      <c r="P46" s="689"/>
      <c r="Q46" s="689"/>
      <c r="R46" s="690"/>
    </row>
    <row r="47" spans="3:18" x14ac:dyDescent="0.25">
      <c r="C47" s="317" t="s">
        <v>2219</v>
      </c>
      <c r="D47" s="317" t="s">
        <v>2191</v>
      </c>
      <c r="E47" s="317" t="s">
        <v>2192</v>
      </c>
    </row>
    <row r="49" spans="2:6" ht="50.1" customHeight="1" x14ac:dyDescent="0.25">
      <c r="C49" s="684" t="s">
        <v>2201</v>
      </c>
      <c r="D49" s="684" t="s">
        <v>2202</v>
      </c>
      <c r="E49" s="684" t="s">
        <v>2213</v>
      </c>
      <c r="F49" s="303" t="s">
        <v>2527</v>
      </c>
    </row>
    <row r="50" spans="2:6" ht="15.75" customHeight="1" x14ac:dyDescent="0.25">
      <c r="B50" s="687" t="s">
        <v>44</v>
      </c>
      <c r="C50" s="305">
        <v>116862</v>
      </c>
      <c r="D50" s="305">
        <f>G26</f>
        <v>77868.799999999988</v>
      </c>
      <c r="E50" s="305">
        <f>C50-D50</f>
        <v>38993.200000000012</v>
      </c>
      <c r="F50" s="350">
        <f>$E$50/$C$50</f>
        <v>0.33366877171364523</v>
      </c>
    </row>
    <row r="51" spans="2:6" ht="15.75" customHeight="1" x14ac:dyDescent="0.25">
      <c r="B51" s="687" t="s">
        <v>464</v>
      </c>
      <c r="C51" s="305">
        <f>379137</f>
        <v>379137</v>
      </c>
      <c r="D51" s="305">
        <f>G27</f>
        <v>141960.33333333331</v>
      </c>
      <c r="E51" s="305">
        <f t="shared" ref="E51:E81" si="6">C51-D51</f>
        <v>237176.66666666669</v>
      </c>
      <c r="F51" s="350">
        <f>$E$51/$C$51</f>
        <v>0.6255698248038748</v>
      </c>
    </row>
    <row r="52" spans="2:6" ht="15.75" customHeight="1" x14ac:dyDescent="0.25">
      <c r="B52" s="687" t="s">
        <v>878</v>
      </c>
      <c r="C52" s="305">
        <v>20479</v>
      </c>
      <c r="D52" s="305">
        <f>G28</f>
        <v>8969</v>
      </c>
      <c r="E52" s="305">
        <f t="shared" si="6"/>
        <v>11510</v>
      </c>
      <c r="F52" s="350">
        <f>$E$52/$C$52</f>
        <v>0.56203916206846039</v>
      </c>
    </row>
    <row r="53" spans="2:6" ht="15.75" customHeight="1" x14ac:dyDescent="0.25">
      <c r="E53" s="308"/>
      <c r="F53" s="350"/>
    </row>
    <row r="54" spans="2:6" ht="15.75" customHeight="1" x14ac:dyDescent="0.25">
      <c r="E54" s="308"/>
      <c r="F54" s="350"/>
    </row>
    <row r="55" spans="2:6" ht="63" x14ac:dyDescent="0.25">
      <c r="C55" s="684" t="s">
        <v>2208</v>
      </c>
      <c r="D55" s="684" t="s">
        <v>2203</v>
      </c>
      <c r="E55" s="684" t="s">
        <v>2218</v>
      </c>
      <c r="F55" s="350"/>
    </row>
    <row r="56" spans="2:6" x14ac:dyDescent="0.25">
      <c r="B56" s="687" t="s">
        <v>44</v>
      </c>
      <c r="C56" s="305">
        <v>116862</v>
      </c>
      <c r="D56" s="305">
        <f>G29</f>
        <v>77868.799999999988</v>
      </c>
      <c r="E56" s="305">
        <f t="shared" si="6"/>
        <v>38993.200000000012</v>
      </c>
      <c r="F56" s="350">
        <f>$E$56/$C$56</f>
        <v>0.33366877171364523</v>
      </c>
    </row>
    <row r="57" spans="2:6" ht="15.75" customHeight="1" x14ac:dyDescent="0.25">
      <c r="B57" s="687" t="s">
        <v>464</v>
      </c>
      <c r="C57" s="305">
        <f>379137</f>
        <v>379137</v>
      </c>
      <c r="D57" s="305">
        <f>G30</f>
        <v>154699.33333333331</v>
      </c>
      <c r="E57" s="305">
        <f t="shared" si="6"/>
        <v>224437.66666666669</v>
      </c>
      <c r="F57" s="350">
        <f>$E$57/$C$57</f>
        <v>0.59196983324409558</v>
      </c>
    </row>
    <row r="58" spans="2:6" x14ac:dyDescent="0.25">
      <c r="B58" s="687" t="s">
        <v>878</v>
      </c>
      <c r="C58" s="305">
        <v>20479</v>
      </c>
      <c r="D58" s="305">
        <f>G31</f>
        <v>8969</v>
      </c>
      <c r="E58" s="305">
        <f t="shared" si="6"/>
        <v>11510</v>
      </c>
      <c r="F58" s="350">
        <f>$E$58/$C$58</f>
        <v>0.56203916206846039</v>
      </c>
    </row>
    <row r="59" spans="2:6" ht="15.75" customHeight="1" x14ac:dyDescent="0.25">
      <c r="E59" s="308"/>
      <c r="F59" s="350"/>
    </row>
    <row r="60" spans="2:6" ht="47.25" x14ac:dyDescent="0.25">
      <c r="C60" s="685" t="s">
        <v>2209</v>
      </c>
      <c r="D60" s="685" t="s">
        <v>2204</v>
      </c>
      <c r="E60" s="685" t="s">
        <v>2217</v>
      </c>
      <c r="F60" s="350"/>
    </row>
    <row r="61" spans="2:6" ht="15.75" customHeight="1" x14ac:dyDescent="0.25">
      <c r="B61" s="687" t="s">
        <v>44</v>
      </c>
      <c r="C61" s="305">
        <v>116862</v>
      </c>
      <c r="D61" s="305">
        <f>G32</f>
        <v>71263</v>
      </c>
      <c r="E61" s="305">
        <f t="shared" si="6"/>
        <v>45599</v>
      </c>
      <c r="F61" s="350">
        <f>$E$61/$C$61</f>
        <v>0.3901952730571101</v>
      </c>
    </row>
    <row r="62" spans="2:6" x14ac:dyDescent="0.25">
      <c r="B62" s="687" t="s">
        <v>464</v>
      </c>
      <c r="C62" s="305">
        <f>379137</f>
        <v>379137</v>
      </c>
      <c r="D62" s="305">
        <f>G33</f>
        <v>106739</v>
      </c>
      <c r="E62" s="305">
        <f t="shared" si="6"/>
        <v>272398</v>
      </c>
      <c r="F62" s="350">
        <f>$E$62/$C$62</f>
        <v>0.71846852193270505</v>
      </c>
    </row>
    <row r="63" spans="2:6" ht="15.75" customHeight="1" x14ac:dyDescent="0.25">
      <c r="B63" s="687" t="s">
        <v>878</v>
      </c>
      <c r="C63" s="305">
        <v>20479</v>
      </c>
      <c r="D63" s="305">
        <f>G34</f>
        <v>8206</v>
      </c>
      <c r="E63" s="305">
        <f t="shared" si="6"/>
        <v>12273</v>
      </c>
      <c r="F63" s="350">
        <f>$E$63/$C$63</f>
        <v>0.59929684066604816</v>
      </c>
    </row>
    <row r="64" spans="2:6" ht="15.75" customHeight="1" x14ac:dyDescent="0.25">
      <c r="E64" s="308"/>
      <c r="F64" s="350"/>
    </row>
    <row r="65" spans="2:6" ht="15.75" customHeight="1" x14ac:dyDescent="0.25">
      <c r="E65" s="308"/>
      <c r="F65" s="350"/>
    </row>
    <row r="66" spans="2:6" ht="47.25" x14ac:dyDescent="0.25">
      <c r="C66" s="685" t="s">
        <v>2210</v>
      </c>
      <c r="D66" s="685" t="s">
        <v>2205</v>
      </c>
      <c r="E66" s="685" t="s">
        <v>2216</v>
      </c>
      <c r="F66" s="350"/>
    </row>
    <row r="67" spans="2:6" ht="15.75" customHeight="1" x14ac:dyDescent="0.25">
      <c r="B67" s="687" t="s">
        <v>44</v>
      </c>
      <c r="C67" s="305">
        <f>116862*25%</f>
        <v>29215.5</v>
      </c>
      <c r="D67" s="305">
        <f>G35</f>
        <v>8845</v>
      </c>
      <c r="E67" s="305">
        <f t="shared" si="6"/>
        <v>20370.5</v>
      </c>
      <c r="F67" s="350">
        <f>$E$67/$C$67</f>
        <v>0.69724974756550462</v>
      </c>
    </row>
    <row r="68" spans="2:6" ht="15.75" customHeight="1" x14ac:dyDescent="0.25">
      <c r="B68" s="687" t="s">
        <v>464</v>
      </c>
      <c r="C68" s="305">
        <f>379137*25%</f>
        <v>94784.25</v>
      </c>
      <c r="D68" s="305">
        <f>G36</f>
        <v>15540</v>
      </c>
      <c r="E68" s="305">
        <f t="shared" si="6"/>
        <v>79244.25</v>
      </c>
      <c r="F68" s="350">
        <f>$E$68/$C$68</f>
        <v>0.83604871062439168</v>
      </c>
    </row>
    <row r="69" spans="2:6" x14ac:dyDescent="0.25">
      <c r="B69" s="687" t="s">
        <v>878</v>
      </c>
      <c r="C69" s="305">
        <f>20479*25%</f>
        <v>5119.75</v>
      </c>
      <c r="D69" s="305">
        <f>G37</f>
        <v>140</v>
      </c>
      <c r="E69" s="305">
        <f t="shared" si="6"/>
        <v>4979.75</v>
      </c>
      <c r="F69" s="350">
        <f>$E$69/$C$69</f>
        <v>0.97265491479076127</v>
      </c>
    </row>
    <row r="70" spans="2:6" x14ac:dyDescent="0.25">
      <c r="E70" s="308"/>
      <c r="F70" s="350"/>
    </row>
    <row r="71" spans="2:6" x14ac:dyDescent="0.25">
      <c r="E71" s="308"/>
      <c r="F71" s="350"/>
    </row>
    <row r="72" spans="2:6" ht="63" x14ac:dyDescent="0.25">
      <c r="C72" s="686" t="s">
        <v>2211</v>
      </c>
      <c r="D72" s="686" t="s">
        <v>2206</v>
      </c>
      <c r="E72" s="686" t="s">
        <v>2215</v>
      </c>
      <c r="F72" s="350"/>
    </row>
    <row r="73" spans="2:6" x14ac:dyDescent="0.25">
      <c r="B73" s="687" t="s">
        <v>44</v>
      </c>
      <c r="C73" s="305">
        <v>116862</v>
      </c>
      <c r="D73" s="305">
        <f>G38</f>
        <v>55466</v>
      </c>
      <c r="E73" s="305">
        <f t="shared" si="6"/>
        <v>61396</v>
      </c>
      <c r="F73" s="350">
        <f>$E$73/$C$73</f>
        <v>0.52537180606185074</v>
      </c>
    </row>
    <row r="74" spans="2:6" x14ac:dyDescent="0.25">
      <c r="B74" s="687" t="s">
        <v>464</v>
      </c>
      <c r="C74" s="305">
        <f>379137</f>
        <v>379137</v>
      </c>
      <c r="D74" s="305">
        <f>G39</f>
        <v>139656</v>
      </c>
      <c r="E74" s="305">
        <f t="shared" si="6"/>
        <v>239481</v>
      </c>
      <c r="F74" s="350">
        <f>$E$74/$C$74</f>
        <v>0.63164766298198272</v>
      </c>
    </row>
    <row r="75" spans="2:6" x14ac:dyDescent="0.25">
      <c r="B75" s="687" t="s">
        <v>878</v>
      </c>
      <c r="C75" s="305">
        <v>20479</v>
      </c>
      <c r="D75" s="305">
        <f>G40</f>
        <v>8113</v>
      </c>
      <c r="E75" s="305">
        <f t="shared" si="6"/>
        <v>12366</v>
      </c>
      <c r="F75" s="350">
        <f>$E$75/$C$75</f>
        <v>0.60383807803115386</v>
      </c>
    </row>
    <row r="76" spans="2:6" ht="50.1" customHeight="1" x14ac:dyDescent="0.25">
      <c r="E76" s="308"/>
      <c r="F76" s="350"/>
    </row>
    <row r="77" spans="2:6" x14ac:dyDescent="0.25">
      <c r="E77" s="308"/>
      <c r="F77" s="350"/>
    </row>
    <row r="78" spans="2:6" ht="47.25" x14ac:dyDescent="0.25">
      <c r="C78" s="686" t="s">
        <v>2212</v>
      </c>
      <c r="D78" s="686" t="s">
        <v>2207</v>
      </c>
      <c r="E78" s="686" t="s">
        <v>2214</v>
      </c>
      <c r="F78" s="350"/>
    </row>
    <row r="79" spans="2:6" x14ac:dyDescent="0.25">
      <c r="B79" s="687" t="s">
        <v>44</v>
      </c>
      <c r="C79" s="305">
        <v>116862</v>
      </c>
      <c r="D79" s="305">
        <f>G41</f>
        <v>19340</v>
      </c>
      <c r="E79" s="305">
        <f t="shared" si="6"/>
        <v>97522</v>
      </c>
      <c r="F79" s="350">
        <f>$E$79/$C$79</f>
        <v>0.83450565624411699</v>
      </c>
    </row>
    <row r="80" spans="2:6" x14ac:dyDescent="0.25">
      <c r="B80" s="687" t="s">
        <v>464</v>
      </c>
      <c r="C80" s="305">
        <f>379137*89%</f>
        <v>337431.93</v>
      </c>
      <c r="D80" s="305">
        <f>G42</f>
        <v>99870</v>
      </c>
      <c r="E80" s="305">
        <f t="shared" si="6"/>
        <v>237561.93</v>
      </c>
      <c r="F80" s="350">
        <f>$E$80/$C$80</f>
        <v>0.70402919486605786</v>
      </c>
    </row>
    <row r="81" spans="2:17" x14ac:dyDescent="0.25">
      <c r="B81" s="687" t="s">
        <v>878</v>
      </c>
      <c r="C81" s="305">
        <v>20479</v>
      </c>
      <c r="D81" s="305">
        <f>G43</f>
        <v>5550</v>
      </c>
      <c r="E81" s="305">
        <f t="shared" si="6"/>
        <v>14929</v>
      </c>
      <c r="F81" s="350">
        <f>$E$81/$C$81</f>
        <v>0.72899067337272327</v>
      </c>
    </row>
    <row r="83" spans="2:17" ht="50.1" customHeight="1" x14ac:dyDescent="0.25"/>
    <row r="84" spans="2:17" x14ac:dyDescent="0.25">
      <c r="C84" s="317"/>
      <c r="E84" s="317" t="s">
        <v>2527</v>
      </c>
    </row>
    <row r="85" spans="2:17" x14ac:dyDescent="0.25">
      <c r="K85" s="715" t="s">
        <v>2560</v>
      </c>
    </row>
    <row r="86" spans="2:17" ht="157.5" x14ac:dyDescent="0.25">
      <c r="C86" s="684"/>
      <c r="D86" s="684" t="s">
        <v>2213</v>
      </c>
      <c r="E86" s="684" t="s">
        <v>2218</v>
      </c>
      <c r="F86" s="685" t="s">
        <v>2217</v>
      </c>
      <c r="G86" s="685" t="s">
        <v>2216</v>
      </c>
      <c r="H86" s="686" t="s">
        <v>2215</v>
      </c>
      <c r="I86" s="686" t="s">
        <v>2214</v>
      </c>
      <c r="K86" s="684"/>
      <c r="L86" s="684" t="s">
        <v>2193</v>
      </c>
      <c r="M86" s="684" t="s">
        <v>2194</v>
      </c>
      <c r="N86" s="685" t="s">
        <v>189</v>
      </c>
      <c r="O86" s="685" t="s">
        <v>2196</v>
      </c>
      <c r="P86" s="686" t="s">
        <v>195</v>
      </c>
      <c r="Q86" s="686" t="s">
        <v>2195</v>
      </c>
    </row>
    <row r="87" spans="2:17" x14ac:dyDescent="0.25">
      <c r="C87" s="687" t="s">
        <v>44</v>
      </c>
      <c r="D87" s="714">
        <f>$E$50/$C$50</f>
        <v>0.33366877171364523</v>
      </c>
      <c r="E87" s="714">
        <f>$E$56/$C$56</f>
        <v>0.33366877171364523</v>
      </c>
      <c r="F87" s="714">
        <f>$E$61/$C$61</f>
        <v>0.3901952730571101</v>
      </c>
      <c r="G87" s="714">
        <f>$E$67/$C$67</f>
        <v>0.69724974756550462</v>
      </c>
      <c r="H87" s="714">
        <f>$E$73/$C$73</f>
        <v>0.52537180606185074</v>
      </c>
      <c r="I87" s="714">
        <f>$E$79/$C$79</f>
        <v>0.83450565624411699</v>
      </c>
      <c r="K87" s="687" t="s">
        <v>44</v>
      </c>
      <c r="L87" s="714">
        <f>D50/C50</f>
        <v>0.66633122828635472</v>
      </c>
      <c r="M87" s="714">
        <f>D56/C56</f>
        <v>0.66633122828635472</v>
      </c>
      <c r="N87" s="714">
        <f>D61/C61</f>
        <v>0.6098047269428899</v>
      </c>
      <c r="O87" s="714">
        <f>D67/C67</f>
        <v>0.30275025243449538</v>
      </c>
      <c r="P87" s="714">
        <f>D73/C73</f>
        <v>0.47462819393814926</v>
      </c>
      <c r="Q87" s="714">
        <f>D79/C79</f>
        <v>0.16549434375588301</v>
      </c>
    </row>
    <row r="88" spans="2:17" x14ac:dyDescent="0.25">
      <c r="C88" s="687" t="s">
        <v>464</v>
      </c>
      <c r="D88" s="714">
        <f>$E$51/$C$51</f>
        <v>0.6255698248038748</v>
      </c>
      <c r="E88" s="714">
        <f>$E$57/$C$57</f>
        <v>0.59196983324409558</v>
      </c>
      <c r="F88" s="714">
        <f>$E$62/$C$62</f>
        <v>0.71846852193270505</v>
      </c>
      <c r="G88" s="714">
        <f>$E$68/$C$68</f>
        <v>0.83604871062439168</v>
      </c>
      <c r="H88" s="714">
        <f>$E$74/$C$74</f>
        <v>0.63164766298198272</v>
      </c>
      <c r="I88" s="714">
        <f>$E$80/$C$80</f>
        <v>0.70402919486605786</v>
      </c>
      <c r="K88" s="687" t="s">
        <v>464</v>
      </c>
      <c r="L88" s="714">
        <f>D51/C51</f>
        <v>0.3744301751961252</v>
      </c>
      <c r="M88" s="714">
        <f>D57/C57</f>
        <v>0.40803016675590437</v>
      </c>
      <c r="N88" s="714">
        <f>D62/C62</f>
        <v>0.28153147806729495</v>
      </c>
      <c r="O88" s="714">
        <f>D68/C68</f>
        <v>0.16395128937560829</v>
      </c>
      <c r="P88" s="714">
        <f>D74/C74</f>
        <v>0.36835233701801723</v>
      </c>
      <c r="Q88" s="714">
        <f>D80/C80</f>
        <v>0.29597080513394214</v>
      </c>
    </row>
    <row r="89" spans="2:17" ht="31.5" x14ac:dyDescent="0.25">
      <c r="C89" s="687" t="s">
        <v>878</v>
      </c>
      <c r="D89" s="714">
        <f>$E$52/$C$52</f>
        <v>0.56203916206846039</v>
      </c>
      <c r="E89" s="714">
        <f>$E$58/$C$58</f>
        <v>0.56203916206846039</v>
      </c>
      <c r="F89" s="714">
        <f>$E$63/$C$63</f>
        <v>0.59929684066604816</v>
      </c>
      <c r="G89" s="714">
        <f>$E$69/$C$69</f>
        <v>0.97265491479076127</v>
      </c>
      <c r="H89" s="714">
        <f>$E$75/$C$75</f>
        <v>0.60383807803115386</v>
      </c>
      <c r="I89" s="714">
        <f>$E$81/$C$81</f>
        <v>0.72899067337272327</v>
      </c>
      <c r="K89" s="687" t="s">
        <v>878</v>
      </c>
      <c r="L89" s="714">
        <f>D52/C52</f>
        <v>0.43796083793153961</v>
      </c>
      <c r="M89" s="714">
        <f>D58/C58</f>
        <v>0.43796083793153961</v>
      </c>
      <c r="N89" s="714">
        <f>D63/C63</f>
        <v>0.40070315933395184</v>
      </c>
      <c r="O89" s="714">
        <f>D69/C69</f>
        <v>2.7345085209238732E-2</v>
      </c>
      <c r="P89" s="714">
        <f>D75/C75</f>
        <v>0.39616192196884614</v>
      </c>
      <c r="Q89" s="714">
        <f>D81/C81</f>
        <v>0.27100932662727673</v>
      </c>
    </row>
    <row r="117" spans="3:48" x14ac:dyDescent="0.25">
      <c r="C117" s="870" t="s">
        <v>2724</v>
      </c>
      <c r="D117" s="870"/>
    </row>
    <row r="118" spans="3:48" x14ac:dyDescent="0.25">
      <c r="AP118" s="841" t="s">
        <v>24</v>
      </c>
      <c r="AQ118" s="842" t="s">
        <v>1409</v>
      </c>
    </row>
    <row r="119" spans="3:48" x14ac:dyDescent="0.25">
      <c r="C119" s="803" t="s">
        <v>24</v>
      </c>
      <c r="D119" s="804" t="s">
        <v>1409</v>
      </c>
      <c r="V119" s="803" t="s">
        <v>24</v>
      </c>
      <c r="W119" s="804" t="s">
        <v>1409</v>
      </c>
      <c r="AP119" s="841" t="s">
        <v>40</v>
      </c>
      <c r="AQ119" s="842" t="s">
        <v>40</v>
      </c>
    </row>
    <row r="120" spans="3:48" x14ac:dyDescent="0.25">
      <c r="C120" s="803" t="s">
        <v>40</v>
      </c>
      <c r="D120" s="804" t="s">
        <v>40</v>
      </c>
      <c r="J120" s="304"/>
      <c r="V120" s="803" t="s">
        <v>40</v>
      </c>
      <c r="W120" s="804" t="s">
        <v>40</v>
      </c>
      <c r="AP120" s="841" t="s">
        <v>290</v>
      </c>
      <c r="AQ120" s="842" t="s">
        <v>2180</v>
      </c>
    </row>
    <row r="121" spans="3:48" x14ac:dyDescent="0.25">
      <c r="C121" s="803" t="s">
        <v>290</v>
      </c>
      <c r="D121" s="804" t="s">
        <v>2180</v>
      </c>
      <c r="V121" s="803" t="s">
        <v>290</v>
      </c>
      <c r="W121" s="804" t="s">
        <v>984</v>
      </c>
      <c r="AP121" s="392"/>
      <c r="AQ121"/>
      <c r="AR121"/>
      <c r="AS121"/>
      <c r="AT121"/>
      <c r="AU121"/>
      <c r="AV121"/>
    </row>
    <row r="122" spans="3:48" x14ac:dyDescent="0.25">
      <c r="C122"/>
      <c r="D122"/>
      <c r="E122"/>
      <c r="F122"/>
      <c r="G122"/>
      <c r="H122"/>
      <c r="I122"/>
      <c r="J122"/>
      <c r="V122" s="392"/>
      <c r="W122"/>
      <c r="X122"/>
      <c r="Y122"/>
      <c r="Z122"/>
      <c r="AA122"/>
      <c r="AB122"/>
      <c r="AP122" s="844" t="s">
        <v>2221</v>
      </c>
      <c r="AQ122" s="843">
        <v>279916</v>
      </c>
      <c r="AR122"/>
      <c r="AS122" s="740" t="s">
        <v>2182</v>
      </c>
      <c r="AT122" s="741" t="s">
        <v>2723</v>
      </c>
      <c r="AU122" s="743" t="s">
        <v>2191</v>
      </c>
      <c r="AV122" s="743" t="s">
        <v>2192</v>
      </c>
    </row>
    <row r="123" spans="3:48" ht="63" x14ac:dyDescent="0.25">
      <c r="C123" s="807" t="s">
        <v>2221</v>
      </c>
      <c r="D123" s="806">
        <v>218962</v>
      </c>
      <c r="E123"/>
      <c r="F123" s="740" t="s">
        <v>2182</v>
      </c>
      <c r="G123" s="741" t="s">
        <v>2723</v>
      </c>
      <c r="H123" s="743" t="s">
        <v>2191</v>
      </c>
      <c r="I123" s="743" t="s">
        <v>2192</v>
      </c>
      <c r="J123"/>
      <c r="V123" s="807" t="s">
        <v>2221</v>
      </c>
      <c r="W123" s="806">
        <v>60954</v>
      </c>
      <c r="X123"/>
      <c r="Y123" s="740" t="s">
        <v>2182</v>
      </c>
      <c r="Z123" s="741" t="s">
        <v>2723</v>
      </c>
      <c r="AA123" s="743" t="s">
        <v>2191</v>
      </c>
      <c r="AB123" s="743" t="s">
        <v>2192</v>
      </c>
      <c r="AP123" s="849" t="s">
        <v>2197</v>
      </c>
      <c r="AQ123" s="845">
        <v>228798.13333333333</v>
      </c>
      <c r="AR123"/>
      <c r="AS123" s="739" t="s">
        <v>2748</v>
      </c>
      <c r="AT123" s="748">
        <v>516478</v>
      </c>
      <c r="AU123" s="752">
        <f>GETPIVOTDATA("Number of people reached by regular dedicated hygiene promotion_5",$AP$122)</f>
        <v>203235</v>
      </c>
      <c r="AV123" s="752">
        <f>AT123-AU123</f>
        <v>313243</v>
      </c>
    </row>
    <row r="124" spans="3:48" ht="63" x14ac:dyDescent="0.25">
      <c r="C124" s="812" t="s">
        <v>2197</v>
      </c>
      <c r="D124" s="808">
        <v>202658.13333333333</v>
      </c>
      <c r="E124"/>
      <c r="F124" s="739" t="s">
        <v>2748</v>
      </c>
      <c r="G124" s="748">
        <v>219600</v>
      </c>
      <c r="H124" s="752">
        <f>GETPIVOTDATA("Number of people reached by regular dedicated hygiene promotion_5",$C$123)</f>
        <v>156172</v>
      </c>
      <c r="I124" s="752">
        <f>G124-H124</f>
        <v>63428</v>
      </c>
      <c r="J124"/>
      <c r="K124"/>
      <c r="V124" s="812" t="s">
        <v>2197</v>
      </c>
      <c r="W124" s="817">
        <v>26140</v>
      </c>
      <c r="X124"/>
      <c r="Y124" s="739" t="s">
        <v>2722</v>
      </c>
      <c r="Z124" s="748">
        <f t="shared" ref="Z124:Z127" si="7">516478-219600</f>
        <v>296878</v>
      </c>
      <c r="AA124" s="752">
        <f>GETPIVOTDATA("Number of people reached by regular dedicated hygiene promotion_5",$V$123)</f>
        <v>47063</v>
      </c>
      <c r="AB124" s="752">
        <f>Z124-AA124</f>
        <v>249815</v>
      </c>
      <c r="AP124" s="849" t="s">
        <v>2198</v>
      </c>
      <c r="AQ124" s="845">
        <v>241537.13333333333</v>
      </c>
      <c r="AR124"/>
      <c r="AS124" s="739" t="s">
        <v>2749</v>
      </c>
      <c r="AT124" s="748">
        <v>516478</v>
      </c>
      <c r="AU124" s="749">
        <f>GETPIVOTDATA("Number of People received regular supply of hygiene items_6",$AP$122)</f>
        <v>124760</v>
      </c>
      <c r="AV124" s="749">
        <f>AT124-AU124</f>
        <v>391718</v>
      </c>
    </row>
    <row r="125" spans="3:48" ht="63" x14ac:dyDescent="0.25">
      <c r="C125" s="812" t="s">
        <v>2198</v>
      </c>
      <c r="D125" s="808">
        <v>204989.13333333333</v>
      </c>
      <c r="E125"/>
      <c r="F125" s="739" t="s">
        <v>2763</v>
      </c>
      <c r="G125" s="748">
        <v>219600</v>
      </c>
      <c r="H125" s="749">
        <f>GETPIVOTDATA("Number of People received regular supply of hygiene items_6",$C$123)</f>
        <v>120585</v>
      </c>
      <c r="I125" s="749">
        <f>G125-H125</f>
        <v>99015</v>
      </c>
      <c r="J125"/>
      <c r="K125"/>
      <c r="V125" s="812" t="s">
        <v>2198</v>
      </c>
      <c r="W125" s="817">
        <v>36548</v>
      </c>
      <c r="X125"/>
      <c r="Y125" s="738" t="s">
        <v>189</v>
      </c>
      <c r="Z125" s="738">
        <f t="shared" si="7"/>
        <v>296878</v>
      </c>
      <c r="AA125" s="751">
        <f>GETPIVOTDATA("Number of people with access to functional sanitation facilities_3",$V$123)</f>
        <v>12996</v>
      </c>
      <c r="AB125" s="751">
        <f>Z125-AA125</f>
        <v>283882</v>
      </c>
      <c r="AP125" s="850" t="s">
        <v>2199</v>
      </c>
      <c r="AQ125" s="846">
        <v>186208</v>
      </c>
      <c r="AR125"/>
      <c r="AS125" s="738" t="s">
        <v>2746</v>
      </c>
      <c r="AT125" s="748">
        <v>516478</v>
      </c>
      <c r="AU125" s="751">
        <f>GETPIVOTDATA("Number of people with access to functional sanitation facilities_3",$AP$122)</f>
        <v>186208</v>
      </c>
      <c r="AV125" s="751">
        <f t="shared" ref="AV125:AV126" si="8">AT125-AU125</f>
        <v>330270</v>
      </c>
    </row>
    <row r="126" spans="3:48" ht="47.25" x14ac:dyDescent="0.25">
      <c r="C126" s="813" t="s">
        <v>2199</v>
      </c>
      <c r="D126" s="809">
        <v>173212</v>
      </c>
      <c r="E126"/>
      <c r="F126" s="738" t="s">
        <v>2746</v>
      </c>
      <c r="G126" s="748">
        <v>219600</v>
      </c>
      <c r="H126" s="751">
        <f>GETPIVOTDATA("Number of people with access to functional sanitation facilities_3",$C$123)</f>
        <v>173212</v>
      </c>
      <c r="I126" s="751">
        <f t="shared" ref="I126:I127" si="9">G126-H126</f>
        <v>46388</v>
      </c>
      <c r="J126"/>
      <c r="K126"/>
      <c r="V126" s="813" t="s">
        <v>2199</v>
      </c>
      <c r="W126" s="810">
        <v>12996</v>
      </c>
      <c r="X126"/>
      <c r="Y126" s="742" t="s">
        <v>2193</v>
      </c>
      <c r="Z126" s="748">
        <f t="shared" si="7"/>
        <v>296878</v>
      </c>
      <c r="AA126" s="750">
        <f>GETPIVOTDATA("Number of people with equitable and safe access to sufficient quantity of drinking water_1",$V$123)</f>
        <v>26140</v>
      </c>
      <c r="AB126" s="750">
        <f>Z126-AA126</f>
        <v>270738</v>
      </c>
      <c r="AP126" s="851" t="s">
        <v>2662</v>
      </c>
      <c r="AQ126" s="847">
        <v>24525</v>
      </c>
      <c r="AR126"/>
      <c r="AS126" s="738" t="s">
        <v>2747</v>
      </c>
      <c r="AT126" s="748">
        <f>516478*25%</f>
        <v>129119.5</v>
      </c>
      <c r="AU126" s="751">
        <f>GETPIVOTDATA("Number of people with access to continuous sanitation services_4",$AP$122)</f>
        <v>24525</v>
      </c>
      <c r="AV126" s="751">
        <f t="shared" si="8"/>
        <v>104594.5</v>
      </c>
    </row>
    <row r="127" spans="3:48" ht="63" x14ac:dyDescent="0.25">
      <c r="C127" s="814" t="s">
        <v>2662</v>
      </c>
      <c r="D127" s="810">
        <v>24525</v>
      </c>
      <c r="E127"/>
      <c r="F127" s="738" t="s">
        <v>2747</v>
      </c>
      <c r="G127" s="748">
        <f>219600*25%</f>
        <v>54900</v>
      </c>
      <c r="H127" s="751">
        <f>GETPIVOTDATA("Number of people with access to continuous sanitation services_4",$C$123)</f>
        <v>24525</v>
      </c>
      <c r="I127" s="751">
        <f t="shared" si="9"/>
        <v>30375</v>
      </c>
      <c r="J127"/>
      <c r="K127"/>
      <c r="V127" s="814" t="s">
        <v>2662</v>
      </c>
      <c r="W127" s="810">
        <v>0</v>
      </c>
      <c r="X127"/>
      <c r="Y127" s="742" t="s">
        <v>2194</v>
      </c>
      <c r="Z127" s="748">
        <f t="shared" si="7"/>
        <v>296878</v>
      </c>
      <c r="AA127" s="750">
        <f>GETPIVOTDATA("Number of people with equitable and safe access to sufficient quantity of domestic water_2",$V$123)</f>
        <v>36548</v>
      </c>
      <c r="AB127" s="750">
        <f>Z127-AA127</f>
        <v>260330</v>
      </c>
      <c r="AP127" s="852" t="s">
        <v>2663</v>
      </c>
      <c r="AQ127" s="848">
        <v>203235</v>
      </c>
      <c r="AS127" s="742" t="s">
        <v>2744</v>
      </c>
      <c r="AT127" s="748">
        <v>516478</v>
      </c>
      <c r="AU127" s="750">
        <f>GETPIVOTDATA("Number of people with equitable and safe access to sufficient quantity of drinking water_1",$AP$122)</f>
        <v>228798.13333333333</v>
      </c>
      <c r="AV127" s="750">
        <f>AT127-AU127</f>
        <v>287679.8666666667</v>
      </c>
    </row>
    <row r="128" spans="3:48" ht="47.25" x14ac:dyDescent="0.25">
      <c r="C128" s="815" t="s">
        <v>2663</v>
      </c>
      <c r="D128" s="811">
        <v>156172</v>
      </c>
      <c r="F128" s="742" t="s">
        <v>2764</v>
      </c>
      <c r="G128" s="748">
        <v>219600</v>
      </c>
      <c r="H128" s="750">
        <f>GETPIVOTDATA("Number of people with equitable and safe access to sufficient quantity of drinking water_1",$C$123)</f>
        <v>202658.13333333333</v>
      </c>
      <c r="I128" s="750">
        <f>G128-H128</f>
        <v>16941.866666666669</v>
      </c>
      <c r="V128" s="815" t="s">
        <v>2663</v>
      </c>
      <c r="W128" s="811">
        <v>47063</v>
      </c>
      <c r="AP128" s="852" t="s">
        <v>2687</v>
      </c>
      <c r="AQ128" s="853">
        <v>124760</v>
      </c>
      <c r="AS128" s="742" t="s">
        <v>2745</v>
      </c>
      <c r="AT128" s="748">
        <v>516478</v>
      </c>
      <c r="AU128" s="750">
        <f>GETPIVOTDATA("Number of people with equitable and safe access to sufficient quantity of domestic water_2",$AP$122)</f>
        <v>241537.13333333333</v>
      </c>
      <c r="AV128" s="750">
        <f>AT128-AU128</f>
        <v>274940.8666666667</v>
      </c>
    </row>
    <row r="129" spans="3:23" ht="47.25" x14ac:dyDescent="0.25">
      <c r="C129" s="815" t="s">
        <v>2687</v>
      </c>
      <c r="D129" s="816">
        <v>120585</v>
      </c>
      <c r="F129" s="742" t="s">
        <v>2745</v>
      </c>
      <c r="G129" s="748">
        <v>219600</v>
      </c>
      <c r="H129" s="750">
        <f>GETPIVOTDATA("Number of people with equitable and safe access to sufficient quantity of domestic water_2",$C$123)</f>
        <v>204989.13333333333</v>
      </c>
      <c r="I129" s="750">
        <f>G129-H129</f>
        <v>14610.866666666669</v>
      </c>
      <c r="V129" s="815" t="s">
        <v>2687</v>
      </c>
      <c r="W129" s="818">
        <v>4175</v>
      </c>
    </row>
    <row r="132" spans="3:23" x14ac:dyDescent="0.25">
      <c r="C132" s="803" t="s">
        <v>24</v>
      </c>
      <c r="D132" s="804" t="s">
        <v>1409</v>
      </c>
    </row>
    <row r="133" spans="3:23" x14ac:dyDescent="0.25">
      <c r="C133" s="803" t="s">
        <v>40</v>
      </c>
      <c r="D133" s="804" t="s">
        <v>40</v>
      </c>
    </row>
    <row r="134" spans="3:23" x14ac:dyDescent="0.25">
      <c r="C134" s="803" t="s">
        <v>290</v>
      </c>
      <c r="D134" s="804" t="s">
        <v>2180</v>
      </c>
    </row>
    <row r="135" spans="3:23" x14ac:dyDescent="0.25">
      <c r="C135" s="803" t="s">
        <v>26</v>
      </c>
      <c r="D135" s="804" t="s">
        <v>44</v>
      </c>
    </row>
    <row r="136" spans="3:23" x14ac:dyDescent="0.25">
      <c r="C136" s="392"/>
      <c r="D136"/>
      <c r="H136" s="871" t="s">
        <v>44</v>
      </c>
      <c r="I136" s="871"/>
    </row>
    <row r="137" spans="3:23" x14ac:dyDescent="0.25">
      <c r="C137" s="807" t="s">
        <v>2221</v>
      </c>
      <c r="D137" s="806">
        <v>87718</v>
      </c>
      <c r="F137" s="740" t="s">
        <v>2182</v>
      </c>
      <c r="G137" s="741" t="s">
        <v>2723</v>
      </c>
      <c r="H137" s="743" t="s">
        <v>2191</v>
      </c>
      <c r="I137" s="743" t="s">
        <v>2192</v>
      </c>
    </row>
    <row r="138" spans="3:23" ht="47.25" x14ac:dyDescent="0.25">
      <c r="C138" s="812" t="s">
        <v>2197</v>
      </c>
      <c r="D138" s="808">
        <v>77868.799999999988</v>
      </c>
      <c r="F138" s="739" t="s">
        <v>2748</v>
      </c>
      <c r="G138" s="748">
        <v>87847</v>
      </c>
      <c r="H138" s="746">
        <f>GETPIVOTDATA("Number of people reached by regular dedicated hygiene promotion_5",$C$137)</f>
        <v>55466</v>
      </c>
      <c r="I138" s="746">
        <f t="shared" ref="I138:I143" si="10">G138-H138</f>
        <v>32381</v>
      </c>
    </row>
    <row r="139" spans="3:23" ht="47.25" x14ac:dyDescent="0.25">
      <c r="C139" s="812" t="s">
        <v>2198</v>
      </c>
      <c r="D139" s="808">
        <v>77868.799999999988</v>
      </c>
      <c r="F139" s="739" t="s">
        <v>2749</v>
      </c>
      <c r="G139" s="748">
        <v>87847</v>
      </c>
      <c r="H139" s="747">
        <f>GETPIVOTDATA("Number of People received regular supply of hygiene items_6",$C$137)</f>
        <v>19340</v>
      </c>
      <c r="I139" s="747">
        <f t="shared" si="10"/>
        <v>68507</v>
      </c>
    </row>
    <row r="140" spans="3:23" ht="31.5" x14ac:dyDescent="0.25">
      <c r="C140" s="813" t="s">
        <v>2199</v>
      </c>
      <c r="D140" s="809">
        <v>71263</v>
      </c>
      <c r="F140" s="738" t="s">
        <v>2746</v>
      </c>
      <c r="G140" s="748">
        <v>87847</v>
      </c>
      <c r="H140" s="745">
        <f>GETPIVOTDATA("Number of people with access to functional sanitation facilities_3",$C$137)</f>
        <v>71263</v>
      </c>
      <c r="I140" s="745">
        <f t="shared" si="10"/>
        <v>16584</v>
      </c>
    </row>
    <row r="141" spans="3:23" ht="31.5" x14ac:dyDescent="0.25">
      <c r="C141" s="814" t="s">
        <v>2662</v>
      </c>
      <c r="D141" s="810">
        <v>8845</v>
      </c>
      <c r="F141" s="738" t="s">
        <v>2747</v>
      </c>
      <c r="G141" s="748">
        <f>87847*25%</f>
        <v>21961.75</v>
      </c>
      <c r="H141" s="745">
        <f>GETPIVOTDATA("Number of people with access to continuous sanitation services_4",$C$137)</f>
        <v>8845</v>
      </c>
      <c r="I141" s="745">
        <f t="shared" si="10"/>
        <v>13116.75</v>
      </c>
    </row>
    <row r="142" spans="3:23" ht="47.25" x14ac:dyDescent="0.25">
      <c r="C142" s="815" t="s">
        <v>2663</v>
      </c>
      <c r="D142" s="811">
        <v>55466</v>
      </c>
      <c r="F142" s="742" t="s">
        <v>2744</v>
      </c>
      <c r="G142" s="748">
        <v>87847</v>
      </c>
      <c r="H142" s="744">
        <f>GETPIVOTDATA("Number of people with equitable and safe access to sufficient quantity of drinking water_1",$C$137)</f>
        <v>77868.799999999988</v>
      </c>
      <c r="I142" s="744">
        <f t="shared" si="10"/>
        <v>9978.2000000000116</v>
      </c>
    </row>
    <row r="143" spans="3:23" ht="47.25" x14ac:dyDescent="0.25">
      <c r="C143" s="815" t="s">
        <v>2687</v>
      </c>
      <c r="D143" s="816">
        <v>19340</v>
      </c>
      <c r="F143" s="742" t="s">
        <v>2745</v>
      </c>
      <c r="G143" s="748">
        <v>87847</v>
      </c>
      <c r="H143" s="744">
        <f>GETPIVOTDATA("Number of people with equitable and safe access to sufficient quantity of domestic water_2",$C$137)</f>
        <v>77868.799999999988</v>
      </c>
      <c r="I143" s="744">
        <f t="shared" si="10"/>
        <v>9978.2000000000116</v>
      </c>
    </row>
    <row r="150" spans="3:28" x14ac:dyDescent="0.25">
      <c r="C150" s="803" t="s">
        <v>24</v>
      </c>
      <c r="D150" s="804" t="s">
        <v>1409</v>
      </c>
      <c r="V150" s="803" t="s">
        <v>24</v>
      </c>
      <c r="W150" s="804" t="s">
        <v>1409</v>
      </c>
    </row>
    <row r="151" spans="3:28" x14ac:dyDescent="0.25">
      <c r="C151" s="803" t="s">
        <v>40</v>
      </c>
      <c r="D151" s="804" t="s">
        <v>40</v>
      </c>
      <c r="V151" s="803" t="s">
        <v>40</v>
      </c>
      <c r="W151" s="804" t="s">
        <v>40</v>
      </c>
    </row>
    <row r="152" spans="3:28" x14ac:dyDescent="0.25">
      <c r="C152" s="803" t="s">
        <v>290</v>
      </c>
      <c r="D152" s="804" t="s">
        <v>2180</v>
      </c>
      <c r="V152" s="803" t="s">
        <v>290</v>
      </c>
      <c r="W152" s="804" t="s">
        <v>984</v>
      </c>
    </row>
    <row r="153" spans="3:28" x14ac:dyDescent="0.25">
      <c r="C153" s="803" t="s">
        <v>26</v>
      </c>
      <c r="D153" s="804" t="s">
        <v>464</v>
      </c>
      <c r="V153" s="803" t="s">
        <v>26</v>
      </c>
      <c r="W153" s="804" t="s">
        <v>464</v>
      </c>
    </row>
    <row r="154" spans="3:28" x14ac:dyDescent="0.25">
      <c r="C154" s="392"/>
      <c r="D154"/>
      <c r="H154" s="871" t="s">
        <v>464</v>
      </c>
      <c r="I154" s="871"/>
      <c r="V154" s="392"/>
      <c r="W154"/>
      <c r="AA154" s="871" t="s">
        <v>464</v>
      </c>
      <c r="AB154" s="871"/>
    </row>
    <row r="155" spans="3:28" x14ac:dyDescent="0.25">
      <c r="C155" s="807" t="s">
        <v>2221</v>
      </c>
      <c r="D155" s="806">
        <v>121491</v>
      </c>
      <c r="F155" s="740" t="s">
        <v>2182</v>
      </c>
      <c r="G155" s="741" t="s">
        <v>2723</v>
      </c>
      <c r="H155" s="743" t="s">
        <v>2191</v>
      </c>
      <c r="I155" s="743" t="s">
        <v>2192</v>
      </c>
      <c r="V155" s="807" t="s">
        <v>2221</v>
      </c>
      <c r="W155" s="806">
        <v>60954</v>
      </c>
      <c r="Y155" s="740" t="s">
        <v>2182</v>
      </c>
      <c r="Z155" s="741" t="s">
        <v>2723</v>
      </c>
      <c r="AA155" s="743" t="s">
        <v>2191</v>
      </c>
      <c r="AB155" s="743" t="s">
        <v>2192</v>
      </c>
    </row>
    <row r="156" spans="3:28" ht="63" x14ac:dyDescent="0.25">
      <c r="C156" s="812" t="s">
        <v>2197</v>
      </c>
      <c r="D156" s="817">
        <v>115820.33333333333</v>
      </c>
      <c r="F156" s="739" t="s">
        <v>2748</v>
      </c>
      <c r="G156" s="748">
        <v>120103</v>
      </c>
      <c r="H156" s="746">
        <f>GETPIVOTDATA("Number of people reached by regular dedicated hygiene promotion_5",$C$155)</f>
        <v>92593</v>
      </c>
      <c r="I156" s="746">
        <f t="shared" ref="I156:I161" si="11">G156-H156</f>
        <v>27510</v>
      </c>
      <c r="V156" s="812" t="s">
        <v>2197</v>
      </c>
      <c r="W156" s="817">
        <v>26140</v>
      </c>
      <c r="Y156" s="739" t="s">
        <v>2722</v>
      </c>
      <c r="Z156" s="748">
        <f t="shared" ref="Z156:Z161" si="12">379137-120103</f>
        <v>259034</v>
      </c>
      <c r="AA156" s="746">
        <f>GETPIVOTDATA("Number of people reached by regular dedicated hygiene promotion_5",$V$155)</f>
        <v>47063</v>
      </c>
      <c r="AB156" s="746">
        <f>Z156-AA156</f>
        <v>211971</v>
      </c>
    </row>
    <row r="157" spans="3:28" ht="63" x14ac:dyDescent="0.25">
      <c r="C157" s="812" t="s">
        <v>2198</v>
      </c>
      <c r="D157" s="817">
        <v>118151.33333333333</v>
      </c>
      <c r="F157" s="739" t="s">
        <v>2749</v>
      </c>
      <c r="G157" s="748">
        <f>120103*89%</f>
        <v>106891.67</v>
      </c>
      <c r="H157" s="747">
        <f>GETPIVOTDATA("Number of People received regular supply of hygiene items_6",$C$155)</f>
        <v>95695</v>
      </c>
      <c r="I157" s="747">
        <f t="shared" si="11"/>
        <v>11196.669999999998</v>
      </c>
      <c r="V157" s="812" t="s">
        <v>2198</v>
      </c>
      <c r="W157" s="817">
        <v>36548</v>
      </c>
      <c r="Y157" s="739"/>
      <c r="Z157" s="748"/>
      <c r="AA157" s="747"/>
      <c r="AB157" s="747"/>
    </row>
    <row r="158" spans="3:28" ht="47.25" x14ac:dyDescent="0.25">
      <c r="C158" s="813" t="s">
        <v>2199</v>
      </c>
      <c r="D158" s="810">
        <v>93743</v>
      </c>
      <c r="F158" s="738" t="s">
        <v>2746</v>
      </c>
      <c r="G158" s="748">
        <v>120103</v>
      </c>
      <c r="H158" s="745">
        <f>GETPIVOTDATA("Number of people with access to functional sanitation facilities_3",$C$155)</f>
        <v>93743</v>
      </c>
      <c r="I158" s="745">
        <f t="shared" si="11"/>
        <v>26360</v>
      </c>
      <c r="V158" s="813" t="s">
        <v>2199</v>
      </c>
      <c r="W158" s="810">
        <v>12996</v>
      </c>
      <c r="Y158" s="738" t="s">
        <v>189</v>
      </c>
      <c r="Z158" s="748">
        <f t="shared" si="12"/>
        <v>259034</v>
      </c>
      <c r="AA158" s="745">
        <f>GETPIVOTDATA("Number of people with access to functional sanitation facilities_3",$V$155)</f>
        <v>12996</v>
      </c>
      <c r="AB158" s="745">
        <f t="shared" ref="AB158" si="13">Z158-AA158</f>
        <v>246038</v>
      </c>
    </row>
    <row r="159" spans="3:28" ht="47.25" x14ac:dyDescent="0.25">
      <c r="C159" s="814" t="s">
        <v>2662</v>
      </c>
      <c r="D159" s="810">
        <v>15540</v>
      </c>
      <c r="F159" s="738" t="s">
        <v>2747</v>
      </c>
      <c r="G159" s="748">
        <f>120103*25%</f>
        <v>30025.75</v>
      </c>
      <c r="H159" s="745">
        <f>GETPIVOTDATA("Number of people with access to continuous sanitation services_4",$C$155)</f>
        <v>15540</v>
      </c>
      <c r="I159" s="745">
        <f t="shared" si="11"/>
        <v>14485.75</v>
      </c>
      <c r="V159" s="814" t="s">
        <v>2662</v>
      </c>
      <c r="W159" s="810">
        <v>0</v>
      </c>
      <c r="Y159" s="738"/>
      <c r="Z159" s="748"/>
      <c r="AA159" s="745"/>
      <c r="AB159" s="745"/>
    </row>
    <row r="160" spans="3:28" ht="47.25" x14ac:dyDescent="0.25">
      <c r="C160" s="815" t="s">
        <v>2663</v>
      </c>
      <c r="D160" s="811">
        <v>92593</v>
      </c>
      <c r="F160" s="742" t="s">
        <v>2744</v>
      </c>
      <c r="G160" s="748">
        <v>120103</v>
      </c>
      <c r="H160" s="744">
        <f>GETPIVOTDATA("Number of people with equitable and safe access to sufficient quantity of drinking water_1",$C$155)</f>
        <v>115820.33333333333</v>
      </c>
      <c r="I160" s="744">
        <f t="shared" si="11"/>
        <v>4282.6666666666715</v>
      </c>
      <c r="V160" s="815" t="s">
        <v>2663</v>
      </c>
      <c r="W160" s="811">
        <v>47063</v>
      </c>
      <c r="Y160" s="742" t="s">
        <v>2193</v>
      </c>
      <c r="Z160" s="748">
        <f t="shared" si="12"/>
        <v>259034</v>
      </c>
      <c r="AA160" s="744">
        <f>GETPIVOTDATA("Number of people with equitable and safe access to sufficient quantity of drinking water_1",$V$155)</f>
        <v>26140</v>
      </c>
      <c r="AB160" s="744">
        <f>Z160-AA160</f>
        <v>232894</v>
      </c>
    </row>
    <row r="161" spans="3:28" ht="47.25" x14ac:dyDescent="0.25">
      <c r="C161" s="815" t="s">
        <v>2687</v>
      </c>
      <c r="D161" s="818">
        <v>95695</v>
      </c>
      <c r="F161" s="742" t="s">
        <v>2745</v>
      </c>
      <c r="G161" s="748">
        <v>120103</v>
      </c>
      <c r="H161" s="744">
        <f>GETPIVOTDATA("Number of people with equitable and safe access to sufficient quantity of domestic water_2",$C$155)</f>
        <v>118151.33333333333</v>
      </c>
      <c r="I161" s="744">
        <f t="shared" si="11"/>
        <v>1951.6666666666715</v>
      </c>
      <c r="V161" s="815" t="s">
        <v>2687</v>
      </c>
      <c r="W161" s="818">
        <v>4175</v>
      </c>
      <c r="Y161" s="742" t="s">
        <v>2194</v>
      </c>
      <c r="Z161" s="748">
        <f t="shared" si="12"/>
        <v>259034</v>
      </c>
      <c r="AA161" s="744">
        <f>GETPIVOTDATA("Number of people with equitable and safe access to sufficient quantity of domestic water_2",$V$155)</f>
        <v>36548</v>
      </c>
      <c r="AB161" s="744">
        <f>Z161-AA161</f>
        <v>222486</v>
      </c>
    </row>
    <row r="167" spans="3:28" x14ac:dyDescent="0.25">
      <c r="C167" s="803" t="s">
        <v>24</v>
      </c>
      <c r="D167" s="804" t="s">
        <v>1409</v>
      </c>
    </row>
    <row r="168" spans="3:28" x14ac:dyDescent="0.25">
      <c r="C168" s="803" t="s">
        <v>40</v>
      </c>
      <c r="D168" s="804" t="s">
        <v>40</v>
      </c>
    </row>
    <row r="169" spans="3:28" x14ac:dyDescent="0.25">
      <c r="C169" s="803" t="s">
        <v>290</v>
      </c>
      <c r="D169" s="804" t="s">
        <v>2180</v>
      </c>
    </row>
    <row r="170" spans="3:28" x14ac:dyDescent="0.25">
      <c r="C170" s="803" t="s">
        <v>26</v>
      </c>
      <c r="D170" s="804" t="s">
        <v>878</v>
      </c>
    </row>
    <row r="171" spans="3:28" x14ac:dyDescent="0.25">
      <c r="C171" s="392"/>
      <c r="D171"/>
      <c r="H171" s="871" t="s">
        <v>2531</v>
      </c>
      <c r="I171" s="871"/>
    </row>
    <row r="172" spans="3:28" x14ac:dyDescent="0.25">
      <c r="C172" s="807" t="s">
        <v>2221</v>
      </c>
      <c r="D172" s="806">
        <v>9753</v>
      </c>
      <c r="F172" s="740" t="s">
        <v>2182</v>
      </c>
      <c r="G172" s="741" t="s">
        <v>2723</v>
      </c>
      <c r="H172" s="743" t="s">
        <v>2191</v>
      </c>
      <c r="I172" s="743" t="s">
        <v>2192</v>
      </c>
    </row>
    <row r="173" spans="3:28" ht="47.25" x14ac:dyDescent="0.25">
      <c r="C173" s="812" t="s">
        <v>2197</v>
      </c>
      <c r="D173" s="808">
        <v>8969</v>
      </c>
      <c r="F173" s="739" t="s">
        <v>2748</v>
      </c>
      <c r="G173" s="748">
        <v>11650</v>
      </c>
      <c r="H173" s="746">
        <f>GETPIVOTDATA("Number of people reached by regular dedicated hygiene promotion_5",$C$172)</f>
        <v>8113</v>
      </c>
      <c r="I173" s="746">
        <f t="shared" ref="I173:I178" si="14">G173-H173</f>
        <v>3537</v>
      </c>
    </row>
    <row r="174" spans="3:28" ht="47.25" x14ac:dyDescent="0.25">
      <c r="C174" s="812" t="s">
        <v>2198</v>
      </c>
      <c r="D174" s="808">
        <v>8969</v>
      </c>
      <c r="F174" s="739" t="s">
        <v>2749</v>
      </c>
      <c r="G174" s="748">
        <v>11650</v>
      </c>
      <c r="H174" s="747">
        <f>GETPIVOTDATA("Number of People received regular supply of hygiene items_6",$C$172)</f>
        <v>5550</v>
      </c>
      <c r="I174" s="747">
        <f t="shared" si="14"/>
        <v>6100</v>
      </c>
    </row>
    <row r="175" spans="3:28" ht="31.5" x14ac:dyDescent="0.25">
      <c r="C175" s="813" t="s">
        <v>2199</v>
      </c>
      <c r="D175" s="809">
        <v>8206</v>
      </c>
      <c r="F175" s="738" t="s">
        <v>2746</v>
      </c>
      <c r="G175" s="748">
        <v>11650</v>
      </c>
      <c r="H175" s="745">
        <f>GETPIVOTDATA("Number of people with access to functional sanitation facilities_3",$C$172)</f>
        <v>8206</v>
      </c>
      <c r="I175" s="745">
        <f t="shared" si="14"/>
        <v>3444</v>
      </c>
    </row>
    <row r="176" spans="3:28" ht="31.5" x14ac:dyDescent="0.25">
      <c r="C176" s="814" t="s">
        <v>2662</v>
      </c>
      <c r="D176" s="810">
        <v>140</v>
      </c>
      <c r="F176" s="738" t="s">
        <v>2747</v>
      </c>
      <c r="G176" s="748">
        <f>11650*25%</f>
        <v>2912.5</v>
      </c>
      <c r="H176" s="745">
        <f>GETPIVOTDATA("Number of people with access to continuous sanitation services_4",$C$172)</f>
        <v>140</v>
      </c>
      <c r="I176" s="745">
        <f t="shared" si="14"/>
        <v>2772.5</v>
      </c>
    </row>
    <row r="177" spans="3:9" ht="47.25" x14ac:dyDescent="0.25">
      <c r="C177" s="815" t="s">
        <v>2663</v>
      </c>
      <c r="D177" s="811">
        <v>8113</v>
      </c>
      <c r="F177" s="742" t="s">
        <v>2744</v>
      </c>
      <c r="G177" s="748">
        <v>11650</v>
      </c>
      <c r="H177" s="744">
        <f>GETPIVOTDATA("Number of people with equitable and safe access to sufficient quantity of drinking water_1",$C$172)</f>
        <v>8969</v>
      </c>
      <c r="I177" s="744">
        <f t="shared" si="14"/>
        <v>2681</v>
      </c>
    </row>
    <row r="178" spans="3:9" ht="47.25" x14ac:dyDescent="0.25">
      <c r="C178" s="815" t="s">
        <v>2687</v>
      </c>
      <c r="D178" s="818">
        <v>5550</v>
      </c>
      <c r="F178" s="742" t="s">
        <v>2745</v>
      </c>
      <c r="G178" s="748">
        <v>11650</v>
      </c>
      <c r="H178" s="744">
        <f>GETPIVOTDATA("Number of people with equitable and safe access to sufficient quantity of domestic water_2",$C$172)</f>
        <v>8969</v>
      </c>
      <c r="I178" s="744">
        <f t="shared" si="14"/>
        <v>2681</v>
      </c>
    </row>
  </sheetData>
  <mergeCells count="13">
    <mergeCell ref="H24:I24"/>
    <mergeCell ref="J24:L24"/>
    <mergeCell ref="C35:C37"/>
    <mergeCell ref="C38:C40"/>
    <mergeCell ref="C41:C43"/>
    <mergeCell ref="C26:C28"/>
    <mergeCell ref="C29:C31"/>
    <mergeCell ref="C32:C34"/>
    <mergeCell ref="C117:D117"/>
    <mergeCell ref="H136:I136"/>
    <mergeCell ref="H154:I154"/>
    <mergeCell ref="H171:I171"/>
    <mergeCell ref="AA154:AB154"/>
  </mergeCells>
  <pageMargins left="0.7" right="0.7" top="0.75" bottom="0.75" header="0.3" footer="0.3"/>
  <pageSetup orientation="portrait" r:id="rId10"/>
  <drawing r:id="rId1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L48"/>
  <sheetViews>
    <sheetView workbookViewId="0">
      <selection activeCell="B10" sqref="B10"/>
    </sheetView>
  </sheetViews>
  <sheetFormatPr defaultRowHeight="12.75" x14ac:dyDescent="0.2"/>
  <cols>
    <col min="1" max="1" width="22.625" style="21" customWidth="1"/>
    <col min="2" max="2" width="9.125" style="21" customWidth="1"/>
    <col min="3" max="3" width="8.75" style="21" customWidth="1"/>
    <col min="4" max="4" width="9.75" style="21" customWidth="1"/>
    <col min="5" max="5" width="13.875" style="21" customWidth="1"/>
    <col min="6" max="16384" width="9" style="21"/>
  </cols>
  <sheetData>
    <row r="2" spans="1:12" x14ac:dyDescent="0.2">
      <c r="A2" s="779" t="s">
        <v>24</v>
      </c>
      <c r="B2" s="780" t="s">
        <v>1409</v>
      </c>
    </row>
    <row r="4" spans="1:12" s="349" customFormat="1" ht="63.75" x14ac:dyDescent="0.2">
      <c r="A4" s="781" t="s">
        <v>2173</v>
      </c>
      <c r="B4" s="821" t="s">
        <v>2565</v>
      </c>
      <c r="C4" s="821" t="s">
        <v>2566</v>
      </c>
      <c r="D4" s="821" t="s">
        <v>2567</v>
      </c>
      <c r="E4" s="821" t="s">
        <v>2564</v>
      </c>
      <c r="I4" s="393" t="s">
        <v>2565</v>
      </c>
      <c r="J4" s="393" t="s">
        <v>2566</v>
      </c>
      <c r="K4" s="393" t="s">
        <v>2567</v>
      </c>
      <c r="L4" s="393" t="s">
        <v>2564</v>
      </c>
    </row>
    <row r="5" spans="1:12" x14ac:dyDescent="0.2">
      <c r="A5" s="782" t="s">
        <v>44</v>
      </c>
      <c r="B5" s="783"/>
      <c r="C5" s="783"/>
      <c r="D5" s="783"/>
      <c r="E5" s="783"/>
    </row>
    <row r="6" spans="1:12" x14ac:dyDescent="0.2">
      <c r="A6" s="822" t="s">
        <v>297</v>
      </c>
      <c r="B6" s="783"/>
      <c r="C6" s="783">
        <v>0</v>
      </c>
      <c r="D6" s="783">
        <v>35</v>
      </c>
      <c r="E6" s="783"/>
      <c r="H6" s="397" t="s">
        <v>44</v>
      </c>
      <c r="I6" s="398"/>
      <c r="J6" s="398"/>
      <c r="K6" s="398"/>
      <c r="L6" s="398"/>
    </row>
    <row r="7" spans="1:12" x14ac:dyDescent="0.2">
      <c r="A7" s="822" t="s">
        <v>43</v>
      </c>
      <c r="B7" s="783"/>
      <c r="C7" s="783">
        <v>0</v>
      </c>
      <c r="D7" s="783">
        <v>0</v>
      </c>
      <c r="E7" s="783">
        <v>17</v>
      </c>
      <c r="H7" s="399" t="s">
        <v>297</v>
      </c>
      <c r="I7" s="395"/>
      <c r="J7" s="395">
        <v>0</v>
      </c>
      <c r="K7" s="395">
        <v>35</v>
      </c>
      <c r="L7" s="395"/>
    </row>
    <row r="8" spans="1:12" x14ac:dyDescent="0.2">
      <c r="A8" s="822" t="s">
        <v>348</v>
      </c>
      <c r="B8" s="783"/>
      <c r="C8" s="783"/>
      <c r="D8" s="783"/>
      <c r="E8" s="783"/>
      <c r="H8" s="399" t="s">
        <v>43</v>
      </c>
      <c r="I8" s="395"/>
      <c r="J8" s="395">
        <v>0</v>
      </c>
      <c r="K8" s="395">
        <v>0</v>
      </c>
      <c r="L8" s="395">
        <v>18</v>
      </c>
    </row>
    <row r="9" spans="1:12" x14ac:dyDescent="0.2">
      <c r="A9" s="822" t="s">
        <v>470</v>
      </c>
      <c r="B9" s="783"/>
      <c r="C9" s="783"/>
      <c r="D9" s="783"/>
      <c r="E9" s="783"/>
      <c r="H9" s="399"/>
      <c r="I9" s="395"/>
      <c r="J9" s="395"/>
      <c r="K9" s="395"/>
      <c r="L9" s="395"/>
    </row>
    <row r="10" spans="1:12" x14ac:dyDescent="0.2">
      <c r="A10" s="822" t="s">
        <v>457</v>
      </c>
      <c r="B10" s="783">
        <v>411</v>
      </c>
      <c r="C10" s="783">
        <v>0</v>
      </c>
      <c r="D10" s="783">
        <v>0</v>
      </c>
      <c r="E10" s="783"/>
      <c r="H10" s="399" t="s">
        <v>457</v>
      </c>
      <c r="I10" s="395">
        <v>411</v>
      </c>
      <c r="J10" s="395">
        <v>0</v>
      </c>
      <c r="K10" s="395">
        <v>0</v>
      </c>
      <c r="L10" s="395"/>
    </row>
    <row r="11" spans="1:12" x14ac:dyDescent="0.2">
      <c r="A11" s="822" t="s">
        <v>399</v>
      </c>
      <c r="B11" s="783"/>
      <c r="C11" s="783">
        <v>0</v>
      </c>
      <c r="D11" s="783">
        <v>0</v>
      </c>
      <c r="E11" s="783"/>
      <c r="H11" s="399"/>
      <c r="I11" s="395"/>
      <c r="J11" s="395"/>
      <c r="K11" s="395"/>
      <c r="L11" s="395"/>
    </row>
    <row r="12" spans="1:12" x14ac:dyDescent="0.2">
      <c r="A12" s="822" t="s">
        <v>436</v>
      </c>
      <c r="B12" s="783"/>
      <c r="C12" s="783">
        <v>90</v>
      </c>
      <c r="D12" s="783">
        <v>0</v>
      </c>
      <c r="E12" s="783">
        <v>6</v>
      </c>
      <c r="H12" s="399" t="s">
        <v>436</v>
      </c>
      <c r="I12" s="395"/>
      <c r="J12" s="395">
        <v>90</v>
      </c>
      <c r="K12" s="395">
        <v>0</v>
      </c>
      <c r="L12" s="395">
        <v>19</v>
      </c>
    </row>
    <row r="13" spans="1:12" x14ac:dyDescent="0.2">
      <c r="A13" s="822" t="s">
        <v>1449</v>
      </c>
      <c r="B13" s="783"/>
      <c r="C13" s="783">
        <v>0</v>
      </c>
      <c r="D13" s="783">
        <v>0</v>
      </c>
      <c r="E13" s="783">
        <v>1</v>
      </c>
      <c r="H13" s="399" t="s">
        <v>1449</v>
      </c>
      <c r="I13" s="395"/>
      <c r="J13" s="395">
        <v>0</v>
      </c>
      <c r="K13" s="395">
        <v>0</v>
      </c>
      <c r="L13" s="395">
        <v>2</v>
      </c>
    </row>
    <row r="14" spans="1:12" x14ac:dyDescent="0.2">
      <c r="A14" s="822" t="s">
        <v>451</v>
      </c>
      <c r="B14" s="783"/>
      <c r="C14" s="783">
        <v>0</v>
      </c>
      <c r="D14" s="783">
        <v>0</v>
      </c>
      <c r="E14" s="783">
        <v>4</v>
      </c>
      <c r="H14" s="394"/>
      <c r="I14" s="395"/>
      <c r="J14" s="395"/>
      <c r="K14" s="395"/>
      <c r="L14" s="395"/>
    </row>
    <row r="15" spans="1:12" x14ac:dyDescent="0.2">
      <c r="A15" s="822" t="s">
        <v>2666</v>
      </c>
      <c r="B15" s="783"/>
      <c r="C15" s="783">
        <v>0</v>
      </c>
      <c r="D15" s="783"/>
      <c r="E15" s="783"/>
      <c r="H15" s="397" t="s">
        <v>464</v>
      </c>
      <c r="I15" s="398"/>
      <c r="J15" s="398"/>
      <c r="K15" s="398"/>
      <c r="L15" s="398"/>
    </row>
    <row r="16" spans="1:12" x14ac:dyDescent="0.2">
      <c r="A16" s="782" t="s">
        <v>2568</v>
      </c>
      <c r="B16" s="783">
        <v>411</v>
      </c>
      <c r="C16" s="783">
        <v>90</v>
      </c>
      <c r="D16" s="783">
        <v>35</v>
      </c>
      <c r="E16" s="783">
        <v>28</v>
      </c>
      <c r="H16" s="399"/>
      <c r="I16" s="395"/>
      <c r="J16" s="395"/>
      <c r="K16" s="395"/>
      <c r="L16" s="395"/>
    </row>
    <row r="17" spans="1:12" x14ac:dyDescent="0.2">
      <c r="A17" s="782" t="s">
        <v>464</v>
      </c>
      <c r="B17" s="783"/>
      <c r="C17" s="783"/>
      <c r="D17" s="783"/>
      <c r="E17" s="783"/>
      <c r="H17" s="399" t="s">
        <v>583</v>
      </c>
      <c r="I17" s="395"/>
      <c r="J17" s="395">
        <v>0</v>
      </c>
      <c r="K17" s="395">
        <v>0</v>
      </c>
      <c r="L17" s="395">
        <v>3</v>
      </c>
    </row>
    <row r="18" spans="1:12" x14ac:dyDescent="0.2">
      <c r="A18" s="822" t="s">
        <v>489</v>
      </c>
      <c r="B18" s="783"/>
      <c r="C18" s="783">
        <v>0</v>
      </c>
      <c r="D18" s="783">
        <v>0</v>
      </c>
      <c r="E18" s="783"/>
      <c r="H18" s="399" t="s">
        <v>539</v>
      </c>
      <c r="I18" s="395">
        <v>0</v>
      </c>
      <c r="J18" s="395">
        <v>41</v>
      </c>
      <c r="K18" s="395">
        <v>74</v>
      </c>
      <c r="L18" s="395">
        <v>5</v>
      </c>
    </row>
    <row r="19" spans="1:12" x14ac:dyDescent="0.2">
      <c r="A19" s="822" t="s">
        <v>583</v>
      </c>
      <c r="B19" s="783"/>
      <c r="C19" s="783">
        <v>0</v>
      </c>
      <c r="D19" s="783">
        <v>0</v>
      </c>
      <c r="E19" s="783">
        <v>3</v>
      </c>
      <c r="H19" s="399"/>
      <c r="I19" s="395"/>
      <c r="J19" s="395"/>
      <c r="K19" s="395"/>
      <c r="L19" s="395"/>
    </row>
    <row r="20" spans="1:12" x14ac:dyDescent="0.2">
      <c r="A20" s="822" t="s">
        <v>470</v>
      </c>
      <c r="B20" s="783"/>
      <c r="C20" s="783"/>
      <c r="D20" s="783"/>
      <c r="E20" s="783"/>
      <c r="H20" s="399"/>
      <c r="I20" s="395"/>
      <c r="J20" s="395"/>
      <c r="K20" s="395"/>
      <c r="L20" s="395"/>
    </row>
    <row r="21" spans="1:12" x14ac:dyDescent="0.2">
      <c r="A21" s="822" t="s">
        <v>539</v>
      </c>
      <c r="B21" s="783">
        <v>0</v>
      </c>
      <c r="C21" s="783">
        <v>58</v>
      </c>
      <c r="D21" s="783">
        <v>74</v>
      </c>
      <c r="E21" s="783">
        <v>5</v>
      </c>
      <c r="H21" s="394"/>
      <c r="I21" s="395"/>
      <c r="J21" s="395"/>
      <c r="K21" s="395"/>
      <c r="L21" s="395"/>
    </row>
    <row r="22" spans="1:12" x14ac:dyDescent="0.2">
      <c r="A22" s="822" t="s">
        <v>457</v>
      </c>
      <c r="B22" s="783"/>
      <c r="C22" s="783">
        <v>0</v>
      </c>
      <c r="D22" s="783">
        <v>0</v>
      </c>
      <c r="E22" s="783"/>
      <c r="H22" s="397" t="s">
        <v>878</v>
      </c>
      <c r="I22" s="398"/>
      <c r="J22" s="398"/>
      <c r="K22" s="398"/>
      <c r="L22" s="398"/>
    </row>
    <row r="23" spans="1:12" x14ac:dyDescent="0.2">
      <c r="A23" s="822" t="s">
        <v>436</v>
      </c>
      <c r="B23" s="783"/>
      <c r="C23" s="783">
        <v>0</v>
      </c>
      <c r="D23" s="783">
        <v>0</v>
      </c>
      <c r="E23" s="783"/>
      <c r="H23" s="399"/>
      <c r="I23" s="395"/>
      <c r="J23" s="395"/>
      <c r="K23" s="395"/>
      <c r="L23" s="395"/>
    </row>
    <row r="24" spans="1:12" x14ac:dyDescent="0.2">
      <c r="A24" s="822" t="s">
        <v>2570</v>
      </c>
      <c r="B24" s="783"/>
      <c r="C24" s="783"/>
      <c r="D24" s="783"/>
      <c r="E24" s="783"/>
      <c r="H24" s="399" t="s">
        <v>43</v>
      </c>
      <c r="I24" s="395"/>
      <c r="J24" s="395">
        <v>20</v>
      </c>
      <c r="K24" s="395">
        <v>1</v>
      </c>
      <c r="L24" s="395">
        <v>5</v>
      </c>
    </row>
    <row r="25" spans="1:12" x14ac:dyDescent="0.2">
      <c r="A25" s="822" t="s">
        <v>542</v>
      </c>
      <c r="B25" s="783"/>
      <c r="C25" s="783"/>
      <c r="D25" s="783"/>
      <c r="E25" s="783"/>
      <c r="H25" s="399" t="s">
        <v>894</v>
      </c>
      <c r="I25" s="395"/>
      <c r="J25" s="395">
        <v>4</v>
      </c>
      <c r="K25" s="395"/>
      <c r="L25" s="395">
        <v>1</v>
      </c>
    </row>
    <row r="26" spans="1:12" x14ac:dyDescent="0.2">
      <c r="A26" s="822" t="s">
        <v>463</v>
      </c>
      <c r="B26" s="783"/>
      <c r="C26" s="783"/>
      <c r="D26" s="783"/>
      <c r="E26" s="783"/>
      <c r="H26" s="399" t="s">
        <v>348</v>
      </c>
      <c r="I26" s="395"/>
      <c r="J26" s="395">
        <v>0</v>
      </c>
      <c r="K26" s="395">
        <v>0</v>
      </c>
      <c r="L26" s="395">
        <v>2</v>
      </c>
    </row>
    <row r="27" spans="1:12" x14ac:dyDescent="0.2">
      <c r="A27" s="822" t="s">
        <v>571</v>
      </c>
      <c r="B27" s="783"/>
      <c r="C27" s="783"/>
      <c r="D27" s="783"/>
      <c r="E27" s="783"/>
      <c r="H27" s="399" t="s">
        <v>1423</v>
      </c>
      <c r="I27" s="395"/>
      <c r="J27" s="395">
        <v>0</v>
      </c>
      <c r="K27" s="395"/>
      <c r="L27" s="395"/>
    </row>
    <row r="28" spans="1:12" x14ac:dyDescent="0.2">
      <c r="A28" s="822" t="s">
        <v>2572</v>
      </c>
      <c r="B28" s="783"/>
      <c r="C28" s="783"/>
      <c r="D28" s="783"/>
      <c r="E28" s="783"/>
      <c r="H28" s="399" t="s">
        <v>891</v>
      </c>
      <c r="I28" s="395"/>
      <c r="J28" s="395">
        <v>0</v>
      </c>
      <c r="K28" s="395"/>
      <c r="L28" s="395"/>
    </row>
    <row r="29" spans="1:12" x14ac:dyDescent="0.2">
      <c r="A29" s="782" t="s">
        <v>2660</v>
      </c>
      <c r="B29" s="783">
        <v>0</v>
      </c>
      <c r="C29" s="783">
        <v>58</v>
      </c>
      <c r="D29" s="783">
        <v>74</v>
      </c>
      <c r="E29" s="783">
        <v>8</v>
      </c>
      <c r="H29" s="399" t="s">
        <v>457</v>
      </c>
      <c r="I29" s="395">
        <v>270</v>
      </c>
      <c r="J29" s="395">
        <v>0</v>
      </c>
      <c r="K29" s="395">
        <v>0</v>
      </c>
      <c r="L29" s="395"/>
    </row>
    <row r="30" spans="1:12" x14ac:dyDescent="0.2">
      <c r="A30" s="782" t="s">
        <v>878</v>
      </c>
      <c r="B30" s="783"/>
      <c r="C30" s="783"/>
      <c r="D30" s="783"/>
      <c r="E30" s="783"/>
      <c r="H30" s="399" t="s">
        <v>932</v>
      </c>
      <c r="I30" s="395"/>
      <c r="J30" s="395">
        <v>0</v>
      </c>
      <c r="K30" s="395"/>
      <c r="L30" s="395"/>
    </row>
    <row r="31" spans="1:12" x14ac:dyDescent="0.2">
      <c r="A31" s="822" t="s">
        <v>297</v>
      </c>
      <c r="B31" s="783"/>
      <c r="C31" s="783">
        <v>0</v>
      </c>
      <c r="D31" s="783"/>
      <c r="E31" s="783"/>
      <c r="H31" s="394"/>
      <c r="I31" s="395"/>
      <c r="J31" s="395"/>
      <c r="K31" s="395"/>
      <c r="L31" s="395"/>
    </row>
    <row r="32" spans="1:12" x14ac:dyDescent="0.2">
      <c r="A32" s="822" t="s">
        <v>43</v>
      </c>
      <c r="B32" s="783"/>
      <c r="C32" s="783">
        <v>8</v>
      </c>
      <c r="D32" s="783">
        <v>1</v>
      </c>
      <c r="E32" s="783">
        <v>2</v>
      </c>
    </row>
    <row r="33" spans="1:5" x14ac:dyDescent="0.2">
      <c r="A33" s="822" t="s">
        <v>894</v>
      </c>
      <c r="B33" s="783"/>
      <c r="C33" s="783">
        <v>4</v>
      </c>
      <c r="D33" s="783">
        <v>0</v>
      </c>
      <c r="E33" s="783">
        <v>1</v>
      </c>
    </row>
    <row r="34" spans="1:5" x14ac:dyDescent="0.2">
      <c r="A34" s="822" t="s">
        <v>348</v>
      </c>
      <c r="B34" s="783"/>
      <c r="C34" s="783">
        <v>0</v>
      </c>
      <c r="D34" s="783">
        <v>0</v>
      </c>
      <c r="E34" s="783"/>
    </row>
    <row r="35" spans="1:5" x14ac:dyDescent="0.2">
      <c r="A35" s="822" t="s">
        <v>1423</v>
      </c>
      <c r="B35" s="783"/>
      <c r="C35" s="783">
        <v>0</v>
      </c>
      <c r="D35" s="783"/>
      <c r="E35" s="783"/>
    </row>
    <row r="36" spans="1:5" x14ac:dyDescent="0.2">
      <c r="A36" s="822" t="s">
        <v>2574</v>
      </c>
      <c r="B36" s="783"/>
      <c r="C36" s="783">
        <v>0</v>
      </c>
      <c r="D36" s="783">
        <v>0</v>
      </c>
      <c r="E36" s="783"/>
    </row>
    <row r="37" spans="1:5" x14ac:dyDescent="0.2">
      <c r="A37" s="822" t="s">
        <v>891</v>
      </c>
      <c r="B37" s="783"/>
      <c r="C37" s="783">
        <v>0</v>
      </c>
      <c r="D37" s="783"/>
      <c r="E37" s="783"/>
    </row>
    <row r="38" spans="1:5" x14ac:dyDescent="0.2">
      <c r="A38" s="822" t="s">
        <v>470</v>
      </c>
      <c r="B38" s="783"/>
      <c r="C38" s="783"/>
      <c r="D38" s="783"/>
      <c r="E38" s="783"/>
    </row>
    <row r="39" spans="1:5" x14ac:dyDescent="0.2">
      <c r="A39" s="822" t="s">
        <v>457</v>
      </c>
      <c r="B39" s="783">
        <v>20</v>
      </c>
      <c r="C39" s="783">
        <v>0</v>
      </c>
      <c r="D39" s="783">
        <v>0</v>
      </c>
      <c r="E39" s="783"/>
    </row>
    <row r="40" spans="1:5" x14ac:dyDescent="0.2">
      <c r="A40" s="822" t="s">
        <v>932</v>
      </c>
      <c r="B40" s="783"/>
      <c r="C40" s="783">
        <v>0</v>
      </c>
      <c r="D40" s="783"/>
      <c r="E40" s="783"/>
    </row>
    <row r="41" spans="1:5" x14ac:dyDescent="0.2">
      <c r="A41" s="822" t="s">
        <v>2575</v>
      </c>
      <c r="B41" s="783">
        <v>115</v>
      </c>
      <c r="C41" s="783">
        <v>8</v>
      </c>
      <c r="D41" s="783"/>
      <c r="E41" s="783">
        <v>2</v>
      </c>
    </row>
    <row r="42" spans="1:5" x14ac:dyDescent="0.2">
      <c r="A42" s="822" t="s">
        <v>2614</v>
      </c>
      <c r="B42" s="783">
        <v>95</v>
      </c>
      <c r="C42" s="783">
        <v>0</v>
      </c>
      <c r="D42" s="783">
        <v>0</v>
      </c>
      <c r="E42" s="783"/>
    </row>
    <row r="43" spans="1:5" x14ac:dyDescent="0.2">
      <c r="A43" s="822" t="s">
        <v>2623</v>
      </c>
      <c r="B43" s="783"/>
      <c r="C43" s="783">
        <v>4</v>
      </c>
      <c r="D43" s="783">
        <v>0</v>
      </c>
      <c r="E43" s="783">
        <v>1</v>
      </c>
    </row>
    <row r="44" spans="1:5" x14ac:dyDescent="0.2">
      <c r="A44" s="822" t="s">
        <v>2647</v>
      </c>
      <c r="B44" s="783"/>
      <c r="C44" s="783">
        <v>0</v>
      </c>
      <c r="D44" s="783">
        <v>0</v>
      </c>
      <c r="E44" s="783"/>
    </row>
    <row r="45" spans="1:5" x14ac:dyDescent="0.2">
      <c r="A45" s="822" t="s">
        <v>2650</v>
      </c>
      <c r="B45" s="783"/>
      <c r="C45" s="783">
        <v>0</v>
      </c>
      <c r="D45" s="783">
        <v>0</v>
      </c>
      <c r="E45" s="783"/>
    </row>
    <row r="46" spans="1:5" x14ac:dyDescent="0.2">
      <c r="A46" s="822" t="s">
        <v>2664</v>
      </c>
      <c r="B46" s="783">
        <v>40</v>
      </c>
      <c r="C46" s="783">
        <v>0</v>
      </c>
      <c r="D46" s="783">
        <v>0</v>
      </c>
      <c r="E46" s="783"/>
    </row>
    <row r="47" spans="1:5" x14ac:dyDescent="0.2">
      <c r="A47" s="782" t="s">
        <v>2661</v>
      </c>
      <c r="B47" s="783">
        <v>270</v>
      </c>
      <c r="C47" s="783">
        <v>24</v>
      </c>
      <c r="D47" s="783">
        <v>1</v>
      </c>
      <c r="E47" s="783">
        <v>6</v>
      </c>
    </row>
    <row r="48" spans="1:5" x14ac:dyDescent="0.2">
      <c r="A48" s="782" t="s">
        <v>2181</v>
      </c>
      <c r="B48" s="783">
        <v>681</v>
      </c>
      <c r="C48" s="783">
        <v>172</v>
      </c>
      <c r="D48" s="783">
        <v>110</v>
      </c>
      <c r="E48" s="783">
        <v>42</v>
      </c>
    </row>
  </sheetData>
  <pageMargins left="0.7" right="0.7" top="0.75" bottom="0.75" header="0.3" footer="0.3"/>
  <pageSetup paperSize="0" orientation="portrait" horizontalDpi="0" verticalDpi="0" copies="0"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898C"/>
  </sheetPr>
  <dimension ref="A1:CN391"/>
  <sheetViews>
    <sheetView zoomScale="90" zoomScaleNormal="90" zoomScaleSheetLayoutView="40" workbookViewId="0">
      <pane xSplit="7" topLeftCell="BQ1" activePane="topRight" state="frozen"/>
      <selection activeCell="F16" sqref="F16"/>
      <selection pane="topRight" activeCell="BV6" sqref="BV6"/>
    </sheetView>
  </sheetViews>
  <sheetFormatPr defaultColWidth="9" defaultRowHeight="15.75" outlineLevelCol="1" x14ac:dyDescent="0.25"/>
  <cols>
    <col min="1" max="1" width="9.125" style="57" customWidth="1"/>
    <col min="2" max="2" width="14.125" style="24" customWidth="1"/>
    <col min="3" max="3" width="9.875" style="24" customWidth="1"/>
    <col min="4" max="4" width="10.125" style="24" customWidth="1"/>
    <col min="5" max="5" width="25.875" style="24" customWidth="1"/>
    <col min="6" max="6" width="7.75" style="24" customWidth="1"/>
    <col min="7" max="7" width="6.875" style="63" customWidth="1"/>
    <col min="8" max="8" width="6.875" style="58" customWidth="1"/>
    <col min="9" max="9" width="15.375" style="24" customWidth="1"/>
    <col min="10" max="10" width="13.125" style="62" customWidth="1"/>
    <col min="11" max="12" width="13.125" style="24" customWidth="1"/>
    <col min="13" max="14" width="13.125" style="44" customWidth="1"/>
    <col min="15" max="15" width="13.125" style="24" customWidth="1"/>
    <col min="16" max="17" width="13.125" style="46" customWidth="1"/>
    <col min="18" max="18" width="13.125" style="59" customWidth="1"/>
    <col min="19" max="24" width="13.125" style="45" customWidth="1"/>
    <col min="25" max="25" width="17.75" style="45" customWidth="1"/>
    <col min="26" max="27" width="13.125" style="46" customWidth="1"/>
    <col min="28" max="28" width="9.25" style="24" customWidth="1"/>
    <col min="29" max="30" width="13.125" style="46" customWidth="1"/>
    <col min="31" max="32" width="13.125" style="59" customWidth="1"/>
    <col min="33" max="33" width="13.125" style="63" customWidth="1"/>
    <col min="34" max="36" width="13.125" style="24" customWidth="1"/>
    <col min="37" max="37" width="12.5" style="24" customWidth="1"/>
    <col min="38" max="38" width="13.125" style="45" customWidth="1"/>
    <col min="39" max="39" width="13.25" style="60" customWidth="1"/>
    <col min="40" max="42" width="11.125" style="46" customWidth="1"/>
    <col min="43" max="43" width="13.125" style="46" customWidth="1"/>
    <col min="44" max="45" width="13.125" style="46" customWidth="1" outlineLevel="1"/>
    <col min="46" max="48" width="13.125" style="44" customWidth="1" outlineLevel="1"/>
    <col min="49" max="49" width="13.125" style="46" customWidth="1" outlineLevel="1"/>
    <col min="50" max="50" width="13.375" style="44" customWidth="1" outlineLevel="1"/>
    <col min="51" max="51" width="14" style="44" customWidth="1" outlineLevel="1"/>
    <col min="52" max="54" width="12" style="46" customWidth="1" outlineLevel="1"/>
    <col min="55" max="55" width="13.125" style="44" customWidth="1" outlineLevel="1"/>
    <col min="56" max="56" width="12.875" style="46" customWidth="1" outlineLevel="1"/>
    <col min="57" max="57" width="12.125" style="45" customWidth="1" outlineLevel="1"/>
    <col min="58" max="59" width="13" style="46" customWidth="1" outlineLevel="1"/>
    <col min="60" max="62" width="12.625" style="46" customWidth="1" outlineLevel="1"/>
    <col min="63" max="63" width="14.25" style="46" customWidth="1" outlineLevel="1"/>
    <col min="64" max="64" width="11.875" style="46" customWidth="1" outlineLevel="1"/>
    <col min="65" max="65" width="12.375" style="46" customWidth="1" outlineLevel="1"/>
    <col min="66" max="66" width="12.875" style="46" customWidth="1" outlineLevel="1"/>
    <col min="67" max="67" width="13.75" style="46" customWidth="1" outlineLevel="1"/>
    <col min="68" max="68" width="13.25" style="46" customWidth="1" outlineLevel="1"/>
    <col min="69" max="74" width="12" style="46" customWidth="1" outlineLevel="1"/>
    <col min="75" max="75" width="11.375" style="59" customWidth="1" outlineLevel="1"/>
    <col min="76" max="77" width="12" style="44" customWidth="1" outlineLevel="1"/>
    <col min="78" max="79" width="12" style="46" customWidth="1" outlineLevel="1"/>
    <col min="80" max="80" width="13.5" style="46" customWidth="1" outlineLevel="1"/>
    <col min="81" max="81" width="15.375" style="46" customWidth="1" outlineLevel="1"/>
    <col min="82" max="82" width="10.125" style="45" customWidth="1" outlineLevel="1"/>
    <col min="83" max="83" width="12" style="45" customWidth="1" outlineLevel="1"/>
    <col min="84" max="84" width="10.875" style="46" customWidth="1" outlineLevel="1"/>
    <col min="85" max="85" width="11.25" style="46" customWidth="1" outlineLevel="1"/>
    <col min="86" max="86" width="13.75" style="46" customWidth="1" outlineLevel="1"/>
    <col min="87" max="87" width="9.5" style="46" customWidth="1" outlineLevel="1"/>
    <col min="88" max="88" width="9.125" style="61" customWidth="1" outlineLevel="1"/>
    <col min="89" max="89" width="10.625" style="61" customWidth="1" outlineLevel="1"/>
    <col min="90" max="90" width="15.375" style="24" customWidth="1" outlineLevel="1"/>
    <col min="91" max="91" width="9.5" style="24" customWidth="1" outlineLevel="1"/>
    <col min="92" max="92" width="14.5" style="24" customWidth="1" outlineLevel="1"/>
    <col min="93" max="16368" width="9" style="24" customWidth="1"/>
    <col min="16369" max="16384" width="9" style="24"/>
  </cols>
  <sheetData>
    <row r="1" spans="1:92" s="23" customFormat="1" ht="16.5" customHeight="1" thickBot="1" x14ac:dyDescent="0.3">
      <c r="A1" s="420" t="s">
        <v>0</v>
      </c>
      <c r="B1" s="420"/>
      <c r="C1" s="420"/>
      <c r="D1" s="420"/>
      <c r="E1" s="420"/>
      <c r="F1" s="420"/>
      <c r="G1" s="725"/>
      <c r="H1" s="420"/>
      <c r="I1" s="420"/>
      <c r="J1" s="420"/>
      <c r="K1" s="420"/>
      <c r="L1" s="420"/>
      <c r="M1" s="420"/>
      <c r="N1" s="420"/>
      <c r="O1" s="880" t="s">
        <v>239</v>
      </c>
      <c r="P1" s="880"/>
      <c r="Q1" s="880"/>
      <c r="R1" s="880"/>
      <c r="S1" s="880"/>
      <c r="T1" s="880"/>
      <c r="U1" s="880"/>
      <c r="V1" s="880"/>
      <c r="W1" s="880"/>
      <c r="X1" s="880"/>
      <c r="Y1" s="880"/>
      <c r="Z1" s="881" t="s">
        <v>240</v>
      </c>
      <c r="AA1" s="881"/>
      <c r="AB1" s="881"/>
      <c r="AC1" s="881"/>
      <c r="AD1" s="881"/>
      <c r="AE1" s="881"/>
      <c r="AF1" s="881"/>
      <c r="AG1" s="881"/>
      <c r="AH1" s="881"/>
      <c r="AI1" s="882" t="s">
        <v>241</v>
      </c>
      <c r="AJ1" s="882"/>
      <c r="AK1" s="882"/>
      <c r="AL1" s="882"/>
      <c r="AM1" s="882"/>
      <c r="AN1" s="882"/>
      <c r="AO1" s="882"/>
      <c r="AP1" s="882"/>
      <c r="AQ1" s="882"/>
      <c r="AR1" s="523" t="s">
        <v>242</v>
      </c>
      <c r="AS1" s="523"/>
      <c r="AT1" s="523"/>
      <c r="AU1" s="523"/>
      <c r="AV1" s="523"/>
      <c r="AW1" s="670"/>
      <c r="AX1" s="523"/>
      <c r="AY1" s="523"/>
      <c r="AZ1" s="523"/>
      <c r="BA1" s="670"/>
      <c r="BB1" s="670"/>
      <c r="BC1" s="523"/>
      <c r="BD1" s="523"/>
      <c r="BE1" s="523"/>
      <c r="BF1" s="523"/>
      <c r="BG1" s="523"/>
      <c r="BH1" s="523"/>
      <c r="BI1" s="523"/>
      <c r="BJ1" s="670"/>
      <c r="BK1" s="523"/>
      <c r="BL1" s="523"/>
      <c r="BM1" s="523"/>
      <c r="BN1" s="523"/>
      <c r="BO1" s="670"/>
      <c r="BP1" s="523"/>
      <c r="BQ1" s="523"/>
      <c r="BR1" s="670"/>
      <c r="BS1" s="670"/>
      <c r="BT1" s="670"/>
      <c r="BU1" s="670"/>
      <c r="BV1" s="670"/>
      <c r="BW1" s="523"/>
      <c r="BX1" s="523"/>
      <c r="BY1" s="523"/>
      <c r="BZ1" s="670"/>
      <c r="CA1" s="670"/>
      <c r="CB1" s="670"/>
      <c r="CC1" s="523"/>
      <c r="CD1" s="66"/>
      <c r="CE1" s="66"/>
      <c r="CF1" s="66"/>
      <c r="CG1" s="64"/>
      <c r="CH1" s="64"/>
      <c r="CI1" s="64"/>
      <c r="CJ1" s="64"/>
      <c r="CK1" s="413"/>
      <c r="CL1" s="413"/>
      <c r="CM1" s="413"/>
      <c r="CN1" s="413"/>
    </row>
    <row r="2" spans="1:92" s="23" customFormat="1" ht="79.5" hidden="1" customHeight="1" thickBot="1" x14ac:dyDescent="0.3">
      <c r="A2" s="421" t="s">
        <v>24</v>
      </c>
      <c r="B2" s="421" t="s">
        <v>25</v>
      </c>
      <c r="C2" s="421" t="s">
        <v>26</v>
      </c>
      <c r="D2" s="421" t="s">
        <v>27</v>
      </c>
      <c r="E2" s="421" t="s">
        <v>28</v>
      </c>
      <c r="F2" s="421" t="s">
        <v>29</v>
      </c>
      <c r="G2" s="726" t="s">
        <v>30</v>
      </c>
      <c r="H2" s="231" t="s">
        <v>1537</v>
      </c>
      <c r="I2" s="230" t="s">
        <v>140</v>
      </c>
      <c r="J2" s="230" t="s">
        <v>141</v>
      </c>
      <c r="K2" s="230" t="s">
        <v>142</v>
      </c>
      <c r="L2" s="230" t="s">
        <v>143</v>
      </c>
      <c r="M2" s="230" t="s">
        <v>144</v>
      </c>
      <c r="N2" s="433" t="s">
        <v>145</v>
      </c>
      <c r="O2" s="438" t="s">
        <v>146</v>
      </c>
      <c r="P2" s="439" t="s">
        <v>147</v>
      </c>
      <c r="Q2" s="440" t="s">
        <v>148</v>
      </c>
      <c r="R2" s="441" t="s">
        <v>150</v>
      </c>
      <c r="S2" s="442" t="s">
        <v>152</v>
      </c>
      <c r="T2" s="443" t="s">
        <v>153</v>
      </c>
      <c r="U2" s="443" t="s">
        <v>155</v>
      </c>
      <c r="V2" s="443" t="s">
        <v>156</v>
      </c>
      <c r="W2" s="444" t="s">
        <v>157</v>
      </c>
      <c r="X2" s="445" t="s">
        <v>1538</v>
      </c>
      <c r="Y2" s="446" t="s">
        <v>158</v>
      </c>
      <c r="Z2" s="447" t="s">
        <v>159</v>
      </c>
      <c r="AA2" s="448" t="s">
        <v>161</v>
      </c>
      <c r="AB2" s="449" t="s">
        <v>1539</v>
      </c>
      <c r="AC2" s="450" t="s">
        <v>163</v>
      </c>
      <c r="AD2" s="451" t="s">
        <v>164</v>
      </c>
      <c r="AE2" s="452" t="s">
        <v>166</v>
      </c>
      <c r="AF2" s="453" t="s">
        <v>1540</v>
      </c>
      <c r="AG2" s="453" t="s">
        <v>1541</v>
      </c>
      <c r="AH2" s="454" t="s">
        <v>2596</v>
      </c>
      <c r="AI2" s="455" t="s">
        <v>2179</v>
      </c>
      <c r="AJ2" s="456" t="s">
        <v>170</v>
      </c>
      <c r="AK2" s="457" t="s">
        <v>171</v>
      </c>
      <c r="AL2" s="457" t="s">
        <v>173</v>
      </c>
      <c r="AM2" s="458" t="s">
        <v>174</v>
      </c>
      <c r="AN2" s="459" t="s">
        <v>1555</v>
      </c>
      <c r="AO2" s="460" t="s">
        <v>1556</v>
      </c>
      <c r="AP2" s="461" t="s">
        <v>1529</v>
      </c>
      <c r="AQ2" s="460" t="s">
        <v>175</v>
      </c>
      <c r="AR2" s="523"/>
      <c r="AS2" s="523"/>
      <c r="AT2" s="523"/>
      <c r="AU2" s="523"/>
      <c r="AV2" s="523"/>
      <c r="AW2" s="670"/>
      <c r="AX2" s="523"/>
      <c r="AY2" s="523"/>
      <c r="AZ2" s="523"/>
      <c r="BA2" s="670"/>
      <c r="BB2" s="670"/>
      <c r="BC2" s="523"/>
      <c r="BD2" s="523"/>
      <c r="BE2" s="523"/>
      <c r="BF2" s="523"/>
      <c r="BG2" s="523"/>
      <c r="BH2" s="523"/>
      <c r="BI2" s="523"/>
      <c r="BJ2" s="670"/>
      <c r="BK2" s="523"/>
      <c r="BL2" s="523"/>
      <c r="BM2" s="523"/>
      <c r="BN2" s="523"/>
      <c r="BO2" s="670"/>
      <c r="BP2" s="523"/>
      <c r="BQ2" s="523"/>
      <c r="BR2" s="670"/>
      <c r="BS2" s="670"/>
      <c r="BT2" s="670"/>
      <c r="BU2" s="670"/>
      <c r="BV2" s="670"/>
      <c r="BW2" s="523"/>
      <c r="BX2" s="523"/>
      <c r="BY2" s="523"/>
      <c r="BZ2" s="670"/>
      <c r="CA2" s="670"/>
      <c r="CB2" s="670"/>
      <c r="CC2" s="523"/>
      <c r="CD2" s="66"/>
      <c r="CE2" s="66"/>
      <c r="CF2" s="66"/>
      <c r="CG2" s="64"/>
      <c r="CH2" s="64"/>
      <c r="CI2" s="64"/>
      <c r="CJ2" s="64"/>
      <c r="CK2" s="413"/>
      <c r="CL2" s="413"/>
      <c r="CM2" s="413"/>
      <c r="CN2" s="413"/>
    </row>
    <row r="3" spans="1:92" s="401" customFormat="1" ht="39.75" customHeight="1" thickBot="1" x14ac:dyDescent="0.3">
      <c r="A3" s="422" t="s">
        <v>24</v>
      </c>
      <c r="B3" s="422" t="s">
        <v>25</v>
      </c>
      <c r="C3" s="422" t="s">
        <v>26</v>
      </c>
      <c r="D3" s="422" t="s">
        <v>27</v>
      </c>
      <c r="E3" s="422" t="s">
        <v>28</v>
      </c>
      <c r="F3" s="422" t="s">
        <v>29</v>
      </c>
      <c r="G3" s="727" t="s">
        <v>30</v>
      </c>
      <c r="H3" s="422" t="s">
        <v>62</v>
      </c>
      <c r="I3" s="422" t="s">
        <v>31</v>
      </c>
      <c r="J3" s="422" t="s">
        <v>32</v>
      </c>
      <c r="K3" s="422" t="s">
        <v>65</v>
      </c>
      <c r="L3" s="422" t="s">
        <v>68</v>
      </c>
      <c r="M3" s="422" t="s">
        <v>71</v>
      </c>
      <c r="N3" s="434" t="s">
        <v>72</v>
      </c>
      <c r="O3" s="462" t="s">
        <v>74</v>
      </c>
      <c r="P3" s="463" t="s">
        <v>79</v>
      </c>
      <c r="Q3" s="463" t="s">
        <v>82</v>
      </c>
      <c r="R3" s="464" t="s">
        <v>258</v>
      </c>
      <c r="S3" s="464" t="s">
        <v>89</v>
      </c>
      <c r="T3" s="465" t="s">
        <v>91</v>
      </c>
      <c r="U3" s="465" t="s">
        <v>93</v>
      </c>
      <c r="V3" s="465" t="s">
        <v>95</v>
      </c>
      <c r="W3" s="465" t="s">
        <v>96</v>
      </c>
      <c r="X3" s="465" t="s">
        <v>259</v>
      </c>
      <c r="Y3" s="466" t="s">
        <v>97</v>
      </c>
      <c r="Z3" s="467" t="s">
        <v>99</v>
      </c>
      <c r="AA3" s="468" t="s">
        <v>102</v>
      </c>
      <c r="AB3" s="469" t="s">
        <v>104</v>
      </c>
      <c r="AC3" s="468" t="s">
        <v>109</v>
      </c>
      <c r="AD3" s="470" t="s">
        <v>112</v>
      </c>
      <c r="AE3" s="471" t="s">
        <v>260</v>
      </c>
      <c r="AF3" s="472" t="s">
        <v>117</v>
      </c>
      <c r="AG3" s="472" t="s">
        <v>1526</v>
      </c>
      <c r="AH3" s="471" t="s">
        <v>261</v>
      </c>
      <c r="AI3" s="473" t="s">
        <v>2178</v>
      </c>
      <c r="AJ3" s="474" t="s">
        <v>121</v>
      </c>
      <c r="AK3" s="475" t="s">
        <v>122</v>
      </c>
      <c r="AL3" s="475" t="s">
        <v>124</v>
      </c>
      <c r="AM3" s="475" t="s">
        <v>262</v>
      </c>
      <c r="AN3" s="411" t="s">
        <v>131</v>
      </c>
      <c r="AO3" s="411" t="s">
        <v>135</v>
      </c>
      <c r="AP3" s="411" t="s">
        <v>137</v>
      </c>
      <c r="AQ3" s="476" t="s">
        <v>138</v>
      </c>
      <c r="AR3" s="144" t="s">
        <v>263</v>
      </c>
      <c r="AS3" s="145" t="s">
        <v>264</v>
      </c>
      <c r="AT3" s="248" t="s">
        <v>265</v>
      </c>
      <c r="AU3" s="250" t="s">
        <v>266</v>
      </c>
      <c r="AV3" s="250" t="s">
        <v>267</v>
      </c>
      <c r="AW3" s="251" t="s">
        <v>268</v>
      </c>
      <c r="AX3" s="144" t="s">
        <v>2540</v>
      </c>
      <c r="AY3" s="146" t="s">
        <v>269</v>
      </c>
      <c r="AZ3" s="252" t="s">
        <v>270</v>
      </c>
      <c r="BA3" s="138" t="s">
        <v>271</v>
      </c>
      <c r="BB3" s="526" t="s">
        <v>272</v>
      </c>
      <c r="BC3" s="524" t="s">
        <v>273</v>
      </c>
      <c r="BD3" s="525" t="s">
        <v>274</v>
      </c>
      <c r="BE3" s="527" t="s">
        <v>275</v>
      </c>
      <c r="BF3" s="412" t="s">
        <v>276</v>
      </c>
      <c r="BG3" s="412"/>
      <c r="BH3" s="357" t="s">
        <v>277</v>
      </c>
      <c r="BI3" s="358" t="s">
        <v>278</v>
      </c>
      <c r="BJ3" s="671" t="s">
        <v>283</v>
      </c>
      <c r="BK3" s="254" t="s">
        <v>2169</v>
      </c>
      <c r="BL3" s="255" t="s">
        <v>279</v>
      </c>
      <c r="BM3" s="255" t="s">
        <v>280</v>
      </c>
      <c r="BN3" s="253" t="s">
        <v>281</v>
      </c>
      <c r="BO3" s="255" t="s">
        <v>282</v>
      </c>
      <c r="BP3" s="249" t="s">
        <v>284</v>
      </c>
      <c r="BQ3" s="249" t="s">
        <v>285</v>
      </c>
      <c r="BR3" s="247" t="s">
        <v>195</v>
      </c>
      <c r="BS3" s="247" t="s">
        <v>2679</v>
      </c>
      <c r="BT3" s="247" t="s">
        <v>2680</v>
      </c>
      <c r="BU3" s="247" t="s">
        <v>2681</v>
      </c>
      <c r="BV3" s="247" t="s">
        <v>2682</v>
      </c>
      <c r="BW3" s="247" t="s">
        <v>286</v>
      </c>
      <c r="BX3" s="247" t="s">
        <v>287</v>
      </c>
      <c r="BY3" s="247" t="s">
        <v>288</v>
      </c>
      <c r="BZ3" s="247"/>
      <c r="CA3" s="247"/>
      <c r="CB3" s="719" t="s">
        <v>2683</v>
      </c>
      <c r="CC3" s="247" t="s">
        <v>289</v>
      </c>
      <c r="CD3" s="415" t="s">
        <v>33</v>
      </c>
      <c r="CE3" s="416" t="s">
        <v>34</v>
      </c>
      <c r="CF3" s="417" t="s">
        <v>290</v>
      </c>
      <c r="CG3" s="417" t="s">
        <v>291</v>
      </c>
      <c r="CH3" s="417" t="s">
        <v>35</v>
      </c>
      <c r="CI3" s="416" t="s">
        <v>36</v>
      </c>
      <c r="CJ3" s="418" t="s">
        <v>37</v>
      </c>
      <c r="CK3" s="418" t="s">
        <v>38</v>
      </c>
      <c r="CL3" s="416" t="s">
        <v>39</v>
      </c>
      <c r="CM3" s="417" t="s">
        <v>40</v>
      </c>
      <c r="CN3" s="417" t="s">
        <v>41</v>
      </c>
    </row>
    <row r="4" spans="1:92" s="23" customFormat="1" ht="38.25" thickBot="1" x14ac:dyDescent="0.3">
      <c r="A4" s="423" t="s">
        <v>1</v>
      </c>
      <c r="B4" s="424" t="s">
        <v>2</v>
      </c>
      <c r="C4" s="424" t="s">
        <v>3</v>
      </c>
      <c r="D4" s="424" t="s">
        <v>4</v>
      </c>
      <c r="E4" s="424" t="s">
        <v>5</v>
      </c>
      <c r="F4" s="424" t="s">
        <v>6</v>
      </c>
      <c r="G4" s="728" t="s">
        <v>7</v>
      </c>
      <c r="H4" s="424" t="s">
        <v>8</v>
      </c>
      <c r="I4" s="424" t="s">
        <v>9</v>
      </c>
      <c r="J4" s="425" t="s">
        <v>63</v>
      </c>
      <c r="K4" s="424" t="s">
        <v>64</v>
      </c>
      <c r="L4" s="424" t="s">
        <v>67</v>
      </c>
      <c r="M4" s="426" t="s">
        <v>70</v>
      </c>
      <c r="N4" s="435" t="s">
        <v>1542</v>
      </c>
      <c r="O4" s="477" t="s">
        <v>243</v>
      </c>
      <c r="P4" s="478" t="s">
        <v>78</v>
      </c>
      <c r="Q4" s="478" t="s">
        <v>244</v>
      </c>
      <c r="R4" s="479" t="s">
        <v>81</v>
      </c>
      <c r="S4" s="478" t="s">
        <v>88</v>
      </c>
      <c r="T4" s="478" t="s">
        <v>98</v>
      </c>
      <c r="U4" s="478" t="s">
        <v>1347</v>
      </c>
      <c r="V4" s="478" t="s">
        <v>108</v>
      </c>
      <c r="W4" s="478" t="s">
        <v>111</v>
      </c>
      <c r="X4" s="478" t="s">
        <v>114</v>
      </c>
      <c r="Y4" s="477"/>
      <c r="Z4" s="480" t="s">
        <v>119</v>
      </c>
      <c r="AA4" s="480" t="s">
        <v>1348</v>
      </c>
      <c r="AB4" s="481" t="s">
        <v>125</v>
      </c>
      <c r="AC4" s="480" t="s">
        <v>130</v>
      </c>
      <c r="AD4" s="482" t="s">
        <v>134</v>
      </c>
      <c r="AE4" s="482" t="s">
        <v>136</v>
      </c>
      <c r="AF4" s="482" t="s">
        <v>1511</v>
      </c>
      <c r="AG4" s="482" t="s">
        <v>1512</v>
      </c>
      <c r="AH4" s="482"/>
      <c r="AI4" s="855" t="s">
        <v>1513</v>
      </c>
      <c r="AJ4" s="855" t="s">
        <v>1514</v>
      </c>
      <c r="AK4" s="855" t="s">
        <v>1515</v>
      </c>
      <c r="AL4" s="855" t="s">
        <v>1516</v>
      </c>
      <c r="AM4" s="855" t="s">
        <v>1517</v>
      </c>
      <c r="AN4" s="855" t="s">
        <v>1518</v>
      </c>
      <c r="AO4" s="855" t="s">
        <v>1519</v>
      </c>
      <c r="AP4" s="855" t="s">
        <v>1520</v>
      </c>
      <c r="AQ4" s="855"/>
      <c r="AR4" s="509"/>
      <c r="AS4" s="509"/>
      <c r="AT4" s="522" t="s">
        <v>246</v>
      </c>
      <c r="AU4" s="509"/>
      <c r="AV4" s="509" t="s">
        <v>247</v>
      </c>
      <c r="AW4" s="510"/>
      <c r="AX4" s="511" t="s">
        <v>248</v>
      </c>
      <c r="AY4" s="512" t="s">
        <v>249</v>
      </c>
      <c r="AZ4" s="513" t="s">
        <v>249</v>
      </c>
      <c r="BA4" s="680" t="s">
        <v>250</v>
      </c>
      <c r="BB4" s="514"/>
      <c r="BC4" s="515" t="s">
        <v>2533</v>
      </c>
      <c r="BD4" s="515" t="s">
        <v>2534</v>
      </c>
      <c r="BE4" s="515" t="s">
        <v>2532</v>
      </c>
      <c r="BF4" s="515"/>
      <c r="BG4" s="515"/>
      <c r="BH4" s="516"/>
      <c r="BI4" s="516"/>
      <c r="BJ4" s="672" t="s">
        <v>251</v>
      </c>
      <c r="BK4" s="517"/>
      <c r="BL4" s="518" t="s">
        <v>252</v>
      </c>
      <c r="BM4" s="519"/>
      <c r="BN4" s="516"/>
      <c r="BO4" s="682" t="s">
        <v>2171</v>
      </c>
      <c r="BP4" s="520"/>
      <c r="BQ4" s="520"/>
      <c r="BR4" s="683" t="s">
        <v>2524</v>
      </c>
      <c r="BS4" s="683"/>
      <c r="BT4" s="683"/>
      <c r="BU4" s="683"/>
      <c r="BV4" s="683"/>
      <c r="BW4" s="521"/>
      <c r="BX4" s="521"/>
      <c r="BY4" s="521"/>
      <c r="BZ4" s="521"/>
      <c r="CA4" s="521"/>
      <c r="CB4" s="521"/>
      <c r="CC4" s="521"/>
      <c r="CD4" s="67" t="s">
        <v>10</v>
      </c>
      <c r="CE4" s="55" t="s">
        <v>11</v>
      </c>
      <c r="CF4" s="48" t="s">
        <v>12</v>
      </c>
      <c r="CG4" s="48" t="s">
        <v>13</v>
      </c>
      <c r="CH4" s="48" t="s">
        <v>14</v>
      </c>
      <c r="CI4" s="55" t="s">
        <v>15</v>
      </c>
      <c r="CJ4" s="50" t="s">
        <v>16</v>
      </c>
      <c r="CK4" s="50" t="s">
        <v>17</v>
      </c>
      <c r="CL4" s="55" t="s">
        <v>18</v>
      </c>
      <c r="CM4" s="48" t="s">
        <v>19</v>
      </c>
      <c r="CN4" s="409"/>
    </row>
    <row r="5" spans="1:92" s="23" customFormat="1" ht="16.5" thickBot="1" x14ac:dyDescent="0.3">
      <c r="A5" s="427" t="s">
        <v>20</v>
      </c>
      <c r="B5" s="428" t="s">
        <v>20</v>
      </c>
      <c r="C5" s="429" t="s">
        <v>20</v>
      </c>
      <c r="D5" s="428" t="s">
        <v>20</v>
      </c>
      <c r="E5" s="429" t="s">
        <v>20</v>
      </c>
      <c r="F5" s="429" t="s">
        <v>21</v>
      </c>
      <c r="G5" s="729" t="s">
        <v>21</v>
      </c>
      <c r="H5" s="429"/>
      <c r="I5" s="429" t="s">
        <v>22</v>
      </c>
      <c r="J5" s="430" t="s">
        <v>23</v>
      </c>
      <c r="K5" s="429" t="s">
        <v>21</v>
      </c>
      <c r="L5" s="428" t="s">
        <v>66</v>
      </c>
      <c r="M5" s="431" t="s">
        <v>69</v>
      </c>
      <c r="N5" s="436" t="s">
        <v>69</v>
      </c>
      <c r="O5" s="483" t="s">
        <v>21</v>
      </c>
      <c r="P5" s="484" t="s">
        <v>21</v>
      </c>
      <c r="Q5" s="484" t="s">
        <v>21</v>
      </c>
      <c r="R5" s="485" t="s">
        <v>21</v>
      </c>
      <c r="S5" s="486" t="s">
        <v>21</v>
      </c>
      <c r="T5" s="486" t="s">
        <v>21</v>
      </c>
      <c r="U5" s="486" t="s">
        <v>21</v>
      </c>
      <c r="V5" s="486" t="s">
        <v>21</v>
      </c>
      <c r="W5" s="486" t="s">
        <v>21</v>
      </c>
      <c r="X5" s="486" t="s">
        <v>21</v>
      </c>
      <c r="Y5" s="487" t="s">
        <v>22</v>
      </c>
      <c r="Z5" s="488" t="s">
        <v>21</v>
      </c>
      <c r="AA5" s="489" t="s">
        <v>253</v>
      </c>
      <c r="AB5" s="489" t="s">
        <v>21</v>
      </c>
      <c r="AC5" s="488" t="s">
        <v>21</v>
      </c>
      <c r="AD5" s="490" t="s">
        <v>254</v>
      </c>
      <c r="AE5" s="491" t="s">
        <v>254</v>
      </c>
      <c r="AF5" s="491" t="s">
        <v>21</v>
      </c>
      <c r="AG5" s="491" t="s">
        <v>21</v>
      </c>
      <c r="AH5" s="491" t="s">
        <v>22</v>
      </c>
      <c r="AI5" s="492" t="s">
        <v>21</v>
      </c>
      <c r="AJ5" s="493" t="s">
        <v>254</v>
      </c>
      <c r="AK5" s="494" t="s">
        <v>21</v>
      </c>
      <c r="AL5" s="494" t="s">
        <v>21</v>
      </c>
      <c r="AM5" s="494" t="s">
        <v>21</v>
      </c>
      <c r="AN5" s="495"/>
      <c r="AO5" s="495"/>
      <c r="AP5" s="495"/>
      <c r="AQ5" s="495" t="s">
        <v>22</v>
      </c>
      <c r="AR5" s="419"/>
      <c r="AS5" s="141"/>
      <c r="AT5" s="140"/>
      <c r="AU5" s="140"/>
      <c r="AV5" s="140"/>
      <c r="AW5" s="679" t="s">
        <v>181</v>
      </c>
      <c r="AX5" s="142" t="s">
        <v>2539</v>
      </c>
      <c r="AY5" s="139"/>
      <c r="AZ5" s="139"/>
      <c r="BA5" s="681" t="s">
        <v>186</v>
      </c>
      <c r="BB5" s="54"/>
      <c r="BC5" s="143" t="s">
        <v>255</v>
      </c>
      <c r="BD5" s="90"/>
      <c r="BE5" s="53"/>
      <c r="BF5" s="53"/>
      <c r="BG5" s="53"/>
      <c r="BH5" s="47"/>
      <c r="BI5" s="47"/>
      <c r="BJ5" s="673" t="s">
        <v>2136</v>
      </c>
      <c r="BK5" s="362" t="s">
        <v>2192</v>
      </c>
      <c r="BL5" s="363" t="s">
        <v>2523</v>
      </c>
      <c r="BM5" s="363" t="s">
        <v>2523</v>
      </c>
      <c r="BN5" s="167"/>
      <c r="BO5" s="281" t="s">
        <v>256</v>
      </c>
      <c r="BP5" s="69"/>
      <c r="BQ5" s="69" t="s">
        <v>2192</v>
      </c>
      <c r="BR5" s="280" t="s">
        <v>2135</v>
      </c>
      <c r="BS5" s="52"/>
      <c r="BT5" s="52"/>
      <c r="BU5" s="52"/>
      <c r="BV5" s="52"/>
      <c r="BW5" s="52"/>
      <c r="BX5" s="52"/>
      <c r="BY5" s="52"/>
      <c r="BZ5" s="52"/>
      <c r="CA5" s="52"/>
      <c r="CB5" s="280" t="s">
        <v>257</v>
      </c>
      <c r="CC5" s="52"/>
      <c r="CD5" s="68"/>
      <c r="CE5" s="56"/>
      <c r="CF5" s="49"/>
      <c r="CG5" s="49"/>
      <c r="CH5" s="49"/>
      <c r="CI5" s="56"/>
      <c r="CJ5" s="51"/>
      <c r="CK5" s="51"/>
      <c r="CL5" s="56"/>
      <c r="CM5" s="49"/>
      <c r="CN5" s="410"/>
    </row>
    <row r="6" spans="1:92" s="302" customFormat="1" ht="17.25" customHeight="1" thickTop="1" thickBot="1" x14ac:dyDescent="0.3">
      <c r="A6" s="432" t="s">
        <v>24</v>
      </c>
      <c r="B6" s="432" t="s">
        <v>25</v>
      </c>
      <c r="C6" s="432" t="s">
        <v>26</v>
      </c>
      <c r="D6" s="432" t="s">
        <v>27</v>
      </c>
      <c r="E6" s="432" t="s">
        <v>28</v>
      </c>
      <c r="F6" s="432" t="s">
        <v>29</v>
      </c>
      <c r="G6" s="730" t="s">
        <v>30</v>
      </c>
      <c r="H6" s="432" t="s">
        <v>62</v>
      </c>
      <c r="I6" s="432" t="s">
        <v>31</v>
      </c>
      <c r="J6" s="432" t="s">
        <v>1356</v>
      </c>
      <c r="K6" s="432" t="s">
        <v>65</v>
      </c>
      <c r="L6" s="432" t="s">
        <v>68</v>
      </c>
      <c r="M6" s="432" t="s">
        <v>2160</v>
      </c>
      <c r="N6" s="437" t="s">
        <v>2159</v>
      </c>
      <c r="O6" s="496" t="s">
        <v>74</v>
      </c>
      <c r="P6" s="497" t="s">
        <v>79</v>
      </c>
      <c r="Q6" s="497" t="s">
        <v>2137</v>
      </c>
      <c r="R6" s="497" t="s">
        <v>258</v>
      </c>
      <c r="S6" s="498" t="s">
        <v>2138</v>
      </c>
      <c r="T6" s="499" t="s">
        <v>2139</v>
      </c>
      <c r="U6" s="499" t="s">
        <v>2140</v>
      </c>
      <c r="V6" s="499" t="s">
        <v>2141</v>
      </c>
      <c r="W6" s="499" t="s">
        <v>2142</v>
      </c>
      <c r="X6" s="499" t="s">
        <v>259</v>
      </c>
      <c r="Y6" s="500" t="s">
        <v>2161</v>
      </c>
      <c r="Z6" s="501" t="s">
        <v>2143</v>
      </c>
      <c r="AA6" s="502" t="s">
        <v>2144</v>
      </c>
      <c r="AB6" s="501" t="s">
        <v>2145</v>
      </c>
      <c r="AC6" s="502" t="s">
        <v>2146</v>
      </c>
      <c r="AD6" s="503" t="s">
        <v>2147</v>
      </c>
      <c r="AE6" s="504" t="s">
        <v>260</v>
      </c>
      <c r="AF6" s="505" t="s">
        <v>117</v>
      </c>
      <c r="AG6" s="505" t="s">
        <v>1526</v>
      </c>
      <c r="AH6" s="504" t="s">
        <v>2162</v>
      </c>
      <c r="AI6" s="792" t="s">
        <v>2177</v>
      </c>
      <c r="AJ6" s="793" t="s">
        <v>2148</v>
      </c>
      <c r="AK6" s="506" t="s">
        <v>122</v>
      </c>
      <c r="AL6" s="506" t="s">
        <v>124</v>
      </c>
      <c r="AM6" s="506" t="s">
        <v>1372</v>
      </c>
      <c r="AN6" s="507" t="s">
        <v>2150</v>
      </c>
      <c r="AO6" s="507" t="s">
        <v>2149</v>
      </c>
      <c r="AP6" s="507" t="s">
        <v>2151</v>
      </c>
      <c r="AQ6" s="508" t="s">
        <v>2163</v>
      </c>
      <c r="AR6" s="144" t="s">
        <v>2655</v>
      </c>
      <c r="AS6" s="145" t="s">
        <v>2152</v>
      </c>
      <c r="AT6" s="284" t="s">
        <v>2153</v>
      </c>
      <c r="AU6" s="143" t="s">
        <v>2154</v>
      </c>
      <c r="AV6" s="143" t="s">
        <v>2155</v>
      </c>
      <c r="AW6" s="285" t="s">
        <v>2174</v>
      </c>
      <c r="AX6" s="283" t="s">
        <v>2541</v>
      </c>
      <c r="AY6" s="286" t="s">
        <v>2172</v>
      </c>
      <c r="AZ6" s="794" t="s">
        <v>2156</v>
      </c>
      <c r="BA6" s="287" t="s">
        <v>2175</v>
      </c>
      <c r="BB6" s="288" t="s">
        <v>2157</v>
      </c>
      <c r="BC6" s="289" t="s">
        <v>2752</v>
      </c>
      <c r="BD6" s="290" t="s">
        <v>2753</v>
      </c>
      <c r="BE6" s="291" t="s">
        <v>2158</v>
      </c>
      <c r="BF6" s="292" t="s">
        <v>276</v>
      </c>
      <c r="BG6" s="285" t="s">
        <v>2656</v>
      </c>
      <c r="BH6" s="293" t="s">
        <v>277</v>
      </c>
      <c r="BI6" s="294" t="s">
        <v>278</v>
      </c>
      <c r="BJ6" s="674" t="s">
        <v>2176</v>
      </c>
      <c r="BK6" s="295" t="s">
        <v>2754</v>
      </c>
      <c r="BL6" s="296" t="s">
        <v>279</v>
      </c>
      <c r="BM6" s="296" t="s">
        <v>280</v>
      </c>
      <c r="BN6" s="297" t="s">
        <v>2657</v>
      </c>
      <c r="BO6" s="296" t="s">
        <v>2658</v>
      </c>
      <c r="BP6" s="795" t="s">
        <v>2164</v>
      </c>
      <c r="BQ6" s="795" t="s">
        <v>2165</v>
      </c>
      <c r="BR6" s="282" t="s">
        <v>2659</v>
      </c>
      <c r="BS6" s="724" t="s">
        <v>2679</v>
      </c>
      <c r="BT6" s="724" t="s">
        <v>2680</v>
      </c>
      <c r="BU6" s="724" t="s">
        <v>2681</v>
      </c>
      <c r="BV6" s="282" t="s">
        <v>2682</v>
      </c>
      <c r="BW6" s="282" t="s">
        <v>2166</v>
      </c>
      <c r="BX6" s="282" t="s">
        <v>2167</v>
      </c>
      <c r="BY6" s="282" t="s">
        <v>288</v>
      </c>
      <c r="BZ6" s="282" t="s">
        <v>2684</v>
      </c>
      <c r="CA6" s="282" t="s">
        <v>2685</v>
      </c>
      <c r="CB6" s="282" t="s">
        <v>2686</v>
      </c>
      <c r="CC6" s="282" t="s">
        <v>2168</v>
      </c>
      <c r="CD6" s="298" t="s">
        <v>33</v>
      </c>
      <c r="CE6" s="298" t="s">
        <v>34</v>
      </c>
      <c r="CF6" s="299" t="s">
        <v>290</v>
      </c>
      <c r="CG6" s="299" t="s">
        <v>291</v>
      </c>
      <c r="CH6" s="299" t="s">
        <v>35</v>
      </c>
      <c r="CI6" s="298" t="s">
        <v>36</v>
      </c>
      <c r="CJ6" s="300" t="s">
        <v>37</v>
      </c>
      <c r="CK6" s="298" t="s">
        <v>38</v>
      </c>
      <c r="CL6" s="298" t="s">
        <v>39</v>
      </c>
      <c r="CM6" s="301" t="s">
        <v>40</v>
      </c>
      <c r="CN6" s="410" t="s">
        <v>41</v>
      </c>
    </row>
    <row r="7" spans="1:92" ht="15.75" customHeight="1" x14ac:dyDescent="0.25">
      <c r="A7" s="232" t="s">
        <v>1409</v>
      </c>
      <c r="B7" s="530" t="s">
        <v>43</v>
      </c>
      <c r="C7" s="530" t="s">
        <v>44</v>
      </c>
      <c r="D7" s="530" t="s">
        <v>45</v>
      </c>
      <c r="E7" s="531" t="s">
        <v>46</v>
      </c>
      <c r="F7" s="314">
        <v>172</v>
      </c>
      <c r="G7" s="731">
        <v>803</v>
      </c>
      <c r="H7" s="314"/>
      <c r="I7" s="314" t="s">
        <v>47</v>
      </c>
      <c r="J7" s="365">
        <v>44196</v>
      </c>
      <c r="K7" s="364">
        <v>0</v>
      </c>
      <c r="L7" s="364" t="s">
        <v>292</v>
      </c>
      <c r="M7" s="366">
        <v>0</v>
      </c>
      <c r="N7" s="366">
        <v>0</v>
      </c>
      <c r="O7" s="601">
        <v>3</v>
      </c>
      <c r="P7" s="602">
        <v>2</v>
      </c>
      <c r="Q7" s="602">
        <v>0</v>
      </c>
      <c r="R7" s="603">
        <v>0</v>
      </c>
      <c r="S7" s="603" t="s">
        <v>2581</v>
      </c>
      <c r="T7" s="604"/>
      <c r="U7" s="604"/>
      <c r="V7" s="604"/>
      <c r="W7" s="604"/>
      <c r="X7" s="604"/>
      <c r="Y7" s="604" t="s">
        <v>2582</v>
      </c>
      <c r="Z7" s="628">
        <v>47</v>
      </c>
      <c r="AA7" s="628">
        <v>0</v>
      </c>
      <c r="AB7" s="629"/>
      <c r="AC7" s="630">
        <v>0</v>
      </c>
      <c r="AD7" s="630" t="s">
        <v>293</v>
      </c>
      <c r="AE7" s="631" t="s">
        <v>293</v>
      </c>
      <c r="AF7" s="631"/>
      <c r="AG7" s="628"/>
      <c r="AH7" s="630"/>
      <c r="AI7" s="642">
        <v>0.75</v>
      </c>
      <c r="AJ7" s="643" t="s">
        <v>294</v>
      </c>
      <c r="AK7" s="644">
        <v>0</v>
      </c>
      <c r="AL7" s="645">
        <v>4</v>
      </c>
      <c r="AM7" s="645">
        <v>2</v>
      </c>
      <c r="AN7" s="646"/>
      <c r="AO7" s="647"/>
      <c r="AP7" s="647"/>
      <c r="AQ7" s="648" t="s">
        <v>2592</v>
      </c>
      <c r="AR7" s="235" t="str">
        <f>IFERROR(WWWW[[#This Row],['# of Water passed at source]]/WWWW[[#This Row],['# of Water tested at source]],"no test")</f>
        <v>no test</v>
      </c>
      <c r="AS7" s="237" t="str">
        <f>IFERROR(WWWW[[#This Row],['# of Water passed at HH]]/WWWW[[#This Row],['# of Water tested at HH]],"no test")</f>
        <v>no test</v>
      </c>
      <c r="AT7" s="400">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U7" s="400">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AV7" s="400">
        <f>IF(WWWW[[#This Row],[Location Type 1]]="Village",WWWW[[#This Row],[Access to safe drinking water for Village]],WWWW[[#This Row],[Access to safe drinking water for Camp]])</f>
        <v>1</v>
      </c>
      <c r="AW7" s="414">
        <f>WWWW[[#This Row],[%Equitable and continuous access to sufficient quantity of safe drinking water]]*WWWW[[#This Row],[Total PoP ]]</f>
        <v>803</v>
      </c>
      <c r="AX7" s="400">
        <f>IF((WWWW[[#This Row],['# Existing protected/fenced ponds ]]*250)/WWWW[[#This Row],[Total PoP ]]&gt;1,1,WWWW[[#This Row],['# Existing protected/fenced ponds ]]*250/WWWW[[#This Row],[Total PoP ]])</f>
        <v>0</v>
      </c>
      <c r="AY7" s="367">
        <f>WWWW[[#This Row],[Access to unimproved water points]]*WWWW[[#This Row],[Total PoP ]]</f>
        <v>0</v>
      </c>
      <c r="AZ7" s="400">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A7" s="367">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803</v>
      </c>
      <c r="BB7" s="414">
        <f>ROUND(WWWW[[#This Row],['#people Equitable and continuous access to sufficient quantity of domestic water borehole n ponds_2]]/500,0)</f>
        <v>2</v>
      </c>
      <c r="BC7" s="235">
        <f>1-WWWW[[#This Row],[%Equitable and continuous access to sufficient quantity of domestic water borehole n ponds]]</f>
        <v>0</v>
      </c>
      <c r="BD7" s="367">
        <f>WWWW[[#This Row],[%equitable and continuous access to sufficient quantity of safe drinking and domestic water''s GAP]]*WWWW[[#This Row],[Total PoP ]]</f>
        <v>0</v>
      </c>
      <c r="BE7" s="238">
        <f>IF(WWWW[[#This Row],[Total required water points]]-WWWW[[#This Row],['#Water points coverage]]&lt;0,0,WWWW[[#This Row],[Total required water points]]-WWWW[[#This Row],['#Water points coverage]])</f>
        <v>0</v>
      </c>
      <c r="BF7" s="368">
        <f>ROUND(IF(WWWW[[#This Row],[Total PoP ]]&lt;500,1,WWWW[[#This Row],[Total PoP ]]/500),0)</f>
        <v>2</v>
      </c>
      <c r="BG7" s="368" t="str">
        <f>IF(AND(WWWW[[#This Row],[%of Water samples which passed at water source]]="no test",WWWW[[#This Row],[%Water samples which passed at HH]]="no test"),"No Test","Tested")</f>
        <v>No Test</v>
      </c>
      <c r="BH7" s="238">
        <f>WWWW[[#This Row],['# Existing functional latrines]]+WWWW[[#This Row],['# Existing latrines dysfunctional]]</f>
        <v>47</v>
      </c>
      <c r="BI7" s="366">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1</v>
      </c>
      <c r="BJ7" s="675">
        <f>WWWW[[#This Row],[% people access to functioning Latrine]]*WWWW[[#This Row],[Total PoP ]]</f>
        <v>803</v>
      </c>
      <c r="BK7" s="235">
        <f>IF(WWWW[[#This Row],[Location Type 1]]="camp",WWWW[[#This Row],['# potential required new latrines]]/(WWWW[[#This Row],[Total PoP ]]/20),WWWW[[#This Row],['# potential required new latrines]]/(WWWW[[#This Row],[Total PoP ]]/6))</f>
        <v>0</v>
      </c>
      <c r="BL7" s="236">
        <f>IF(WWWW[[#This Row],[Total required Latrines]]-WWWW[[#This Row],[Total '# of latrine]]&lt;0,0,WWWW[[#This Row],[Total required Latrines]]-WWWW[[#This Row],[Total '# of latrine]])</f>
        <v>0</v>
      </c>
      <c r="BM7" s="368">
        <f>ROUND(IF(WWWW[[#This Row],[Location Type 1]]="camp",WWWW[[#This Row],[Total PoP ]]/20,WWWW[[#This Row],[Total PoP ]]/6),0)</f>
        <v>40</v>
      </c>
      <c r="BN7" s="369">
        <f>IF(OR(WWWW[[#This Row],['# Existing latrines dysfunctional]]="",WWWW[[#This Row],['# Existing latrines dysfunctional]]=0),0,WWWW[[#This Row],['# Existing latrines dysfunctional]]/WWWW[[#This Row],[Total '# of latrine]])</f>
        <v>0</v>
      </c>
      <c r="BO7" s="675">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P7" s="235">
        <f>WWWW[[#This Row],[People adopt basic personal and community hygiene practices]]/WWWW[[#This Row],[Total PoP ]]</f>
        <v>0</v>
      </c>
      <c r="BQ7" s="369">
        <f>1-WWWW[[#This Row],[Hygiene Coverage%]]</f>
        <v>1</v>
      </c>
      <c r="BR7" s="367">
        <f>IF(500*WWWW[[#This Row],['# Hygiene Promoters ]]&gt;WWWW[[#This Row],[Total PoP ]],WWWW[[#This Row],[Total PoP ]],500*WWWW[[#This Row],['# Hygiene Promoters ]])</f>
        <v>803</v>
      </c>
      <c r="BS7" s="367">
        <f>IF(WWWW[[#This Row],[% of HH with access to Sanitary Pad]]&gt;=100%,1,0)</f>
        <v>0</v>
      </c>
      <c r="BT7" s="367">
        <f>IF(WWWW[[#This Row],[Total PoP ]]=0,0,IF(WWWW[[#This Row],['# Hygiene Promoters ]]=0,0,IF(WWWW[[#This Row],[Location Type 1]]="Village",IF(WWWW[[#This Row],[Total PoP ]]/WWWW[[#This Row],['# Hygiene Promoters ]]&lt;1000,1,0),IF(WWWW[[#This Row],[Total PoP ]]/WWWW[[#This Row],['# Hygiene Promoters ]]&lt;600,1,0))))</f>
        <v>1</v>
      </c>
      <c r="BU7" s="367">
        <f>IF(WWWW[[#This Row],[%HH with access to soap]]&gt;=100%,1,0)</f>
        <v>0</v>
      </c>
      <c r="BV7" s="367">
        <f>IF(WWWW[[#This Row],[% of HHs with access to Sanitary pad more than '#%]]+WWWW[[#This Row],[Ratio of Hyiene promoters to people less than '#]]+WWWW[[#This Row],[% of HHs with access to soap more than '#%]]&gt;=2,WWWW[[#This Row],[Total PoP ]],0)</f>
        <v>0</v>
      </c>
      <c r="BW7" s="346">
        <f>WWWW[[#This Row],['# people reached by regular dedicated hygiene promotion_5]]/WWWW[[#This Row],[Total PoP ]]</f>
        <v>1</v>
      </c>
      <c r="BX7" s="346">
        <f>IF(WWWW[[#This Row],['# HH received soaps]]/WWWW[[#This Row],[Total HH]]&gt;1,1,WWWW[[#This Row],['# HH received soaps]]/WWWW[[#This Row],[Total HH]])</f>
        <v>0</v>
      </c>
      <c r="BY7" s="346">
        <f>IF(WWWW[[#This Row],['# HH received Sanitary Pads]]/WWWW[[#This Row],[Total HH]]&gt;1,1,WWWW[[#This Row],['# HH received Sanitary Pads]]/WWWW[[#This Row],[Total HH]])</f>
        <v>0</v>
      </c>
      <c r="BZ7" s="720">
        <f>WWWW[[#This Row],['# HH received soaps]]*5</f>
        <v>0</v>
      </c>
      <c r="CA7" s="720">
        <f>WWWW[[#This Row],['# HH received Sanitary Pads]]*5</f>
        <v>0</v>
      </c>
      <c r="CB7" s="238">
        <f>IF(WWWW[[#This Row],['# People with access to soap]]&gt;WWWW[[#This Row],['# People with access to Sanity Pads]],WWWW[[#This Row],['# People with access to soap]],WWWW[[#This Row],['# People with access to Sanity Pads]])</f>
        <v>0</v>
      </c>
      <c r="CC7" s="367">
        <f>WWWW[[#This Row],[Total HH]]*WWWW[[#This Row],[%HHs with access to functional hand washing stations]]</f>
        <v>129</v>
      </c>
      <c r="CD7" s="240" t="str">
        <f>VLOOKUP(WWWW[[#This Row],[Site Name]],SiteDB6[],8,FALSE)</f>
        <v>Yes</v>
      </c>
      <c r="CE7" s="240" t="str">
        <f>VLOOKUP(WWWW[[#This Row],[Site Name]],SiteDB6[],9,FALSE)</f>
        <v>KMSS-BMO</v>
      </c>
      <c r="CF7" s="240" t="str">
        <f>VLOOKUP(WWWW[[#This Row],[Site Name]],SiteDB6[],10,FALSE)</f>
        <v>Camp</v>
      </c>
      <c r="CG7" s="240" t="str">
        <f>VLOOKUP(WWWW[[#This Row],[Site Name]],SiteDB6[],11,FALSE)</f>
        <v>Camp</v>
      </c>
      <c r="CH7" s="240" t="str">
        <f>VLOOKUP(WWWW[[#This Row],[Site Name]],SiteDB6[],12,FALSE)</f>
        <v>Camp</v>
      </c>
      <c r="CI7" s="240" t="str">
        <f>VLOOKUP(WWWW[[#This Row],[Site Name]],SiteDB6[],13,FALSE)</f>
        <v>GCA</v>
      </c>
      <c r="CJ7" s="240">
        <f>VLOOKUP(WWWW[[#This Row],[Site Name]],SiteDB6[],14,FALSE)</f>
        <v>23.976571</v>
      </c>
      <c r="CK7" s="240">
        <f>VLOOKUP(WWWW[[#This Row],[Site Name]],SiteDB6[],15,FALSE)</f>
        <v>97.227057000000002</v>
      </c>
      <c r="CL7" s="240" t="str">
        <f>VLOOKUP(WWWW[[#This Row],[Site Name]],SiteDB6[],4,FALSE)</f>
        <v>MMR001CMP223</v>
      </c>
      <c r="CM7" s="235" t="str">
        <f t="shared" ref="CM7:CM70" si="0">IF(B7="none","Notcovered","Covered")</f>
        <v>Covered</v>
      </c>
      <c r="CN7" s="235" t="s">
        <v>2608</v>
      </c>
    </row>
    <row r="8" spans="1:92" ht="15.75" customHeight="1" x14ac:dyDescent="0.25">
      <c r="A8" s="232" t="s">
        <v>1409</v>
      </c>
      <c r="B8" s="530" t="s">
        <v>348</v>
      </c>
      <c r="C8" s="531" t="s">
        <v>44</v>
      </c>
      <c r="D8" s="531" t="s">
        <v>361</v>
      </c>
      <c r="E8" s="531" t="s">
        <v>373</v>
      </c>
      <c r="F8" s="41">
        <v>664</v>
      </c>
      <c r="G8" s="405">
        <v>3294</v>
      </c>
      <c r="H8" s="41"/>
      <c r="I8" s="41" t="s">
        <v>374</v>
      </c>
      <c r="J8" s="388">
        <v>43281</v>
      </c>
      <c r="K8" s="41">
        <v>0</v>
      </c>
      <c r="L8" s="41" t="s">
        <v>48</v>
      </c>
      <c r="M8" s="42">
        <v>0.4</v>
      </c>
      <c r="N8" s="42">
        <v>0.4</v>
      </c>
      <c r="O8" s="605">
        <v>3</v>
      </c>
      <c r="P8" s="606">
        <v>0</v>
      </c>
      <c r="Q8" s="606">
        <v>65880</v>
      </c>
      <c r="R8" s="607">
        <v>0</v>
      </c>
      <c r="S8" s="607">
        <v>0</v>
      </c>
      <c r="T8" s="607"/>
      <c r="U8" s="607"/>
      <c r="V8" s="607"/>
      <c r="W8" s="607"/>
      <c r="X8" s="607"/>
      <c r="Y8" s="607">
        <v>0</v>
      </c>
      <c r="Z8" s="598">
        <v>202</v>
      </c>
      <c r="AA8" s="598">
        <v>4</v>
      </c>
      <c r="AB8" s="80"/>
      <c r="AC8" s="598">
        <v>1</v>
      </c>
      <c r="AD8" s="598" t="s">
        <v>293</v>
      </c>
      <c r="AE8" s="599" t="s">
        <v>293</v>
      </c>
      <c r="AF8" s="599"/>
      <c r="AG8" s="598"/>
      <c r="AH8" s="598">
        <v>0</v>
      </c>
      <c r="AI8" s="649">
        <v>0.99</v>
      </c>
      <c r="AJ8" s="650" t="s">
        <v>386</v>
      </c>
      <c r="AK8" s="650">
        <v>0</v>
      </c>
      <c r="AL8" s="645">
        <v>21</v>
      </c>
      <c r="AM8" s="645">
        <v>4</v>
      </c>
      <c r="AN8" s="646"/>
      <c r="AO8" s="600"/>
      <c r="AP8" s="600"/>
      <c r="AQ8" s="651">
        <v>0</v>
      </c>
      <c r="AR8" s="42" t="str">
        <f>IFERROR(WWWW[[#This Row],['# of Water passed at source]]/WWWW[[#This Row],['# of Water tested at source]],"no test")</f>
        <v>no test</v>
      </c>
      <c r="AS8" s="389" t="str">
        <f>IFERROR(WWWW[[#This Row],['# of Water passed at HH]]/WWWW[[#This Row],['# of Water tested at HH]],"no test")</f>
        <v>no test</v>
      </c>
      <c r="AT8" s="407">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U8" s="407">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AV8" s="407">
        <f>IF(WWWW[[#This Row],[Location Type 1]]="Village",WWWW[[#This Row],[Access to safe drinking water for Village]],WWWW[[#This Row],[Access to safe drinking water for Camp]])</f>
        <v>1</v>
      </c>
      <c r="AW8" s="405">
        <f>WWWW[[#This Row],[%Equitable and continuous access to sufficient quantity of safe drinking water]]*WWWW[[#This Row],[Total PoP ]]</f>
        <v>3294</v>
      </c>
      <c r="AX8" s="407">
        <f>IF((WWWW[[#This Row],['# Existing protected/fenced ponds ]]*250)/WWWW[[#This Row],[Total PoP ]]&gt;1,1,WWWW[[#This Row],['# Existing protected/fenced ponds ]]*250/WWWW[[#This Row],[Total PoP ]])</f>
        <v>0</v>
      </c>
      <c r="AY8" s="43">
        <f>WWWW[[#This Row],[Access to unimproved water points]]*WWWW[[#This Row],[Total PoP ]]</f>
        <v>0</v>
      </c>
      <c r="AZ8" s="407">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A8" s="405">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3294</v>
      </c>
      <c r="BB8" s="414">
        <f>ROUND(WWWW[[#This Row],['#people Equitable and continuous access to sufficient quantity of domestic water borehole n ponds_2]]/500,0)</f>
        <v>7</v>
      </c>
      <c r="BC8" s="42">
        <f>1-WWWW[[#This Row],[%Equitable and continuous access to sufficient quantity of domestic water borehole n ponds]]</f>
        <v>0</v>
      </c>
      <c r="BD8" s="43">
        <f>WWWW[[#This Row],[%equitable and continuous access to sufficient quantity of safe drinking and domestic water''s GAP]]*WWWW[[#This Row],[Total PoP ]]</f>
        <v>0</v>
      </c>
      <c r="BE8" s="406">
        <f>IF(WWWW[[#This Row],[Total required water points]]-WWWW[[#This Row],['#Water points coverage]]&lt;0,0,WWWW[[#This Row],[Total required water points]]-WWWW[[#This Row],['#Water points coverage]])</f>
        <v>0</v>
      </c>
      <c r="BF8" s="406">
        <f>ROUND(IF(WWWW[[#This Row],[Total PoP ]]&lt;500,1,WWWW[[#This Row],[Total PoP ]]/500),0)</f>
        <v>7</v>
      </c>
      <c r="BG8" s="97" t="str">
        <f>IF(AND(WWWW[[#This Row],[%of Water samples which passed at water source]]="no test",WWWW[[#This Row],[%Water samples which passed at HH]]="no test"),"No Test","Tested")</f>
        <v>No Test</v>
      </c>
      <c r="BH8" s="97">
        <f>WWWW[[#This Row],['# Existing functional latrines]]+WWWW[[#This Row],['# Existing latrines dysfunctional]]</f>
        <v>206</v>
      </c>
      <c r="BI8" s="42">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1</v>
      </c>
      <c r="BJ8" s="676">
        <f>WWWW[[#This Row],[% people access to functioning Latrine]]*WWWW[[#This Row],[Total PoP ]]</f>
        <v>3294</v>
      </c>
      <c r="BK8" s="42">
        <f>IF(WWWW[[#This Row],[Location Type 1]]="camp",WWWW[[#This Row],['# potential required new latrines]]/(WWWW[[#This Row],[Total PoP ]]/20),WWWW[[#This Row],['# potential required new latrines]]/(WWWW[[#This Row],[Total PoP ]]/6))</f>
        <v>0</v>
      </c>
      <c r="BL8" s="43">
        <f>IF(WWWW[[#This Row],[Total required Latrines]]-WWWW[[#This Row],[Total '# of latrine]]&lt;0,0,WWWW[[#This Row],[Total required Latrines]]-WWWW[[#This Row],[Total '# of latrine]])</f>
        <v>0</v>
      </c>
      <c r="BM8" s="97">
        <f>ROUND(IF(WWWW[[#This Row],[Location Type 1]]="camp",WWWW[[#This Row],[Total PoP ]]/20,WWWW[[#This Row],[Total PoP ]]/6),0)</f>
        <v>165</v>
      </c>
      <c r="BN8" s="390">
        <f>IF(OR(WWWW[[#This Row],['# Existing latrines dysfunctional]]="",WWWW[[#This Row],['# Existing latrines dysfunctional]]=0),0,WWWW[[#This Row],['# Existing latrines dysfunctional]]/WWWW[[#This Row],[Total '# of latrine]])</f>
        <v>1.9417475728155338E-2</v>
      </c>
      <c r="BO8" s="676">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P8" s="42">
        <f>WWWW[[#This Row],[People adopt basic personal and community hygiene practices]]/WWWW[[#This Row],[Total PoP ]]</f>
        <v>0</v>
      </c>
      <c r="BQ8" s="390">
        <f>1-WWWW[[#This Row],[Hygiene Coverage%]]</f>
        <v>1</v>
      </c>
      <c r="BR8" s="405">
        <f>IF(500*WWWW[[#This Row],['# Hygiene Promoters ]]&gt;WWWW[[#This Row],[Total PoP ]],WWWW[[#This Row],[Total PoP ]],500*WWWW[[#This Row],['# Hygiene Promoters ]])</f>
        <v>2000</v>
      </c>
      <c r="BS8" s="405">
        <f>IF(WWWW[[#This Row],[% of HH with access to Sanitary Pad]]&gt;=100%,1,0)</f>
        <v>0</v>
      </c>
      <c r="BT8" s="405">
        <f>IF(WWWW[[#This Row],[Total PoP ]]=0,0,IF(WWWW[[#This Row],['# Hygiene Promoters ]]=0,0,IF(WWWW[[#This Row],[Location Type 1]]="Village",IF(WWWW[[#This Row],[Total PoP ]]/WWWW[[#This Row],['# Hygiene Promoters ]]&lt;1000,1,0),IF(WWWW[[#This Row],[Total PoP ]]/WWWW[[#This Row],['# Hygiene Promoters ]]&lt;600,1,0))))</f>
        <v>0</v>
      </c>
      <c r="BU8" s="405">
        <f>IF(WWWW[[#This Row],[%HH with access to soap]]&gt;=100%,1,0)</f>
        <v>0</v>
      </c>
      <c r="BV8" s="405">
        <f>IF(WWWW[[#This Row],[% of HHs with access to Sanitary pad more than '#%]]+WWWW[[#This Row],[Ratio of Hyiene promoters to people less than '#]]+WWWW[[#This Row],[% of HHs with access to soap more than '#%]]&gt;=2,WWWW[[#This Row],[Total PoP ]],0)</f>
        <v>0</v>
      </c>
      <c r="BW8" s="391">
        <f>WWWW[[#This Row],['# people reached by regular dedicated hygiene promotion_5]]/WWWW[[#This Row],[Total PoP ]]</f>
        <v>0.60716454159077105</v>
      </c>
      <c r="BX8" s="391">
        <f>IF(WWWW[[#This Row],['# HH received soaps]]/WWWW[[#This Row],[Total HH]]&gt;1,1,WWWW[[#This Row],['# HH received soaps]]/WWWW[[#This Row],[Total HH]])</f>
        <v>0</v>
      </c>
      <c r="BY8" s="391">
        <f>IF(WWWW[[#This Row],['# HH received Sanitary Pads]]/WWWW[[#This Row],[Total HH]]&gt;1,1,WWWW[[#This Row],['# HH received Sanitary Pads]]/WWWW[[#This Row],[Total HH]])</f>
        <v>0</v>
      </c>
      <c r="BZ8" s="721">
        <f>WWWW[[#This Row],['# HH received soaps]]*5</f>
        <v>0</v>
      </c>
      <c r="CA8" s="721">
        <f>WWWW[[#This Row],['# HH received Sanitary Pads]]*5</f>
        <v>0</v>
      </c>
      <c r="CB8" s="406">
        <f>IF(WWWW[[#This Row],['# People with access to soap]]&gt;WWWW[[#This Row],['# People with access to Sanity Pads]],WWWW[[#This Row],['# People with access to soap]],WWWW[[#This Row],['# People with access to Sanity Pads]])</f>
        <v>0</v>
      </c>
      <c r="CC8" s="43">
        <f>WWWW[[#This Row],[Total HH]]*WWWW[[#This Row],[%HHs with access to functional hand washing stations]]</f>
        <v>657.36</v>
      </c>
      <c r="CD8" s="240" t="str">
        <f>VLOOKUP(WWWW[[#This Row],[Site Name]],SiteDB6[],8,FALSE)</f>
        <v>Yes</v>
      </c>
      <c r="CE8" s="240" t="str">
        <f>VLOOKUP(WWWW[[#This Row],[Site Name]],SiteDB6[],9,FALSE)</f>
        <v>KMSS-MYT</v>
      </c>
      <c r="CF8" s="240" t="str">
        <f>VLOOKUP(WWWW[[#This Row],[Site Name]],SiteDB6[],10,FALSE)</f>
        <v>Camp</v>
      </c>
      <c r="CG8" s="240" t="str">
        <f>VLOOKUP(WWWW[[#This Row],[Site Name]],SiteDB6[],11,FALSE)</f>
        <v>Camp</v>
      </c>
      <c r="CH8" s="240" t="str">
        <f>VLOOKUP(WWWW[[#This Row],[Site Name]],SiteDB6[],12,FALSE)</f>
        <v>Camp</v>
      </c>
      <c r="CI8" s="240" t="str">
        <f>VLOOKUP(WWWW[[#This Row],[Site Name]],SiteDB6[],13,FALSE)</f>
        <v>NGCA</v>
      </c>
      <c r="CJ8" s="240">
        <f>VLOOKUP(WWWW[[#This Row],[Site Name]],SiteDB6[],14,FALSE)</f>
        <v>24.661905999999998</v>
      </c>
      <c r="CK8" s="240">
        <f>VLOOKUP(WWWW[[#This Row],[Site Name]],SiteDB6[],15,FALSE)</f>
        <v>97.573126000000002</v>
      </c>
      <c r="CL8" s="240" t="str">
        <f>VLOOKUP(WWWW[[#This Row],[Site Name]],SiteDB6[],4,FALSE)</f>
        <v>MMR001CMP122</v>
      </c>
      <c r="CM8" s="42" t="str">
        <f t="shared" si="0"/>
        <v>Covered</v>
      </c>
      <c r="CN8" s="42"/>
    </row>
    <row r="9" spans="1:92" ht="15.75" customHeight="1" x14ac:dyDescent="0.25">
      <c r="A9" s="532" t="s">
        <v>1409</v>
      </c>
      <c r="B9" s="541" t="s">
        <v>436</v>
      </c>
      <c r="C9" s="541" t="s">
        <v>44</v>
      </c>
      <c r="D9" s="541" t="s">
        <v>361</v>
      </c>
      <c r="E9" s="541" t="s">
        <v>441</v>
      </c>
      <c r="F9" s="169">
        <v>37</v>
      </c>
      <c r="G9" s="732">
        <v>225</v>
      </c>
      <c r="H9" s="169"/>
      <c r="I9" s="169" t="s">
        <v>438</v>
      </c>
      <c r="J9" s="170" t="s">
        <v>2576</v>
      </c>
      <c r="K9" s="169">
        <v>0</v>
      </c>
      <c r="L9" s="169" t="s">
        <v>48</v>
      </c>
      <c r="M9" s="171">
        <v>1</v>
      </c>
      <c r="N9" s="171">
        <v>0</v>
      </c>
      <c r="O9" s="608">
        <v>0</v>
      </c>
      <c r="P9" s="609">
        <v>1</v>
      </c>
      <c r="Q9" s="610">
        <v>90000</v>
      </c>
      <c r="R9" s="611">
        <v>0</v>
      </c>
      <c r="S9" s="611">
        <v>0</v>
      </c>
      <c r="T9" s="611"/>
      <c r="U9" s="611"/>
      <c r="V9" s="606"/>
      <c r="W9" s="606"/>
      <c r="X9" s="604"/>
      <c r="Y9" s="607"/>
      <c r="Z9" s="598">
        <v>9</v>
      </c>
      <c r="AA9" s="599">
        <v>0</v>
      </c>
      <c r="AB9" s="629"/>
      <c r="AC9" s="632">
        <v>0</v>
      </c>
      <c r="AD9" s="80" t="s">
        <v>293</v>
      </c>
      <c r="AE9" s="80" t="s">
        <v>293</v>
      </c>
      <c r="AF9" s="80"/>
      <c r="AG9" s="80"/>
      <c r="AH9" s="633" t="s">
        <v>2586</v>
      </c>
      <c r="AI9" s="652">
        <v>1</v>
      </c>
      <c r="AJ9" s="653" t="s">
        <v>301</v>
      </c>
      <c r="AK9" s="651">
        <v>0</v>
      </c>
      <c r="AL9" s="645">
        <v>1</v>
      </c>
      <c r="AM9" s="645">
        <v>0</v>
      </c>
      <c r="AN9" s="646"/>
      <c r="AO9" s="600"/>
      <c r="AP9" s="600"/>
      <c r="AQ9" s="654" t="s">
        <v>2587</v>
      </c>
      <c r="AR9" s="235" t="str">
        <f>IFERROR(WWWW[[#This Row],['# of Water passed at source]]/WWWW[[#This Row],['# of Water tested at source]],"no test")</f>
        <v>no test</v>
      </c>
      <c r="AS9" s="237" t="str">
        <f>IFERROR(WWWW[[#This Row],['# of Water passed at HH]]/WWWW[[#This Row],['# of Water tested at HH]],"no test")</f>
        <v>no test</v>
      </c>
      <c r="AT9" s="237">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U9" s="237">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AV9" s="237">
        <f>WWWW[[#This Row],[Access to safe drinking water for Village]]</f>
        <v>1</v>
      </c>
      <c r="AW9" s="414">
        <f>WWWW[[#This Row],[%Equitable and continuous access to sufficient quantity of safe drinking water]]*WWWW[[#This Row],[Total PoP ]]</f>
        <v>225</v>
      </c>
      <c r="AX9" s="237">
        <f>IF((WWWW[[#This Row],['# Existing protected/fenced ponds ]]*250)/WWWW[[#This Row],[Total PoP ]]&gt;1,1,WWWW[[#This Row],['# Existing protected/fenced ponds ]]*250/WWWW[[#This Row],[Total PoP ]])</f>
        <v>0</v>
      </c>
      <c r="AY9" s="414">
        <f>WWWW[[#This Row],[Access to unimproved water points]]*WWWW[[#This Row],[Total PoP ]]</f>
        <v>0</v>
      </c>
      <c r="AZ9" s="237">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A9" s="414">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225</v>
      </c>
      <c r="BB9" s="414">
        <f>ROUND(WWWW[[#This Row],['#people Equitable and continuous access to sufficient quantity of domestic water borehole n ponds_2]]/500,0)</f>
        <v>0</v>
      </c>
      <c r="BC9" s="235">
        <f>1-WWWW[[#This Row],[%Equitable and continuous access to sufficient quantity of domestic water borehole n ponds]]</f>
        <v>0</v>
      </c>
      <c r="BD9" s="414">
        <f>WWWW[[#This Row],[%equitable and continuous access to sufficient quantity of safe drinking and domestic water''s GAP]]*WWWW[[#This Row],[Total PoP ]]</f>
        <v>0</v>
      </c>
      <c r="BE9" s="238">
        <f>IF(WWWW[[#This Row],[Total required water points]]-WWWW[[#This Row],['#Water points coverage]]&lt;0,0,WWWW[[#This Row],[Total required water points]]-WWWW[[#This Row],['#Water points coverage]])</f>
        <v>1</v>
      </c>
      <c r="BF9" s="238">
        <f>ROUND(IF(WWWW[[#This Row],[Total PoP ]]&lt;500,1,WWWW[[#This Row],[Total PoP ]]/500),0)</f>
        <v>1</v>
      </c>
      <c r="BG9" s="238" t="str">
        <f>IF(AND(WWWW[[#This Row],[%of Water samples which passed at water source]]="no test",WWWW[[#This Row],[%Water samples which passed at HH]]="no test"),"No Test","Tested")</f>
        <v>No Test</v>
      </c>
      <c r="BH9" s="238">
        <f>WWWW[[#This Row],['# Existing functional latrines]]+WWWW[[#This Row],['# Existing latrines dysfunctional]]</f>
        <v>9</v>
      </c>
      <c r="BI9" s="235">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0.8</v>
      </c>
      <c r="BJ9" s="675">
        <f>WWWW[[#This Row],[% people access to functioning Latrine]]*WWWW[[#This Row],[Total PoP ]]</f>
        <v>180</v>
      </c>
      <c r="BK9" s="235">
        <f>IF(WWWW[[#This Row],[Location Type 1]]="camp",WWWW[[#This Row],['# potential required new latrines]]/(WWWW[[#This Row],[Total PoP ]]/20),WWWW[[#This Row],['# potential required new latrines]]/(WWWW[[#This Row],[Total PoP ]]/6))</f>
        <v>0.17777777777777778</v>
      </c>
      <c r="BL9" s="414">
        <f>IF(WWWW[[#This Row],[Total required Latrines]]-WWWW[[#This Row],[Total '# of latrine]]&lt;0,0,WWWW[[#This Row],[Total required Latrines]]-WWWW[[#This Row],[Total '# of latrine]])</f>
        <v>2</v>
      </c>
      <c r="BM9" s="238">
        <f>ROUND(IF(WWWW[[#This Row],[Location Type 1]]="camp",WWWW[[#This Row],[Total PoP ]]/20,WWWW[[#This Row],[Total PoP ]]/6),0)</f>
        <v>11</v>
      </c>
      <c r="BN9" s="239">
        <f>IF(OR(WWWW[[#This Row],['# Existing latrines dysfunctional]]="",WWWW[[#This Row],['# Existing latrines dysfunctional]]=0),0,WWWW[[#This Row],['# Existing latrines dysfunctional]]/WWWW[[#This Row],[Total '# of latrine]])</f>
        <v>0</v>
      </c>
      <c r="BO9" s="675">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P9" s="235">
        <f>WWWW[[#This Row],[People adopt basic personal and community hygiene practices]]/WWWW[[#This Row],[Total PoP ]]</f>
        <v>0</v>
      </c>
      <c r="BQ9" s="239">
        <f>1-WWWW[[#This Row],[Hygiene Coverage%]]</f>
        <v>1</v>
      </c>
      <c r="BR9" s="405">
        <f>IF(500*WWWW[[#This Row],['# Hygiene Promoters ]]&gt;WWWW[[#This Row],[Total PoP ]],WWWW[[#This Row],[Total PoP ]],500*WWWW[[#This Row],['# Hygiene Promoters ]])</f>
        <v>0</v>
      </c>
      <c r="BS9" s="405">
        <f>IF(WWWW[[#This Row],[% of HH with access to Sanitary Pad]]&gt;=100%,1,0)</f>
        <v>0</v>
      </c>
      <c r="BT9" s="405">
        <f>IF(WWWW[[#This Row],[Total PoP ]]=0,0,IF(WWWW[[#This Row],['# Hygiene Promoters ]]=0,0,IF(WWWW[[#This Row],[Location Type 1]]="Village",IF(WWWW[[#This Row],[Total PoP ]]/WWWW[[#This Row],['# Hygiene Promoters ]]&lt;1000,1,0),IF(WWWW[[#This Row],[Total PoP ]]/WWWW[[#This Row],['# Hygiene Promoters ]]&lt;600,1,0))))</f>
        <v>0</v>
      </c>
      <c r="BU9" s="405">
        <f>IF(WWWW[[#This Row],[%HH with access to soap]]&gt;=100%,1,0)</f>
        <v>0</v>
      </c>
      <c r="BV9" s="405">
        <f>IF(WWWW[[#This Row],[% of HHs with access to Sanitary pad more than '#%]]+WWWW[[#This Row],[Ratio of Hyiene promoters to people less than '#]]+WWWW[[#This Row],[% of HHs with access to soap more than '#%]]&gt;=2,WWWW[[#This Row],[Total PoP ]],0)</f>
        <v>0</v>
      </c>
      <c r="BW9" s="346">
        <f>WWWW[[#This Row],['# people reached by regular dedicated hygiene promotion_5]]/WWWW[[#This Row],[Total PoP ]]</f>
        <v>0</v>
      </c>
      <c r="BX9" s="346">
        <f>IF(WWWW[[#This Row],['# HH received soaps]]/WWWW[[#This Row],[Total HH]]&gt;1,1,WWWW[[#This Row],['# HH received soaps]]/WWWW[[#This Row],[Total HH]])</f>
        <v>0</v>
      </c>
      <c r="BY9" s="346">
        <f>IF(WWWW[[#This Row],['# HH received Sanitary Pads]]/WWWW[[#This Row],[Total HH]]&gt;1,1,WWWW[[#This Row],['# HH received Sanitary Pads]]/WWWW[[#This Row],[Total HH]])</f>
        <v>0</v>
      </c>
      <c r="BZ9" s="720">
        <f>WWWW[[#This Row],['# HH received soaps]]*5</f>
        <v>0</v>
      </c>
      <c r="CA9" s="720">
        <f>WWWW[[#This Row],['# HH received Sanitary Pads]]*5</f>
        <v>0</v>
      </c>
      <c r="CB9" s="675">
        <f>IF(WWWW[[#This Row],['# People with access to soap]]&gt;WWWW[[#This Row],['# People with access to Sanity Pads]],WWWW[[#This Row],['# People with access to soap]],WWWW[[#This Row],['# People with access to Sanity Pads]])</f>
        <v>0</v>
      </c>
      <c r="CC9" s="414">
        <f>WWWW[[#This Row],[Total HH]]*WWWW[[#This Row],[%HHs with access to functional hand washing stations]]</f>
        <v>37</v>
      </c>
      <c r="CD9" s="240" t="str">
        <f>VLOOKUP(WWWW[[#This Row],[Site Name]],SiteDB6[],8,FALSE)</f>
        <v>Yes</v>
      </c>
      <c r="CE9" s="240" t="str">
        <f>VLOOKUP(WWWW[[#This Row],[Site Name]],SiteDB6[],9,FALSE)</f>
        <v>KBC</v>
      </c>
      <c r="CF9" s="240" t="str">
        <f>VLOOKUP(WWWW[[#This Row],[Site Name]],SiteDB6[],10,FALSE)</f>
        <v>Camp</v>
      </c>
      <c r="CG9" s="240" t="str">
        <f>VLOOKUP(WWWW[[#This Row],[Site Name]],SiteDB6[],11,FALSE)</f>
        <v>Camp</v>
      </c>
      <c r="CH9" s="240" t="str">
        <f>VLOOKUP(WWWW[[#This Row],[Site Name]],SiteDB6[],12,FALSE)</f>
        <v>Camp</v>
      </c>
      <c r="CI9" s="240" t="str">
        <f>VLOOKUP(WWWW[[#This Row],[Site Name]],SiteDB6[],13,FALSE)</f>
        <v>GCA</v>
      </c>
      <c r="CJ9" s="240">
        <f>VLOOKUP(WWWW[[#This Row],[Site Name]],SiteDB6[],14,FALSE)</f>
        <v>24.200972</v>
      </c>
      <c r="CK9" s="240">
        <f>VLOOKUP(WWWW[[#This Row],[Site Name]],SiteDB6[],15,FALSE)</f>
        <v>97.718582999999995</v>
      </c>
      <c r="CL9" s="240" t="str">
        <f>VLOOKUP(WWWW[[#This Row],[Site Name]],SiteDB6[],4,FALSE)</f>
        <v>MMR001CMP071</v>
      </c>
      <c r="CM9" s="235" t="str">
        <f t="shared" si="0"/>
        <v>Covered</v>
      </c>
      <c r="CN9" s="240" t="s">
        <v>2616</v>
      </c>
    </row>
    <row r="10" spans="1:92" ht="15.75" customHeight="1" x14ac:dyDescent="0.25">
      <c r="A10" s="168" t="s">
        <v>1409</v>
      </c>
      <c r="B10" s="541" t="s">
        <v>436</v>
      </c>
      <c r="C10" s="541" t="s">
        <v>44</v>
      </c>
      <c r="D10" s="541" t="s">
        <v>361</v>
      </c>
      <c r="E10" s="541" t="s">
        <v>442</v>
      </c>
      <c r="F10" s="169">
        <v>63</v>
      </c>
      <c r="G10" s="732">
        <v>348</v>
      </c>
      <c r="H10" s="169"/>
      <c r="I10" s="169" t="s">
        <v>438</v>
      </c>
      <c r="J10" s="170" t="s">
        <v>2576</v>
      </c>
      <c r="K10" s="169">
        <v>0</v>
      </c>
      <c r="L10" s="169" t="s">
        <v>48</v>
      </c>
      <c r="M10" s="171">
        <v>0.5</v>
      </c>
      <c r="N10" s="171">
        <v>0</v>
      </c>
      <c r="O10" s="608">
        <v>0</v>
      </c>
      <c r="P10" s="609">
        <v>1</v>
      </c>
      <c r="Q10" s="610">
        <v>115200</v>
      </c>
      <c r="R10" s="611">
        <v>0</v>
      </c>
      <c r="S10" s="611">
        <v>0</v>
      </c>
      <c r="T10" s="611"/>
      <c r="U10" s="611"/>
      <c r="V10" s="606"/>
      <c r="W10" s="606"/>
      <c r="X10" s="604"/>
      <c r="Y10" s="607"/>
      <c r="Z10" s="598">
        <v>13</v>
      </c>
      <c r="AA10" s="599">
        <v>0</v>
      </c>
      <c r="AB10" s="629">
        <v>16</v>
      </c>
      <c r="AC10" s="632">
        <v>0</v>
      </c>
      <c r="AD10" s="80" t="s">
        <v>293</v>
      </c>
      <c r="AE10" s="80" t="s">
        <v>293</v>
      </c>
      <c r="AF10" s="80"/>
      <c r="AG10" s="80"/>
      <c r="AH10" s="633" t="s">
        <v>2586</v>
      </c>
      <c r="AI10" s="652">
        <v>1</v>
      </c>
      <c r="AJ10" s="653" t="s">
        <v>301</v>
      </c>
      <c r="AK10" s="651">
        <v>0</v>
      </c>
      <c r="AL10" s="645">
        <v>2</v>
      </c>
      <c r="AM10" s="645">
        <v>0</v>
      </c>
      <c r="AN10" s="646">
        <v>47</v>
      </c>
      <c r="AO10" s="600">
        <v>0</v>
      </c>
      <c r="AP10" s="600" t="s">
        <v>292</v>
      </c>
      <c r="AQ10" s="654" t="s">
        <v>2587</v>
      </c>
      <c r="AR10" s="235" t="str">
        <f>IFERROR(WWWW[[#This Row],['# of Water passed at source]]/WWWW[[#This Row],['# of Water tested at source]],"no test")</f>
        <v>no test</v>
      </c>
      <c r="AS10" s="237" t="str">
        <f>IFERROR(WWWW[[#This Row],['# of Water passed at HH]]/WWWW[[#This Row],['# of Water tested at HH]],"no test")</f>
        <v>no test</v>
      </c>
      <c r="AT10" s="237">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U10" s="237">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AV10" s="237">
        <f>WWWW[[#This Row],[Access to safe drinking water for Village]]</f>
        <v>1</v>
      </c>
      <c r="AW10" s="414">
        <f>WWWW[[#This Row],[%Equitable and continuous access to sufficient quantity of safe drinking water]]*WWWW[[#This Row],[Total PoP ]]</f>
        <v>348</v>
      </c>
      <c r="AX10" s="237">
        <f>IF((WWWW[[#This Row],['# Existing protected/fenced ponds ]]*250)/WWWW[[#This Row],[Total PoP ]]&gt;1,1,WWWW[[#This Row],['# Existing protected/fenced ponds ]]*250/WWWW[[#This Row],[Total PoP ]])</f>
        <v>0</v>
      </c>
      <c r="AY10" s="236">
        <f>WWWW[[#This Row],[Access to unimproved water points]]*WWWW[[#This Row],[Total PoP ]]</f>
        <v>0</v>
      </c>
      <c r="AZ10" s="237">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A10" s="414">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348</v>
      </c>
      <c r="BB10" s="414">
        <f>ROUND(WWWW[[#This Row],['#people Equitable and continuous access to sufficient quantity of domestic water borehole n ponds_2]]/500,0)</f>
        <v>1</v>
      </c>
      <c r="BC10" s="235">
        <f>1-WWWW[[#This Row],[%Equitable and continuous access to sufficient quantity of domestic water borehole n ponds]]</f>
        <v>0</v>
      </c>
      <c r="BD10" s="236">
        <f>WWWW[[#This Row],[%equitable and continuous access to sufficient quantity of safe drinking and domestic water''s GAP]]*WWWW[[#This Row],[Total PoP ]]</f>
        <v>0</v>
      </c>
      <c r="BE10" s="238">
        <f>IF(WWWW[[#This Row],[Total required water points]]-WWWW[[#This Row],['#Water points coverage]]&lt;0,0,WWWW[[#This Row],[Total required water points]]-WWWW[[#This Row],['#Water points coverage]])</f>
        <v>0</v>
      </c>
      <c r="BF10" s="238">
        <f>ROUND(IF(WWWW[[#This Row],[Total PoP ]]&lt;500,1,WWWW[[#This Row],[Total PoP ]]/500),0)</f>
        <v>1</v>
      </c>
      <c r="BG10" s="238" t="str">
        <f>IF(AND(WWWW[[#This Row],[%of Water samples which passed at water source]]="no test",WWWW[[#This Row],[%Water samples which passed at HH]]="no test"),"No Test","Tested")</f>
        <v>No Test</v>
      </c>
      <c r="BH10" s="238">
        <f>WWWW[[#This Row],['# Existing functional latrines]]+WWWW[[#This Row],['# Existing latrines dysfunctional]]</f>
        <v>13</v>
      </c>
      <c r="BI10" s="235">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0.74712643678160917</v>
      </c>
      <c r="BJ10" s="675">
        <f>WWWW[[#This Row],[% people access to functioning Latrine]]*WWWW[[#This Row],[Total PoP ]]</f>
        <v>260</v>
      </c>
      <c r="BK10" s="235">
        <f>IF(WWWW[[#This Row],[Location Type 1]]="camp",WWWW[[#This Row],['# potential required new latrines]]/(WWWW[[#This Row],[Total PoP ]]/20),WWWW[[#This Row],['# potential required new latrines]]/(WWWW[[#This Row],[Total PoP ]]/6))</f>
        <v>0.22988505747126439</v>
      </c>
      <c r="BL10" s="236">
        <f>IF(WWWW[[#This Row],[Total required Latrines]]-WWWW[[#This Row],[Total '# of latrine]]&lt;0,0,WWWW[[#This Row],[Total required Latrines]]-WWWW[[#This Row],[Total '# of latrine]])</f>
        <v>4</v>
      </c>
      <c r="BM10" s="238">
        <f>ROUND(IF(WWWW[[#This Row],[Location Type 1]]="camp",WWWW[[#This Row],[Total PoP ]]/20,WWWW[[#This Row],[Total PoP ]]/6),0)</f>
        <v>17</v>
      </c>
      <c r="BN10" s="239">
        <f>IF(OR(WWWW[[#This Row],['# Existing latrines dysfunctional]]="",WWWW[[#This Row],['# Existing latrines dysfunctional]]=0),0,WWWW[[#This Row],['# Existing latrines dysfunctional]]/WWWW[[#This Row],[Total '# of latrine]])</f>
        <v>0</v>
      </c>
      <c r="BO10" s="675">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320</v>
      </c>
      <c r="BP10" s="235">
        <f>WWWW[[#This Row],[People adopt basic personal and community hygiene practices]]/WWWW[[#This Row],[Total PoP ]]</f>
        <v>0</v>
      </c>
      <c r="BQ10" s="239">
        <f>1-WWWW[[#This Row],[Hygiene Coverage%]]</f>
        <v>1</v>
      </c>
      <c r="BR10" s="405">
        <f>IF(500*WWWW[[#This Row],['# Hygiene Promoters ]]&gt;WWWW[[#This Row],[Total PoP ]],WWWW[[#This Row],[Total PoP ]],500*WWWW[[#This Row],['# Hygiene Promoters ]])</f>
        <v>0</v>
      </c>
      <c r="BS10" s="405">
        <f>IF(WWWW[[#This Row],[% of HH with access to Sanitary Pad]]&gt;=100%,1,0)</f>
        <v>0</v>
      </c>
      <c r="BT10" s="405">
        <f>IF(WWWW[[#This Row],[Total PoP ]]=0,0,IF(WWWW[[#This Row],['# Hygiene Promoters ]]=0,0,IF(WWWW[[#This Row],[Location Type 1]]="Village",IF(WWWW[[#This Row],[Total PoP ]]/WWWW[[#This Row],['# Hygiene Promoters ]]&lt;1000,1,0),IF(WWWW[[#This Row],[Total PoP ]]/WWWW[[#This Row],['# Hygiene Promoters ]]&lt;600,1,0))))</f>
        <v>0</v>
      </c>
      <c r="BU10" s="405">
        <f>IF(WWWW[[#This Row],[%HH with access to soap]]&gt;=100%,1,0)</f>
        <v>0</v>
      </c>
      <c r="BV10" s="405">
        <f>IF(WWWW[[#This Row],[% of HHs with access to Sanitary pad more than '#%]]+WWWW[[#This Row],[Ratio of Hyiene promoters to people less than '#]]+WWWW[[#This Row],[% of HHs with access to soap more than '#%]]&gt;=2,WWWW[[#This Row],[Total PoP ]],0)</f>
        <v>0</v>
      </c>
      <c r="BW10" s="346">
        <f>WWWW[[#This Row],['# people reached by regular dedicated hygiene promotion_5]]/WWWW[[#This Row],[Total PoP ]]</f>
        <v>0</v>
      </c>
      <c r="BX10" s="346">
        <f>IF(WWWW[[#This Row],['# HH received soaps]]/WWWW[[#This Row],[Total HH]]&gt;1,1,WWWW[[#This Row],['# HH received soaps]]/WWWW[[#This Row],[Total HH]])</f>
        <v>0.74603174603174605</v>
      </c>
      <c r="BY10" s="346">
        <f>IF(WWWW[[#This Row],['# HH received Sanitary Pads]]/WWWW[[#This Row],[Total HH]]&gt;1,1,WWWW[[#This Row],['# HH received Sanitary Pads]]/WWWW[[#This Row],[Total HH]])</f>
        <v>0</v>
      </c>
      <c r="BZ10" s="720">
        <f>WWWW[[#This Row],['# HH received soaps]]*5</f>
        <v>235</v>
      </c>
      <c r="CA10" s="720">
        <f>WWWW[[#This Row],['# HH received Sanitary Pads]]*5</f>
        <v>0</v>
      </c>
      <c r="CB10" s="675">
        <f>IF(WWWW[[#This Row],['# People with access to soap]]&gt;WWWW[[#This Row],['# People with access to Sanity Pads]],WWWW[[#This Row],['# People with access to soap]],WWWW[[#This Row],['# People with access to Sanity Pads]])</f>
        <v>235</v>
      </c>
      <c r="CC10" s="236">
        <f>WWWW[[#This Row],[Total HH]]*WWWW[[#This Row],[%HHs with access to functional hand washing stations]]</f>
        <v>63</v>
      </c>
      <c r="CD10" s="240" t="str">
        <f>VLOOKUP(WWWW[[#This Row],[Site Name]],SiteDB6[],8,FALSE)</f>
        <v>Yes</v>
      </c>
      <c r="CE10" s="240" t="str">
        <f>VLOOKUP(WWWW[[#This Row],[Site Name]],SiteDB6[],9,FALSE)</f>
        <v>KMSS-BMO</v>
      </c>
      <c r="CF10" s="240" t="str">
        <f>VLOOKUP(WWWW[[#This Row],[Site Name]],SiteDB6[],10,FALSE)</f>
        <v>Camp</v>
      </c>
      <c r="CG10" s="240" t="str">
        <f>VLOOKUP(WWWW[[#This Row],[Site Name]],SiteDB6[],11,FALSE)</f>
        <v>Camp</v>
      </c>
      <c r="CH10" s="240" t="str">
        <f>VLOOKUP(WWWW[[#This Row],[Site Name]],SiteDB6[],12,FALSE)</f>
        <v>Camp</v>
      </c>
      <c r="CI10" s="240" t="str">
        <f>VLOOKUP(WWWW[[#This Row],[Site Name]],SiteDB6[],13,FALSE)</f>
        <v>GCA</v>
      </c>
      <c r="CJ10" s="240">
        <f>VLOOKUP(WWWW[[#This Row],[Site Name]],SiteDB6[],14,FALSE)</f>
        <v>24.205417000000001</v>
      </c>
      <c r="CK10" s="240">
        <f>VLOOKUP(WWWW[[#This Row],[Site Name]],SiteDB6[],15,FALSE)</f>
        <v>97.724566999999993</v>
      </c>
      <c r="CL10" s="240" t="str">
        <f>VLOOKUP(WWWW[[#This Row],[Site Name]],SiteDB6[],4,FALSE)</f>
        <v>MMR001CMP069</v>
      </c>
      <c r="CM10" s="235" t="str">
        <f t="shared" si="0"/>
        <v>Covered</v>
      </c>
      <c r="CN10" s="240" t="s">
        <v>2616</v>
      </c>
    </row>
    <row r="11" spans="1:92" ht="15.75" customHeight="1" x14ac:dyDescent="0.25">
      <c r="A11" s="232" t="s">
        <v>1409</v>
      </c>
      <c r="B11" s="530" t="s">
        <v>348</v>
      </c>
      <c r="C11" s="531" t="s">
        <v>44</v>
      </c>
      <c r="D11" s="531" t="s">
        <v>298</v>
      </c>
      <c r="E11" s="530" t="s">
        <v>377</v>
      </c>
      <c r="F11" s="402">
        <v>560</v>
      </c>
      <c r="G11" s="405">
        <v>2902</v>
      </c>
      <c r="H11" s="402"/>
      <c r="I11" s="402" t="s">
        <v>374</v>
      </c>
      <c r="J11" s="403">
        <v>43281</v>
      </c>
      <c r="K11" s="402">
        <v>0</v>
      </c>
      <c r="L11" s="402" t="s">
        <v>48</v>
      </c>
      <c r="M11" s="404">
        <v>0.31</v>
      </c>
      <c r="N11" s="404">
        <v>0.31</v>
      </c>
      <c r="O11" s="612">
        <v>0</v>
      </c>
      <c r="P11" s="606">
        <v>0</v>
      </c>
      <c r="Q11" s="606">
        <v>58040</v>
      </c>
      <c r="R11" s="607">
        <v>0</v>
      </c>
      <c r="S11" s="607">
        <v>0</v>
      </c>
      <c r="T11" s="607"/>
      <c r="U11" s="607"/>
      <c r="V11" s="607"/>
      <c r="W11" s="607"/>
      <c r="X11" s="607"/>
      <c r="Y11" s="607">
        <v>0</v>
      </c>
      <c r="Z11" s="598">
        <v>78</v>
      </c>
      <c r="AA11" s="598">
        <v>8</v>
      </c>
      <c r="AB11" s="80"/>
      <c r="AC11" s="598">
        <v>1</v>
      </c>
      <c r="AD11" s="598" t="s">
        <v>293</v>
      </c>
      <c r="AE11" s="599" t="s">
        <v>293</v>
      </c>
      <c r="AF11" s="599"/>
      <c r="AG11" s="598"/>
      <c r="AH11" s="598">
        <v>0</v>
      </c>
      <c r="AI11" s="649">
        <v>0.99</v>
      </c>
      <c r="AJ11" s="650" t="s">
        <v>386</v>
      </c>
      <c r="AK11" s="650">
        <v>0</v>
      </c>
      <c r="AL11" s="645">
        <v>5</v>
      </c>
      <c r="AM11" s="645">
        <v>5</v>
      </c>
      <c r="AN11" s="646"/>
      <c r="AO11" s="600"/>
      <c r="AP11" s="600"/>
      <c r="AQ11" s="651">
        <v>0</v>
      </c>
      <c r="AR11" s="404" t="str">
        <f>IFERROR(WWWW[[#This Row],['# of Water passed at source]]/WWWW[[#This Row],['# of Water tested at source]],"no test")</f>
        <v>no test</v>
      </c>
      <c r="AS11" s="407" t="str">
        <f>IFERROR(WWWW[[#This Row],['# of Water passed at HH]]/WWWW[[#This Row],['# of Water tested at HH]],"no test")</f>
        <v>no test</v>
      </c>
      <c r="AT11" s="407">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U11" s="407">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AV11" s="407">
        <f>IF(WWWW[[#This Row],[Location Type 1]]="Village",WWWW[[#This Row],[Access to safe drinking water for Village]],WWWW[[#This Row],[Access to safe drinking water for Camp]])</f>
        <v>1</v>
      </c>
      <c r="AW11" s="405">
        <f>WWWW[[#This Row],[%Equitable and continuous access to sufficient quantity of safe drinking water]]*WWWW[[#This Row],[Total PoP ]]</f>
        <v>2902</v>
      </c>
      <c r="AX11" s="407">
        <f>IF((WWWW[[#This Row],['# Existing protected/fenced ponds ]]*250)/WWWW[[#This Row],[Total PoP ]]&gt;1,1,WWWW[[#This Row],['# Existing protected/fenced ponds ]]*250/WWWW[[#This Row],[Total PoP ]])</f>
        <v>0</v>
      </c>
      <c r="AY11" s="405">
        <f>WWWW[[#This Row],[Access to unimproved water points]]*WWWW[[#This Row],[Total PoP ]]</f>
        <v>0</v>
      </c>
      <c r="AZ11" s="407">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A11" s="405">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2902</v>
      </c>
      <c r="BB11" s="414">
        <f>ROUND(WWWW[[#This Row],['#people Equitable and continuous access to sufficient quantity of domestic water borehole n ponds_2]]/500,0)</f>
        <v>6</v>
      </c>
      <c r="BC11" s="404">
        <f>1-WWWW[[#This Row],[%Equitable and continuous access to sufficient quantity of domestic water borehole n ponds]]</f>
        <v>0</v>
      </c>
      <c r="BD11" s="405">
        <f>WWWW[[#This Row],[%equitable and continuous access to sufficient quantity of safe drinking and domestic water''s GAP]]*WWWW[[#This Row],[Total PoP ]]</f>
        <v>0</v>
      </c>
      <c r="BE11" s="406">
        <f>IF(WWWW[[#This Row],[Total required water points]]-WWWW[[#This Row],['#Water points coverage]]&lt;0,0,WWWW[[#This Row],[Total required water points]]-WWWW[[#This Row],['#Water points coverage]])</f>
        <v>0</v>
      </c>
      <c r="BF11" s="406">
        <f>ROUND(IF(WWWW[[#This Row],[Total PoP ]]&lt;500,1,WWWW[[#This Row],[Total PoP ]]/500),0)</f>
        <v>6</v>
      </c>
      <c r="BG11" s="406" t="str">
        <f>IF(AND(WWWW[[#This Row],[%of Water samples which passed at water source]]="no test",WWWW[[#This Row],[%Water samples which passed at HH]]="no test"),"No Test","Tested")</f>
        <v>No Test</v>
      </c>
      <c r="BH11" s="406">
        <f>WWWW[[#This Row],['# Existing functional latrines]]+WWWW[[#This Row],['# Existing latrines dysfunctional]]</f>
        <v>86</v>
      </c>
      <c r="BI11" s="404">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0.53756030323914539</v>
      </c>
      <c r="BJ11" s="676">
        <f>WWWW[[#This Row],[% people access to functioning Latrine]]*WWWW[[#This Row],[Total PoP ]]</f>
        <v>1560</v>
      </c>
      <c r="BK11" s="404">
        <f>IF(WWWW[[#This Row],[Location Type 1]]="camp",WWWW[[#This Row],['# potential required new latrines]]/(WWWW[[#This Row],[Total PoP ]]/20),WWWW[[#This Row],['# potential required new latrines]]/(WWWW[[#This Row],[Total PoP ]]/6))</f>
        <v>0.4066161268090972</v>
      </c>
      <c r="BL11" s="405">
        <f>IF(WWWW[[#This Row],[Total required Latrines]]-WWWW[[#This Row],[Total '# of latrine]]&lt;0,0,WWWW[[#This Row],[Total required Latrines]]-WWWW[[#This Row],[Total '# of latrine]])</f>
        <v>59</v>
      </c>
      <c r="BM11" s="406">
        <f>ROUND(IF(WWWW[[#This Row],[Location Type 1]]="camp",WWWW[[#This Row],[Total PoP ]]/20,WWWW[[#This Row],[Total PoP ]]/6),0)</f>
        <v>145</v>
      </c>
      <c r="BN11" s="408">
        <f>IF(OR(WWWW[[#This Row],['# Existing latrines dysfunctional]]="",WWWW[[#This Row],['# Existing latrines dysfunctional]]=0),0,WWWW[[#This Row],['# Existing latrines dysfunctional]]/WWWW[[#This Row],[Total '# of latrine]])</f>
        <v>9.3023255813953487E-2</v>
      </c>
      <c r="BO11" s="676">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P11" s="404">
        <f>WWWW[[#This Row],[People adopt basic personal and community hygiene practices]]/WWWW[[#This Row],[Total PoP ]]</f>
        <v>0</v>
      </c>
      <c r="BQ11" s="408">
        <f>1-WWWW[[#This Row],[Hygiene Coverage%]]</f>
        <v>1</v>
      </c>
      <c r="BR11" s="405">
        <f>IF(500*WWWW[[#This Row],['# Hygiene Promoters ]]&gt;WWWW[[#This Row],[Total PoP ]],WWWW[[#This Row],[Total PoP ]],500*WWWW[[#This Row],['# Hygiene Promoters ]])</f>
        <v>2500</v>
      </c>
      <c r="BS11" s="405">
        <f>IF(WWWW[[#This Row],[% of HH with access to Sanitary Pad]]&gt;=100%,1,0)</f>
        <v>0</v>
      </c>
      <c r="BT11" s="405">
        <f>IF(WWWW[[#This Row],[Total PoP ]]=0,0,IF(WWWW[[#This Row],['# Hygiene Promoters ]]=0,0,IF(WWWW[[#This Row],[Location Type 1]]="Village",IF(WWWW[[#This Row],[Total PoP ]]/WWWW[[#This Row],['# Hygiene Promoters ]]&lt;1000,1,0),IF(WWWW[[#This Row],[Total PoP ]]/WWWW[[#This Row],['# Hygiene Promoters ]]&lt;600,1,0))))</f>
        <v>1</v>
      </c>
      <c r="BU11" s="405">
        <f>IF(WWWW[[#This Row],[%HH with access to soap]]&gt;=100%,1,0)</f>
        <v>0</v>
      </c>
      <c r="BV11" s="405">
        <f>IF(WWWW[[#This Row],[% of HHs with access to Sanitary pad more than '#%]]+WWWW[[#This Row],[Ratio of Hyiene promoters to people less than '#]]+WWWW[[#This Row],[% of HHs with access to soap more than '#%]]&gt;=2,WWWW[[#This Row],[Total PoP ]],0)</f>
        <v>0</v>
      </c>
      <c r="BW11" s="391">
        <f>WWWW[[#This Row],['# people reached by regular dedicated hygiene promotion_5]]/WWWW[[#This Row],[Total PoP ]]</f>
        <v>0.86147484493452786</v>
      </c>
      <c r="BX11" s="391">
        <f>IF(WWWW[[#This Row],['# HH received soaps]]/WWWW[[#This Row],[Total HH]]&gt;1,1,WWWW[[#This Row],['# HH received soaps]]/WWWW[[#This Row],[Total HH]])</f>
        <v>0</v>
      </c>
      <c r="BY11" s="391">
        <f>IF(WWWW[[#This Row],['# HH received Sanitary Pads]]/WWWW[[#This Row],[Total HH]]&gt;1,1,WWWW[[#This Row],['# HH received Sanitary Pads]]/WWWW[[#This Row],[Total HH]])</f>
        <v>0</v>
      </c>
      <c r="BZ11" s="721">
        <f>WWWW[[#This Row],['# HH received soaps]]*5</f>
        <v>0</v>
      </c>
      <c r="CA11" s="721">
        <f>WWWW[[#This Row],['# HH received Sanitary Pads]]*5</f>
        <v>0</v>
      </c>
      <c r="CB11" s="406">
        <f>IF(WWWW[[#This Row],['# People with access to soap]]&gt;WWWW[[#This Row],['# People with access to Sanity Pads]],WWWW[[#This Row],['# People with access to soap]],WWWW[[#This Row],['# People with access to Sanity Pads]])</f>
        <v>0</v>
      </c>
      <c r="CC11" s="405">
        <f>WWWW[[#This Row],[Total HH]]*WWWW[[#This Row],[%HHs with access to functional hand washing stations]]</f>
        <v>554.4</v>
      </c>
      <c r="CD11" s="240" t="str">
        <f>VLOOKUP(WWWW[[#This Row],[Site Name]],SiteDB6[],8,FALSE)</f>
        <v>Yes</v>
      </c>
      <c r="CE11" s="240" t="str">
        <f>VLOOKUP(WWWW[[#This Row],[Site Name]],SiteDB6[],9,FALSE)</f>
        <v>KMSS-MYT</v>
      </c>
      <c r="CF11" s="240" t="str">
        <f>VLOOKUP(WWWW[[#This Row],[Site Name]],SiteDB6[],10,FALSE)</f>
        <v>Camp</v>
      </c>
      <c r="CG11" s="240" t="str">
        <f>VLOOKUP(WWWW[[#This Row],[Site Name]],SiteDB6[],11,FALSE)</f>
        <v>Camp</v>
      </c>
      <c r="CH11" s="240" t="str">
        <f>VLOOKUP(WWWW[[#This Row],[Site Name]],SiteDB6[],12,FALSE)</f>
        <v>Camp</v>
      </c>
      <c r="CI11" s="240" t="str">
        <f>VLOOKUP(WWWW[[#This Row],[Site Name]],SiteDB6[],13,FALSE)</f>
        <v>NGCA</v>
      </c>
      <c r="CJ11" s="240">
        <f>VLOOKUP(WWWW[[#This Row],[Site Name]],SiteDB6[],14,FALSE)</f>
        <v>24.755253</v>
      </c>
      <c r="CK11" s="240">
        <f>VLOOKUP(WWWW[[#This Row],[Site Name]],SiteDB6[],15,FALSE)</f>
        <v>97.546893999999995</v>
      </c>
      <c r="CL11" s="240" t="str">
        <f>VLOOKUP(WWWW[[#This Row],[Site Name]],SiteDB6[],4,FALSE)</f>
        <v>MMR001CMP116</v>
      </c>
      <c r="CM11" s="235" t="str">
        <f t="shared" si="0"/>
        <v>Covered</v>
      </c>
      <c r="CN11" s="404"/>
    </row>
    <row r="12" spans="1:92" ht="15.75" customHeight="1" x14ac:dyDescent="0.25">
      <c r="A12" s="232" t="s">
        <v>1409</v>
      </c>
      <c r="B12" s="530" t="s">
        <v>348</v>
      </c>
      <c r="C12" s="531" t="s">
        <v>44</v>
      </c>
      <c r="D12" s="531" t="s">
        <v>298</v>
      </c>
      <c r="E12" s="530" t="s">
        <v>380</v>
      </c>
      <c r="F12" s="41">
        <v>144</v>
      </c>
      <c r="G12" s="405">
        <v>862</v>
      </c>
      <c r="H12" s="41"/>
      <c r="I12" s="41" t="s">
        <v>374</v>
      </c>
      <c r="J12" s="388">
        <v>43281</v>
      </c>
      <c r="K12" s="41">
        <v>0</v>
      </c>
      <c r="L12" s="41" t="s">
        <v>48</v>
      </c>
      <c r="M12" s="42">
        <v>0.5</v>
      </c>
      <c r="N12" s="42">
        <v>0.5</v>
      </c>
      <c r="O12" s="605">
        <v>0</v>
      </c>
      <c r="P12" s="606">
        <v>0</v>
      </c>
      <c r="Q12" s="606">
        <v>5172</v>
      </c>
      <c r="R12" s="607">
        <v>0</v>
      </c>
      <c r="S12" s="607">
        <v>0</v>
      </c>
      <c r="T12" s="607"/>
      <c r="U12" s="607"/>
      <c r="V12" s="607"/>
      <c r="W12" s="607"/>
      <c r="X12" s="607"/>
      <c r="Y12" s="607">
        <v>0</v>
      </c>
      <c r="Z12" s="598">
        <v>20</v>
      </c>
      <c r="AA12" s="598">
        <v>0</v>
      </c>
      <c r="AB12" s="80"/>
      <c r="AC12" s="598">
        <v>0</v>
      </c>
      <c r="AD12" s="598" t="s">
        <v>293</v>
      </c>
      <c r="AE12" s="599" t="s">
        <v>293</v>
      </c>
      <c r="AF12" s="599"/>
      <c r="AG12" s="598"/>
      <c r="AH12" s="598">
        <v>0</v>
      </c>
      <c r="AI12" s="649">
        <v>1</v>
      </c>
      <c r="AJ12" s="650" t="s">
        <v>386</v>
      </c>
      <c r="AK12" s="650">
        <v>0</v>
      </c>
      <c r="AL12" s="645">
        <v>0</v>
      </c>
      <c r="AM12" s="645">
        <v>0</v>
      </c>
      <c r="AN12" s="646"/>
      <c r="AO12" s="600"/>
      <c r="AP12" s="600"/>
      <c r="AQ12" s="651">
        <v>0</v>
      </c>
      <c r="AR12" s="42" t="str">
        <f>IFERROR(WWWW[[#This Row],['# of Water passed at source]]/WWWW[[#This Row],['# of Water tested at source]],"no test")</f>
        <v>no test</v>
      </c>
      <c r="AS12" s="389" t="str">
        <f>IFERROR(WWWW[[#This Row],['# of Water passed at HH]]/WWWW[[#This Row],['# of Water tested at HH]],"no test")</f>
        <v>no test</v>
      </c>
      <c r="AT12" s="407">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0.4</v>
      </c>
      <c r="AU12" s="407">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0.4</v>
      </c>
      <c r="AV12" s="407">
        <f>IF(WWWW[[#This Row],[Location Type 1]]="Village",WWWW[[#This Row],[Access to safe drinking water for Village]],WWWW[[#This Row],[Access to safe drinking water for Camp]])</f>
        <v>0.4</v>
      </c>
      <c r="AW12" s="405">
        <f>WWWW[[#This Row],[%Equitable and continuous access to sufficient quantity of safe drinking water]]*WWWW[[#This Row],[Total PoP ]]</f>
        <v>344.8</v>
      </c>
      <c r="AX12" s="407">
        <f>IF((WWWW[[#This Row],['# Existing protected/fenced ponds ]]*250)/WWWW[[#This Row],[Total PoP ]]&gt;1,1,WWWW[[#This Row],['# Existing protected/fenced ponds ]]*250/WWWW[[#This Row],[Total PoP ]])</f>
        <v>0</v>
      </c>
      <c r="AY12" s="43">
        <f>WWWW[[#This Row],[Access to unimproved water points]]*WWWW[[#This Row],[Total PoP ]]</f>
        <v>0</v>
      </c>
      <c r="AZ12" s="407">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0.4</v>
      </c>
      <c r="BA12" s="405">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344.8</v>
      </c>
      <c r="BB12" s="414">
        <f>ROUND(WWWW[[#This Row],['#people Equitable and continuous access to sufficient quantity of domestic water borehole n ponds_2]]/500,0)</f>
        <v>1</v>
      </c>
      <c r="BC12" s="42">
        <f>1-WWWW[[#This Row],[%Equitable and continuous access to sufficient quantity of domestic water borehole n ponds]]</f>
        <v>0.6</v>
      </c>
      <c r="BD12" s="43">
        <f>WWWW[[#This Row],[%equitable and continuous access to sufficient quantity of safe drinking and domestic water''s GAP]]*WWWW[[#This Row],[Total PoP ]]</f>
        <v>517.19999999999993</v>
      </c>
      <c r="BE12" s="406">
        <f>IF(WWWW[[#This Row],[Total required water points]]-WWWW[[#This Row],['#Water points coverage]]&lt;0,0,WWWW[[#This Row],[Total required water points]]-WWWW[[#This Row],['#Water points coverage]])</f>
        <v>1</v>
      </c>
      <c r="BF12" s="406">
        <f>ROUND(IF(WWWW[[#This Row],[Total PoP ]]&lt;500,1,WWWW[[#This Row],[Total PoP ]]/500),0)</f>
        <v>2</v>
      </c>
      <c r="BG12" s="97" t="str">
        <f>IF(AND(WWWW[[#This Row],[%of Water samples which passed at water source]]="no test",WWWW[[#This Row],[%Water samples which passed at HH]]="no test"),"No Test","Tested")</f>
        <v>No Test</v>
      </c>
      <c r="BH12" s="97">
        <f>WWWW[[#This Row],['# Existing functional latrines]]+WWWW[[#This Row],['# Existing latrines dysfunctional]]</f>
        <v>20</v>
      </c>
      <c r="BI12" s="42">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0.46403712296983757</v>
      </c>
      <c r="BJ12" s="676">
        <f>WWWW[[#This Row],[% people access to functioning Latrine]]*WWWW[[#This Row],[Total PoP ]]</f>
        <v>400</v>
      </c>
      <c r="BK12" s="42">
        <f>IF(WWWW[[#This Row],[Location Type 1]]="camp",WWWW[[#This Row],['# potential required new latrines]]/(WWWW[[#This Row],[Total PoP ]]/20),WWWW[[#This Row],['# potential required new latrines]]/(WWWW[[#This Row],[Total PoP ]]/6))</f>
        <v>0.53364269141531318</v>
      </c>
      <c r="BL12" s="43">
        <f>IF(WWWW[[#This Row],[Total required Latrines]]-WWWW[[#This Row],[Total '# of latrine]]&lt;0,0,WWWW[[#This Row],[Total required Latrines]]-WWWW[[#This Row],[Total '# of latrine]])</f>
        <v>23</v>
      </c>
      <c r="BM12" s="97">
        <f>ROUND(IF(WWWW[[#This Row],[Location Type 1]]="camp",WWWW[[#This Row],[Total PoP ]]/20,WWWW[[#This Row],[Total PoP ]]/6),0)</f>
        <v>43</v>
      </c>
      <c r="BN12" s="390">
        <f>IF(OR(WWWW[[#This Row],['# Existing latrines dysfunctional]]="",WWWW[[#This Row],['# Existing latrines dysfunctional]]=0),0,WWWW[[#This Row],['# Existing latrines dysfunctional]]/WWWW[[#This Row],[Total '# of latrine]])</f>
        <v>0</v>
      </c>
      <c r="BO12" s="676">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P12" s="42">
        <f>WWWW[[#This Row],[People adopt basic personal and community hygiene practices]]/WWWW[[#This Row],[Total PoP ]]</f>
        <v>0</v>
      </c>
      <c r="BQ12" s="390">
        <f>1-WWWW[[#This Row],[Hygiene Coverage%]]</f>
        <v>1</v>
      </c>
      <c r="BR12" s="405">
        <f>IF(500*WWWW[[#This Row],['# Hygiene Promoters ]]&gt;WWWW[[#This Row],[Total PoP ]],WWWW[[#This Row],[Total PoP ]],500*WWWW[[#This Row],['# Hygiene Promoters ]])</f>
        <v>0</v>
      </c>
      <c r="BS12" s="405">
        <f>IF(WWWW[[#This Row],[% of HH with access to Sanitary Pad]]&gt;=100%,1,0)</f>
        <v>0</v>
      </c>
      <c r="BT12" s="405">
        <f>IF(WWWW[[#This Row],[Total PoP ]]=0,0,IF(WWWW[[#This Row],['# Hygiene Promoters ]]=0,0,IF(WWWW[[#This Row],[Location Type 1]]="Village",IF(WWWW[[#This Row],[Total PoP ]]/WWWW[[#This Row],['# Hygiene Promoters ]]&lt;1000,1,0),IF(WWWW[[#This Row],[Total PoP ]]/WWWW[[#This Row],['# Hygiene Promoters ]]&lt;600,1,0))))</f>
        <v>0</v>
      </c>
      <c r="BU12" s="405">
        <f>IF(WWWW[[#This Row],[%HH with access to soap]]&gt;=100%,1,0)</f>
        <v>0</v>
      </c>
      <c r="BV12" s="405">
        <f>IF(WWWW[[#This Row],[% of HHs with access to Sanitary pad more than '#%]]+WWWW[[#This Row],[Ratio of Hyiene promoters to people less than '#]]+WWWW[[#This Row],[% of HHs with access to soap more than '#%]]&gt;=2,WWWW[[#This Row],[Total PoP ]],0)</f>
        <v>0</v>
      </c>
      <c r="BW12" s="391">
        <f>WWWW[[#This Row],['# people reached by regular dedicated hygiene promotion_5]]/WWWW[[#This Row],[Total PoP ]]</f>
        <v>0</v>
      </c>
      <c r="BX12" s="391">
        <f>IF(WWWW[[#This Row],['# HH received soaps]]/WWWW[[#This Row],[Total HH]]&gt;1,1,WWWW[[#This Row],['# HH received soaps]]/WWWW[[#This Row],[Total HH]])</f>
        <v>0</v>
      </c>
      <c r="BY12" s="391">
        <f>IF(WWWW[[#This Row],['# HH received Sanitary Pads]]/WWWW[[#This Row],[Total HH]]&gt;1,1,WWWW[[#This Row],['# HH received Sanitary Pads]]/WWWW[[#This Row],[Total HH]])</f>
        <v>0</v>
      </c>
      <c r="BZ12" s="721">
        <f>WWWW[[#This Row],['# HH received soaps]]*5</f>
        <v>0</v>
      </c>
      <c r="CA12" s="721">
        <f>WWWW[[#This Row],['# HH received Sanitary Pads]]*5</f>
        <v>0</v>
      </c>
      <c r="CB12" s="406">
        <f>IF(WWWW[[#This Row],['# People with access to soap]]&gt;WWWW[[#This Row],['# People with access to Sanity Pads]],WWWW[[#This Row],['# People with access to soap]],WWWW[[#This Row],['# People with access to Sanity Pads]])</f>
        <v>0</v>
      </c>
      <c r="CC12" s="43">
        <f>WWWW[[#This Row],[Total HH]]*WWWW[[#This Row],[%HHs with access to functional hand washing stations]]</f>
        <v>144</v>
      </c>
      <c r="CD12" s="240">
        <f>VLOOKUP(WWWW[[#This Row],[Site Name]],SiteDB6[],8,FALSE)</f>
        <v>0</v>
      </c>
      <c r="CE12" s="240">
        <f>VLOOKUP(WWWW[[#This Row],[Site Name]],SiteDB6[],9,FALSE)</f>
        <v>0</v>
      </c>
      <c r="CF12" s="240" t="str">
        <f>VLOOKUP(WWWW[[#This Row],[Site Name]],SiteDB6[],10,FALSE)</f>
        <v>Camp</v>
      </c>
      <c r="CG12" s="240" t="str">
        <f>VLOOKUP(WWWW[[#This Row],[Site Name]],SiteDB6[],11,FALSE)</f>
        <v>Camp</v>
      </c>
      <c r="CH12" s="240" t="str">
        <f>VLOOKUP(WWWW[[#This Row],[Site Name]],SiteDB6[],12,FALSE)</f>
        <v>Boarding School</v>
      </c>
      <c r="CI12" s="240" t="str">
        <f>VLOOKUP(WWWW[[#This Row],[Site Name]],SiteDB6[],13,FALSE)</f>
        <v>NGCA</v>
      </c>
      <c r="CJ12" s="240">
        <f>VLOOKUP(WWWW[[#This Row],[Site Name]],SiteDB6[],14,FALSE)</f>
        <v>24.752471</v>
      </c>
      <c r="CK12" s="240">
        <f>VLOOKUP(WWWW[[#This Row],[Site Name]],SiteDB6[],15,FALSE)</f>
        <v>97.541793999999996</v>
      </c>
      <c r="CL12" s="240" t="str">
        <f>VLOOKUP(WWWW[[#This Row],[Site Name]],SiteDB6[],4,FALSE)</f>
        <v>MMR001CMP208</v>
      </c>
      <c r="CM12" s="42" t="str">
        <f t="shared" si="0"/>
        <v>Covered</v>
      </c>
      <c r="CN12" s="42"/>
    </row>
    <row r="13" spans="1:92" ht="15.75" hidden="1" customHeight="1" x14ac:dyDescent="0.25">
      <c r="A13" s="548" t="s">
        <v>1409</v>
      </c>
      <c r="B13" s="530" t="s">
        <v>470</v>
      </c>
      <c r="C13" s="530" t="s">
        <v>44</v>
      </c>
      <c r="D13" s="530" t="s">
        <v>298</v>
      </c>
      <c r="E13" s="530" t="s">
        <v>1233</v>
      </c>
      <c r="F13" s="41">
        <v>62</v>
      </c>
      <c r="G13" s="405">
        <v>410</v>
      </c>
      <c r="H13" s="41"/>
      <c r="I13" s="41"/>
      <c r="J13" s="388"/>
      <c r="K13" s="41">
        <v>0</v>
      </c>
      <c r="L13" s="41" t="s">
        <v>292</v>
      </c>
      <c r="M13" s="42">
        <v>0</v>
      </c>
      <c r="N13" s="42">
        <v>0</v>
      </c>
      <c r="O13" s="605">
        <v>0</v>
      </c>
      <c r="P13" s="606">
        <v>2</v>
      </c>
      <c r="Q13" s="606"/>
      <c r="R13" s="607"/>
      <c r="S13" s="607">
        <v>0</v>
      </c>
      <c r="T13" s="607"/>
      <c r="U13" s="607"/>
      <c r="V13" s="607"/>
      <c r="W13" s="607"/>
      <c r="X13" s="607"/>
      <c r="Y13" s="607"/>
      <c r="Z13" s="598">
        <v>10</v>
      </c>
      <c r="AA13" s="598"/>
      <c r="AB13" s="80"/>
      <c r="AC13" s="598">
        <v>0</v>
      </c>
      <c r="AD13" s="598" t="s">
        <v>296</v>
      </c>
      <c r="AE13" s="599" t="s">
        <v>296</v>
      </c>
      <c r="AF13" s="599"/>
      <c r="AG13" s="598"/>
      <c r="AH13" s="598"/>
      <c r="AI13" s="649">
        <v>1</v>
      </c>
      <c r="AJ13" s="650" t="s">
        <v>301</v>
      </c>
      <c r="AK13" s="650">
        <v>0</v>
      </c>
      <c r="AL13" s="645">
        <v>3</v>
      </c>
      <c r="AM13" s="645">
        <v>3</v>
      </c>
      <c r="AN13" s="646"/>
      <c r="AO13" s="600"/>
      <c r="AP13" s="600"/>
      <c r="AQ13" s="651"/>
      <c r="AR13" s="42" t="str">
        <f>IFERROR(WWWW[[#This Row],['# of Water passed at source]]/WWWW[[#This Row],['# of Water tested at source]],"no test")</f>
        <v>no test</v>
      </c>
      <c r="AS13" s="389" t="str">
        <f>IFERROR(WWWW[[#This Row],['# of Water passed at HH]]/WWWW[[#This Row],['# of Water tested at HH]],"no test")</f>
        <v>no test</v>
      </c>
      <c r="AT13" s="237">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U13" s="407">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AV13" s="407">
        <f>IF(WWWW[[#This Row],[Location Type 1]]="Village",WWWW[[#This Row],[Access to safe drinking water for Village]],WWWW[[#This Row],[Access to safe drinking water for Camp]])</f>
        <v>1</v>
      </c>
      <c r="AW13" s="405">
        <f>WWWW[[#This Row],[%Equitable and continuous access to sufficient quantity of safe drinking water]]*WWWW[[#This Row],[Total PoP ]]</f>
        <v>410</v>
      </c>
      <c r="AX13" s="407">
        <f>IF((WWWW[[#This Row],['# Existing protected/fenced ponds ]]*250)/WWWW[[#This Row],[Total PoP ]]&gt;1,1,WWWW[[#This Row],['# Existing protected/fenced ponds ]]*250/WWWW[[#This Row],[Total PoP ]])</f>
        <v>0</v>
      </c>
      <c r="AY13" s="43">
        <f>WWWW[[#This Row],[Access to unimproved water points]]*WWWW[[#This Row],[Total PoP ]]</f>
        <v>0</v>
      </c>
      <c r="AZ13" s="407">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A13" s="405">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410</v>
      </c>
      <c r="BB13" s="414">
        <f>ROUND(WWWW[[#This Row],['#people Equitable and continuous access to sufficient quantity of domestic water borehole n ponds_2]]/500,0)</f>
        <v>1</v>
      </c>
      <c r="BC13" s="42">
        <f>1-WWWW[[#This Row],[%Equitable and continuous access to sufficient quantity of domestic water borehole n ponds]]</f>
        <v>0</v>
      </c>
      <c r="BD13" s="43">
        <f>WWWW[[#This Row],[%equitable and continuous access to sufficient quantity of safe drinking and domestic water''s GAP]]*WWWW[[#This Row],[Total PoP ]]</f>
        <v>0</v>
      </c>
      <c r="BE13" s="406">
        <f>IF(WWWW[[#This Row],[Total required water points]]-WWWW[[#This Row],['#Water points coverage]]&lt;0,0,WWWW[[#This Row],[Total required water points]]-WWWW[[#This Row],['#Water points coverage]])</f>
        <v>0</v>
      </c>
      <c r="BF13" s="406">
        <f>ROUND(IF(WWWW[[#This Row],[Total PoP ]]&lt;500,1,WWWW[[#This Row],[Total PoP ]]/500),0)</f>
        <v>1</v>
      </c>
      <c r="BG13" s="97" t="str">
        <f>IF(AND(WWWW[[#This Row],[%of Water samples which passed at water source]]="no test",WWWW[[#This Row],[%Water samples which passed at HH]]="no test"),"No Test","Tested")</f>
        <v>No Test</v>
      </c>
      <c r="BH13" s="97">
        <f>WWWW[[#This Row],['# Existing functional latrines]]+WWWW[[#This Row],['# Existing latrines dysfunctional]]</f>
        <v>10</v>
      </c>
      <c r="BI13" s="42">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0.48780487804878048</v>
      </c>
      <c r="BJ13" s="676">
        <f>WWWW[[#This Row],[% people access to functioning Latrine]]*WWWW[[#This Row],[Total PoP ]]</f>
        <v>200</v>
      </c>
      <c r="BK13" s="42">
        <f>IF(WWWW[[#This Row],[Location Type 1]]="camp",WWWW[[#This Row],['# potential required new latrines]]/(WWWW[[#This Row],[Total PoP ]]/20),WWWW[[#This Row],['# potential required new latrines]]/(WWWW[[#This Row],[Total PoP ]]/6))</f>
        <v>0.53658536585365857</v>
      </c>
      <c r="BL13" s="43">
        <f>IF(WWWW[[#This Row],[Total required Latrines]]-WWWW[[#This Row],[Total '# of latrine]]&lt;0,0,WWWW[[#This Row],[Total required Latrines]]-WWWW[[#This Row],[Total '# of latrine]])</f>
        <v>11</v>
      </c>
      <c r="BM13" s="97">
        <f>ROUND(IF(WWWW[[#This Row],[Location Type 1]]="camp",WWWW[[#This Row],[Total PoP ]]/20,WWWW[[#This Row],[Total PoP ]]/6),0)</f>
        <v>21</v>
      </c>
      <c r="BN13" s="390">
        <f>IF(OR(WWWW[[#This Row],['# Existing latrines dysfunctional]]="",WWWW[[#This Row],['# Existing latrines dysfunctional]]=0),0,WWWW[[#This Row],['# Existing latrines dysfunctional]]/WWWW[[#This Row],[Total '# of latrine]])</f>
        <v>0</v>
      </c>
      <c r="BO13" s="676">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P13" s="42">
        <f>WWWW[[#This Row],[People adopt basic personal and community hygiene practices]]/WWWW[[#This Row],[Total PoP ]]</f>
        <v>0</v>
      </c>
      <c r="BQ13" s="390">
        <f>1-WWWW[[#This Row],[Hygiene Coverage%]]</f>
        <v>1</v>
      </c>
      <c r="BR13" s="405">
        <f>IF(500*WWWW[[#This Row],['# Hygiene Promoters ]]&gt;WWWW[[#This Row],[Total PoP ]],WWWW[[#This Row],[Total PoP ]],500*WWWW[[#This Row],['# Hygiene Promoters ]])</f>
        <v>410</v>
      </c>
      <c r="BS13" s="405">
        <f>IF(WWWW[[#This Row],[% of HH with access to Sanitary Pad]]&gt;=100%,1,0)</f>
        <v>0</v>
      </c>
      <c r="BT13" s="405">
        <f>IF(WWWW[[#This Row],[Total PoP ]]=0,0,IF(WWWW[[#This Row],['# Hygiene Promoters ]]=0,0,IF(WWWW[[#This Row],[Location Type 1]]="Village",IF(WWWW[[#This Row],[Total PoP ]]/WWWW[[#This Row],['# Hygiene Promoters ]]&lt;1000,1,0),IF(WWWW[[#This Row],[Total PoP ]]/WWWW[[#This Row],['# Hygiene Promoters ]]&lt;600,1,0))))</f>
        <v>1</v>
      </c>
      <c r="BU13" s="405">
        <f>IF(WWWW[[#This Row],[%HH with access to soap]]&gt;=100%,1,0)</f>
        <v>0</v>
      </c>
      <c r="BV13" s="405">
        <f>IF(WWWW[[#This Row],[% of HHs with access to Sanitary pad more than '#%]]+WWWW[[#This Row],[Ratio of Hyiene promoters to people less than '#]]+WWWW[[#This Row],[% of HHs with access to soap more than '#%]]&gt;=2,WWWW[[#This Row],[Total PoP ]],0)</f>
        <v>0</v>
      </c>
      <c r="BW13" s="391">
        <f>WWWW[[#This Row],['# people reached by regular dedicated hygiene promotion_5]]/WWWW[[#This Row],[Total PoP ]]</f>
        <v>1</v>
      </c>
      <c r="BX13" s="391">
        <f>IF(WWWW[[#This Row],['# HH received soaps]]/WWWW[[#This Row],[Total HH]]&gt;1,1,WWWW[[#This Row],['# HH received soaps]]/WWWW[[#This Row],[Total HH]])</f>
        <v>0</v>
      </c>
      <c r="BY13" s="391">
        <f>IF(WWWW[[#This Row],['# HH received Sanitary Pads]]/WWWW[[#This Row],[Total HH]]&gt;1,1,WWWW[[#This Row],['# HH received Sanitary Pads]]/WWWW[[#This Row],[Total HH]])</f>
        <v>0</v>
      </c>
      <c r="BZ13" s="721">
        <f>WWWW[[#This Row],['# HH received soaps]]*5</f>
        <v>0</v>
      </c>
      <c r="CA13" s="721">
        <f>WWWW[[#This Row],['# HH received Sanitary Pads]]*5</f>
        <v>0</v>
      </c>
      <c r="CB13" s="406">
        <f>IF(WWWW[[#This Row],['# People with access to soap]]&gt;WWWW[[#This Row],['# People with access to Sanity Pads]],WWWW[[#This Row],['# People with access to soap]],WWWW[[#This Row],['# People with access to Sanity Pads]])</f>
        <v>0</v>
      </c>
      <c r="CC13" s="43">
        <f>WWWW[[#This Row],[Total HH]]*WWWW[[#This Row],[%HHs with access to functional hand washing stations]]</f>
        <v>62</v>
      </c>
      <c r="CD13" s="240">
        <f>VLOOKUP(WWWW[[#This Row],[Site Name]],SiteDB6[],8,FALSE)</f>
        <v>0</v>
      </c>
      <c r="CE13" s="240">
        <f>VLOOKUP(WWWW[[#This Row],[Site Name]],SiteDB6[],9,FALSE)</f>
        <v>0</v>
      </c>
      <c r="CF13" s="240" t="str">
        <f>VLOOKUP(WWWW[[#This Row],[Site Name]],SiteDB6[],10,FALSE)</f>
        <v>Camp</v>
      </c>
      <c r="CG13" s="240" t="str">
        <f>VLOOKUP(WWWW[[#This Row],[Site Name]],SiteDB6[],11,FALSE)</f>
        <v>Camp</v>
      </c>
      <c r="CH13" s="240" t="str">
        <f>VLOOKUP(WWWW[[#This Row],[Site Name]],SiteDB6[],12,FALSE)</f>
        <v>Camp like setting</v>
      </c>
      <c r="CI13" s="240" t="str">
        <f>VLOOKUP(WWWW[[#This Row],[Site Name]],SiteDB6[],13,FALSE)</f>
        <v>GCA</v>
      </c>
      <c r="CJ13" s="240">
        <f>VLOOKUP(WWWW[[#This Row],[Site Name]],SiteDB6[],14,FALSE)</f>
        <v>25.305008999999998</v>
      </c>
      <c r="CK13" s="240">
        <f>VLOOKUP(WWWW[[#This Row],[Site Name]],SiteDB6[],15,FALSE)</f>
        <v>97.430321000000006</v>
      </c>
      <c r="CL13" s="240" t="str">
        <f>VLOOKUP(WWWW[[#This Row],[Site Name]],SiteDB6[],4,FALSE)</f>
        <v>MMR001CMP248</v>
      </c>
      <c r="CM13" s="42" t="str">
        <f t="shared" si="0"/>
        <v>Notcovered</v>
      </c>
      <c r="CN13" s="42"/>
    </row>
    <row r="14" spans="1:92" ht="15.75" hidden="1" customHeight="1" x14ac:dyDescent="0.25">
      <c r="A14" s="548" t="s">
        <v>1409</v>
      </c>
      <c r="B14" s="530" t="s">
        <v>470</v>
      </c>
      <c r="C14" s="530" t="s">
        <v>44</v>
      </c>
      <c r="D14" s="530" t="s">
        <v>45</v>
      </c>
      <c r="E14" s="530" t="s">
        <v>1164</v>
      </c>
      <c r="F14" s="41">
        <v>175</v>
      </c>
      <c r="G14" s="405">
        <v>834</v>
      </c>
      <c r="H14" s="41"/>
      <c r="I14" s="41"/>
      <c r="J14" s="388"/>
      <c r="K14" s="41"/>
      <c r="L14" s="402" t="s">
        <v>292</v>
      </c>
      <c r="M14" s="404">
        <v>0</v>
      </c>
      <c r="N14" s="404">
        <v>0</v>
      </c>
      <c r="O14" s="605"/>
      <c r="P14" s="606"/>
      <c r="Q14" s="606"/>
      <c r="R14" s="607"/>
      <c r="S14" s="607"/>
      <c r="T14" s="607"/>
      <c r="U14" s="607"/>
      <c r="V14" s="607"/>
      <c r="W14" s="607"/>
      <c r="X14" s="607"/>
      <c r="Y14" s="607"/>
      <c r="Z14" s="598">
        <v>0</v>
      </c>
      <c r="AA14" s="598"/>
      <c r="AB14" s="80"/>
      <c r="AC14" s="598"/>
      <c r="AD14" s="598" t="s">
        <v>296</v>
      </c>
      <c r="AE14" s="599" t="s">
        <v>296</v>
      </c>
      <c r="AF14" s="599"/>
      <c r="AG14" s="598"/>
      <c r="AH14" s="598"/>
      <c r="AI14" s="649"/>
      <c r="AJ14" s="650"/>
      <c r="AK14" s="650"/>
      <c r="AL14" s="645"/>
      <c r="AM14" s="645"/>
      <c r="AN14" s="646"/>
      <c r="AO14" s="600"/>
      <c r="AP14" s="600"/>
      <c r="AQ14" s="651"/>
      <c r="AR14" s="42" t="str">
        <f>IFERROR(WWWW[[#This Row],['# of Water passed at source]]/WWWW[[#This Row],['# of Water tested at source]],"no test")</f>
        <v>no test</v>
      </c>
      <c r="AS14" s="389" t="str">
        <f>IFERROR(WWWW[[#This Row],['# of Water passed at HH]]/WWWW[[#This Row],['# of Water tested at HH]],"no test")</f>
        <v>no test</v>
      </c>
      <c r="AT14" s="237">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U14" s="407">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AV14" s="407">
        <f>IF(WWWW[[#This Row],[Location Type 1]]="Village",WWWW[[#This Row],[Access to safe drinking water for Village]],WWWW[[#This Row],[Access to safe drinking water for Camp]])</f>
        <v>0</v>
      </c>
      <c r="AW14" s="405">
        <f>WWWW[[#This Row],[%Equitable and continuous access to sufficient quantity of safe drinking water]]*WWWW[[#This Row],[Total PoP ]]</f>
        <v>0</v>
      </c>
      <c r="AX14" s="407">
        <f>IF((WWWW[[#This Row],['# Existing protected/fenced ponds ]]*250)/WWWW[[#This Row],[Total PoP ]]&gt;1,1,WWWW[[#This Row],['# Existing protected/fenced ponds ]]*250/WWWW[[#This Row],[Total PoP ]])</f>
        <v>0</v>
      </c>
      <c r="AY14" s="43">
        <f>WWWW[[#This Row],[Access to unimproved water points]]*WWWW[[#This Row],[Total PoP ]]</f>
        <v>0</v>
      </c>
      <c r="AZ14" s="407">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A14" s="405">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B14" s="414">
        <f>ROUND(WWWW[[#This Row],['#people Equitable and continuous access to sufficient quantity of domestic water borehole n ponds_2]]/500,0)</f>
        <v>0</v>
      </c>
      <c r="BC14" s="42">
        <f>1-WWWW[[#This Row],[%Equitable and continuous access to sufficient quantity of domestic water borehole n ponds]]</f>
        <v>1</v>
      </c>
      <c r="BD14" s="43">
        <f>WWWW[[#This Row],[%equitable and continuous access to sufficient quantity of safe drinking and domestic water''s GAP]]*WWWW[[#This Row],[Total PoP ]]</f>
        <v>834</v>
      </c>
      <c r="BE14" s="406">
        <f>IF(WWWW[[#This Row],[Total required water points]]-WWWW[[#This Row],['#Water points coverage]]&lt;0,0,WWWW[[#This Row],[Total required water points]]-WWWW[[#This Row],['#Water points coverage]])</f>
        <v>2</v>
      </c>
      <c r="BF14" s="406">
        <f>ROUND(IF(WWWW[[#This Row],[Total PoP ]]&lt;500,1,WWWW[[#This Row],[Total PoP ]]/500),0)</f>
        <v>2</v>
      </c>
      <c r="BG14" s="97" t="str">
        <f>IF(AND(WWWW[[#This Row],[%of Water samples which passed at water source]]="no test",WWWW[[#This Row],[%Water samples which passed at HH]]="no test"),"No Test","Tested")</f>
        <v>No Test</v>
      </c>
      <c r="BH14" s="97">
        <f>WWWW[[#This Row],['# Existing functional latrines]]+WWWW[[#This Row],['# Existing latrines dysfunctional]]</f>
        <v>0</v>
      </c>
      <c r="BI14" s="42">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J14" s="676">
        <f>WWWW[[#This Row],[% people access to functioning Latrine]]*WWWW[[#This Row],[Total PoP ]]</f>
        <v>0</v>
      </c>
      <c r="BK14" s="42">
        <f>IF(WWWW[[#This Row],[Location Type 1]]="camp",WWWW[[#This Row],['# potential required new latrines]]/(WWWW[[#This Row],[Total PoP ]]/20),WWWW[[#This Row],['# potential required new latrines]]/(WWWW[[#This Row],[Total PoP ]]/6))</f>
        <v>1.0071942446043165</v>
      </c>
      <c r="BL14" s="43">
        <f>IF(WWWW[[#This Row],[Total required Latrines]]-WWWW[[#This Row],[Total '# of latrine]]&lt;0,0,WWWW[[#This Row],[Total required Latrines]]-WWWW[[#This Row],[Total '# of latrine]])</f>
        <v>42</v>
      </c>
      <c r="BM14" s="97">
        <f>ROUND(IF(WWWW[[#This Row],[Location Type 1]]="camp",WWWW[[#This Row],[Total PoP ]]/20,WWWW[[#This Row],[Total PoP ]]/6),0)</f>
        <v>42</v>
      </c>
      <c r="BN14" s="390">
        <f>IF(OR(WWWW[[#This Row],['# Existing latrines dysfunctional]]="",WWWW[[#This Row],['# Existing latrines dysfunctional]]=0),0,WWWW[[#This Row],['# Existing latrines dysfunctional]]/WWWW[[#This Row],[Total '# of latrine]])</f>
        <v>0</v>
      </c>
      <c r="BO14" s="676">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P14" s="42">
        <f>WWWW[[#This Row],[People adopt basic personal and community hygiene practices]]/WWWW[[#This Row],[Total PoP ]]</f>
        <v>0</v>
      </c>
      <c r="BQ14" s="390">
        <f>1-WWWW[[#This Row],[Hygiene Coverage%]]</f>
        <v>1</v>
      </c>
      <c r="BR14" s="405">
        <f>IF(500*WWWW[[#This Row],['# Hygiene Promoters ]]&gt;WWWW[[#This Row],[Total PoP ]],WWWW[[#This Row],[Total PoP ]],500*WWWW[[#This Row],['# Hygiene Promoters ]])</f>
        <v>0</v>
      </c>
      <c r="BS14" s="405">
        <f>IF(WWWW[[#This Row],[% of HH with access to Sanitary Pad]]&gt;=100%,1,0)</f>
        <v>0</v>
      </c>
      <c r="BT14" s="405">
        <f>IF(WWWW[[#This Row],[Total PoP ]]=0,0,IF(WWWW[[#This Row],['# Hygiene Promoters ]]=0,0,IF(WWWW[[#This Row],[Location Type 1]]="Village",IF(WWWW[[#This Row],[Total PoP ]]/WWWW[[#This Row],['# Hygiene Promoters ]]&lt;1000,1,0),IF(WWWW[[#This Row],[Total PoP ]]/WWWW[[#This Row],['# Hygiene Promoters ]]&lt;600,1,0))))</f>
        <v>0</v>
      </c>
      <c r="BU14" s="405">
        <f>IF(WWWW[[#This Row],[%HH with access to soap]]&gt;=100%,1,0)</f>
        <v>0</v>
      </c>
      <c r="BV14" s="405">
        <f>IF(WWWW[[#This Row],[% of HHs with access to Sanitary pad more than '#%]]+WWWW[[#This Row],[Ratio of Hyiene promoters to people less than '#]]+WWWW[[#This Row],[% of HHs with access to soap more than '#%]]&gt;=2,WWWW[[#This Row],[Total PoP ]],0)</f>
        <v>0</v>
      </c>
      <c r="BW14" s="391">
        <f>WWWW[[#This Row],['# people reached by regular dedicated hygiene promotion_5]]/WWWW[[#This Row],[Total PoP ]]</f>
        <v>0</v>
      </c>
      <c r="BX14" s="391">
        <f>IF(WWWW[[#This Row],['# HH received soaps]]/WWWW[[#This Row],[Total HH]]&gt;1,1,WWWW[[#This Row],['# HH received soaps]]/WWWW[[#This Row],[Total HH]])</f>
        <v>0</v>
      </c>
      <c r="BY14" s="391">
        <f>IF(WWWW[[#This Row],['# HH received Sanitary Pads]]/WWWW[[#This Row],[Total HH]]&gt;1,1,WWWW[[#This Row],['# HH received Sanitary Pads]]/WWWW[[#This Row],[Total HH]])</f>
        <v>0</v>
      </c>
      <c r="BZ14" s="721">
        <f>WWWW[[#This Row],['# HH received soaps]]*5</f>
        <v>0</v>
      </c>
      <c r="CA14" s="721">
        <f>WWWW[[#This Row],['# HH received Sanitary Pads]]*5</f>
        <v>0</v>
      </c>
      <c r="CB14" s="406">
        <f>IF(WWWW[[#This Row],['# People with access to soap]]&gt;WWWW[[#This Row],['# People with access to Sanity Pads]],WWWW[[#This Row],['# People with access to soap]],WWWW[[#This Row],['# People with access to Sanity Pads]])</f>
        <v>0</v>
      </c>
      <c r="CC14" s="43">
        <f>WWWW[[#This Row],[Total HH]]*WWWW[[#This Row],[%HHs with access to functional hand washing stations]]</f>
        <v>0</v>
      </c>
      <c r="CD14" s="240">
        <f>VLOOKUP(WWWW[[#This Row],[Site Name]],SiteDB6[],8,FALSE)</f>
        <v>0</v>
      </c>
      <c r="CE14" s="240">
        <f>VLOOKUP(WWWW[[#This Row],[Site Name]],SiteDB6[],9,FALSE)</f>
        <v>0</v>
      </c>
      <c r="CF14" s="240" t="str">
        <f>VLOOKUP(WWWW[[#This Row],[Site Name]],SiteDB6[],10,FALSE)</f>
        <v>Camp</v>
      </c>
      <c r="CG14" s="240" t="str">
        <f>VLOOKUP(WWWW[[#This Row],[Site Name]],SiteDB6[],11,FALSE)</f>
        <v>Camp</v>
      </c>
      <c r="CH14" s="240" t="str">
        <f>VLOOKUP(WWWW[[#This Row],[Site Name]],SiteDB6[],12,FALSE)</f>
        <v>Host Families</v>
      </c>
      <c r="CI14" s="240" t="str">
        <f>VLOOKUP(WWWW[[#This Row],[Site Name]],SiteDB6[],13,FALSE)</f>
        <v>GCA</v>
      </c>
      <c r="CJ14" s="240">
        <f>VLOOKUP(WWWW[[#This Row],[Site Name]],SiteDB6[],14,FALSE)</f>
        <v>23.827870999999998</v>
      </c>
      <c r="CK14" s="240">
        <f>VLOOKUP(WWWW[[#This Row],[Site Name]],SiteDB6[],15,FALSE)</f>
        <v>97.588291999999996</v>
      </c>
      <c r="CL14" s="240" t="str">
        <f>VLOOKUP(WWWW[[#This Row],[Site Name]],SiteDB6[],4,FALSE)</f>
        <v>MMR001CMP134</v>
      </c>
      <c r="CM14" s="404" t="str">
        <f t="shared" si="0"/>
        <v>Notcovered</v>
      </c>
      <c r="CN14" s="42"/>
    </row>
    <row r="15" spans="1:92" ht="15.75" hidden="1" customHeight="1" x14ac:dyDescent="0.25">
      <c r="A15" s="548" t="s">
        <v>1409</v>
      </c>
      <c r="B15" s="530" t="s">
        <v>470</v>
      </c>
      <c r="C15" s="530" t="s">
        <v>44</v>
      </c>
      <c r="D15" s="530" t="s">
        <v>351</v>
      </c>
      <c r="E15" s="530" t="s">
        <v>1199</v>
      </c>
      <c r="F15" s="402">
        <v>21</v>
      </c>
      <c r="G15" s="405">
        <v>95</v>
      </c>
      <c r="H15" s="402"/>
      <c r="I15" s="402"/>
      <c r="J15" s="403"/>
      <c r="K15" s="402"/>
      <c r="L15" s="402" t="s">
        <v>292</v>
      </c>
      <c r="M15" s="404">
        <v>0</v>
      </c>
      <c r="N15" s="404">
        <v>0</v>
      </c>
      <c r="O15" s="605"/>
      <c r="P15" s="606"/>
      <c r="Q15" s="606"/>
      <c r="R15" s="607"/>
      <c r="S15" s="607"/>
      <c r="T15" s="607"/>
      <c r="U15" s="607"/>
      <c r="V15" s="607"/>
      <c r="W15" s="607"/>
      <c r="X15" s="607"/>
      <c r="Y15" s="607"/>
      <c r="Z15" s="598">
        <v>0</v>
      </c>
      <c r="AA15" s="598"/>
      <c r="AB15" s="80"/>
      <c r="AC15" s="598"/>
      <c r="AD15" s="598" t="s">
        <v>296</v>
      </c>
      <c r="AE15" s="599" t="s">
        <v>296</v>
      </c>
      <c r="AF15" s="599"/>
      <c r="AG15" s="598"/>
      <c r="AH15" s="598"/>
      <c r="AI15" s="649"/>
      <c r="AJ15" s="650"/>
      <c r="AK15" s="650"/>
      <c r="AL15" s="645"/>
      <c r="AM15" s="645"/>
      <c r="AN15" s="646"/>
      <c r="AO15" s="600"/>
      <c r="AP15" s="600"/>
      <c r="AQ15" s="651"/>
      <c r="AR15" s="404" t="str">
        <f>IFERROR(WWWW[[#This Row],['# of Water passed at source]]/WWWW[[#This Row],['# of Water tested at source]],"no test")</f>
        <v>no test</v>
      </c>
      <c r="AS15" s="407" t="str">
        <f>IFERROR(WWWW[[#This Row],['# of Water passed at HH]]/WWWW[[#This Row],['# of Water tested at HH]],"no test")</f>
        <v>no test</v>
      </c>
      <c r="AT15" s="237">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U15" s="407">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AV15" s="407">
        <f>IF(WWWW[[#This Row],[Location Type 1]]="Village",WWWW[[#This Row],[Access to safe drinking water for Village]],WWWW[[#This Row],[Access to safe drinking water for Camp]])</f>
        <v>0</v>
      </c>
      <c r="AW15" s="405">
        <f>WWWW[[#This Row],[%Equitable and continuous access to sufficient quantity of safe drinking water]]*WWWW[[#This Row],[Total PoP ]]</f>
        <v>0</v>
      </c>
      <c r="AX15" s="407">
        <f>IF((WWWW[[#This Row],['# Existing protected/fenced ponds ]]*250)/WWWW[[#This Row],[Total PoP ]]&gt;1,1,WWWW[[#This Row],['# Existing protected/fenced ponds ]]*250/WWWW[[#This Row],[Total PoP ]])</f>
        <v>0</v>
      </c>
      <c r="AY15" s="405">
        <f>WWWW[[#This Row],[Access to unimproved water points]]*WWWW[[#This Row],[Total PoP ]]</f>
        <v>0</v>
      </c>
      <c r="AZ15" s="407">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A15" s="405">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B15" s="414">
        <f>ROUND(WWWW[[#This Row],['#people Equitable and continuous access to sufficient quantity of domestic water borehole n ponds_2]]/500,0)</f>
        <v>0</v>
      </c>
      <c r="BC15" s="404">
        <f>1-WWWW[[#This Row],[%Equitable and continuous access to sufficient quantity of domestic water borehole n ponds]]</f>
        <v>1</v>
      </c>
      <c r="BD15" s="405">
        <f>WWWW[[#This Row],[%equitable and continuous access to sufficient quantity of safe drinking and domestic water''s GAP]]*WWWW[[#This Row],[Total PoP ]]</f>
        <v>95</v>
      </c>
      <c r="BE15" s="406">
        <f>IF(WWWW[[#This Row],[Total required water points]]-WWWW[[#This Row],['#Water points coverage]]&lt;0,0,WWWW[[#This Row],[Total required water points]]-WWWW[[#This Row],['#Water points coverage]])</f>
        <v>1</v>
      </c>
      <c r="BF15" s="406">
        <f>ROUND(IF(WWWW[[#This Row],[Total PoP ]]&lt;500,1,WWWW[[#This Row],[Total PoP ]]/500),0)</f>
        <v>1</v>
      </c>
      <c r="BG15" s="406" t="str">
        <f>IF(AND(WWWW[[#This Row],[%of Water samples which passed at water source]]="no test",WWWW[[#This Row],[%Water samples which passed at HH]]="no test"),"No Test","Tested")</f>
        <v>No Test</v>
      </c>
      <c r="BH15" s="406">
        <f>WWWW[[#This Row],['# Existing functional latrines]]+WWWW[[#This Row],['# Existing latrines dysfunctional]]</f>
        <v>0</v>
      </c>
      <c r="BI15" s="404">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J15" s="676">
        <f>WWWW[[#This Row],[% people access to functioning Latrine]]*WWWW[[#This Row],[Total PoP ]]</f>
        <v>0</v>
      </c>
      <c r="BK15" s="404">
        <f>IF(WWWW[[#This Row],[Location Type 1]]="camp",WWWW[[#This Row],['# potential required new latrines]]/(WWWW[[#This Row],[Total PoP ]]/20),WWWW[[#This Row],['# potential required new latrines]]/(WWWW[[#This Row],[Total PoP ]]/6))</f>
        <v>1.0526315789473684</v>
      </c>
      <c r="BL15" s="405">
        <f>IF(WWWW[[#This Row],[Total required Latrines]]-WWWW[[#This Row],[Total '# of latrine]]&lt;0,0,WWWW[[#This Row],[Total required Latrines]]-WWWW[[#This Row],[Total '# of latrine]])</f>
        <v>5</v>
      </c>
      <c r="BM15" s="406">
        <f>ROUND(IF(WWWW[[#This Row],[Location Type 1]]="camp",WWWW[[#This Row],[Total PoP ]]/20,WWWW[[#This Row],[Total PoP ]]/6),0)</f>
        <v>5</v>
      </c>
      <c r="BN15" s="408">
        <f>IF(OR(WWWW[[#This Row],['# Existing latrines dysfunctional]]="",WWWW[[#This Row],['# Existing latrines dysfunctional]]=0),0,WWWW[[#This Row],['# Existing latrines dysfunctional]]/WWWW[[#This Row],[Total '# of latrine]])</f>
        <v>0</v>
      </c>
      <c r="BO15" s="676">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P15" s="404">
        <f>WWWW[[#This Row],[People adopt basic personal and community hygiene practices]]/WWWW[[#This Row],[Total PoP ]]</f>
        <v>0</v>
      </c>
      <c r="BQ15" s="408">
        <f>1-WWWW[[#This Row],[Hygiene Coverage%]]</f>
        <v>1</v>
      </c>
      <c r="BR15" s="405">
        <f>IF(500*WWWW[[#This Row],['# Hygiene Promoters ]]&gt;WWWW[[#This Row],[Total PoP ]],WWWW[[#This Row],[Total PoP ]],500*WWWW[[#This Row],['# Hygiene Promoters ]])</f>
        <v>0</v>
      </c>
      <c r="BS15" s="405">
        <f>IF(WWWW[[#This Row],[% of HH with access to Sanitary Pad]]&gt;=100%,1,0)</f>
        <v>0</v>
      </c>
      <c r="BT15" s="405">
        <f>IF(WWWW[[#This Row],[Total PoP ]]=0,0,IF(WWWW[[#This Row],['# Hygiene Promoters ]]=0,0,IF(WWWW[[#This Row],[Location Type 1]]="Village",IF(WWWW[[#This Row],[Total PoP ]]/WWWW[[#This Row],['# Hygiene Promoters ]]&lt;1000,1,0),IF(WWWW[[#This Row],[Total PoP ]]/WWWW[[#This Row],['# Hygiene Promoters ]]&lt;600,1,0))))</f>
        <v>0</v>
      </c>
      <c r="BU15" s="405">
        <f>IF(WWWW[[#This Row],[%HH with access to soap]]&gt;=100%,1,0)</f>
        <v>0</v>
      </c>
      <c r="BV15" s="405">
        <f>IF(WWWW[[#This Row],[% of HHs with access to Sanitary pad more than '#%]]+WWWW[[#This Row],[Ratio of Hyiene promoters to people less than '#]]+WWWW[[#This Row],[% of HHs with access to soap more than '#%]]&gt;=2,WWWW[[#This Row],[Total PoP ]],0)</f>
        <v>0</v>
      </c>
      <c r="BW15" s="391">
        <f>WWWW[[#This Row],['# people reached by regular dedicated hygiene promotion_5]]/WWWW[[#This Row],[Total PoP ]]</f>
        <v>0</v>
      </c>
      <c r="BX15" s="391">
        <f>IF(WWWW[[#This Row],['# HH received soaps]]/WWWW[[#This Row],[Total HH]]&gt;1,1,WWWW[[#This Row],['# HH received soaps]]/WWWW[[#This Row],[Total HH]])</f>
        <v>0</v>
      </c>
      <c r="BY15" s="391">
        <f>IF(WWWW[[#This Row],['# HH received Sanitary Pads]]/WWWW[[#This Row],[Total HH]]&gt;1,1,WWWW[[#This Row],['# HH received Sanitary Pads]]/WWWW[[#This Row],[Total HH]])</f>
        <v>0</v>
      </c>
      <c r="BZ15" s="721">
        <f>WWWW[[#This Row],['# HH received soaps]]*5</f>
        <v>0</v>
      </c>
      <c r="CA15" s="721">
        <f>WWWW[[#This Row],['# HH received Sanitary Pads]]*5</f>
        <v>0</v>
      </c>
      <c r="CB15" s="406">
        <f>IF(WWWW[[#This Row],['# People with access to soap]]&gt;WWWW[[#This Row],['# People with access to Sanity Pads]],WWWW[[#This Row],['# People with access to soap]],WWWW[[#This Row],['# People with access to Sanity Pads]])</f>
        <v>0</v>
      </c>
      <c r="CC15" s="405">
        <f>WWWW[[#This Row],[Total HH]]*WWWW[[#This Row],[%HHs with access to functional hand washing stations]]</f>
        <v>0</v>
      </c>
      <c r="CD15" s="240" t="str">
        <f>VLOOKUP(WWWW[[#This Row],[Site Name]],SiteDB6[],8,FALSE)</f>
        <v>Yes</v>
      </c>
      <c r="CE15" s="240" t="str">
        <f>VLOOKUP(WWWW[[#This Row],[Site Name]],SiteDB6[],9,FALSE)</f>
        <v>Shalom</v>
      </c>
      <c r="CF15" s="240" t="str">
        <f>VLOOKUP(WWWW[[#This Row],[Site Name]],SiteDB6[],10,FALSE)</f>
        <v>Camp</v>
      </c>
      <c r="CG15" s="240" t="str">
        <f>VLOOKUP(WWWW[[#This Row],[Site Name]],SiteDB6[],11,FALSE)</f>
        <v>Camp</v>
      </c>
      <c r="CH15" s="240" t="str">
        <f>VLOOKUP(WWWW[[#This Row],[Site Name]],SiteDB6[],12,FALSE)</f>
        <v>Camp</v>
      </c>
      <c r="CI15" s="240" t="str">
        <f>VLOOKUP(WWWW[[#This Row],[Site Name]],SiteDB6[],13,FALSE)</f>
        <v>GCA</v>
      </c>
      <c r="CJ15" s="240">
        <f>VLOOKUP(WWWW[[#This Row],[Site Name]],SiteDB6[],14,FALSE)</f>
        <v>24.29138</v>
      </c>
      <c r="CK15" s="240">
        <f>VLOOKUP(WWWW[[#This Row],[Site Name]],SiteDB6[],15,FALSE)</f>
        <v>97.227789999999999</v>
      </c>
      <c r="CL15" s="240" t="str">
        <f>VLOOKUP(WWWW[[#This Row],[Site Name]],SiteDB6[],4,FALSE)</f>
        <v>MMR001CMP055</v>
      </c>
      <c r="CM15" s="404" t="str">
        <f t="shared" si="0"/>
        <v>Notcovered</v>
      </c>
      <c r="CN15" s="404"/>
    </row>
    <row r="16" spans="1:92" ht="15.75" hidden="1" customHeight="1" x14ac:dyDescent="0.25">
      <c r="A16" s="548" t="s">
        <v>1409</v>
      </c>
      <c r="B16" s="530" t="s">
        <v>470</v>
      </c>
      <c r="C16" s="530" t="s">
        <v>44</v>
      </c>
      <c r="D16" s="530" t="s">
        <v>351</v>
      </c>
      <c r="E16" s="530" t="s">
        <v>1197</v>
      </c>
      <c r="F16" s="402">
        <v>76</v>
      </c>
      <c r="G16" s="405">
        <v>256</v>
      </c>
      <c r="H16" s="402"/>
      <c r="I16" s="402"/>
      <c r="J16" s="403"/>
      <c r="K16" s="402"/>
      <c r="L16" s="402" t="s">
        <v>292</v>
      </c>
      <c r="M16" s="404">
        <v>0</v>
      </c>
      <c r="N16" s="404">
        <v>0</v>
      </c>
      <c r="O16" s="605"/>
      <c r="P16" s="606"/>
      <c r="Q16" s="606"/>
      <c r="R16" s="607"/>
      <c r="S16" s="607"/>
      <c r="T16" s="607"/>
      <c r="U16" s="607"/>
      <c r="V16" s="607"/>
      <c r="W16" s="607"/>
      <c r="X16" s="607"/>
      <c r="Y16" s="607"/>
      <c r="Z16" s="598">
        <v>0</v>
      </c>
      <c r="AA16" s="598"/>
      <c r="AB16" s="80"/>
      <c r="AC16" s="598"/>
      <c r="AD16" s="598" t="s">
        <v>296</v>
      </c>
      <c r="AE16" s="599" t="s">
        <v>296</v>
      </c>
      <c r="AF16" s="599"/>
      <c r="AG16" s="598"/>
      <c r="AH16" s="598"/>
      <c r="AI16" s="649"/>
      <c r="AJ16" s="650"/>
      <c r="AK16" s="650"/>
      <c r="AL16" s="645"/>
      <c r="AM16" s="645"/>
      <c r="AN16" s="646"/>
      <c r="AO16" s="600"/>
      <c r="AP16" s="600"/>
      <c r="AQ16" s="651"/>
      <c r="AR16" s="404" t="str">
        <f>IFERROR(WWWW[[#This Row],['# of Water passed at source]]/WWWW[[#This Row],['# of Water tested at source]],"no test")</f>
        <v>no test</v>
      </c>
      <c r="AS16" s="407" t="str">
        <f>IFERROR(WWWW[[#This Row],['# of Water passed at HH]]/WWWW[[#This Row],['# of Water tested at HH]],"no test")</f>
        <v>no test</v>
      </c>
      <c r="AT16" s="237">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U16" s="407">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AV16" s="407">
        <f>IF(WWWW[[#This Row],[Location Type 1]]="Village",WWWW[[#This Row],[Access to safe drinking water for Village]],WWWW[[#This Row],[Access to safe drinking water for Camp]])</f>
        <v>0</v>
      </c>
      <c r="AW16" s="405">
        <f>WWWW[[#This Row],[%Equitable and continuous access to sufficient quantity of safe drinking water]]*WWWW[[#This Row],[Total PoP ]]</f>
        <v>0</v>
      </c>
      <c r="AX16" s="407">
        <f>IF((WWWW[[#This Row],['# Existing protected/fenced ponds ]]*250)/WWWW[[#This Row],[Total PoP ]]&gt;1,1,WWWW[[#This Row],['# Existing protected/fenced ponds ]]*250/WWWW[[#This Row],[Total PoP ]])</f>
        <v>0</v>
      </c>
      <c r="AY16" s="405">
        <f>WWWW[[#This Row],[Access to unimproved water points]]*WWWW[[#This Row],[Total PoP ]]</f>
        <v>0</v>
      </c>
      <c r="AZ16" s="407">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A16" s="405">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B16" s="414">
        <f>ROUND(WWWW[[#This Row],['#people Equitable and continuous access to sufficient quantity of domestic water borehole n ponds_2]]/500,0)</f>
        <v>0</v>
      </c>
      <c r="BC16" s="404">
        <f>1-WWWW[[#This Row],[%Equitable and continuous access to sufficient quantity of domestic water borehole n ponds]]</f>
        <v>1</v>
      </c>
      <c r="BD16" s="405">
        <f>WWWW[[#This Row],[%equitable and continuous access to sufficient quantity of safe drinking and domestic water''s GAP]]*WWWW[[#This Row],[Total PoP ]]</f>
        <v>256</v>
      </c>
      <c r="BE16" s="406">
        <f>IF(WWWW[[#This Row],[Total required water points]]-WWWW[[#This Row],['#Water points coverage]]&lt;0,0,WWWW[[#This Row],[Total required water points]]-WWWW[[#This Row],['#Water points coverage]])</f>
        <v>1</v>
      </c>
      <c r="BF16" s="406">
        <f>ROUND(IF(WWWW[[#This Row],[Total PoP ]]&lt;500,1,WWWW[[#This Row],[Total PoP ]]/500),0)</f>
        <v>1</v>
      </c>
      <c r="BG16" s="406" t="str">
        <f>IF(AND(WWWW[[#This Row],[%of Water samples which passed at water source]]="no test",WWWW[[#This Row],[%Water samples which passed at HH]]="no test"),"No Test","Tested")</f>
        <v>No Test</v>
      </c>
      <c r="BH16" s="406">
        <f>WWWW[[#This Row],['# Existing functional latrines]]+WWWW[[#This Row],['# Existing latrines dysfunctional]]</f>
        <v>0</v>
      </c>
      <c r="BI16" s="404">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J16" s="676">
        <f>WWWW[[#This Row],[% people access to functioning Latrine]]*WWWW[[#This Row],[Total PoP ]]</f>
        <v>0</v>
      </c>
      <c r="BK16" s="404">
        <f>IF(WWWW[[#This Row],[Location Type 1]]="camp",WWWW[[#This Row],['# potential required new latrines]]/(WWWW[[#This Row],[Total PoP ]]/20),WWWW[[#This Row],['# potential required new latrines]]/(WWWW[[#This Row],[Total PoP ]]/6))</f>
        <v>1.015625</v>
      </c>
      <c r="BL16" s="405">
        <f>IF(WWWW[[#This Row],[Total required Latrines]]-WWWW[[#This Row],[Total '# of latrine]]&lt;0,0,WWWW[[#This Row],[Total required Latrines]]-WWWW[[#This Row],[Total '# of latrine]])</f>
        <v>13</v>
      </c>
      <c r="BM16" s="406">
        <f>ROUND(IF(WWWW[[#This Row],[Location Type 1]]="camp",WWWW[[#This Row],[Total PoP ]]/20,WWWW[[#This Row],[Total PoP ]]/6),0)</f>
        <v>13</v>
      </c>
      <c r="BN16" s="408">
        <f>IF(OR(WWWW[[#This Row],['# Existing latrines dysfunctional]]="",WWWW[[#This Row],['# Existing latrines dysfunctional]]=0),0,WWWW[[#This Row],['# Existing latrines dysfunctional]]/WWWW[[#This Row],[Total '# of latrine]])</f>
        <v>0</v>
      </c>
      <c r="BO16" s="676">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P16" s="404">
        <f>WWWW[[#This Row],[People adopt basic personal and community hygiene practices]]/WWWW[[#This Row],[Total PoP ]]</f>
        <v>0</v>
      </c>
      <c r="BQ16" s="408">
        <f>1-WWWW[[#This Row],[Hygiene Coverage%]]</f>
        <v>1</v>
      </c>
      <c r="BR16" s="405">
        <f>IF(500*WWWW[[#This Row],['# Hygiene Promoters ]]&gt;WWWW[[#This Row],[Total PoP ]],WWWW[[#This Row],[Total PoP ]],500*WWWW[[#This Row],['# Hygiene Promoters ]])</f>
        <v>0</v>
      </c>
      <c r="BS16" s="405">
        <f>IF(WWWW[[#This Row],[% of HH with access to Sanitary Pad]]&gt;=100%,1,0)</f>
        <v>0</v>
      </c>
      <c r="BT16" s="405">
        <f>IF(WWWW[[#This Row],[Total PoP ]]=0,0,IF(WWWW[[#This Row],['# Hygiene Promoters ]]=0,0,IF(WWWW[[#This Row],[Location Type 1]]="Village",IF(WWWW[[#This Row],[Total PoP ]]/WWWW[[#This Row],['# Hygiene Promoters ]]&lt;1000,1,0),IF(WWWW[[#This Row],[Total PoP ]]/WWWW[[#This Row],['# Hygiene Promoters ]]&lt;600,1,0))))</f>
        <v>0</v>
      </c>
      <c r="BU16" s="405">
        <f>IF(WWWW[[#This Row],[%HH with access to soap]]&gt;=100%,1,0)</f>
        <v>0</v>
      </c>
      <c r="BV16" s="405">
        <f>IF(WWWW[[#This Row],[% of HHs with access to Sanitary pad more than '#%]]+WWWW[[#This Row],[Ratio of Hyiene promoters to people less than '#]]+WWWW[[#This Row],[% of HHs with access to soap more than '#%]]&gt;=2,WWWW[[#This Row],[Total PoP ]],0)</f>
        <v>0</v>
      </c>
      <c r="BW16" s="391">
        <f>WWWW[[#This Row],['# people reached by regular dedicated hygiene promotion_5]]/WWWW[[#This Row],[Total PoP ]]</f>
        <v>0</v>
      </c>
      <c r="BX16" s="391">
        <f>IF(WWWW[[#This Row],['# HH received soaps]]/WWWW[[#This Row],[Total HH]]&gt;1,1,WWWW[[#This Row],['# HH received soaps]]/WWWW[[#This Row],[Total HH]])</f>
        <v>0</v>
      </c>
      <c r="BY16" s="391">
        <f>IF(WWWW[[#This Row],['# HH received Sanitary Pads]]/WWWW[[#This Row],[Total HH]]&gt;1,1,WWWW[[#This Row],['# HH received Sanitary Pads]]/WWWW[[#This Row],[Total HH]])</f>
        <v>0</v>
      </c>
      <c r="BZ16" s="721">
        <f>WWWW[[#This Row],['# HH received soaps]]*5</f>
        <v>0</v>
      </c>
      <c r="CA16" s="721">
        <f>WWWW[[#This Row],['# HH received Sanitary Pads]]*5</f>
        <v>0</v>
      </c>
      <c r="CB16" s="406">
        <f>IF(WWWW[[#This Row],['# People with access to soap]]&gt;WWWW[[#This Row],['# People with access to Sanity Pads]],WWWW[[#This Row],['# People with access to soap]],WWWW[[#This Row],['# People with access to Sanity Pads]])</f>
        <v>0</v>
      </c>
      <c r="CC16" s="405">
        <f>WWWW[[#This Row],[Total HH]]*WWWW[[#This Row],[%HHs with access to functional hand washing stations]]</f>
        <v>0</v>
      </c>
      <c r="CD16" s="240">
        <f>VLOOKUP(WWWW[[#This Row],[Site Name]],SiteDB6[],8,FALSE)</f>
        <v>0</v>
      </c>
      <c r="CE16" s="240">
        <f>VLOOKUP(WWWW[[#This Row],[Site Name]],SiteDB6[],9,FALSE)</f>
        <v>0</v>
      </c>
      <c r="CF16" s="240" t="str">
        <f>VLOOKUP(WWWW[[#This Row],[Site Name]],SiteDB6[],10,FALSE)</f>
        <v>Camp</v>
      </c>
      <c r="CG16" s="240" t="str">
        <f>VLOOKUP(WWWW[[#This Row],[Site Name]],SiteDB6[],11,FALSE)</f>
        <v>Camp</v>
      </c>
      <c r="CH16" s="240" t="str">
        <f>VLOOKUP(WWWW[[#This Row],[Site Name]],SiteDB6[],12,FALSE)</f>
        <v>Host Families</v>
      </c>
      <c r="CI16" s="240" t="str">
        <f>VLOOKUP(WWWW[[#This Row],[Site Name]],SiteDB6[],13,FALSE)</f>
        <v>GCA</v>
      </c>
      <c r="CJ16" s="240">
        <f>VLOOKUP(WWWW[[#This Row],[Site Name]],SiteDB6[],14,FALSE)</f>
        <v>24.263786</v>
      </c>
      <c r="CK16" s="240">
        <f>VLOOKUP(WWWW[[#This Row],[Site Name]],SiteDB6[],15,FALSE)</f>
        <v>97.228835000000004</v>
      </c>
      <c r="CL16" s="240" t="str">
        <f>VLOOKUP(WWWW[[#This Row],[Site Name]],SiteDB6[],4,FALSE)</f>
        <v>MMR001CMP163</v>
      </c>
      <c r="CM16" s="404" t="str">
        <f t="shared" si="0"/>
        <v>Notcovered</v>
      </c>
      <c r="CN16" s="404"/>
    </row>
    <row r="17" spans="1:92" ht="15.75" hidden="1" customHeight="1" x14ac:dyDescent="0.25">
      <c r="A17" s="548" t="s">
        <v>1409</v>
      </c>
      <c r="B17" s="530" t="s">
        <v>470</v>
      </c>
      <c r="C17" s="530" t="s">
        <v>44</v>
      </c>
      <c r="D17" s="530" t="s">
        <v>45</v>
      </c>
      <c r="E17" s="530" t="s">
        <v>1183</v>
      </c>
      <c r="F17" s="402">
        <v>80</v>
      </c>
      <c r="G17" s="405">
        <v>290</v>
      </c>
      <c r="H17" s="41"/>
      <c r="I17" s="41"/>
      <c r="J17" s="388"/>
      <c r="K17" s="41"/>
      <c r="L17" s="402" t="s">
        <v>292</v>
      </c>
      <c r="M17" s="404">
        <v>0</v>
      </c>
      <c r="N17" s="404">
        <v>0</v>
      </c>
      <c r="O17" s="605"/>
      <c r="P17" s="606"/>
      <c r="Q17" s="606"/>
      <c r="R17" s="607"/>
      <c r="S17" s="607"/>
      <c r="T17" s="607"/>
      <c r="U17" s="607"/>
      <c r="V17" s="607"/>
      <c r="W17" s="607"/>
      <c r="X17" s="607"/>
      <c r="Y17" s="607"/>
      <c r="Z17" s="598">
        <v>0</v>
      </c>
      <c r="AA17" s="598"/>
      <c r="AB17" s="80"/>
      <c r="AC17" s="598"/>
      <c r="AD17" s="598" t="s">
        <v>296</v>
      </c>
      <c r="AE17" s="599" t="s">
        <v>296</v>
      </c>
      <c r="AF17" s="599"/>
      <c r="AG17" s="598"/>
      <c r="AH17" s="598"/>
      <c r="AI17" s="649"/>
      <c r="AJ17" s="650"/>
      <c r="AK17" s="650"/>
      <c r="AL17" s="645"/>
      <c r="AM17" s="645"/>
      <c r="AN17" s="646"/>
      <c r="AO17" s="600"/>
      <c r="AP17" s="600"/>
      <c r="AQ17" s="651"/>
      <c r="AR17" s="42" t="str">
        <f>IFERROR(WWWW[[#This Row],['# of Water passed at source]]/WWWW[[#This Row],['# of Water tested at source]],"no test")</f>
        <v>no test</v>
      </c>
      <c r="AS17" s="389" t="str">
        <f>IFERROR(WWWW[[#This Row],['# of Water passed at HH]]/WWWW[[#This Row],['# of Water tested at HH]],"no test")</f>
        <v>no test</v>
      </c>
      <c r="AT17" s="237">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U17" s="407">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AV17" s="407">
        <f>IF(WWWW[[#This Row],[Location Type 1]]="Village",WWWW[[#This Row],[Access to safe drinking water for Village]],WWWW[[#This Row],[Access to safe drinking water for Camp]])</f>
        <v>0</v>
      </c>
      <c r="AW17" s="405">
        <f>WWWW[[#This Row],[%Equitable and continuous access to sufficient quantity of safe drinking water]]*WWWW[[#This Row],[Total PoP ]]</f>
        <v>0</v>
      </c>
      <c r="AX17" s="407">
        <f>IF((WWWW[[#This Row],['# Existing protected/fenced ponds ]]*250)/WWWW[[#This Row],[Total PoP ]]&gt;1,1,WWWW[[#This Row],['# Existing protected/fenced ponds ]]*250/WWWW[[#This Row],[Total PoP ]])</f>
        <v>0</v>
      </c>
      <c r="AY17" s="43">
        <f>WWWW[[#This Row],[Access to unimproved water points]]*WWWW[[#This Row],[Total PoP ]]</f>
        <v>0</v>
      </c>
      <c r="AZ17" s="407">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A17" s="405">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B17" s="414">
        <f>ROUND(WWWW[[#This Row],['#people Equitable and continuous access to sufficient quantity of domestic water borehole n ponds_2]]/500,0)</f>
        <v>0</v>
      </c>
      <c r="BC17" s="42">
        <f>1-WWWW[[#This Row],[%Equitable and continuous access to sufficient quantity of domestic water borehole n ponds]]</f>
        <v>1</v>
      </c>
      <c r="BD17" s="43">
        <f>WWWW[[#This Row],[%equitable and continuous access to sufficient quantity of safe drinking and domestic water''s GAP]]*WWWW[[#This Row],[Total PoP ]]</f>
        <v>290</v>
      </c>
      <c r="BE17" s="406">
        <f>IF(WWWW[[#This Row],[Total required water points]]-WWWW[[#This Row],['#Water points coverage]]&lt;0,0,WWWW[[#This Row],[Total required water points]]-WWWW[[#This Row],['#Water points coverage]])</f>
        <v>1</v>
      </c>
      <c r="BF17" s="406">
        <f>ROUND(IF(WWWW[[#This Row],[Total PoP ]]&lt;500,1,WWWW[[#This Row],[Total PoP ]]/500),0)</f>
        <v>1</v>
      </c>
      <c r="BG17" s="97" t="str">
        <f>IF(AND(WWWW[[#This Row],[%of Water samples which passed at water source]]="no test",WWWW[[#This Row],[%Water samples which passed at HH]]="no test"),"No Test","Tested")</f>
        <v>No Test</v>
      </c>
      <c r="BH17" s="97">
        <f>WWWW[[#This Row],['# Existing functional latrines]]+WWWW[[#This Row],['# Existing latrines dysfunctional]]</f>
        <v>0</v>
      </c>
      <c r="BI17" s="42">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J17" s="676">
        <f>WWWW[[#This Row],[% people access to functioning Latrine]]*WWWW[[#This Row],[Total PoP ]]</f>
        <v>0</v>
      </c>
      <c r="BK17" s="42">
        <f>IF(WWWW[[#This Row],[Location Type 1]]="camp",WWWW[[#This Row],['# potential required new latrines]]/(WWWW[[#This Row],[Total PoP ]]/20),WWWW[[#This Row],['# potential required new latrines]]/(WWWW[[#This Row],[Total PoP ]]/6))</f>
        <v>1.0344827586206897</v>
      </c>
      <c r="BL17" s="43">
        <f>IF(WWWW[[#This Row],[Total required Latrines]]-WWWW[[#This Row],[Total '# of latrine]]&lt;0,0,WWWW[[#This Row],[Total required Latrines]]-WWWW[[#This Row],[Total '# of latrine]])</f>
        <v>15</v>
      </c>
      <c r="BM17" s="97">
        <f>ROUND(IF(WWWW[[#This Row],[Location Type 1]]="camp",WWWW[[#This Row],[Total PoP ]]/20,WWWW[[#This Row],[Total PoP ]]/6),0)</f>
        <v>15</v>
      </c>
      <c r="BN17" s="390">
        <f>IF(OR(WWWW[[#This Row],['# Existing latrines dysfunctional]]="",WWWW[[#This Row],['# Existing latrines dysfunctional]]=0),0,WWWW[[#This Row],['# Existing latrines dysfunctional]]/WWWW[[#This Row],[Total '# of latrine]])</f>
        <v>0</v>
      </c>
      <c r="BO17" s="676">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P17" s="42">
        <f>WWWW[[#This Row],[People adopt basic personal and community hygiene practices]]/WWWW[[#This Row],[Total PoP ]]</f>
        <v>0</v>
      </c>
      <c r="BQ17" s="390">
        <f>1-WWWW[[#This Row],[Hygiene Coverage%]]</f>
        <v>1</v>
      </c>
      <c r="BR17" s="405">
        <f>IF(500*WWWW[[#This Row],['# Hygiene Promoters ]]&gt;WWWW[[#This Row],[Total PoP ]],WWWW[[#This Row],[Total PoP ]],500*WWWW[[#This Row],['# Hygiene Promoters ]])</f>
        <v>0</v>
      </c>
      <c r="BS17" s="405">
        <f>IF(WWWW[[#This Row],[% of HH with access to Sanitary Pad]]&gt;=100%,1,0)</f>
        <v>0</v>
      </c>
      <c r="BT17" s="405">
        <f>IF(WWWW[[#This Row],[Total PoP ]]=0,0,IF(WWWW[[#This Row],['# Hygiene Promoters ]]=0,0,IF(WWWW[[#This Row],[Location Type 1]]="Village",IF(WWWW[[#This Row],[Total PoP ]]/WWWW[[#This Row],['# Hygiene Promoters ]]&lt;1000,1,0),IF(WWWW[[#This Row],[Total PoP ]]/WWWW[[#This Row],['# Hygiene Promoters ]]&lt;600,1,0))))</f>
        <v>0</v>
      </c>
      <c r="BU17" s="405">
        <f>IF(WWWW[[#This Row],[%HH with access to soap]]&gt;=100%,1,0)</f>
        <v>0</v>
      </c>
      <c r="BV17" s="405">
        <f>IF(WWWW[[#This Row],[% of HHs with access to Sanitary pad more than '#%]]+WWWW[[#This Row],[Ratio of Hyiene promoters to people less than '#]]+WWWW[[#This Row],[% of HHs with access to soap more than '#%]]&gt;=2,WWWW[[#This Row],[Total PoP ]],0)</f>
        <v>0</v>
      </c>
      <c r="BW17" s="391">
        <f>WWWW[[#This Row],['# people reached by regular dedicated hygiene promotion_5]]/WWWW[[#This Row],[Total PoP ]]</f>
        <v>0</v>
      </c>
      <c r="BX17" s="391">
        <f>IF(WWWW[[#This Row],['# HH received soaps]]/WWWW[[#This Row],[Total HH]]&gt;1,1,WWWW[[#This Row],['# HH received soaps]]/WWWW[[#This Row],[Total HH]])</f>
        <v>0</v>
      </c>
      <c r="BY17" s="391">
        <f>IF(WWWW[[#This Row],['# HH received Sanitary Pads]]/WWWW[[#This Row],[Total HH]]&gt;1,1,WWWW[[#This Row],['# HH received Sanitary Pads]]/WWWW[[#This Row],[Total HH]])</f>
        <v>0</v>
      </c>
      <c r="BZ17" s="721">
        <f>WWWW[[#This Row],['# HH received soaps]]*5</f>
        <v>0</v>
      </c>
      <c r="CA17" s="721">
        <f>WWWW[[#This Row],['# HH received Sanitary Pads]]*5</f>
        <v>0</v>
      </c>
      <c r="CB17" s="406">
        <f>IF(WWWW[[#This Row],['# People with access to soap]]&gt;WWWW[[#This Row],['# People with access to Sanity Pads]],WWWW[[#This Row],['# People with access to soap]],WWWW[[#This Row],['# People with access to Sanity Pads]])</f>
        <v>0</v>
      </c>
      <c r="CC17" s="43">
        <f>WWWW[[#This Row],[Total HH]]*WWWW[[#This Row],[%HHs with access to functional hand washing stations]]</f>
        <v>0</v>
      </c>
      <c r="CD17" s="240">
        <f>VLOOKUP(WWWW[[#This Row],[Site Name]],SiteDB6[],8,FALSE)</f>
        <v>0</v>
      </c>
      <c r="CE17" s="240">
        <f>VLOOKUP(WWWW[[#This Row],[Site Name]],SiteDB6[],9,FALSE)</f>
        <v>0</v>
      </c>
      <c r="CF17" s="240" t="str">
        <f>VLOOKUP(WWWW[[#This Row],[Site Name]],SiteDB6[],10,FALSE)</f>
        <v>Camp</v>
      </c>
      <c r="CG17" s="240" t="str">
        <f>VLOOKUP(WWWW[[#This Row],[Site Name]],SiteDB6[],11,FALSE)</f>
        <v>Camp</v>
      </c>
      <c r="CH17" s="240" t="str">
        <f>VLOOKUP(WWWW[[#This Row],[Site Name]],SiteDB6[],12,FALSE)</f>
        <v>Host Families</v>
      </c>
      <c r="CI17" s="240" t="str">
        <f>VLOOKUP(WWWW[[#This Row],[Site Name]],SiteDB6[],13,FALSE)</f>
        <v>GCA</v>
      </c>
      <c r="CJ17" s="240">
        <f>VLOOKUP(WWWW[[#This Row],[Site Name]],SiteDB6[],14,FALSE)</f>
        <v>24.118618999999999</v>
      </c>
      <c r="CK17" s="240">
        <f>VLOOKUP(WWWW[[#This Row],[Site Name]],SiteDB6[],15,FALSE)</f>
        <v>97.298055000000005</v>
      </c>
      <c r="CL17" s="240" t="str">
        <f>VLOOKUP(WWWW[[#This Row],[Site Name]],SiteDB6[],4,FALSE)</f>
        <v>MMR001CMP196</v>
      </c>
      <c r="CM17" s="42" t="str">
        <f t="shared" si="0"/>
        <v>Notcovered</v>
      </c>
      <c r="CN17" s="42"/>
    </row>
    <row r="18" spans="1:92" ht="15.75" hidden="1" customHeight="1" x14ac:dyDescent="0.25">
      <c r="A18" s="548" t="s">
        <v>1409</v>
      </c>
      <c r="B18" s="530" t="s">
        <v>470</v>
      </c>
      <c r="C18" s="530" t="s">
        <v>44</v>
      </c>
      <c r="D18" s="530" t="s">
        <v>313</v>
      </c>
      <c r="E18" s="530" t="s">
        <v>1223</v>
      </c>
      <c r="F18" s="402">
        <v>27</v>
      </c>
      <c r="G18" s="405">
        <v>121</v>
      </c>
      <c r="H18" s="402"/>
      <c r="I18" s="402"/>
      <c r="J18" s="403"/>
      <c r="K18" s="402"/>
      <c r="L18" s="402" t="s">
        <v>292</v>
      </c>
      <c r="M18" s="404">
        <v>0</v>
      </c>
      <c r="N18" s="404">
        <v>0</v>
      </c>
      <c r="O18" s="605"/>
      <c r="P18" s="606"/>
      <c r="Q18" s="606"/>
      <c r="R18" s="607"/>
      <c r="S18" s="607"/>
      <c r="T18" s="607"/>
      <c r="U18" s="607"/>
      <c r="V18" s="607"/>
      <c r="W18" s="607"/>
      <c r="X18" s="607"/>
      <c r="Y18" s="607"/>
      <c r="Z18" s="598">
        <v>0</v>
      </c>
      <c r="AA18" s="598"/>
      <c r="AB18" s="80"/>
      <c r="AC18" s="598"/>
      <c r="AD18" s="598" t="s">
        <v>296</v>
      </c>
      <c r="AE18" s="599" t="s">
        <v>296</v>
      </c>
      <c r="AF18" s="599"/>
      <c r="AG18" s="598"/>
      <c r="AH18" s="598"/>
      <c r="AI18" s="649"/>
      <c r="AJ18" s="650"/>
      <c r="AK18" s="650"/>
      <c r="AL18" s="645"/>
      <c r="AM18" s="645"/>
      <c r="AN18" s="646"/>
      <c r="AO18" s="600"/>
      <c r="AP18" s="600"/>
      <c r="AQ18" s="651"/>
      <c r="AR18" s="404" t="str">
        <f>IFERROR(WWWW[[#This Row],['# of Water passed at source]]/WWWW[[#This Row],['# of Water tested at source]],"no test")</f>
        <v>no test</v>
      </c>
      <c r="AS18" s="407" t="str">
        <f>IFERROR(WWWW[[#This Row],['# of Water passed at HH]]/WWWW[[#This Row],['# of Water tested at HH]],"no test")</f>
        <v>no test</v>
      </c>
      <c r="AT18" s="237">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U18" s="407">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AV18" s="407">
        <f>IF(WWWW[[#This Row],[Location Type 1]]="Village",WWWW[[#This Row],[Access to safe drinking water for Village]],WWWW[[#This Row],[Access to safe drinking water for Camp]])</f>
        <v>0</v>
      </c>
      <c r="AW18" s="405">
        <f>WWWW[[#This Row],[%Equitable and continuous access to sufficient quantity of safe drinking water]]*WWWW[[#This Row],[Total PoP ]]</f>
        <v>0</v>
      </c>
      <c r="AX18" s="407">
        <f>IF((WWWW[[#This Row],['# Existing protected/fenced ponds ]]*250)/WWWW[[#This Row],[Total PoP ]]&gt;1,1,WWWW[[#This Row],['# Existing protected/fenced ponds ]]*250/WWWW[[#This Row],[Total PoP ]])</f>
        <v>0</v>
      </c>
      <c r="AY18" s="405">
        <f>WWWW[[#This Row],[Access to unimproved water points]]*WWWW[[#This Row],[Total PoP ]]</f>
        <v>0</v>
      </c>
      <c r="AZ18" s="407">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A18" s="405">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B18" s="405">
        <f>WWWW[[#This Row],['#people Equitable and continuous access to sufficient quantity of domestic water borehole n ponds_2]]/500</f>
        <v>0</v>
      </c>
      <c r="BC18" s="404">
        <f>1-WWWW[[#This Row],[%Equitable and continuous access to sufficient quantity of domestic water borehole n ponds]]</f>
        <v>1</v>
      </c>
      <c r="BD18" s="405">
        <f>WWWW[[#This Row],[%equitable and continuous access to sufficient quantity of safe drinking and domestic water''s GAP]]*WWWW[[#This Row],[Total PoP ]]</f>
        <v>121</v>
      </c>
      <c r="BE18" s="406">
        <f>IF(WWWW[[#This Row],[Total required water points]]-WWWW[[#This Row],['#Water points coverage]]&lt;0,0,WWWW[[#This Row],[Total required water points]]-WWWW[[#This Row],['#Water points coverage]])</f>
        <v>1</v>
      </c>
      <c r="BF18" s="406">
        <f>ROUND(IF(WWWW[[#This Row],[Total PoP ]]&lt;500,1,WWWW[[#This Row],[Total PoP ]]/500),0)</f>
        <v>1</v>
      </c>
      <c r="BG18" s="406" t="str">
        <f>IF(AND(WWWW[[#This Row],[%of Water samples which passed at water source]]="no test",WWWW[[#This Row],[%Water samples which passed at HH]]="no test"),"No Test","Tested")</f>
        <v>No Test</v>
      </c>
      <c r="BH18" s="406">
        <f>WWWW[[#This Row],['# Existing functional latrines]]+WWWW[[#This Row],['# Existing latrines dysfunctional]]</f>
        <v>0</v>
      </c>
      <c r="BI18" s="404">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J18" s="676">
        <f>WWWW[[#This Row],[% people access to functioning Latrine]]*WWWW[[#This Row],[Total PoP ]]</f>
        <v>0</v>
      </c>
      <c r="BK18" s="404">
        <f>IF(WWWW[[#This Row],[Location Type 1]]="camp",WWWW[[#This Row],['# potential required new latrines]]/(WWWW[[#This Row],[Total PoP ]]/20),WWWW[[#This Row],['# potential required new latrines]]/(WWWW[[#This Row],[Total PoP ]]/6))</f>
        <v>0.99173553719008267</v>
      </c>
      <c r="BL18" s="405">
        <f>IF(WWWW[[#This Row],[Total required Latrines]]-WWWW[[#This Row],[Total '# of latrine]]&lt;0,0,WWWW[[#This Row],[Total required Latrines]]-WWWW[[#This Row],[Total '# of latrine]])</f>
        <v>6</v>
      </c>
      <c r="BM18" s="406">
        <f>ROUND(IF(WWWW[[#This Row],[Location Type 1]]="camp",WWWW[[#This Row],[Total PoP ]]/20,WWWW[[#This Row],[Total PoP ]]/6),0)</f>
        <v>6</v>
      </c>
      <c r="BN18" s="408">
        <f>IF(OR(WWWW[[#This Row],['# Existing latrines dysfunctional]]="",WWWW[[#This Row],['# Existing latrines dysfunctional]]=0),0,WWWW[[#This Row],['# Existing latrines dysfunctional]]/WWWW[[#This Row],[Total '# of latrine]])</f>
        <v>0</v>
      </c>
      <c r="BO18" s="676">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P18" s="404">
        <f>WWWW[[#This Row],[People adopt basic personal and community hygiene practices]]/WWWW[[#This Row],[Total PoP ]]</f>
        <v>0</v>
      </c>
      <c r="BQ18" s="408">
        <f>1-WWWW[[#This Row],[Hygiene Coverage%]]</f>
        <v>1</v>
      </c>
      <c r="BR18" s="405">
        <f>IF(500*WWWW[[#This Row],['# Hygiene Promoters ]]&gt;WWWW[[#This Row],[Total PoP ]],WWWW[[#This Row],[Total PoP ]],500*WWWW[[#This Row],['# Hygiene Promoters ]])</f>
        <v>0</v>
      </c>
      <c r="BS18" s="405">
        <f>IF(WWWW[[#This Row],[% of HH with access to Sanitary Pad]]&gt;=100%,1,0)</f>
        <v>0</v>
      </c>
      <c r="BT18" s="405">
        <f>IF(WWWW[[#This Row],[Total PoP ]]=0,0,IF(WWWW[[#This Row],['# Hygiene Promoters ]]=0,0,IF(WWWW[[#This Row],[Location Type 1]]="Village",IF(WWWW[[#This Row],[Total PoP ]]/WWWW[[#This Row],['# Hygiene Promoters ]]&lt;1000,1,0),IF(WWWW[[#This Row],[Total PoP ]]/WWWW[[#This Row],['# Hygiene Promoters ]]&lt;600,1,0))))</f>
        <v>0</v>
      </c>
      <c r="BU18" s="405">
        <f>IF(WWWW[[#This Row],[%HH with access to soap]]&gt;=100%,1,0)</f>
        <v>0</v>
      </c>
      <c r="BV18" s="405">
        <f>IF(WWWW[[#This Row],[% of HHs with access to Sanitary pad more than '#%]]+WWWW[[#This Row],[Ratio of Hyiene promoters to people less than '#]]+WWWW[[#This Row],[% of HHs with access to soap more than '#%]]&gt;=2,WWWW[[#This Row],[Total PoP ]],0)</f>
        <v>0</v>
      </c>
      <c r="BW18" s="391">
        <f>WWWW[[#This Row],['# people reached by regular dedicated hygiene promotion_5]]/WWWW[[#This Row],[Total PoP ]]</f>
        <v>0</v>
      </c>
      <c r="BX18" s="391">
        <f>IF(WWWW[[#This Row],['# HH received soaps]]/WWWW[[#This Row],[Total HH]]&gt;1,1,WWWW[[#This Row],['# HH received soaps]]/WWWW[[#This Row],[Total HH]])</f>
        <v>0</v>
      </c>
      <c r="BY18" s="391">
        <f>IF(WWWW[[#This Row],['# HH received Sanitary Pads]]/WWWW[[#This Row],[Total HH]]&gt;1,1,WWWW[[#This Row],['# HH received Sanitary Pads]]/WWWW[[#This Row],[Total HH]])</f>
        <v>0</v>
      </c>
      <c r="BZ18" s="721">
        <f>WWWW[[#This Row],['# HH received soaps]]*5</f>
        <v>0</v>
      </c>
      <c r="CA18" s="721">
        <f>WWWW[[#This Row],['# HH received Sanitary Pads]]*5</f>
        <v>0</v>
      </c>
      <c r="CB18" s="406">
        <f>IF(WWWW[[#This Row],['# People with access to soap]]&gt;WWWW[[#This Row],['# People with access to Sanity Pads]],WWWW[[#This Row],['# People with access to soap]],WWWW[[#This Row],['# People with access to Sanity Pads]])</f>
        <v>0</v>
      </c>
      <c r="CC18" s="405">
        <f>WWWW[[#This Row],[Total HH]]*WWWW[[#This Row],[%HHs with access to functional hand washing stations]]</f>
        <v>0</v>
      </c>
      <c r="CD18" s="240">
        <f>VLOOKUP(WWWW[[#This Row],[Site Name]],SiteDB6[],8,FALSE)</f>
        <v>0</v>
      </c>
      <c r="CE18" s="240">
        <f>VLOOKUP(WWWW[[#This Row],[Site Name]],SiteDB6[],9,FALSE)</f>
        <v>0</v>
      </c>
      <c r="CF18" s="240" t="str">
        <f>VLOOKUP(WWWW[[#This Row],[Site Name]],SiteDB6[],10,FALSE)</f>
        <v>Camp</v>
      </c>
      <c r="CG18" s="240" t="str">
        <f>VLOOKUP(WWWW[[#This Row],[Site Name]],SiteDB6[],11,FALSE)</f>
        <v>Camp</v>
      </c>
      <c r="CH18" s="240" t="str">
        <f>VLOOKUP(WWWW[[#This Row],[Site Name]],SiteDB6[],12,FALSE)</f>
        <v>Host Families</v>
      </c>
      <c r="CI18" s="240" t="str">
        <f>VLOOKUP(WWWW[[#This Row],[Site Name]],SiteDB6[],13,FALSE)</f>
        <v>GCA</v>
      </c>
      <c r="CJ18" s="240">
        <f>VLOOKUP(WWWW[[#This Row],[Site Name]],SiteDB6[],14,FALSE)</f>
        <v>24.996279999999999</v>
      </c>
      <c r="CK18" s="240">
        <f>VLOOKUP(WWWW[[#This Row],[Site Name]],SiteDB6[],15,FALSE)</f>
        <v>96.52534</v>
      </c>
      <c r="CL18" s="240" t="str">
        <f>VLOOKUP(WWWW[[#This Row],[Site Name]],SiteDB6[],4,FALSE)</f>
        <v>MMR001CMP232</v>
      </c>
      <c r="CM18" s="404" t="str">
        <f t="shared" si="0"/>
        <v>Notcovered</v>
      </c>
      <c r="CN18" s="404"/>
    </row>
    <row r="19" spans="1:92" ht="15.75" hidden="1" customHeight="1" x14ac:dyDescent="0.25">
      <c r="A19" s="548" t="s">
        <v>1409</v>
      </c>
      <c r="B19" s="530" t="s">
        <v>470</v>
      </c>
      <c r="C19" s="530" t="s">
        <v>44</v>
      </c>
      <c r="D19" s="530" t="s">
        <v>313</v>
      </c>
      <c r="E19" s="530" t="s">
        <v>1219</v>
      </c>
      <c r="F19" s="402">
        <v>14</v>
      </c>
      <c r="G19" s="405">
        <v>63</v>
      </c>
      <c r="H19" s="402"/>
      <c r="I19" s="402"/>
      <c r="J19" s="403"/>
      <c r="K19" s="402"/>
      <c r="L19" s="402" t="s">
        <v>292</v>
      </c>
      <c r="M19" s="404">
        <v>0</v>
      </c>
      <c r="N19" s="404">
        <v>0</v>
      </c>
      <c r="O19" s="605"/>
      <c r="P19" s="606"/>
      <c r="Q19" s="606"/>
      <c r="R19" s="607"/>
      <c r="S19" s="607"/>
      <c r="T19" s="607"/>
      <c r="U19" s="607"/>
      <c r="V19" s="607"/>
      <c r="W19" s="607"/>
      <c r="X19" s="607"/>
      <c r="Y19" s="607"/>
      <c r="Z19" s="598">
        <v>0</v>
      </c>
      <c r="AA19" s="598"/>
      <c r="AB19" s="80"/>
      <c r="AC19" s="598"/>
      <c r="AD19" s="598" t="s">
        <v>296</v>
      </c>
      <c r="AE19" s="599" t="s">
        <v>296</v>
      </c>
      <c r="AF19" s="599"/>
      <c r="AG19" s="598"/>
      <c r="AH19" s="598"/>
      <c r="AI19" s="649"/>
      <c r="AJ19" s="650"/>
      <c r="AK19" s="650"/>
      <c r="AL19" s="645"/>
      <c r="AM19" s="645"/>
      <c r="AN19" s="646"/>
      <c r="AO19" s="600"/>
      <c r="AP19" s="600"/>
      <c r="AQ19" s="651"/>
      <c r="AR19" s="404" t="str">
        <f>IFERROR(WWWW[[#This Row],['# of Water passed at source]]/WWWW[[#This Row],['# of Water tested at source]],"no test")</f>
        <v>no test</v>
      </c>
      <c r="AS19" s="407" t="str">
        <f>IFERROR(WWWW[[#This Row],['# of Water passed at HH]]/WWWW[[#This Row],['# of Water tested at HH]],"no test")</f>
        <v>no test</v>
      </c>
      <c r="AT19" s="237">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U19" s="407">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AV19" s="407">
        <f>IF(WWWW[[#This Row],[Location Type 1]]="Village",WWWW[[#This Row],[Access to safe drinking water for Village]],WWWW[[#This Row],[Access to safe drinking water for Camp]])</f>
        <v>0</v>
      </c>
      <c r="AW19" s="405">
        <f>WWWW[[#This Row],[%Equitable and continuous access to sufficient quantity of safe drinking water]]*WWWW[[#This Row],[Total PoP ]]</f>
        <v>0</v>
      </c>
      <c r="AX19" s="407">
        <f>IF((WWWW[[#This Row],['# Existing protected/fenced ponds ]]*250)/WWWW[[#This Row],[Total PoP ]]&gt;1,1,WWWW[[#This Row],['# Existing protected/fenced ponds ]]*250/WWWW[[#This Row],[Total PoP ]])</f>
        <v>0</v>
      </c>
      <c r="AY19" s="405">
        <f>WWWW[[#This Row],[Access to unimproved water points]]*WWWW[[#This Row],[Total PoP ]]</f>
        <v>0</v>
      </c>
      <c r="AZ19" s="407">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A19" s="405">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B19" s="405">
        <f>WWWW[[#This Row],['#people Equitable and continuous access to sufficient quantity of domestic water borehole n ponds_2]]/500</f>
        <v>0</v>
      </c>
      <c r="BC19" s="404">
        <f>1-WWWW[[#This Row],[%Equitable and continuous access to sufficient quantity of domestic water borehole n ponds]]</f>
        <v>1</v>
      </c>
      <c r="BD19" s="405">
        <f>WWWW[[#This Row],[%equitable and continuous access to sufficient quantity of safe drinking and domestic water''s GAP]]*WWWW[[#This Row],[Total PoP ]]</f>
        <v>63</v>
      </c>
      <c r="BE19" s="406">
        <f>IF(WWWW[[#This Row],[Total required water points]]-WWWW[[#This Row],['#Water points coverage]]&lt;0,0,WWWW[[#This Row],[Total required water points]]-WWWW[[#This Row],['#Water points coverage]])</f>
        <v>1</v>
      </c>
      <c r="BF19" s="406">
        <f>ROUND(IF(WWWW[[#This Row],[Total PoP ]]&lt;500,1,WWWW[[#This Row],[Total PoP ]]/500),0)</f>
        <v>1</v>
      </c>
      <c r="BG19" s="406" t="str">
        <f>IF(AND(WWWW[[#This Row],[%of Water samples which passed at water source]]="no test",WWWW[[#This Row],[%Water samples which passed at HH]]="no test"),"No Test","Tested")</f>
        <v>No Test</v>
      </c>
      <c r="BH19" s="406">
        <f>WWWW[[#This Row],['# Existing functional latrines]]+WWWW[[#This Row],['# Existing latrines dysfunctional]]</f>
        <v>0</v>
      </c>
      <c r="BI19" s="404">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J19" s="676">
        <f>WWWW[[#This Row],[% people access to functioning Latrine]]*WWWW[[#This Row],[Total PoP ]]</f>
        <v>0</v>
      </c>
      <c r="BK19" s="404">
        <f>IF(WWWW[[#This Row],[Location Type 1]]="camp",WWWW[[#This Row],['# potential required new latrines]]/(WWWW[[#This Row],[Total PoP ]]/20),WWWW[[#This Row],['# potential required new latrines]]/(WWWW[[#This Row],[Total PoP ]]/6))</f>
        <v>0.95238095238095244</v>
      </c>
      <c r="BL19" s="405">
        <f>IF(WWWW[[#This Row],[Total required Latrines]]-WWWW[[#This Row],[Total '# of latrine]]&lt;0,0,WWWW[[#This Row],[Total required Latrines]]-WWWW[[#This Row],[Total '# of latrine]])</f>
        <v>3</v>
      </c>
      <c r="BM19" s="406">
        <f>ROUND(IF(WWWW[[#This Row],[Location Type 1]]="camp",WWWW[[#This Row],[Total PoP ]]/20,WWWW[[#This Row],[Total PoP ]]/6),0)</f>
        <v>3</v>
      </c>
      <c r="BN19" s="408">
        <f>IF(OR(WWWW[[#This Row],['# Existing latrines dysfunctional]]="",WWWW[[#This Row],['# Existing latrines dysfunctional]]=0),0,WWWW[[#This Row],['# Existing latrines dysfunctional]]/WWWW[[#This Row],[Total '# of latrine]])</f>
        <v>0</v>
      </c>
      <c r="BO19" s="676">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P19" s="404">
        <f>WWWW[[#This Row],[People adopt basic personal and community hygiene practices]]/WWWW[[#This Row],[Total PoP ]]</f>
        <v>0</v>
      </c>
      <c r="BQ19" s="408">
        <f>1-WWWW[[#This Row],[Hygiene Coverage%]]</f>
        <v>1</v>
      </c>
      <c r="BR19" s="405">
        <f>IF(500*WWWW[[#This Row],['# Hygiene Promoters ]]&gt;WWWW[[#This Row],[Total PoP ]],WWWW[[#This Row],[Total PoP ]],500*WWWW[[#This Row],['# Hygiene Promoters ]])</f>
        <v>0</v>
      </c>
      <c r="BS19" s="405">
        <f>IF(WWWW[[#This Row],[% of HH with access to Sanitary Pad]]&gt;=100%,1,0)</f>
        <v>0</v>
      </c>
      <c r="BT19" s="405">
        <f>IF(WWWW[[#This Row],[Total PoP ]]=0,0,IF(WWWW[[#This Row],['# Hygiene Promoters ]]=0,0,IF(WWWW[[#This Row],[Location Type 1]]="Village",IF(WWWW[[#This Row],[Total PoP ]]/WWWW[[#This Row],['# Hygiene Promoters ]]&lt;1000,1,0),IF(WWWW[[#This Row],[Total PoP ]]/WWWW[[#This Row],['# Hygiene Promoters ]]&lt;600,1,0))))</f>
        <v>0</v>
      </c>
      <c r="BU19" s="405">
        <f>IF(WWWW[[#This Row],[%HH with access to soap]]&gt;=100%,1,0)</f>
        <v>0</v>
      </c>
      <c r="BV19" s="405">
        <f>IF(WWWW[[#This Row],[% of HHs with access to Sanitary pad more than '#%]]+WWWW[[#This Row],[Ratio of Hyiene promoters to people less than '#]]+WWWW[[#This Row],[% of HHs with access to soap more than '#%]]&gt;=2,WWWW[[#This Row],[Total PoP ]],0)</f>
        <v>0</v>
      </c>
      <c r="BW19" s="391">
        <f>WWWW[[#This Row],['# people reached by regular dedicated hygiene promotion_5]]/WWWW[[#This Row],[Total PoP ]]</f>
        <v>0</v>
      </c>
      <c r="BX19" s="391">
        <f>IF(WWWW[[#This Row],['# HH received soaps]]/WWWW[[#This Row],[Total HH]]&gt;1,1,WWWW[[#This Row],['# HH received soaps]]/WWWW[[#This Row],[Total HH]])</f>
        <v>0</v>
      </c>
      <c r="BY19" s="391">
        <f>IF(WWWW[[#This Row],['# HH received Sanitary Pads]]/WWWW[[#This Row],[Total HH]]&gt;1,1,WWWW[[#This Row],['# HH received Sanitary Pads]]/WWWW[[#This Row],[Total HH]])</f>
        <v>0</v>
      </c>
      <c r="BZ19" s="721">
        <f>WWWW[[#This Row],['# HH received soaps]]*5</f>
        <v>0</v>
      </c>
      <c r="CA19" s="721">
        <f>WWWW[[#This Row],['# HH received Sanitary Pads]]*5</f>
        <v>0</v>
      </c>
      <c r="CB19" s="406">
        <f>IF(WWWW[[#This Row],['# People with access to soap]]&gt;WWWW[[#This Row],['# People with access to Sanity Pads]],WWWW[[#This Row],['# People with access to soap]],WWWW[[#This Row],['# People with access to Sanity Pads]])</f>
        <v>0</v>
      </c>
      <c r="CC19" s="405">
        <f>WWWW[[#This Row],[Total HH]]*WWWW[[#This Row],[%HHs with access to functional hand washing stations]]</f>
        <v>0</v>
      </c>
      <c r="CD19" s="240">
        <f>VLOOKUP(WWWW[[#This Row],[Site Name]],SiteDB6[],8,FALSE)</f>
        <v>0</v>
      </c>
      <c r="CE19" s="240">
        <f>VLOOKUP(WWWW[[#This Row],[Site Name]],SiteDB6[],9,FALSE)</f>
        <v>0</v>
      </c>
      <c r="CF19" s="240" t="str">
        <f>VLOOKUP(WWWW[[#This Row],[Site Name]],SiteDB6[],10,FALSE)</f>
        <v>Camp</v>
      </c>
      <c r="CG19" s="240" t="str">
        <f>VLOOKUP(WWWW[[#This Row],[Site Name]],SiteDB6[],11,FALSE)</f>
        <v>Camp</v>
      </c>
      <c r="CH19" s="240" t="str">
        <f>VLOOKUP(WWWW[[#This Row],[Site Name]],SiteDB6[],12,FALSE)</f>
        <v>Host Families</v>
      </c>
      <c r="CI19" s="240" t="str">
        <f>VLOOKUP(WWWW[[#This Row],[Site Name]],SiteDB6[],13,FALSE)</f>
        <v>GCA</v>
      </c>
      <c r="CJ19" s="240">
        <f>VLOOKUP(WWWW[[#This Row],[Site Name]],SiteDB6[],14,FALSE)</f>
        <v>24.764959999999999</v>
      </c>
      <c r="CK19" s="240">
        <f>VLOOKUP(WWWW[[#This Row],[Site Name]],SiteDB6[],15,FALSE)</f>
        <v>96.366919999999993</v>
      </c>
      <c r="CL19" s="240" t="str">
        <f>VLOOKUP(WWWW[[#This Row],[Site Name]],SiteDB6[],4,FALSE)</f>
        <v>MMR001CMP233</v>
      </c>
      <c r="CM19" s="404" t="str">
        <f t="shared" si="0"/>
        <v>Notcovered</v>
      </c>
      <c r="CN19" s="404"/>
    </row>
    <row r="20" spans="1:92" ht="15.75" hidden="1" customHeight="1" x14ac:dyDescent="0.25">
      <c r="A20" s="548" t="s">
        <v>1409</v>
      </c>
      <c r="B20" s="530" t="s">
        <v>470</v>
      </c>
      <c r="C20" s="530" t="s">
        <v>44</v>
      </c>
      <c r="D20" s="530" t="s">
        <v>361</v>
      </c>
      <c r="E20" s="530" t="s">
        <v>1201</v>
      </c>
      <c r="F20" s="402">
        <v>3</v>
      </c>
      <c r="G20" s="405">
        <v>18</v>
      </c>
      <c r="H20" s="41"/>
      <c r="I20" s="41"/>
      <c r="J20" s="388"/>
      <c r="K20" s="41"/>
      <c r="L20" s="41" t="s">
        <v>292</v>
      </c>
      <c r="M20" s="42">
        <v>0</v>
      </c>
      <c r="N20" s="404">
        <v>0</v>
      </c>
      <c r="O20" s="605"/>
      <c r="P20" s="606"/>
      <c r="Q20" s="606"/>
      <c r="R20" s="607"/>
      <c r="S20" s="607"/>
      <c r="T20" s="607"/>
      <c r="U20" s="607"/>
      <c r="V20" s="607"/>
      <c r="W20" s="607"/>
      <c r="X20" s="607"/>
      <c r="Y20" s="607"/>
      <c r="Z20" s="598">
        <v>0</v>
      </c>
      <c r="AA20" s="598"/>
      <c r="AB20" s="80"/>
      <c r="AC20" s="598"/>
      <c r="AD20" s="598" t="s">
        <v>296</v>
      </c>
      <c r="AE20" s="599" t="s">
        <v>296</v>
      </c>
      <c r="AF20" s="599"/>
      <c r="AG20" s="598"/>
      <c r="AH20" s="598"/>
      <c r="AI20" s="649"/>
      <c r="AJ20" s="650"/>
      <c r="AK20" s="650"/>
      <c r="AL20" s="645"/>
      <c r="AM20" s="645"/>
      <c r="AN20" s="646"/>
      <c r="AO20" s="600"/>
      <c r="AP20" s="600"/>
      <c r="AQ20" s="651"/>
      <c r="AR20" s="42" t="str">
        <f>IFERROR(WWWW[[#This Row],['# of Water passed at source]]/WWWW[[#This Row],['# of Water tested at source]],"no test")</f>
        <v>no test</v>
      </c>
      <c r="AS20" s="389" t="str">
        <f>IFERROR(WWWW[[#This Row],['# of Water passed at HH]]/WWWW[[#This Row],['# of Water tested at HH]],"no test")</f>
        <v>no test</v>
      </c>
      <c r="AT20" s="237">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U20" s="407">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AV20" s="407">
        <f>IF(WWWW[[#This Row],[Location Type 1]]="Village",WWWW[[#This Row],[Access to safe drinking water for Village]],WWWW[[#This Row],[Access to safe drinking water for Camp]])</f>
        <v>0</v>
      </c>
      <c r="AW20" s="405">
        <f>WWWW[[#This Row],[%Equitable and continuous access to sufficient quantity of safe drinking water]]*WWWW[[#This Row],[Total PoP ]]</f>
        <v>0</v>
      </c>
      <c r="AX20" s="407">
        <f>IF((WWWW[[#This Row],['# Existing protected/fenced ponds ]]*250)/WWWW[[#This Row],[Total PoP ]]&gt;1,1,WWWW[[#This Row],['# Existing protected/fenced ponds ]]*250/WWWW[[#This Row],[Total PoP ]])</f>
        <v>0</v>
      </c>
      <c r="AY20" s="43">
        <f>WWWW[[#This Row],[Access to unimproved water points]]*WWWW[[#This Row],[Total PoP ]]</f>
        <v>0</v>
      </c>
      <c r="AZ20" s="407">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A20" s="405">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B20" s="405">
        <f>WWWW[[#This Row],['#people Equitable and continuous access to sufficient quantity of domestic water borehole n ponds_2]]/500</f>
        <v>0</v>
      </c>
      <c r="BC20" s="42">
        <f>1-WWWW[[#This Row],[%Equitable and continuous access to sufficient quantity of domestic water borehole n ponds]]</f>
        <v>1</v>
      </c>
      <c r="BD20" s="43">
        <f>WWWW[[#This Row],[%equitable and continuous access to sufficient quantity of safe drinking and domestic water''s GAP]]*WWWW[[#This Row],[Total PoP ]]</f>
        <v>18</v>
      </c>
      <c r="BE20" s="406">
        <f>IF(WWWW[[#This Row],[Total required water points]]-WWWW[[#This Row],['#Water points coverage]]&lt;0,0,WWWW[[#This Row],[Total required water points]]-WWWW[[#This Row],['#Water points coverage]])</f>
        <v>1</v>
      </c>
      <c r="BF20" s="406">
        <f>ROUND(IF(WWWW[[#This Row],[Total PoP ]]&lt;500,1,WWWW[[#This Row],[Total PoP ]]/500),0)</f>
        <v>1</v>
      </c>
      <c r="BG20" s="97" t="str">
        <f>IF(AND(WWWW[[#This Row],[%of Water samples which passed at water source]]="no test",WWWW[[#This Row],[%Water samples which passed at HH]]="no test"),"No Test","Tested")</f>
        <v>No Test</v>
      </c>
      <c r="BH20" s="97">
        <f>WWWW[[#This Row],['# Existing functional latrines]]+WWWW[[#This Row],['# Existing latrines dysfunctional]]</f>
        <v>0</v>
      </c>
      <c r="BI20" s="42">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J20" s="676">
        <f>WWWW[[#This Row],[% people access to functioning Latrine]]*WWWW[[#This Row],[Total PoP ]]</f>
        <v>0</v>
      </c>
      <c r="BK20" s="42">
        <f>IF(WWWW[[#This Row],[Location Type 1]]="camp",WWWW[[#This Row],['# potential required new latrines]]/(WWWW[[#This Row],[Total PoP ]]/20),WWWW[[#This Row],['# potential required new latrines]]/(WWWW[[#This Row],[Total PoP ]]/6))</f>
        <v>1.1111111111111112</v>
      </c>
      <c r="BL20" s="43">
        <f>IF(WWWW[[#This Row],[Total required Latrines]]-WWWW[[#This Row],[Total '# of latrine]]&lt;0,0,WWWW[[#This Row],[Total required Latrines]]-WWWW[[#This Row],[Total '# of latrine]])</f>
        <v>1</v>
      </c>
      <c r="BM20" s="97">
        <f>ROUND(IF(WWWW[[#This Row],[Location Type 1]]="camp",WWWW[[#This Row],[Total PoP ]]/20,WWWW[[#This Row],[Total PoP ]]/6),0)</f>
        <v>1</v>
      </c>
      <c r="BN20" s="390">
        <f>IF(OR(WWWW[[#This Row],['# Existing latrines dysfunctional]]="",WWWW[[#This Row],['# Existing latrines dysfunctional]]=0),0,WWWW[[#This Row],['# Existing latrines dysfunctional]]/WWWW[[#This Row],[Total '# of latrine]])</f>
        <v>0</v>
      </c>
      <c r="BO20" s="676">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P20" s="42">
        <f>WWWW[[#This Row],[People adopt basic personal and community hygiene practices]]/WWWW[[#This Row],[Total PoP ]]</f>
        <v>0</v>
      </c>
      <c r="BQ20" s="390">
        <f>1-WWWW[[#This Row],[Hygiene Coverage%]]</f>
        <v>1</v>
      </c>
      <c r="BR20" s="405">
        <f>IF(500*WWWW[[#This Row],['# Hygiene Promoters ]]&gt;WWWW[[#This Row],[Total PoP ]],WWWW[[#This Row],[Total PoP ]],500*WWWW[[#This Row],['# Hygiene Promoters ]])</f>
        <v>0</v>
      </c>
      <c r="BS20" s="405">
        <f>IF(WWWW[[#This Row],[% of HH with access to Sanitary Pad]]&gt;=100%,1,0)</f>
        <v>0</v>
      </c>
      <c r="BT20" s="405">
        <f>IF(WWWW[[#This Row],[Total PoP ]]=0,0,IF(WWWW[[#This Row],['# Hygiene Promoters ]]=0,0,IF(WWWW[[#This Row],[Location Type 1]]="Village",IF(WWWW[[#This Row],[Total PoP ]]/WWWW[[#This Row],['# Hygiene Promoters ]]&lt;1000,1,0),IF(WWWW[[#This Row],[Total PoP ]]/WWWW[[#This Row],['# Hygiene Promoters ]]&lt;600,1,0))))</f>
        <v>0</v>
      </c>
      <c r="BU20" s="405">
        <f>IF(WWWW[[#This Row],[%HH with access to soap]]&gt;=100%,1,0)</f>
        <v>0</v>
      </c>
      <c r="BV20" s="405">
        <f>IF(WWWW[[#This Row],[% of HHs with access to Sanitary pad more than '#%]]+WWWW[[#This Row],[Ratio of Hyiene promoters to people less than '#]]+WWWW[[#This Row],[% of HHs with access to soap more than '#%]]&gt;=2,WWWW[[#This Row],[Total PoP ]],0)</f>
        <v>0</v>
      </c>
      <c r="BW20" s="391">
        <f>WWWW[[#This Row],['# people reached by regular dedicated hygiene promotion_5]]/WWWW[[#This Row],[Total PoP ]]</f>
        <v>0</v>
      </c>
      <c r="BX20" s="391">
        <f>IF(WWWW[[#This Row],['# HH received soaps]]/WWWW[[#This Row],[Total HH]]&gt;1,1,WWWW[[#This Row],['# HH received soaps]]/WWWW[[#This Row],[Total HH]])</f>
        <v>0</v>
      </c>
      <c r="BY20" s="391">
        <f>IF(WWWW[[#This Row],['# HH received Sanitary Pads]]/WWWW[[#This Row],[Total HH]]&gt;1,1,WWWW[[#This Row],['# HH received Sanitary Pads]]/WWWW[[#This Row],[Total HH]])</f>
        <v>0</v>
      </c>
      <c r="BZ20" s="721">
        <f>WWWW[[#This Row],['# HH received soaps]]*5</f>
        <v>0</v>
      </c>
      <c r="CA20" s="721">
        <f>WWWW[[#This Row],['# HH received Sanitary Pads]]*5</f>
        <v>0</v>
      </c>
      <c r="CB20" s="406">
        <f>IF(WWWW[[#This Row],['# People with access to soap]]&gt;WWWW[[#This Row],['# People with access to Sanity Pads]],WWWW[[#This Row],['# People with access to soap]],WWWW[[#This Row],['# People with access to Sanity Pads]])</f>
        <v>0</v>
      </c>
      <c r="CC20" s="43">
        <f>WWWW[[#This Row],[Total HH]]*WWWW[[#This Row],[%HHs with access to functional hand washing stations]]</f>
        <v>0</v>
      </c>
      <c r="CD20" s="240">
        <f>VLOOKUP(WWWW[[#This Row],[Site Name]],SiteDB6[],8,FALSE)</f>
        <v>0</v>
      </c>
      <c r="CE20" s="240">
        <f>VLOOKUP(WWWW[[#This Row],[Site Name]],SiteDB6[],9,FALSE)</f>
        <v>0</v>
      </c>
      <c r="CF20" s="240" t="str">
        <f>VLOOKUP(WWWW[[#This Row],[Site Name]],SiteDB6[],10,FALSE)</f>
        <v>Camp</v>
      </c>
      <c r="CG20" s="240" t="str">
        <f>VLOOKUP(WWWW[[#This Row],[Site Name]],SiteDB6[],11,FALSE)</f>
        <v>Camp</v>
      </c>
      <c r="CH20" s="240" t="str">
        <f>VLOOKUP(WWWW[[#This Row],[Site Name]],SiteDB6[],12,FALSE)</f>
        <v>Host Families</v>
      </c>
      <c r="CI20" s="240" t="str">
        <f>VLOOKUP(WWWW[[#This Row],[Site Name]],SiteDB6[],13,FALSE)</f>
        <v>GCA</v>
      </c>
      <c r="CJ20" s="240">
        <f>VLOOKUP(WWWW[[#This Row],[Site Name]],SiteDB6[],14,FALSE)</f>
        <v>24.377054000000001</v>
      </c>
      <c r="CK20" s="240">
        <f>VLOOKUP(WWWW[[#This Row],[Site Name]],SiteDB6[],15,FALSE)</f>
        <v>97.343406999999999</v>
      </c>
      <c r="CL20" s="240" t="str">
        <f>VLOOKUP(WWWW[[#This Row],[Site Name]],SiteDB6[],4,FALSE)</f>
        <v>MMR001CMP200</v>
      </c>
      <c r="CM20" s="42" t="str">
        <f t="shared" si="0"/>
        <v>Notcovered</v>
      </c>
      <c r="CN20" s="42"/>
    </row>
    <row r="21" spans="1:92" ht="15.75" hidden="1" customHeight="1" x14ac:dyDescent="0.25">
      <c r="A21" s="548" t="s">
        <v>1409</v>
      </c>
      <c r="B21" s="530" t="s">
        <v>470</v>
      </c>
      <c r="C21" s="530" t="s">
        <v>44</v>
      </c>
      <c r="D21" s="530" t="s">
        <v>361</v>
      </c>
      <c r="E21" s="530" t="s">
        <v>1203</v>
      </c>
      <c r="F21" s="402">
        <v>47</v>
      </c>
      <c r="G21" s="405">
        <v>153</v>
      </c>
      <c r="H21" s="41"/>
      <c r="I21" s="41"/>
      <c r="J21" s="388"/>
      <c r="K21" s="41"/>
      <c r="L21" s="41" t="s">
        <v>292</v>
      </c>
      <c r="M21" s="42">
        <v>0</v>
      </c>
      <c r="N21" s="404">
        <v>0</v>
      </c>
      <c r="O21" s="605"/>
      <c r="P21" s="606"/>
      <c r="Q21" s="606"/>
      <c r="R21" s="607"/>
      <c r="S21" s="607"/>
      <c r="T21" s="607"/>
      <c r="U21" s="607"/>
      <c r="V21" s="607"/>
      <c r="W21" s="607"/>
      <c r="X21" s="607"/>
      <c r="Y21" s="607"/>
      <c r="Z21" s="598">
        <v>0</v>
      </c>
      <c r="AA21" s="598"/>
      <c r="AB21" s="80"/>
      <c r="AC21" s="598"/>
      <c r="AD21" s="598" t="s">
        <v>296</v>
      </c>
      <c r="AE21" s="599" t="s">
        <v>296</v>
      </c>
      <c r="AF21" s="599"/>
      <c r="AG21" s="598"/>
      <c r="AH21" s="598"/>
      <c r="AI21" s="649"/>
      <c r="AJ21" s="650"/>
      <c r="AK21" s="650"/>
      <c r="AL21" s="645"/>
      <c r="AM21" s="645"/>
      <c r="AN21" s="646"/>
      <c r="AO21" s="600"/>
      <c r="AP21" s="600"/>
      <c r="AQ21" s="651"/>
      <c r="AR21" s="42" t="str">
        <f>IFERROR(WWWW[[#This Row],['# of Water passed at source]]/WWWW[[#This Row],['# of Water tested at source]],"no test")</f>
        <v>no test</v>
      </c>
      <c r="AS21" s="389" t="str">
        <f>IFERROR(WWWW[[#This Row],['# of Water passed at HH]]/WWWW[[#This Row],['# of Water tested at HH]],"no test")</f>
        <v>no test</v>
      </c>
      <c r="AT21" s="237">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U21" s="407">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AV21" s="407">
        <f>IF(WWWW[[#This Row],[Location Type 1]]="Village",WWWW[[#This Row],[Access to safe drinking water for Village]],WWWW[[#This Row],[Access to safe drinking water for Camp]])</f>
        <v>0</v>
      </c>
      <c r="AW21" s="405">
        <f>WWWW[[#This Row],[%Equitable and continuous access to sufficient quantity of safe drinking water]]*WWWW[[#This Row],[Total PoP ]]</f>
        <v>0</v>
      </c>
      <c r="AX21" s="407">
        <f>IF((WWWW[[#This Row],['# Existing protected/fenced ponds ]]*250)/WWWW[[#This Row],[Total PoP ]]&gt;1,1,WWWW[[#This Row],['# Existing protected/fenced ponds ]]*250/WWWW[[#This Row],[Total PoP ]])</f>
        <v>0</v>
      </c>
      <c r="AY21" s="43">
        <f>WWWW[[#This Row],[Access to unimproved water points]]*WWWW[[#This Row],[Total PoP ]]</f>
        <v>0</v>
      </c>
      <c r="AZ21" s="407">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A21" s="405">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B21" s="405">
        <f>WWWW[[#This Row],['#people Equitable and continuous access to sufficient quantity of domestic water borehole n ponds_2]]/500</f>
        <v>0</v>
      </c>
      <c r="BC21" s="42">
        <f>1-WWWW[[#This Row],[%Equitable and continuous access to sufficient quantity of domestic water borehole n ponds]]</f>
        <v>1</v>
      </c>
      <c r="BD21" s="43">
        <f>WWWW[[#This Row],[%equitable and continuous access to sufficient quantity of safe drinking and domestic water''s GAP]]*WWWW[[#This Row],[Total PoP ]]</f>
        <v>153</v>
      </c>
      <c r="BE21" s="406">
        <f>IF(WWWW[[#This Row],[Total required water points]]-WWWW[[#This Row],['#Water points coverage]]&lt;0,0,WWWW[[#This Row],[Total required water points]]-WWWW[[#This Row],['#Water points coverage]])</f>
        <v>1</v>
      </c>
      <c r="BF21" s="406">
        <f>ROUND(IF(WWWW[[#This Row],[Total PoP ]]&lt;500,1,WWWW[[#This Row],[Total PoP ]]/500),0)</f>
        <v>1</v>
      </c>
      <c r="BG21" s="97" t="str">
        <f>IF(AND(WWWW[[#This Row],[%of Water samples which passed at water source]]="no test",WWWW[[#This Row],[%Water samples which passed at HH]]="no test"),"No Test","Tested")</f>
        <v>No Test</v>
      </c>
      <c r="BH21" s="97">
        <f>WWWW[[#This Row],['# Existing functional latrines]]+WWWW[[#This Row],['# Existing latrines dysfunctional]]</f>
        <v>0</v>
      </c>
      <c r="BI21" s="42">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J21" s="676">
        <f>WWWW[[#This Row],[% people access to functioning Latrine]]*WWWW[[#This Row],[Total PoP ]]</f>
        <v>0</v>
      </c>
      <c r="BK21" s="42">
        <f>IF(WWWW[[#This Row],[Location Type 1]]="camp",WWWW[[#This Row],['# potential required new latrines]]/(WWWW[[#This Row],[Total PoP ]]/20),WWWW[[#This Row],['# potential required new latrines]]/(WWWW[[#This Row],[Total PoP ]]/6))</f>
        <v>1.0457516339869282</v>
      </c>
      <c r="BL21" s="43">
        <f>IF(WWWW[[#This Row],[Total required Latrines]]-WWWW[[#This Row],[Total '# of latrine]]&lt;0,0,WWWW[[#This Row],[Total required Latrines]]-WWWW[[#This Row],[Total '# of latrine]])</f>
        <v>8</v>
      </c>
      <c r="BM21" s="97">
        <f>ROUND(IF(WWWW[[#This Row],[Location Type 1]]="camp",WWWW[[#This Row],[Total PoP ]]/20,WWWW[[#This Row],[Total PoP ]]/6),0)</f>
        <v>8</v>
      </c>
      <c r="BN21" s="390">
        <f>IF(OR(WWWW[[#This Row],['# Existing latrines dysfunctional]]="",WWWW[[#This Row],['# Existing latrines dysfunctional]]=0),0,WWWW[[#This Row],['# Existing latrines dysfunctional]]/WWWW[[#This Row],[Total '# of latrine]])</f>
        <v>0</v>
      </c>
      <c r="BO21" s="676">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P21" s="42">
        <f>WWWW[[#This Row],[People adopt basic personal and community hygiene practices]]/WWWW[[#This Row],[Total PoP ]]</f>
        <v>0</v>
      </c>
      <c r="BQ21" s="390">
        <f>1-WWWW[[#This Row],[Hygiene Coverage%]]</f>
        <v>1</v>
      </c>
      <c r="BR21" s="405">
        <f>IF(500*WWWW[[#This Row],['# Hygiene Promoters ]]&gt;WWWW[[#This Row],[Total PoP ]],WWWW[[#This Row],[Total PoP ]],500*WWWW[[#This Row],['# Hygiene Promoters ]])</f>
        <v>0</v>
      </c>
      <c r="BS21" s="405">
        <f>IF(WWWW[[#This Row],[% of HH with access to Sanitary Pad]]&gt;=100%,1,0)</f>
        <v>0</v>
      </c>
      <c r="BT21" s="405">
        <f>IF(WWWW[[#This Row],[Total PoP ]]=0,0,IF(WWWW[[#This Row],['# Hygiene Promoters ]]=0,0,IF(WWWW[[#This Row],[Location Type 1]]="Village",IF(WWWW[[#This Row],[Total PoP ]]/WWWW[[#This Row],['# Hygiene Promoters ]]&lt;1000,1,0),IF(WWWW[[#This Row],[Total PoP ]]/WWWW[[#This Row],['# Hygiene Promoters ]]&lt;600,1,0))))</f>
        <v>0</v>
      </c>
      <c r="BU21" s="405">
        <f>IF(WWWW[[#This Row],[%HH with access to soap]]&gt;=100%,1,0)</f>
        <v>0</v>
      </c>
      <c r="BV21" s="405">
        <f>IF(WWWW[[#This Row],[% of HHs with access to Sanitary pad more than '#%]]+WWWW[[#This Row],[Ratio of Hyiene promoters to people less than '#]]+WWWW[[#This Row],[% of HHs with access to soap more than '#%]]&gt;=2,WWWW[[#This Row],[Total PoP ]],0)</f>
        <v>0</v>
      </c>
      <c r="BW21" s="391">
        <f>WWWW[[#This Row],['# people reached by regular dedicated hygiene promotion_5]]/WWWW[[#This Row],[Total PoP ]]</f>
        <v>0</v>
      </c>
      <c r="BX21" s="391">
        <f>IF(WWWW[[#This Row],['# HH received soaps]]/WWWW[[#This Row],[Total HH]]&gt;1,1,WWWW[[#This Row],['# HH received soaps]]/WWWW[[#This Row],[Total HH]])</f>
        <v>0</v>
      </c>
      <c r="BY21" s="391">
        <f>IF(WWWW[[#This Row],['# HH received Sanitary Pads]]/WWWW[[#This Row],[Total HH]]&gt;1,1,WWWW[[#This Row],['# HH received Sanitary Pads]]/WWWW[[#This Row],[Total HH]])</f>
        <v>0</v>
      </c>
      <c r="BZ21" s="721">
        <f>WWWW[[#This Row],['# HH received soaps]]*5</f>
        <v>0</v>
      </c>
      <c r="CA21" s="721">
        <f>WWWW[[#This Row],['# HH received Sanitary Pads]]*5</f>
        <v>0</v>
      </c>
      <c r="CB21" s="406">
        <f>IF(WWWW[[#This Row],['# People with access to soap]]&gt;WWWW[[#This Row],['# People with access to Sanity Pads]],WWWW[[#This Row],['# People with access to soap]],WWWW[[#This Row],['# People with access to Sanity Pads]])</f>
        <v>0</v>
      </c>
      <c r="CC21" s="43">
        <f>WWWW[[#This Row],[Total HH]]*WWWW[[#This Row],[%HHs with access to functional hand washing stations]]</f>
        <v>0</v>
      </c>
      <c r="CD21" s="240">
        <f>VLOOKUP(WWWW[[#This Row],[Site Name]],SiteDB6[],8,FALSE)</f>
        <v>0</v>
      </c>
      <c r="CE21" s="240">
        <f>VLOOKUP(WWWW[[#This Row],[Site Name]],SiteDB6[],9,FALSE)</f>
        <v>0</v>
      </c>
      <c r="CF21" s="240" t="str">
        <f>VLOOKUP(WWWW[[#This Row],[Site Name]],SiteDB6[],10,FALSE)</f>
        <v>Camp</v>
      </c>
      <c r="CG21" s="240" t="str">
        <f>VLOOKUP(WWWW[[#This Row],[Site Name]],SiteDB6[],11,FALSE)</f>
        <v>Camp</v>
      </c>
      <c r="CH21" s="240" t="str">
        <f>VLOOKUP(WWWW[[#This Row],[Site Name]],SiteDB6[],12,FALSE)</f>
        <v>Host Families</v>
      </c>
      <c r="CI21" s="240" t="str">
        <f>VLOOKUP(WWWW[[#This Row],[Site Name]],SiteDB6[],13,FALSE)</f>
        <v>GCA</v>
      </c>
      <c r="CJ21" s="240">
        <f>VLOOKUP(WWWW[[#This Row],[Site Name]],SiteDB6[],14,FALSE)</f>
        <v>24.404876999999999</v>
      </c>
      <c r="CK21" s="240">
        <f>VLOOKUP(WWWW[[#This Row],[Site Name]],SiteDB6[],15,FALSE)</f>
        <v>97.407787999999996</v>
      </c>
      <c r="CL21" s="240" t="str">
        <f>VLOOKUP(WWWW[[#This Row],[Site Name]],SiteDB6[],4,FALSE)</f>
        <v>MMR001CMP061</v>
      </c>
      <c r="CM21" s="42" t="str">
        <f t="shared" si="0"/>
        <v>Notcovered</v>
      </c>
      <c r="CN21" s="42"/>
    </row>
    <row r="22" spans="1:92" ht="15.75" hidden="1" customHeight="1" x14ac:dyDescent="0.25">
      <c r="A22" s="548" t="s">
        <v>1409</v>
      </c>
      <c r="B22" s="530" t="s">
        <v>470</v>
      </c>
      <c r="C22" s="530" t="s">
        <v>44</v>
      </c>
      <c r="D22" s="530" t="s">
        <v>361</v>
      </c>
      <c r="E22" s="530" t="s">
        <v>1192</v>
      </c>
      <c r="F22" s="402">
        <v>223</v>
      </c>
      <c r="G22" s="405">
        <v>1067</v>
      </c>
      <c r="H22" s="402"/>
      <c r="I22" s="402"/>
      <c r="J22" s="403"/>
      <c r="K22" s="402"/>
      <c r="L22" s="402" t="s">
        <v>292</v>
      </c>
      <c r="M22" s="404">
        <v>0</v>
      </c>
      <c r="N22" s="404">
        <v>0</v>
      </c>
      <c r="O22" s="605"/>
      <c r="P22" s="606"/>
      <c r="Q22" s="606"/>
      <c r="R22" s="607"/>
      <c r="S22" s="607"/>
      <c r="T22" s="607"/>
      <c r="U22" s="607"/>
      <c r="V22" s="607"/>
      <c r="W22" s="607"/>
      <c r="X22" s="607"/>
      <c r="Y22" s="607"/>
      <c r="Z22" s="598">
        <v>0</v>
      </c>
      <c r="AA22" s="598"/>
      <c r="AB22" s="80"/>
      <c r="AC22" s="598"/>
      <c r="AD22" s="598" t="s">
        <v>296</v>
      </c>
      <c r="AE22" s="599" t="s">
        <v>296</v>
      </c>
      <c r="AF22" s="599"/>
      <c r="AG22" s="598"/>
      <c r="AH22" s="598"/>
      <c r="AI22" s="649"/>
      <c r="AJ22" s="650"/>
      <c r="AK22" s="650"/>
      <c r="AL22" s="645"/>
      <c r="AM22" s="645"/>
      <c r="AN22" s="646"/>
      <c r="AO22" s="600"/>
      <c r="AP22" s="600"/>
      <c r="AQ22" s="651"/>
      <c r="AR22" s="404" t="str">
        <f>IFERROR(WWWW[[#This Row],['# of Water passed at source]]/WWWW[[#This Row],['# of Water tested at source]],"no test")</f>
        <v>no test</v>
      </c>
      <c r="AS22" s="407" t="str">
        <f>IFERROR(WWWW[[#This Row],['# of Water passed at HH]]/WWWW[[#This Row],['# of Water tested at HH]],"no test")</f>
        <v>no test</v>
      </c>
      <c r="AT22" s="237">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U22" s="407">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AV22" s="407">
        <f>IF(WWWW[[#This Row],[Location Type 1]]="Village",WWWW[[#This Row],[Access to safe drinking water for Village]],WWWW[[#This Row],[Access to safe drinking water for Camp]])</f>
        <v>0</v>
      </c>
      <c r="AW22" s="405">
        <f>WWWW[[#This Row],[%Equitable and continuous access to sufficient quantity of safe drinking water]]*WWWW[[#This Row],[Total PoP ]]</f>
        <v>0</v>
      </c>
      <c r="AX22" s="407">
        <f>IF((WWWW[[#This Row],['# Existing protected/fenced ponds ]]*250)/WWWW[[#This Row],[Total PoP ]]&gt;1,1,WWWW[[#This Row],['# Existing protected/fenced ponds ]]*250/WWWW[[#This Row],[Total PoP ]])</f>
        <v>0</v>
      </c>
      <c r="AY22" s="405">
        <f>WWWW[[#This Row],[Access to unimproved water points]]*WWWW[[#This Row],[Total PoP ]]</f>
        <v>0</v>
      </c>
      <c r="AZ22" s="407">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A22" s="405">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B22" s="405">
        <f>WWWW[[#This Row],['#people Equitable and continuous access to sufficient quantity of domestic water borehole n ponds_2]]/500</f>
        <v>0</v>
      </c>
      <c r="BC22" s="404">
        <f>1-WWWW[[#This Row],[%Equitable and continuous access to sufficient quantity of domestic water borehole n ponds]]</f>
        <v>1</v>
      </c>
      <c r="BD22" s="405">
        <f>WWWW[[#This Row],[%equitable and continuous access to sufficient quantity of safe drinking and domestic water''s GAP]]*WWWW[[#This Row],[Total PoP ]]</f>
        <v>1067</v>
      </c>
      <c r="BE22" s="406">
        <f>IF(WWWW[[#This Row],[Total required water points]]-WWWW[[#This Row],['#Water points coverage]]&lt;0,0,WWWW[[#This Row],[Total required water points]]-WWWW[[#This Row],['#Water points coverage]])</f>
        <v>2</v>
      </c>
      <c r="BF22" s="406">
        <f>ROUND(IF(WWWW[[#This Row],[Total PoP ]]&lt;500,1,WWWW[[#This Row],[Total PoP ]]/500),0)</f>
        <v>2</v>
      </c>
      <c r="BG22" s="406" t="str">
        <f>IF(AND(WWWW[[#This Row],[%of Water samples which passed at water source]]="no test",WWWW[[#This Row],[%Water samples which passed at HH]]="no test"),"No Test","Tested")</f>
        <v>No Test</v>
      </c>
      <c r="BH22" s="406">
        <f>WWWW[[#This Row],['# Existing functional latrines]]+WWWW[[#This Row],['# Existing latrines dysfunctional]]</f>
        <v>0</v>
      </c>
      <c r="BI22" s="404">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J22" s="676">
        <f>WWWW[[#This Row],[% people access to functioning Latrine]]*WWWW[[#This Row],[Total PoP ]]</f>
        <v>0</v>
      </c>
      <c r="BK22" s="404">
        <f>IF(WWWW[[#This Row],[Location Type 1]]="camp",WWWW[[#This Row],['# potential required new latrines]]/(WWWW[[#This Row],[Total PoP ]]/20),WWWW[[#This Row],['# potential required new latrines]]/(WWWW[[#This Row],[Total PoP ]]/6))</f>
        <v>0.99343955014058105</v>
      </c>
      <c r="BL22" s="405">
        <f>IF(WWWW[[#This Row],[Total required Latrines]]-WWWW[[#This Row],[Total '# of latrine]]&lt;0,0,WWWW[[#This Row],[Total required Latrines]]-WWWW[[#This Row],[Total '# of latrine]])</f>
        <v>53</v>
      </c>
      <c r="BM22" s="406">
        <f>ROUND(IF(WWWW[[#This Row],[Location Type 1]]="camp",WWWW[[#This Row],[Total PoP ]]/20,WWWW[[#This Row],[Total PoP ]]/6),0)</f>
        <v>53</v>
      </c>
      <c r="BN22" s="408">
        <f>IF(OR(WWWW[[#This Row],['# Existing latrines dysfunctional]]="",WWWW[[#This Row],['# Existing latrines dysfunctional]]=0),0,WWWW[[#This Row],['# Existing latrines dysfunctional]]/WWWW[[#This Row],[Total '# of latrine]])</f>
        <v>0</v>
      </c>
      <c r="BO22" s="676">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P22" s="404">
        <f>WWWW[[#This Row],[People adopt basic personal and community hygiene practices]]/WWWW[[#This Row],[Total PoP ]]</f>
        <v>0</v>
      </c>
      <c r="BQ22" s="408">
        <f>1-WWWW[[#This Row],[Hygiene Coverage%]]</f>
        <v>1</v>
      </c>
      <c r="BR22" s="405">
        <f>IF(500*WWWW[[#This Row],['# Hygiene Promoters ]]&gt;WWWW[[#This Row],[Total PoP ]],WWWW[[#This Row],[Total PoP ]],500*WWWW[[#This Row],['# Hygiene Promoters ]])</f>
        <v>0</v>
      </c>
      <c r="BS22" s="405">
        <f>IF(WWWW[[#This Row],[% of HH with access to Sanitary Pad]]&gt;=100%,1,0)</f>
        <v>0</v>
      </c>
      <c r="BT22" s="405">
        <f>IF(WWWW[[#This Row],[Total PoP ]]=0,0,IF(WWWW[[#This Row],['# Hygiene Promoters ]]=0,0,IF(WWWW[[#This Row],[Location Type 1]]="Village",IF(WWWW[[#This Row],[Total PoP ]]/WWWW[[#This Row],['# Hygiene Promoters ]]&lt;1000,1,0),IF(WWWW[[#This Row],[Total PoP ]]/WWWW[[#This Row],['# Hygiene Promoters ]]&lt;600,1,0))))</f>
        <v>0</v>
      </c>
      <c r="BU22" s="405">
        <f>IF(WWWW[[#This Row],[%HH with access to soap]]&gt;=100%,1,0)</f>
        <v>0</v>
      </c>
      <c r="BV22" s="405">
        <f>IF(WWWW[[#This Row],[% of HHs with access to Sanitary pad more than '#%]]+WWWW[[#This Row],[Ratio of Hyiene promoters to people less than '#]]+WWWW[[#This Row],[% of HHs with access to soap more than '#%]]&gt;=2,WWWW[[#This Row],[Total PoP ]],0)</f>
        <v>0</v>
      </c>
      <c r="BW22" s="391">
        <f>WWWW[[#This Row],['# people reached by regular dedicated hygiene promotion_5]]/WWWW[[#This Row],[Total PoP ]]</f>
        <v>0</v>
      </c>
      <c r="BX22" s="391">
        <f>IF(WWWW[[#This Row],['# HH received soaps]]/WWWW[[#This Row],[Total HH]]&gt;1,1,WWWW[[#This Row],['# HH received soaps]]/WWWW[[#This Row],[Total HH]])</f>
        <v>0</v>
      </c>
      <c r="BY22" s="391">
        <f>IF(WWWW[[#This Row],['# HH received Sanitary Pads]]/WWWW[[#This Row],[Total HH]]&gt;1,1,WWWW[[#This Row],['# HH received Sanitary Pads]]/WWWW[[#This Row],[Total HH]])</f>
        <v>0</v>
      </c>
      <c r="BZ22" s="721">
        <f>WWWW[[#This Row],['# HH received soaps]]*5</f>
        <v>0</v>
      </c>
      <c r="CA22" s="721">
        <f>WWWW[[#This Row],['# HH received Sanitary Pads]]*5</f>
        <v>0</v>
      </c>
      <c r="CB22" s="406">
        <f>IF(WWWW[[#This Row],['# People with access to soap]]&gt;WWWW[[#This Row],['# People with access to Sanity Pads]],WWWW[[#This Row],['# People with access to soap]],WWWW[[#This Row],['# People with access to Sanity Pads]])</f>
        <v>0</v>
      </c>
      <c r="CC22" s="405">
        <f>WWWW[[#This Row],[Total HH]]*WWWW[[#This Row],[%HHs with access to functional hand washing stations]]</f>
        <v>0</v>
      </c>
      <c r="CD22" s="240">
        <f>VLOOKUP(WWWW[[#This Row],[Site Name]],SiteDB6[],8,FALSE)</f>
        <v>0</v>
      </c>
      <c r="CE22" s="240">
        <f>VLOOKUP(WWWW[[#This Row],[Site Name]],SiteDB6[],9,FALSE)</f>
        <v>0</v>
      </c>
      <c r="CF22" s="240" t="str">
        <f>VLOOKUP(WWWW[[#This Row],[Site Name]],SiteDB6[],10,FALSE)</f>
        <v>Camp</v>
      </c>
      <c r="CG22" s="240" t="str">
        <f>VLOOKUP(WWWW[[#This Row],[Site Name]],SiteDB6[],11,FALSE)</f>
        <v>Camp</v>
      </c>
      <c r="CH22" s="240" t="str">
        <f>VLOOKUP(WWWW[[#This Row],[Site Name]],SiteDB6[],12,FALSE)</f>
        <v>Host Families</v>
      </c>
      <c r="CI22" s="240" t="str">
        <f>VLOOKUP(WWWW[[#This Row],[Site Name]],SiteDB6[],13,FALSE)</f>
        <v>GCA</v>
      </c>
      <c r="CJ22" s="240">
        <f>VLOOKUP(WWWW[[#This Row],[Site Name]],SiteDB6[],14,FALSE)</f>
        <v>24.251232000000002</v>
      </c>
      <c r="CK22" s="240">
        <f>VLOOKUP(WWWW[[#This Row],[Site Name]],SiteDB6[],15,FALSE)</f>
        <v>97.348405</v>
      </c>
      <c r="CL22" s="240" t="str">
        <f>VLOOKUP(WWWW[[#This Row],[Site Name]],SiteDB6[],4,FALSE)</f>
        <v>MMR001CMP197</v>
      </c>
      <c r="CM22" s="404" t="str">
        <f t="shared" si="0"/>
        <v>Notcovered</v>
      </c>
      <c r="CN22" s="404"/>
    </row>
    <row r="23" spans="1:92" ht="15.75" hidden="1" customHeight="1" x14ac:dyDescent="0.25">
      <c r="A23" s="548" t="s">
        <v>1409</v>
      </c>
      <c r="B23" s="530" t="s">
        <v>470</v>
      </c>
      <c r="C23" s="530" t="s">
        <v>44</v>
      </c>
      <c r="D23" s="530" t="s">
        <v>329</v>
      </c>
      <c r="E23" s="530" t="s">
        <v>1270</v>
      </c>
      <c r="F23" s="402">
        <v>14</v>
      </c>
      <c r="G23" s="405">
        <v>75</v>
      </c>
      <c r="H23" s="41"/>
      <c r="I23" s="41"/>
      <c r="J23" s="388"/>
      <c r="K23" s="41"/>
      <c r="L23" s="41" t="s">
        <v>292</v>
      </c>
      <c r="M23" s="42">
        <v>0</v>
      </c>
      <c r="N23" s="404">
        <v>0</v>
      </c>
      <c r="O23" s="605"/>
      <c r="P23" s="606"/>
      <c r="Q23" s="606"/>
      <c r="R23" s="607"/>
      <c r="S23" s="607"/>
      <c r="T23" s="607"/>
      <c r="U23" s="607"/>
      <c r="V23" s="607"/>
      <c r="W23" s="607"/>
      <c r="X23" s="607"/>
      <c r="Y23" s="607"/>
      <c r="Z23" s="598">
        <v>0</v>
      </c>
      <c r="AA23" s="598"/>
      <c r="AB23" s="80"/>
      <c r="AC23" s="598"/>
      <c r="AD23" s="598" t="s">
        <v>296</v>
      </c>
      <c r="AE23" s="599" t="s">
        <v>296</v>
      </c>
      <c r="AF23" s="599"/>
      <c r="AG23" s="598"/>
      <c r="AH23" s="598"/>
      <c r="AI23" s="649"/>
      <c r="AJ23" s="650"/>
      <c r="AK23" s="650"/>
      <c r="AL23" s="645"/>
      <c r="AM23" s="645"/>
      <c r="AN23" s="646"/>
      <c r="AO23" s="600"/>
      <c r="AP23" s="600"/>
      <c r="AQ23" s="651"/>
      <c r="AR23" s="42" t="str">
        <f>IFERROR(WWWW[[#This Row],['# of Water passed at source]]/WWWW[[#This Row],['# of Water tested at source]],"no test")</f>
        <v>no test</v>
      </c>
      <c r="AS23" s="389" t="str">
        <f>IFERROR(WWWW[[#This Row],['# of Water passed at HH]]/WWWW[[#This Row],['# of Water tested at HH]],"no test")</f>
        <v>no test</v>
      </c>
      <c r="AT23" s="237">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U23" s="407">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AV23" s="407">
        <f>IF(WWWW[[#This Row],[Location Type 1]]="Village",WWWW[[#This Row],[Access to safe drinking water for Village]],WWWW[[#This Row],[Access to safe drinking water for Camp]])</f>
        <v>0</v>
      </c>
      <c r="AW23" s="405">
        <f>WWWW[[#This Row],[%Equitable and continuous access to sufficient quantity of safe drinking water]]*WWWW[[#This Row],[Total PoP ]]</f>
        <v>0</v>
      </c>
      <c r="AX23" s="407">
        <f>IF((WWWW[[#This Row],['# Existing protected/fenced ponds ]]*250)/WWWW[[#This Row],[Total PoP ]]&gt;1,1,WWWW[[#This Row],['# Existing protected/fenced ponds ]]*250/WWWW[[#This Row],[Total PoP ]])</f>
        <v>0</v>
      </c>
      <c r="AY23" s="43">
        <f>WWWW[[#This Row],[Access to unimproved water points]]*WWWW[[#This Row],[Total PoP ]]</f>
        <v>0</v>
      </c>
      <c r="AZ23" s="407">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A23" s="405">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B23" s="405">
        <f>WWWW[[#This Row],['#people Equitable and continuous access to sufficient quantity of domestic water borehole n ponds_2]]/500</f>
        <v>0</v>
      </c>
      <c r="BC23" s="42">
        <f>1-WWWW[[#This Row],[%Equitable and continuous access to sufficient quantity of domestic water borehole n ponds]]</f>
        <v>1</v>
      </c>
      <c r="BD23" s="43">
        <f>WWWW[[#This Row],[%equitable and continuous access to sufficient quantity of safe drinking and domestic water''s GAP]]*WWWW[[#This Row],[Total PoP ]]</f>
        <v>75</v>
      </c>
      <c r="BE23" s="406">
        <f>IF(WWWW[[#This Row],[Total required water points]]-WWWW[[#This Row],['#Water points coverage]]&lt;0,0,WWWW[[#This Row],[Total required water points]]-WWWW[[#This Row],['#Water points coverage]])</f>
        <v>1</v>
      </c>
      <c r="BF23" s="406">
        <f>ROUND(IF(WWWW[[#This Row],[Total PoP ]]&lt;500,1,WWWW[[#This Row],[Total PoP ]]/500),0)</f>
        <v>1</v>
      </c>
      <c r="BG23" s="97" t="str">
        <f>IF(AND(WWWW[[#This Row],[%of Water samples which passed at water source]]="no test",WWWW[[#This Row],[%Water samples which passed at HH]]="no test"),"No Test","Tested")</f>
        <v>No Test</v>
      </c>
      <c r="BH23" s="97">
        <f>WWWW[[#This Row],['# Existing functional latrines]]+WWWW[[#This Row],['# Existing latrines dysfunctional]]</f>
        <v>0</v>
      </c>
      <c r="BI23" s="42">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J23" s="676">
        <f>WWWW[[#This Row],[% people access to functioning Latrine]]*WWWW[[#This Row],[Total PoP ]]</f>
        <v>0</v>
      </c>
      <c r="BK23" s="42">
        <f>IF(WWWW[[#This Row],[Location Type 1]]="camp",WWWW[[#This Row],['# potential required new latrines]]/(WWWW[[#This Row],[Total PoP ]]/20),WWWW[[#This Row],['# potential required new latrines]]/(WWWW[[#This Row],[Total PoP ]]/6))</f>
        <v>1.0666666666666667</v>
      </c>
      <c r="BL23" s="43">
        <f>IF(WWWW[[#This Row],[Total required Latrines]]-WWWW[[#This Row],[Total '# of latrine]]&lt;0,0,WWWW[[#This Row],[Total required Latrines]]-WWWW[[#This Row],[Total '# of latrine]])</f>
        <v>4</v>
      </c>
      <c r="BM23" s="97">
        <f>ROUND(IF(WWWW[[#This Row],[Location Type 1]]="camp",WWWW[[#This Row],[Total PoP ]]/20,WWWW[[#This Row],[Total PoP ]]/6),0)</f>
        <v>4</v>
      </c>
      <c r="BN23" s="390">
        <f>IF(OR(WWWW[[#This Row],['# Existing latrines dysfunctional]]="",WWWW[[#This Row],['# Existing latrines dysfunctional]]=0),0,WWWW[[#This Row],['# Existing latrines dysfunctional]]/WWWW[[#This Row],[Total '# of latrine]])</f>
        <v>0</v>
      </c>
      <c r="BO23" s="676">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P23" s="42">
        <f>WWWW[[#This Row],[People adopt basic personal and community hygiene practices]]/WWWW[[#This Row],[Total PoP ]]</f>
        <v>0</v>
      </c>
      <c r="BQ23" s="390">
        <f>1-WWWW[[#This Row],[Hygiene Coverage%]]</f>
        <v>1</v>
      </c>
      <c r="BR23" s="405">
        <f>IF(500*WWWW[[#This Row],['# Hygiene Promoters ]]&gt;WWWW[[#This Row],[Total PoP ]],WWWW[[#This Row],[Total PoP ]],500*WWWW[[#This Row],['# Hygiene Promoters ]])</f>
        <v>0</v>
      </c>
      <c r="BS23" s="405">
        <f>IF(WWWW[[#This Row],[% of HH with access to Sanitary Pad]]&gt;=100%,1,0)</f>
        <v>0</v>
      </c>
      <c r="BT23" s="405">
        <f>IF(WWWW[[#This Row],[Total PoP ]]=0,0,IF(WWWW[[#This Row],['# Hygiene Promoters ]]=0,0,IF(WWWW[[#This Row],[Location Type 1]]="Village",IF(WWWW[[#This Row],[Total PoP ]]/WWWW[[#This Row],['# Hygiene Promoters ]]&lt;1000,1,0),IF(WWWW[[#This Row],[Total PoP ]]/WWWW[[#This Row],['# Hygiene Promoters ]]&lt;600,1,0))))</f>
        <v>0</v>
      </c>
      <c r="BU23" s="405">
        <f>IF(WWWW[[#This Row],[%HH with access to soap]]&gt;=100%,1,0)</f>
        <v>0</v>
      </c>
      <c r="BV23" s="405">
        <f>IF(WWWW[[#This Row],[% of HHs with access to Sanitary pad more than '#%]]+WWWW[[#This Row],[Ratio of Hyiene promoters to people less than '#]]+WWWW[[#This Row],[% of HHs with access to soap more than '#%]]&gt;=2,WWWW[[#This Row],[Total PoP ]],0)</f>
        <v>0</v>
      </c>
      <c r="BW23" s="391">
        <f>WWWW[[#This Row],['# people reached by regular dedicated hygiene promotion_5]]/WWWW[[#This Row],[Total PoP ]]</f>
        <v>0</v>
      </c>
      <c r="BX23" s="391">
        <f>IF(WWWW[[#This Row],['# HH received soaps]]/WWWW[[#This Row],[Total HH]]&gt;1,1,WWWW[[#This Row],['# HH received soaps]]/WWWW[[#This Row],[Total HH]])</f>
        <v>0</v>
      </c>
      <c r="BY23" s="391">
        <f>IF(WWWW[[#This Row],['# HH received Sanitary Pads]]/WWWW[[#This Row],[Total HH]]&gt;1,1,WWWW[[#This Row],['# HH received Sanitary Pads]]/WWWW[[#This Row],[Total HH]])</f>
        <v>0</v>
      </c>
      <c r="BZ23" s="721">
        <f>WWWW[[#This Row],['# HH received soaps]]*5</f>
        <v>0</v>
      </c>
      <c r="CA23" s="721">
        <f>WWWW[[#This Row],['# HH received Sanitary Pads]]*5</f>
        <v>0</v>
      </c>
      <c r="CB23" s="406">
        <f>IF(WWWW[[#This Row],['# People with access to soap]]&gt;WWWW[[#This Row],['# People with access to Sanity Pads]],WWWW[[#This Row],['# People with access to soap]],WWWW[[#This Row],['# People with access to Sanity Pads]])</f>
        <v>0</v>
      </c>
      <c r="CC23" s="43">
        <f>WWWW[[#This Row],[Total HH]]*WWWW[[#This Row],[%HHs with access to functional hand washing stations]]</f>
        <v>0</v>
      </c>
      <c r="CD23" s="240">
        <f>VLOOKUP(WWWW[[#This Row],[Site Name]],SiteDB6[],8,FALSE)</f>
        <v>0</v>
      </c>
      <c r="CE23" s="240">
        <f>VLOOKUP(WWWW[[#This Row],[Site Name]],SiteDB6[],9,FALSE)</f>
        <v>0</v>
      </c>
      <c r="CF23" s="240" t="str">
        <f>VLOOKUP(WWWW[[#This Row],[Site Name]],SiteDB6[],10,FALSE)</f>
        <v>Camp</v>
      </c>
      <c r="CG23" s="240" t="str">
        <f>VLOOKUP(WWWW[[#This Row],[Site Name]],SiteDB6[],11,FALSE)</f>
        <v>Camp</v>
      </c>
      <c r="CH23" s="240" t="str">
        <f>VLOOKUP(WWWW[[#This Row],[Site Name]],SiteDB6[],12,FALSE)</f>
        <v>Host Families</v>
      </c>
      <c r="CI23" s="240" t="str">
        <f>VLOOKUP(WWWW[[#This Row],[Site Name]],SiteDB6[],13,FALSE)</f>
        <v>GCA</v>
      </c>
      <c r="CJ23" s="240">
        <f>VLOOKUP(WWWW[[#This Row],[Site Name]],SiteDB6[],14,FALSE)</f>
        <v>27.311699999999998</v>
      </c>
      <c r="CK23" s="240">
        <f>VLOOKUP(WWWW[[#This Row],[Site Name]],SiteDB6[],15,FALSE)</f>
        <v>97.415289999999999</v>
      </c>
      <c r="CL23" s="240" t="str">
        <f>VLOOKUP(WWWW[[#This Row],[Site Name]],SiteDB6[],4,FALSE)</f>
        <v>MMR001CMP075</v>
      </c>
      <c r="CM23" s="404" t="str">
        <f t="shared" si="0"/>
        <v>Notcovered</v>
      </c>
      <c r="CN23" s="42"/>
    </row>
    <row r="24" spans="1:92" ht="15.75" hidden="1" customHeight="1" x14ac:dyDescent="0.25">
      <c r="A24" s="548" t="s">
        <v>1409</v>
      </c>
      <c r="B24" s="530" t="s">
        <v>470</v>
      </c>
      <c r="C24" s="530" t="s">
        <v>44</v>
      </c>
      <c r="D24" s="530" t="s">
        <v>329</v>
      </c>
      <c r="E24" s="530" t="s">
        <v>1264</v>
      </c>
      <c r="F24" s="402">
        <v>10</v>
      </c>
      <c r="G24" s="405">
        <v>56</v>
      </c>
      <c r="H24" s="402"/>
      <c r="I24" s="402"/>
      <c r="J24" s="403"/>
      <c r="K24" s="402"/>
      <c r="L24" s="402" t="s">
        <v>292</v>
      </c>
      <c r="M24" s="404">
        <v>0</v>
      </c>
      <c r="N24" s="404">
        <v>0</v>
      </c>
      <c r="O24" s="605"/>
      <c r="P24" s="606"/>
      <c r="Q24" s="606"/>
      <c r="R24" s="607"/>
      <c r="S24" s="607"/>
      <c r="T24" s="607"/>
      <c r="U24" s="607"/>
      <c r="V24" s="607"/>
      <c r="W24" s="607"/>
      <c r="X24" s="607"/>
      <c r="Y24" s="607"/>
      <c r="Z24" s="598">
        <v>0</v>
      </c>
      <c r="AA24" s="598"/>
      <c r="AB24" s="80"/>
      <c r="AC24" s="598"/>
      <c r="AD24" s="598" t="s">
        <v>296</v>
      </c>
      <c r="AE24" s="599" t="s">
        <v>296</v>
      </c>
      <c r="AF24" s="599"/>
      <c r="AG24" s="598"/>
      <c r="AH24" s="598"/>
      <c r="AI24" s="649"/>
      <c r="AJ24" s="650"/>
      <c r="AK24" s="650"/>
      <c r="AL24" s="645"/>
      <c r="AM24" s="645"/>
      <c r="AN24" s="646"/>
      <c r="AO24" s="600"/>
      <c r="AP24" s="600"/>
      <c r="AQ24" s="651"/>
      <c r="AR24" s="404" t="str">
        <f>IFERROR(WWWW[[#This Row],['# of Water passed at source]]/WWWW[[#This Row],['# of Water tested at source]],"no test")</f>
        <v>no test</v>
      </c>
      <c r="AS24" s="407" t="str">
        <f>IFERROR(WWWW[[#This Row],['# of Water passed at HH]]/WWWW[[#This Row],['# of Water tested at HH]],"no test")</f>
        <v>no test</v>
      </c>
      <c r="AT24" s="237">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U24" s="407">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AV24" s="407">
        <f>IF(WWWW[[#This Row],[Location Type 1]]="Village",WWWW[[#This Row],[Access to safe drinking water for Village]],WWWW[[#This Row],[Access to safe drinking water for Camp]])</f>
        <v>0</v>
      </c>
      <c r="AW24" s="405">
        <f>WWWW[[#This Row],[%Equitable and continuous access to sufficient quantity of safe drinking water]]*WWWW[[#This Row],[Total PoP ]]</f>
        <v>0</v>
      </c>
      <c r="AX24" s="407">
        <f>IF((WWWW[[#This Row],['# Existing protected/fenced ponds ]]*250)/WWWW[[#This Row],[Total PoP ]]&gt;1,1,WWWW[[#This Row],['# Existing protected/fenced ponds ]]*250/WWWW[[#This Row],[Total PoP ]])</f>
        <v>0</v>
      </c>
      <c r="AY24" s="405">
        <f>WWWW[[#This Row],[Access to unimproved water points]]*WWWW[[#This Row],[Total PoP ]]</f>
        <v>0</v>
      </c>
      <c r="AZ24" s="407">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A24" s="405">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B24" s="405">
        <f>WWWW[[#This Row],['#people Equitable and continuous access to sufficient quantity of domestic water borehole n ponds_2]]/500</f>
        <v>0</v>
      </c>
      <c r="BC24" s="404">
        <f>1-WWWW[[#This Row],[%Equitable and continuous access to sufficient quantity of domestic water borehole n ponds]]</f>
        <v>1</v>
      </c>
      <c r="BD24" s="405">
        <f>WWWW[[#This Row],[%equitable and continuous access to sufficient quantity of safe drinking and domestic water''s GAP]]*WWWW[[#This Row],[Total PoP ]]</f>
        <v>56</v>
      </c>
      <c r="BE24" s="406">
        <f>IF(WWWW[[#This Row],[Total required water points]]-WWWW[[#This Row],['#Water points coverage]]&lt;0,0,WWWW[[#This Row],[Total required water points]]-WWWW[[#This Row],['#Water points coverage]])</f>
        <v>1</v>
      </c>
      <c r="BF24" s="406">
        <f>ROUND(IF(WWWW[[#This Row],[Total PoP ]]&lt;500,1,WWWW[[#This Row],[Total PoP ]]/500),0)</f>
        <v>1</v>
      </c>
      <c r="BG24" s="406" t="str">
        <f>IF(AND(WWWW[[#This Row],[%of Water samples which passed at water source]]="no test",WWWW[[#This Row],[%Water samples which passed at HH]]="no test"),"No Test","Tested")</f>
        <v>No Test</v>
      </c>
      <c r="BH24" s="406">
        <f>WWWW[[#This Row],['# Existing functional latrines]]+WWWW[[#This Row],['# Existing latrines dysfunctional]]</f>
        <v>0</v>
      </c>
      <c r="BI24" s="404">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J24" s="676">
        <f>WWWW[[#This Row],[% people access to functioning Latrine]]*WWWW[[#This Row],[Total PoP ]]</f>
        <v>0</v>
      </c>
      <c r="BK24" s="404">
        <f>IF(WWWW[[#This Row],[Location Type 1]]="camp",WWWW[[#This Row],['# potential required new latrines]]/(WWWW[[#This Row],[Total PoP ]]/20),WWWW[[#This Row],['# potential required new latrines]]/(WWWW[[#This Row],[Total PoP ]]/6))</f>
        <v>1.0714285714285714</v>
      </c>
      <c r="BL24" s="405">
        <f>IF(WWWW[[#This Row],[Total required Latrines]]-WWWW[[#This Row],[Total '# of latrine]]&lt;0,0,WWWW[[#This Row],[Total required Latrines]]-WWWW[[#This Row],[Total '# of latrine]])</f>
        <v>3</v>
      </c>
      <c r="BM24" s="406">
        <f>ROUND(IF(WWWW[[#This Row],[Location Type 1]]="camp",WWWW[[#This Row],[Total PoP ]]/20,WWWW[[#This Row],[Total PoP ]]/6),0)</f>
        <v>3</v>
      </c>
      <c r="BN24" s="408">
        <f>IF(OR(WWWW[[#This Row],['# Existing latrines dysfunctional]]="",WWWW[[#This Row],['# Existing latrines dysfunctional]]=0),0,WWWW[[#This Row],['# Existing latrines dysfunctional]]/WWWW[[#This Row],[Total '# of latrine]])</f>
        <v>0</v>
      </c>
      <c r="BO24" s="676">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P24" s="404">
        <f>WWWW[[#This Row],[People adopt basic personal and community hygiene practices]]/WWWW[[#This Row],[Total PoP ]]</f>
        <v>0</v>
      </c>
      <c r="BQ24" s="408">
        <f>1-WWWW[[#This Row],[Hygiene Coverage%]]</f>
        <v>1</v>
      </c>
      <c r="BR24" s="405">
        <f>IF(500*WWWW[[#This Row],['# Hygiene Promoters ]]&gt;WWWW[[#This Row],[Total PoP ]],WWWW[[#This Row],[Total PoP ]],500*WWWW[[#This Row],['# Hygiene Promoters ]])</f>
        <v>0</v>
      </c>
      <c r="BS24" s="405">
        <f>IF(WWWW[[#This Row],[% of HH with access to Sanitary Pad]]&gt;=100%,1,0)</f>
        <v>0</v>
      </c>
      <c r="BT24" s="405">
        <f>IF(WWWW[[#This Row],[Total PoP ]]=0,0,IF(WWWW[[#This Row],['# Hygiene Promoters ]]=0,0,IF(WWWW[[#This Row],[Location Type 1]]="Village",IF(WWWW[[#This Row],[Total PoP ]]/WWWW[[#This Row],['# Hygiene Promoters ]]&lt;1000,1,0),IF(WWWW[[#This Row],[Total PoP ]]/WWWW[[#This Row],['# Hygiene Promoters ]]&lt;600,1,0))))</f>
        <v>0</v>
      </c>
      <c r="BU24" s="405">
        <f>IF(WWWW[[#This Row],[%HH with access to soap]]&gt;=100%,1,0)</f>
        <v>0</v>
      </c>
      <c r="BV24" s="405">
        <f>IF(WWWW[[#This Row],[% of HHs with access to Sanitary pad more than '#%]]+WWWW[[#This Row],[Ratio of Hyiene promoters to people less than '#]]+WWWW[[#This Row],[% of HHs with access to soap more than '#%]]&gt;=2,WWWW[[#This Row],[Total PoP ]],0)</f>
        <v>0</v>
      </c>
      <c r="BW24" s="391">
        <f>WWWW[[#This Row],['# people reached by regular dedicated hygiene promotion_5]]/WWWW[[#This Row],[Total PoP ]]</f>
        <v>0</v>
      </c>
      <c r="BX24" s="391">
        <f>IF(WWWW[[#This Row],['# HH received soaps]]/WWWW[[#This Row],[Total HH]]&gt;1,1,WWWW[[#This Row],['# HH received soaps]]/WWWW[[#This Row],[Total HH]])</f>
        <v>0</v>
      </c>
      <c r="BY24" s="391">
        <f>IF(WWWW[[#This Row],['# HH received Sanitary Pads]]/WWWW[[#This Row],[Total HH]]&gt;1,1,WWWW[[#This Row],['# HH received Sanitary Pads]]/WWWW[[#This Row],[Total HH]])</f>
        <v>0</v>
      </c>
      <c r="BZ24" s="721">
        <f>WWWW[[#This Row],['# HH received soaps]]*5</f>
        <v>0</v>
      </c>
      <c r="CA24" s="721">
        <f>WWWW[[#This Row],['# HH received Sanitary Pads]]*5</f>
        <v>0</v>
      </c>
      <c r="CB24" s="406">
        <f>IF(WWWW[[#This Row],['# People with access to soap]]&gt;WWWW[[#This Row],['# People with access to Sanity Pads]],WWWW[[#This Row],['# People with access to soap]],WWWW[[#This Row],['# People with access to Sanity Pads]])</f>
        <v>0</v>
      </c>
      <c r="CC24" s="405">
        <f>WWWW[[#This Row],[Total HH]]*WWWW[[#This Row],[%HHs with access to functional hand washing stations]]</f>
        <v>0</v>
      </c>
      <c r="CD24" s="240">
        <f>VLOOKUP(WWWW[[#This Row],[Site Name]],SiteDB6[],8,FALSE)</f>
        <v>0</v>
      </c>
      <c r="CE24" s="240">
        <f>VLOOKUP(WWWW[[#This Row],[Site Name]],SiteDB6[],9,FALSE)</f>
        <v>0</v>
      </c>
      <c r="CF24" s="240" t="str">
        <f>VLOOKUP(WWWW[[#This Row],[Site Name]],SiteDB6[],10,FALSE)</f>
        <v>Camp</v>
      </c>
      <c r="CG24" s="240" t="str">
        <f>VLOOKUP(WWWW[[#This Row],[Site Name]],SiteDB6[],11,FALSE)</f>
        <v>Camp</v>
      </c>
      <c r="CH24" s="240" t="str">
        <f>VLOOKUP(WWWW[[#This Row],[Site Name]],SiteDB6[],12,FALSE)</f>
        <v>Host Families</v>
      </c>
      <c r="CI24" s="240" t="str">
        <f>VLOOKUP(WWWW[[#This Row],[Site Name]],SiteDB6[],13,FALSE)</f>
        <v>GCA</v>
      </c>
      <c r="CJ24" s="240">
        <f>VLOOKUP(WWWW[[#This Row],[Site Name]],SiteDB6[],14,FALSE)</f>
        <v>27.248964999999998</v>
      </c>
      <c r="CK24" s="240">
        <f>VLOOKUP(WWWW[[#This Row],[Site Name]],SiteDB6[],15,FALSE)</f>
        <v>97.561105999999995</v>
      </c>
      <c r="CL24" s="240" t="str">
        <f>VLOOKUP(WWWW[[#This Row],[Site Name]],SiteDB6[],4,FALSE)</f>
        <v>MMR001CMP227</v>
      </c>
      <c r="CM24" s="404" t="str">
        <f t="shared" si="0"/>
        <v>Notcovered</v>
      </c>
      <c r="CN24" s="404"/>
    </row>
    <row r="25" spans="1:92" ht="15.75" hidden="1" customHeight="1" x14ac:dyDescent="0.25">
      <c r="A25" s="548" t="s">
        <v>1409</v>
      </c>
      <c r="B25" s="530" t="s">
        <v>470</v>
      </c>
      <c r="C25" s="530" t="s">
        <v>44</v>
      </c>
      <c r="D25" s="530" t="s">
        <v>370</v>
      </c>
      <c r="E25" s="530" t="s">
        <v>955</v>
      </c>
      <c r="F25" s="402">
        <v>375</v>
      </c>
      <c r="G25" s="405">
        <v>1691</v>
      </c>
      <c r="H25" s="402"/>
      <c r="I25" s="402"/>
      <c r="J25" s="403"/>
      <c r="K25" s="402"/>
      <c r="L25" s="402" t="s">
        <v>292</v>
      </c>
      <c r="M25" s="404">
        <v>0</v>
      </c>
      <c r="N25" s="404">
        <v>0</v>
      </c>
      <c r="O25" s="605"/>
      <c r="P25" s="606"/>
      <c r="Q25" s="606"/>
      <c r="R25" s="607"/>
      <c r="S25" s="607"/>
      <c r="T25" s="607"/>
      <c r="U25" s="607"/>
      <c r="V25" s="607"/>
      <c r="W25" s="607"/>
      <c r="X25" s="607"/>
      <c r="Y25" s="607"/>
      <c r="Z25" s="598">
        <v>0</v>
      </c>
      <c r="AA25" s="598"/>
      <c r="AB25" s="80"/>
      <c r="AC25" s="598"/>
      <c r="AD25" s="598" t="s">
        <v>296</v>
      </c>
      <c r="AE25" s="599" t="s">
        <v>296</v>
      </c>
      <c r="AF25" s="599"/>
      <c r="AG25" s="598"/>
      <c r="AH25" s="598"/>
      <c r="AI25" s="649"/>
      <c r="AJ25" s="650"/>
      <c r="AK25" s="650"/>
      <c r="AL25" s="645"/>
      <c r="AM25" s="645"/>
      <c r="AN25" s="646"/>
      <c r="AO25" s="600"/>
      <c r="AP25" s="600"/>
      <c r="AQ25" s="651"/>
      <c r="AR25" s="404" t="str">
        <f>IFERROR(WWWW[[#This Row],['# of Water passed at source]]/WWWW[[#This Row],['# of Water tested at source]],"no test")</f>
        <v>no test</v>
      </c>
      <c r="AS25" s="407" t="str">
        <f>IFERROR(WWWW[[#This Row],['# of Water passed at HH]]/WWWW[[#This Row],['# of Water tested at HH]],"no test")</f>
        <v>no test</v>
      </c>
      <c r="AT25" s="237">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U25" s="407">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AV25" s="407">
        <f>IF(WWWW[[#This Row],[Location Type 1]]="Village",WWWW[[#This Row],[Access to safe drinking water for Village]],WWWW[[#This Row],[Access to safe drinking water for Camp]])</f>
        <v>0</v>
      </c>
      <c r="AW25" s="405">
        <f>WWWW[[#This Row],[%Equitable and continuous access to sufficient quantity of safe drinking water]]*WWWW[[#This Row],[Total PoP ]]</f>
        <v>0</v>
      </c>
      <c r="AX25" s="407">
        <f>IF((WWWW[[#This Row],['# Existing protected/fenced ponds ]]*250)/WWWW[[#This Row],[Total PoP ]]&gt;1,1,WWWW[[#This Row],['# Existing protected/fenced ponds ]]*250/WWWW[[#This Row],[Total PoP ]])</f>
        <v>0</v>
      </c>
      <c r="AY25" s="405">
        <f>WWWW[[#This Row],[Access to unimproved water points]]*WWWW[[#This Row],[Total PoP ]]</f>
        <v>0</v>
      </c>
      <c r="AZ25" s="407">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A25" s="405">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B25" s="405">
        <f>WWWW[[#This Row],['#people Equitable and continuous access to sufficient quantity of domestic water borehole n ponds_2]]/500</f>
        <v>0</v>
      </c>
      <c r="BC25" s="404">
        <f>1-WWWW[[#This Row],[%Equitable and continuous access to sufficient quantity of domestic water borehole n ponds]]</f>
        <v>1</v>
      </c>
      <c r="BD25" s="405">
        <f>WWWW[[#This Row],[%equitable and continuous access to sufficient quantity of safe drinking and domestic water''s GAP]]*WWWW[[#This Row],[Total PoP ]]</f>
        <v>1691</v>
      </c>
      <c r="BE25" s="406">
        <f>IF(WWWW[[#This Row],[Total required water points]]-WWWW[[#This Row],['#Water points coverage]]&lt;0,0,WWWW[[#This Row],[Total required water points]]-WWWW[[#This Row],['#Water points coverage]])</f>
        <v>3</v>
      </c>
      <c r="BF25" s="406">
        <f>ROUND(IF(WWWW[[#This Row],[Total PoP ]]&lt;500,1,WWWW[[#This Row],[Total PoP ]]/500),0)</f>
        <v>3</v>
      </c>
      <c r="BG25" s="406" t="str">
        <f>IF(AND(WWWW[[#This Row],[%of Water samples which passed at water source]]="no test",WWWW[[#This Row],[%Water samples which passed at HH]]="no test"),"No Test","Tested")</f>
        <v>No Test</v>
      </c>
      <c r="BH25" s="406">
        <f>WWWW[[#This Row],['# Existing functional latrines]]+WWWW[[#This Row],['# Existing latrines dysfunctional]]</f>
        <v>0</v>
      </c>
      <c r="BI25" s="404">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J25" s="676">
        <f>WWWW[[#This Row],[% people access to functioning Latrine]]*WWWW[[#This Row],[Total PoP ]]</f>
        <v>0</v>
      </c>
      <c r="BK25" s="404">
        <f>IF(WWWW[[#This Row],[Location Type 1]]="camp",WWWW[[#This Row],['# potential required new latrines]]/(WWWW[[#This Row],[Total PoP ]]/20),WWWW[[#This Row],['# potential required new latrines]]/(WWWW[[#This Row],[Total PoP ]]/6))</f>
        <v>1.0053222945002958</v>
      </c>
      <c r="BL25" s="405">
        <f>IF(WWWW[[#This Row],[Total required Latrines]]-WWWW[[#This Row],[Total '# of latrine]]&lt;0,0,WWWW[[#This Row],[Total required Latrines]]-WWWW[[#This Row],[Total '# of latrine]])</f>
        <v>85</v>
      </c>
      <c r="BM25" s="406">
        <f>ROUND(IF(WWWW[[#This Row],[Location Type 1]]="camp",WWWW[[#This Row],[Total PoP ]]/20,WWWW[[#This Row],[Total PoP ]]/6),0)</f>
        <v>85</v>
      </c>
      <c r="BN25" s="408">
        <f>IF(OR(WWWW[[#This Row],['# Existing latrines dysfunctional]]="",WWWW[[#This Row],['# Existing latrines dysfunctional]]=0),0,WWWW[[#This Row],['# Existing latrines dysfunctional]]/WWWW[[#This Row],[Total '# of latrine]])</f>
        <v>0</v>
      </c>
      <c r="BO25" s="676">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P25" s="404">
        <f>WWWW[[#This Row],[People adopt basic personal and community hygiene practices]]/WWWW[[#This Row],[Total PoP ]]</f>
        <v>0</v>
      </c>
      <c r="BQ25" s="408">
        <f>1-WWWW[[#This Row],[Hygiene Coverage%]]</f>
        <v>1</v>
      </c>
      <c r="BR25" s="405">
        <f>IF(500*WWWW[[#This Row],['# Hygiene Promoters ]]&gt;WWWW[[#This Row],[Total PoP ]],WWWW[[#This Row],[Total PoP ]],500*WWWW[[#This Row],['# Hygiene Promoters ]])</f>
        <v>0</v>
      </c>
      <c r="BS25" s="405">
        <f>IF(WWWW[[#This Row],[% of HH with access to Sanitary Pad]]&gt;=100%,1,0)</f>
        <v>0</v>
      </c>
      <c r="BT25" s="405">
        <f>IF(WWWW[[#This Row],[Total PoP ]]=0,0,IF(WWWW[[#This Row],['# Hygiene Promoters ]]=0,0,IF(WWWW[[#This Row],[Location Type 1]]="Village",IF(WWWW[[#This Row],[Total PoP ]]/WWWW[[#This Row],['# Hygiene Promoters ]]&lt;1000,1,0),IF(WWWW[[#This Row],[Total PoP ]]/WWWW[[#This Row],['# Hygiene Promoters ]]&lt;600,1,0))))</f>
        <v>0</v>
      </c>
      <c r="BU25" s="405">
        <f>IF(WWWW[[#This Row],[%HH with access to soap]]&gt;=100%,1,0)</f>
        <v>0</v>
      </c>
      <c r="BV25" s="405">
        <f>IF(WWWW[[#This Row],[% of HHs with access to Sanitary pad more than '#%]]+WWWW[[#This Row],[Ratio of Hyiene promoters to people less than '#]]+WWWW[[#This Row],[% of HHs with access to soap more than '#%]]&gt;=2,WWWW[[#This Row],[Total PoP ]],0)</f>
        <v>0</v>
      </c>
      <c r="BW25" s="391">
        <f>WWWW[[#This Row],['# people reached by regular dedicated hygiene promotion_5]]/WWWW[[#This Row],[Total PoP ]]</f>
        <v>0</v>
      </c>
      <c r="BX25" s="391">
        <f>IF(WWWW[[#This Row],['# HH received soaps]]/WWWW[[#This Row],[Total HH]]&gt;1,1,WWWW[[#This Row],['# HH received soaps]]/WWWW[[#This Row],[Total HH]])</f>
        <v>0</v>
      </c>
      <c r="BY25" s="391">
        <f>IF(WWWW[[#This Row],['# HH received Sanitary Pads]]/WWWW[[#This Row],[Total HH]]&gt;1,1,WWWW[[#This Row],['# HH received Sanitary Pads]]/WWWW[[#This Row],[Total HH]])</f>
        <v>0</v>
      </c>
      <c r="BZ25" s="721">
        <f>WWWW[[#This Row],['# HH received soaps]]*5</f>
        <v>0</v>
      </c>
      <c r="CA25" s="721">
        <f>WWWW[[#This Row],['# HH received Sanitary Pads]]*5</f>
        <v>0</v>
      </c>
      <c r="CB25" s="406">
        <f>IF(WWWW[[#This Row],['# People with access to soap]]&gt;WWWW[[#This Row],['# People with access to Sanity Pads]],WWWW[[#This Row],['# People with access to soap]],WWWW[[#This Row],['# People with access to Sanity Pads]])</f>
        <v>0</v>
      </c>
      <c r="CC25" s="405">
        <f>WWWW[[#This Row],[Total HH]]*WWWW[[#This Row],[%HHs with access to functional hand washing stations]]</f>
        <v>0</v>
      </c>
      <c r="CD25" s="240">
        <f>VLOOKUP(WWWW[[#This Row],[Site Name]],SiteDB6[],8,FALSE)</f>
        <v>0</v>
      </c>
      <c r="CE25" s="240">
        <f>VLOOKUP(WWWW[[#This Row],[Site Name]],SiteDB6[],9,FALSE)</f>
        <v>0</v>
      </c>
      <c r="CF25" s="240" t="str">
        <f>VLOOKUP(WWWW[[#This Row],[Site Name]],SiteDB6[],10,FALSE)</f>
        <v>Camp</v>
      </c>
      <c r="CG25" s="240" t="str">
        <f>VLOOKUP(WWWW[[#This Row],[Site Name]],SiteDB6[],11,FALSE)</f>
        <v>Camp</v>
      </c>
      <c r="CH25" s="240" t="str">
        <f>VLOOKUP(WWWW[[#This Row],[Site Name]],SiteDB6[],12,FALSE)</f>
        <v>Host Families</v>
      </c>
      <c r="CI25" s="240" t="str">
        <f>VLOOKUP(WWWW[[#This Row],[Site Name]],SiteDB6[],13,FALSE)</f>
        <v>GCA</v>
      </c>
      <c r="CJ25" s="240">
        <f>VLOOKUP(WWWW[[#This Row],[Site Name]],SiteDB6[],14,FALSE)</f>
        <v>0</v>
      </c>
      <c r="CK25" s="240">
        <f>VLOOKUP(WWWW[[#This Row],[Site Name]],SiteDB6[],15,FALSE)</f>
        <v>0</v>
      </c>
      <c r="CL25" s="240" t="str">
        <f>VLOOKUP(WWWW[[#This Row],[Site Name]],SiteDB6[],4,FALSE)</f>
        <v>MMR001CMP147</v>
      </c>
      <c r="CM25" s="404" t="str">
        <f t="shared" si="0"/>
        <v>Notcovered</v>
      </c>
      <c r="CN25" s="404"/>
    </row>
    <row r="26" spans="1:92" ht="15.75" hidden="1" customHeight="1" x14ac:dyDescent="0.25">
      <c r="A26" s="548" t="s">
        <v>1409</v>
      </c>
      <c r="B26" s="530" t="s">
        <v>470</v>
      </c>
      <c r="C26" s="530" t="s">
        <v>44</v>
      </c>
      <c r="D26" s="530" t="s">
        <v>340</v>
      </c>
      <c r="E26" s="530" t="s">
        <v>340</v>
      </c>
      <c r="F26" s="402">
        <v>5</v>
      </c>
      <c r="G26" s="405">
        <v>32</v>
      </c>
      <c r="H26" s="41"/>
      <c r="I26" s="41"/>
      <c r="J26" s="388"/>
      <c r="K26" s="41"/>
      <c r="L26" s="41" t="s">
        <v>292</v>
      </c>
      <c r="M26" s="42">
        <v>0</v>
      </c>
      <c r="N26" s="404">
        <v>0</v>
      </c>
      <c r="O26" s="605"/>
      <c r="P26" s="606"/>
      <c r="Q26" s="606"/>
      <c r="R26" s="607"/>
      <c r="S26" s="607"/>
      <c r="T26" s="607"/>
      <c r="U26" s="607"/>
      <c r="V26" s="607"/>
      <c r="W26" s="607"/>
      <c r="X26" s="607"/>
      <c r="Y26" s="607"/>
      <c r="Z26" s="598">
        <v>0</v>
      </c>
      <c r="AA26" s="598"/>
      <c r="AB26" s="80"/>
      <c r="AC26" s="598"/>
      <c r="AD26" s="598" t="s">
        <v>296</v>
      </c>
      <c r="AE26" s="599" t="s">
        <v>296</v>
      </c>
      <c r="AF26" s="599"/>
      <c r="AG26" s="598"/>
      <c r="AH26" s="598"/>
      <c r="AI26" s="649"/>
      <c r="AJ26" s="650"/>
      <c r="AK26" s="650"/>
      <c r="AL26" s="645"/>
      <c r="AM26" s="645"/>
      <c r="AN26" s="646"/>
      <c r="AO26" s="600"/>
      <c r="AP26" s="600"/>
      <c r="AQ26" s="651"/>
      <c r="AR26" s="42" t="str">
        <f>IFERROR(WWWW[[#This Row],['# of Water passed at source]]/WWWW[[#This Row],['# of Water tested at source]],"no test")</f>
        <v>no test</v>
      </c>
      <c r="AS26" s="389" t="str">
        <f>IFERROR(WWWW[[#This Row],['# of Water passed at HH]]/WWWW[[#This Row],['# of Water tested at HH]],"no test")</f>
        <v>no test</v>
      </c>
      <c r="AT26" s="237">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U26" s="407">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AV26" s="407">
        <f>IF(WWWW[[#This Row],[Location Type 1]]="Village",WWWW[[#This Row],[Access to safe drinking water for Village]],WWWW[[#This Row],[Access to safe drinking water for Camp]])</f>
        <v>0</v>
      </c>
      <c r="AW26" s="405">
        <f>WWWW[[#This Row],[%Equitable and continuous access to sufficient quantity of safe drinking water]]*WWWW[[#This Row],[Total PoP ]]</f>
        <v>0</v>
      </c>
      <c r="AX26" s="407">
        <f>IF((WWWW[[#This Row],['# Existing protected/fenced ponds ]]*250)/WWWW[[#This Row],[Total PoP ]]&gt;1,1,WWWW[[#This Row],['# Existing protected/fenced ponds ]]*250/WWWW[[#This Row],[Total PoP ]])</f>
        <v>0</v>
      </c>
      <c r="AY26" s="43">
        <f>WWWW[[#This Row],[Access to unimproved water points]]*WWWW[[#This Row],[Total PoP ]]</f>
        <v>0</v>
      </c>
      <c r="AZ26" s="407">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A26" s="405">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B26" s="405">
        <f>WWWW[[#This Row],['#people Equitable and continuous access to sufficient quantity of domestic water borehole n ponds_2]]/500</f>
        <v>0</v>
      </c>
      <c r="BC26" s="42">
        <f>1-WWWW[[#This Row],[%Equitable and continuous access to sufficient quantity of domestic water borehole n ponds]]</f>
        <v>1</v>
      </c>
      <c r="BD26" s="43">
        <f>WWWW[[#This Row],[%equitable and continuous access to sufficient quantity of safe drinking and domestic water''s GAP]]*WWWW[[#This Row],[Total PoP ]]</f>
        <v>32</v>
      </c>
      <c r="BE26" s="406">
        <f>IF(WWWW[[#This Row],[Total required water points]]-WWWW[[#This Row],['#Water points coverage]]&lt;0,0,WWWW[[#This Row],[Total required water points]]-WWWW[[#This Row],['#Water points coverage]])</f>
        <v>1</v>
      </c>
      <c r="BF26" s="406">
        <f>ROUND(IF(WWWW[[#This Row],[Total PoP ]]&lt;500,1,WWWW[[#This Row],[Total PoP ]]/500),0)</f>
        <v>1</v>
      </c>
      <c r="BG26" s="97" t="str">
        <f>IF(AND(WWWW[[#This Row],[%of Water samples which passed at water source]]="no test",WWWW[[#This Row],[%Water samples which passed at HH]]="no test"),"No Test","Tested")</f>
        <v>No Test</v>
      </c>
      <c r="BH26" s="97">
        <f>WWWW[[#This Row],['# Existing functional latrines]]+WWWW[[#This Row],['# Existing latrines dysfunctional]]</f>
        <v>0</v>
      </c>
      <c r="BI26" s="42">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J26" s="676">
        <f>WWWW[[#This Row],[% people access to functioning Latrine]]*WWWW[[#This Row],[Total PoP ]]</f>
        <v>0</v>
      </c>
      <c r="BK26" s="42">
        <f>IF(WWWW[[#This Row],[Location Type 1]]="camp",WWWW[[#This Row],['# potential required new latrines]]/(WWWW[[#This Row],[Total PoP ]]/20),WWWW[[#This Row],['# potential required new latrines]]/(WWWW[[#This Row],[Total PoP ]]/6))</f>
        <v>1.25</v>
      </c>
      <c r="BL26" s="43">
        <f>IF(WWWW[[#This Row],[Total required Latrines]]-WWWW[[#This Row],[Total '# of latrine]]&lt;0,0,WWWW[[#This Row],[Total required Latrines]]-WWWW[[#This Row],[Total '# of latrine]])</f>
        <v>2</v>
      </c>
      <c r="BM26" s="97">
        <f>ROUND(IF(WWWW[[#This Row],[Location Type 1]]="camp",WWWW[[#This Row],[Total PoP ]]/20,WWWW[[#This Row],[Total PoP ]]/6),0)</f>
        <v>2</v>
      </c>
      <c r="BN26" s="390">
        <f>IF(OR(WWWW[[#This Row],['# Existing latrines dysfunctional]]="",WWWW[[#This Row],['# Existing latrines dysfunctional]]=0),0,WWWW[[#This Row],['# Existing latrines dysfunctional]]/WWWW[[#This Row],[Total '# of latrine]])</f>
        <v>0</v>
      </c>
      <c r="BO26" s="676">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P26" s="42">
        <f>WWWW[[#This Row],[People adopt basic personal and community hygiene practices]]/WWWW[[#This Row],[Total PoP ]]</f>
        <v>0</v>
      </c>
      <c r="BQ26" s="390">
        <f>1-WWWW[[#This Row],[Hygiene Coverage%]]</f>
        <v>1</v>
      </c>
      <c r="BR26" s="405">
        <f>IF(500*WWWW[[#This Row],['# Hygiene Promoters ]]&gt;WWWW[[#This Row],[Total PoP ]],WWWW[[#This Row],[Total PoP ]],500*WWWW[[#This Row],['# Hygiene Promoters ]])</f>
        <v>0</v>
      </c>
      <c r="BS26" s="405">
        <f>IF(WWWW[[#This Row],[% of HH with access to Sanitary Pad]]&gt;=100%,1,0)</f>
        <v>0</v>
      </c>
      <c r="BT26" s="405">
        <f>IF(WWWW[[#This Row],[Total PoP ]]=0,0,IF(WWWW[[#This Row],['# Hygiene Promoters ]]=0,0,IF(WWWW[[#This Row],[Location Type 1]]="Village",IF(WWWW[[#This Row],[Total PoP ]]/WWWW[[#This Row],['# Hygiene Promoters ]]&lt;1000,1,0),IF(WWWW[[#This Row],[Total PoP ]]/WWWW[[#This Row],['# Hygiene Promoters ]]&lt;600,1,0))))</f>
        <v>0</v>
      </c>
      <c r="BU26" s="405">
        <f>IF(WWWW[[#This Row],[%HH with access to soap]]&gt;=100%,1,0)</f>
        <v>0</v>
      </c>
      <c r="BV26" s="405">
        <f>IF(WWWW[[#This Row],[% of HHs with access to Sanitary pad more than '#%]]+WWWW[[#This Row],[Ratio of Hyiene promoters to people less than '#]]+WWWW[[#This Row],[% of HHs with access to soap more than '#%]]&gt;=2,WWWW[[#This Row],[Total PoP ]],0)</f>
        <v>0</v>
      </c>
      <c r="BW26" s="391">
        <f>WWWW[[#This Row],['# people reached by regular dedicated hygiene promotion_5]]/WWWW[[#This Row],[Total PoP ]]</f>
        <v>0</v>
      </c>
      <c r="BX26" s="391">
        <f>IF(WWWW[[#This Row],['# HH received soaps]]/WWWW[[#This Row],[Total HH]]&gt;1,1,WWWW[[#This Row],['# HH received soaps]]/WWWW[[#This Row],[Total HH]])</f>
        <v>0</v>
      </c>
      <c r="BY26" s="391">
        <f>IF(WWWW[[#This Row],['# HH received Sanitary Pads]]/WWWW[[#This Row],[Total HH]]&gt;1,1,WWWW[[#This Row],['# HH received Sanitary Pads]]/WWWW[[#This Row],[Total HH]])</f>
        <v>0</v>
      </c>
      <c r="BZ26" s="721">
        <f>WWWW[[#This Row],['# HH received soaps]]*5</f>
        <v>0</v>
      </c>
      <c r="CA26" s="721">
        <f>WWWW[[#This Row],['# HH received Sanitary Pads]]*5</f>
        <v>0</v>
      </c>
      <c r="CB26" s="406">
        <f>IF(WWWW[[#This Row],['# People with access to soap]]&gt;WWWW[[#This Row],['# People with access to Sanity Pads]],WWWW[[#This Row],['# People with access to soap]],WWWW[[#This Row],['# People with access to Sanity Pads]])</f>
        <v>0</v>
      </c>
      <c r="CC26" s="43">
        <f>WWWW[[#This Row],[Total HH]]*WWWW[[#This Row],[%HHs with access to functional hand washing stations]]</f>
        <v>0</v>
      </c>
      <c r="CD26" s="240">
        <f>VLOOKUP(WWWW[[#This Row],[Site Name]],SiteDB6[],8,FALSE)</f>
        <v>0</v>
      </c>
      <c r="CE26" s="240">
        <f>VLOOKUP(WWWW[[#This Row],[Site Name]],SiteDB6[],9,FALSE)</f>
        <v>0</v>
      </c>
      <c r="CF26" s="240" t="str">
        <f>VLOOKUP(WWWW[[#This Row],[Site Name]],SiteDB6[],10,FALSE)</f>
        <v>Camp</v>
      </c>
      <c r="CG26" s="240" t="str">
        <f>VLOOKUP(WWWW[[#This Row],[Site Name]],SiteDB6[],11,FALSE)</f>
        <v>Camp</v>
      </c>
      <c r="CH26" s="240" t="str">
        <f>VLOOKUP(WWWW[[#This Row],[Site Name]],SiteDB6[],12,FALSE)</f>
        <v>Camp like setting</v>
      </c>
      <c r="CI26" s="240" t="str">
        <f>VLOOKUP(WWWW[[#This Row],[Site Name]],SiteDB6[],13,FALSE)</f>
        <v>GCA</v>
      </c>
      <c r="CJ26" s="240">
        <f>VLOOKUP(WWWW[[#This Row],[Site Name]],SiteDB6[],14,FALSE)</f>
        <v>26.541930000000001</v>
      </c>
      <c r="CK26" s="240">
        <f>VLOOKUP(WWWW[[#This Row],[Site Name]],SiteDB6[],15,FALSE)</f>
        <v>97.568836000000005</v>
      </c>
      <c r="CL26" s="240" t="str">
        <f>VLOOKUP(WWWW[[#This Row],[Site Name]],SiteDB6[],4,FALSE)</f>
        <v>MMR001CMP206</v>
      </c>
      <c r="CM26" s="404" t="str">
        <f t="shared" si="0"/>
        <v>Notcovered</v>
      </c>
      <c r="CN26" s="42"/>
    </row>
    <row r="27" spans="1:92" ht="15.75" customHeight="1" x14ac:dyDescent="0.25">
      <c r="A27" s="548" t="s">
        <v>1409</v>
      </c>
      <c r="B27" s="533" t="s">
        <v>43</v>
      </c>
      <c r="C27" s="533" t="s">
        <v>44</v>
      </c>
      <c r="D27" s="533" t="s">
        <v>304</v>
      </c>
      <c r="E27" s="533" t="s">
        <v>387</v>
      </c>
      <c r="F27" s="233">
        <v>70</v>
      </c>
      <c r="G27" s="405">
        <v>350</v>
      </c>
      <c r="H27" s="233"/>
      <c r="I27" s="233" t="s">
        <v>382</v>
      </c>
      <c r="J27" s="234">
        <v>43465</v>
      </c>
      <c r="K27" s="233">
        <v>0</v>
      </c>
      <c r="L27" s="233" t="s">
        <v>2578</v>
      </c>
      <c r="M27" s="235">
        <v>0.5</v>
      </c>
      <c r="N27" s="235">
        <v>0.1</v>
      </c>
      <c r="O27" s="609">
        <v>2</v>
      </c>
      <c r="P27" s="615">
        <v>0</v>
      </c>
      <c r="Q27" s="615">
        <v>4000</v>
      </c>
      <c r="R27" s="604">
        <v>0</v>
      </c>
      <c r="S27" s="604">
        <v>3</v>
      </c>
      <c r="T27" s="604">
        <v>1</v>
      </c>
      <c r="U27" s="604">
        <v>0</v>
      </c>
      <c r="V27" s="604">
        <v>12</v>
      </c>
      <c r="W27" s="604">
        <v>1</v>
      </c>
      <c r="X27" s="604">
        <v>0</v>
      </c>
      <c r="Y27" s="604"/>
      <c r="Z27" s="628">
        <v>8</v>
      </c>
      <c r="AA27" s="628">
        <v>0</v>
      </c>
      <c r="AB27" s="629">
        <v>0</v>
      </c>
      <c r="AC27" s="628">
        <v>8</v>
      </c>
      <c r="AD27" s="628" t="s">
        <v>293</v>
      </c>
      <c r="AE27" s="631" t="s">
        <v>1379</v>
      </c>
      <c r="AF27" s="631">
        <v>0</v>
      </c>
      <c r="AG27" s="628">
        <v>0</v>
      </c>
      <c r="AH27" s="628"/>
      <c r="AI27" s="659">
        <v>0</v>
      </c>
      <c r="AJ27" s="650" t="s">
        <v>386</v>
      </c>
      <c r="AK27" s="644">
        <v>0</v>
      </c>
      <c r="AL27" s="645">
        <v>3</v>
      </c>
      <c r="AM27" s="645">
        <v>2</v>
      </c>
      <c r="AN27" s="646">
        <v>0</v>
      </c>
      <c r="AO27" s="647">
        <v>0</v>
      </c>
      <c r="AP27" s="647" t="s">
        <v>292</v>
      </c>
      <c r="AQ27" s="658"/>
      <c r="AR27" s="235">
        <f>IFERROR(WWWW[[#This Row],['# of Water passed at source]]/WWWW[[#This Row],['# of Water tested at source]],"no test")</f>
        <v>0</v>
      </c>
      <c r="AS27" s="237">
        <f>IFERROR(WWWW[[#This Row],['# of Water passed at HH]]/WWWW[[#This Row],['# of Water tested at HH]],"no test")</f>
        <v>8.3333333333333329E-2</v>
      </c>
      <c r="AT27" s="237">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U27" s="237">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AV27" s="237">
        <f>IF(WWWW[[#This Row],[Location Type 1]]="Village",WWWW[[#This Row],[Access to safe drinking water for Village]],WWWW[[#This Row],[Access to safe drinking water for Camp]])</f>
        <v>1</v>
      </c>
      <c r="AW27" s="414">
        <f>WWWW[[#This Row],[%Equitable and continuous access to sufficient quantity of safe drinking water]]*WWWW[[#This Row],[Total PoP ]]</f>
        <v>350</v>
      </c>
      <c r="AX27" s="237">
        <f>IF((WWWW[[#This Row],['# Existing protected/fenced ponds ]]*250)/WWWW[[#This Row],[Total PoP ]]&gt;1,1,WWWW[[#This Row],['# Existing protected/fenced ponds ]]*250/WWWW[[#This Row],[Total PoP ]])</f>
        <v>0</v>
      </c>
      <c r="AY27" s="414">
        <f>WWWW[[#This Row],[Access to unimproved water points]]*WWWW[[#This Row],[Total PoP ]]</f>
        <v>0</v>
      </c>
      <c r="AZ27" s="237">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A27" s="414">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350</v>
      </c>
      <c r="BB27" s="414">
        <f>WWWW[[#This Row],['#people Equitable and continuous access to sufficient quantity of domestic water borehole n ponds_2]]/500</f>
        <v>0.7</v>
      </c>
      <c r="BC27" s="235">
        <f>1-WWWW[[#This Row],[%Equitable and continuous access to sufficient quantity of domestic water borehole n ponds]]</f>
        <v>0</v>
      </c>
      <c r="BD27" s="414">
        <f>WWWW[[#This Row],[%equitable and continuous access to sufficient quantity of safe drinking and domestic water''s GAP]]*WWWW[[#This Row],[Total PoP ]]</f>
        <v>0</v>
      </c>
      <c r="BE27" s="238">
        <f>IF(WWWW[[#This Row],[Total required water points]]-WWWW[[#This Row],['#Water points coverage]]&lt;0,0,WWWW[[#This Row],[Total required water points]]-WWWW[[#This Row],['#Water points coverage]])</f>
        <v>0.30000000000000004</v>
      </c>
      <c r="BF27" s="238">
        <f>ROUND(IF(WWWW[[#This Row],[Total PoP ]]&lt;500,1,WWWW[[#This Row],[Total PoP ]]/500),0)</f>
        <v>1</v>
      </c>
      <c r="BG27" s="238" t="str">
        <f>IF(AND(WWWW[[#This Row],[%of Water samples which passed at water source]]="no test",WWWW[[#This Row],[%Water samples which passed at HH]]="no test"),"No Test","Tested")</f>
        <v>Tested</v>
      </c>
      <c r="BH27" s="238">
        <f>WWWW[[#This Row],['# Existing functional latrines]]+WWWW[[#This Row],['# Existing latrines dysfunctional]]</f>
        <v>8</v>
      </c>
      <c r="BI27" s="235">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0.45714285714285713</v>
      </c>
      <c r="BJ27" s="675">
        <f>WWWW[[#This Row],[% people access to functioning Latrine]]*WWWW[[#This Row],[Total PoP ]]</f>
        <v>160</v>
      </c>
      <c r="BK27" s="235">
        <f>IF(WWWW[[#This Row],[Location Type 1]]="camp",WWWW[[#This Row],['# potential required new latrines]]/(WWWW[[#This Row],[Total PoP ]]/20),WWWW[[#This Row],['# potential required new latrines]]/(WWWW[[#This Row],[Total PoP ]]/6))</f>
        <v>0.5714285714285714</v>
      </c>
      <c r="BL27" s="414">
        <f>IF(WWWW[[#This Row],[Total required Latrines]]-WWWW[[#This Row],[Total '# of latrine]]&lt;0,0,WWWW[[#This Row],[Total required Latrines]]-WWWW[[#This Row],[Total '# of latrine]])</f>
        <v>10</v>
      </c>
      <c r="BM27" s="238">
        <f>ROUND(IF(WWWW[[#This Row],[Location Type 1]]="camp",WWWW[[#This Row],[Total PoP ]]/20,WWWW[[#This Row],[Total PoP ]]/6),0)</f>
        <v>18</v>
      </c>
      <c r="BN27" s="239">
        <f>IF(OR(WWWW[[#This Row],['# Existing latrines dysfunctional]]="",WWWW[[#This Row],['# Existing latrines dysfunctional]]=0),0,WWWW[[#This Row],['# Existing latrines dysfunctional]]/WWWW[[#This Row],[Total '# of latrine]])</f>
        <v>0</v>
      </c>
      <c r="BO27" s="675">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P27" s="235">
        <f>WWWW[[#This Row],[People adopt basic personal and community hygiene practices]]/WWWW[[#This Row],[Total PoP ]]</f>
        <v>0</v>
      </c>
      <c r="BQ27" s="239">
        <f>1-WWWW[[#This Row],[Hygiene Coverage%]]</f>
        <v>1</v>
      </c>
      <c r="BR27" s="414">
        <f>IF(500*WWWW[[#This Row],['# Hygiene Promoters ]]&gt;WWWW[[#This Row],[Total PoP ]],WWWW[[#This Row],[Total PoP ]],500*WWWW[[#This Row],['# Hygiene Promoters ]])</f>
        <v>350</v>
      </c>
      <c r="BS27" s="414">
        <f>IF(WWWW[[#This Row],[% of HH with access to Sanitary Pad]]&gt;=100%,1,0)</f>
        <v>0</v>
      </c>
      <c r="BT27" s="414">
        <f>IF(WWWW[[#This Row],[Total PoP ]]=0,0,IF(WWWW[[#This Row],['# Hygiene Promoters ]]=0,0,IF(WWWW[[#This Row],[Location Type 1]]="Village",IF(WWWW[[#This Row],[Total PoP ]]/WWWW[[#This Row],['# Hygiene Promoters ]]&lt;1000,1,0),IF(WWWW[[#This Row],[Total PoP ]]/WWWW[[#This Row],['# Hygiene Promoters ]]&lt;600,1,0))))</f>
        <v>1</v>
      </c>
      <c r="BU27" s="414">
        <f>IF(WWWW[[#This Row],[%HH with access to soap]]&gt;=100%,1,0)</f>
        <v>0</v>
      </c>
      <c r="BV27" s="414">
        <f>IF(WWWW[[#This Row],[% of HHs with access to Sanitary pad more than '#%]]+WWWW[[#This Row],[Ratio of Hyiene promoters to people less than '#]]+WWWW[[#This Row],[% of HHs with access to soap more than '#%]]&gt;=2,WWWW[[#This Row],[Total PoP ]],0)</f>
        <v>0</v>
      </c>
      <c r="BW27" s="346">
        <f>WWWW[[#This Row],['# people reached by regular dedicated hygiene promotion_5]]/WWWW[[#This Row],[Total PoP ]]</f>
        <v>1</v>
      </c>
      <c r="BX27" s="346">
        <f>IF(WWWW[[#This Row],['# HH received soaps]]/WWWW[[#This Row],[Total HH]]&gt;1,1,WWWW[[#This Row],['# HH received soaps]]/WWWW[[#This Row],[Total HH]])</f>
        <v>0</v>
      </c>
      <c r="BY27" s="346">
        <f>IF(WWWW[[#This Row],['# HH received Sanitary Pads]]/WWWW[[#This Row],[Total HH]]&gt;1,1,WWWW[[#This Row],['# HH received Sanitary Pads]]/WWWW[[#This Row],[Total HH]])</f>
        <v>0</v>
      </c>
      <c r="BZ27" s="720">
        <f>WWWW[[#This Row],['# HH received soaps]]*5</f>
        <v>0</v>
      </c>
      <c r="CA27" s="720">
        <f>WWWW[[#This Row],['# HH received Sanitary Pads]]*5</f>
        <v>0</v>
      </c>
      <c r="CB27" s="238">
        <f>IF(WWWW[[#This Row],['# People with access to soap]]&gt;WWWW[[#This Row],['# People with access to Sanity Pads]],WWWW[[#This Row],['# People with access to soap]],WWWW[[#This Row],['# People with access to Sanity Pads]])</f>
        <v>0</v>
      </c>
      <c r="CC27" s="414">
        <f>WWWW[[#This Row],[Total HH]]*WWWW[[#This Row],[%HHs with access to functional hand washing stations]]</f>
        <v>0</v>
      </c>
      <c r="CD27" s="240" t="str">
        <f>VLOOKUP(WWWW[[#This Row],[Site Name]],SiteDB6[],8,FALSE)</f>
        <v>Yes</v>
      </c>
      <c r="CE27" s="240" t="str">
        <f>VLOOKUP(WWWW[[#This Row],[Site Name]],SiteDB6[],9,FALSE)</f>
        <v>KMSS-MYT</v>
      </c>
      <c r="CF27" s="240" t="str">
        <f>VLOOKUP(WWWW[[#This Row],[Site Name]],SiteDB6[],10,FALSE)</f>
        <v>Camp</v>
      </c>
      <c r="CG27" s="240" t="str">
        <f>VLOOKUP(WWWW[[#This Row],[Site Name]],SiteDB6[],11,FALSE)</f>
        <v>Camp</v>
      </c>
      <c r="CH27" s="240" t="str">
        <f>VLOOKUP(WWWW[[#This Row],[Site Name]],SiteDB6[],12,FALSE)</f>
        <v>Camp</v>
      </c>
      <c r="CI27" s="240" t="str">
        <f>VLOOKUP(WWWW[[#This Row],[Site Name]],SiteDB6[],13,FALSE)</f>
        <v>GCA</v>
      </c>
      <c r="CJ27" s="240">
        <f>VLOOKUP(WWWW[[#This Row],[Site Name]],SiteDB6[],14,FALSE)</f>
        <v>25.656009999999998</v>
      </c>
      <c r="CK27" s="240">
        <f>VLOOKUP(WWWW[[#This Row],[Site Name]],SiteDB6[],15,FALSE)</f>
        <v>96.361609999999999</v>
      </c>
      <c r="CL27" s="240" t="str">
        <f>VLOOKUP(WWWW[[#This Row],[Site Name]],SiteDB6[],4,FALSE)</f>
        <v>MMR001CMP168</v>
      </c>
      <c r="CM27" s="235" t="str">
        <f t="shared" si="0"/>
        <v>Covered</v>
      </c>
      <c r="CN27" s="235"/>
    </row>
    <row r="28" spans="1:92" ht="15.75" customHeight="1" x14ac:dyDescent="0.25">
      <c r="A28" s="532" t="s">
        <v>1409</v>
      </c>
      <c r="B28" s="533" t="s">
        <v>436</v>
      </c>
      <c r="C28" s="533" t="s">
        <v>44</v>
      </c>
      <c r="D28" s="533" t="s">
        <v>351</v>
      </c>
      <c r="E28" s="533" t="s">
        <v>437</v>
      </c>
      <c r="F28" s="233">
        <v>177</v>
      </c>
      <c r="G28" s="414">
        <v>895</v>
      </c>
      <c r="H28" s="233"/>
      <c r="I28" s="233" t="s">
        <v>401</v>
      </c>
      <c r="J28" s="234">
        <v>43220</v>
      </c>
      <c r="K28" s="233">
        <v>0</v>
      </c>
      <c r="L28" s="233" t="s">
        <v>48</v>
      </c>
      <c r="M28" s="235">
        <v>0.6</v>
      </c>
      <c r="N28" s="235">
        <v>0</v>
      </c>
      <c r="O28" s="609">
        <v>0</v>
      </c>
      <c r="P28" s="615">
        <v>1</v>
      </c>
      <c r="Q28" s="615">
        <v>1270080</v>
      </c>
      <c r="R28" s="604">
        <v>0</v>
      </c>
      <c r="S28" s="604">
        <v>0</v>
      </c>
      <c r="T28" s="604"/>
      <c r="U28" s="604"/>
      <c r="V28" s="604">
        <v>3</v>
      </c>
      <c r="W28" s="604">
        <v>3</v>
      </c>
      <c r="X28" s="604"/>
      <c r="Y28" s="604"/>
      <c r="Z28" s="628">
        <v>36</v>
      </c>
      <c r="AA28" s="628">
        <v>0</v>
      </c>
      <c r="AB28" s="629">
        <v>25</v>
      </c>
      <c r="AC28" s="628">
        <v>0</v>
      </c>
      <c r="AD28" s="628" t="s">
        <v>293</v>
      </c>
      <c r="AE28" s="631" t="s">
        <v>293</v>
      </c>
      <c r="AF28" s="631">
        <v>0</v>
      </c>
      <c r="AG28" s="628">
        <v>0</v>
      </c>
      <c r="AH28" s="628"/>
      <c r="AI28" s="659">
        <v>1</v>
      </c>
      <c r="AJ28" s="644" t="s">
        <v>301</v>
      </c>
      <c r="AK28" s="644">
        <v>0</v>
      </c>
      <c r="AL28" s="645">
        <v>3</v>
      </c>
      <c r="AM28" s="645">
        <v>132</v>
      </c>
      <c r="AN28" s="646">
        <v>0</v>
      </c>
      <c r="AO28" s="647"/>
      <c r="AP28" s="647"/>
      <c r="AQ28" s="658"/>
      <c r="AR28" s="235" t="str">
        <f>IFERROR(WWWW[[#This Row],['# of Water passed at source]]/WWWW[[#This Row],['# of Water tested at source]],"no test")</f>
        <v>no test</v>
      </c>
      <c r="AS28" s="237">
        <f>IFERROR(WWWW[[#This Row],['# of Water passed at HH]]/WWWW[[#This Row],['# of Water tested at HH]],"no test")</f>
        <v>1</v>
      </c>
      <c r="AT28" s="237">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U28" s="237">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AV28" s="237">
        <f>IF(WWWW[[#This Row],[Location Type 1]]="Village",WWWW[[#This Row],[Access to safe drinking water for Village]],WWWW[[#This Row],[Access to safe drinking water for Camp]])</f>
        <v>1</v>
      </c>
      <c r="AW28" s="414">
        <f>WWWW[[#This Row],[%Equitable and continuous access to sufficient quantity of safe drinking water]]*WWWW[[#This Row],[Total PoP ]]</f>
        <v>895</v>
      </c>
      <c r="AX28" s="237">
        <f>IF((WWWW[[#This Row],['# Existing protected/fenced ponds ]]*250)/WWWW[[#This Row],[Total PoP ]]&gt;1,1,WWWW[[#This Row],['# Existing protected/fenced ponds ]]*250/WWWW[[#This Row],[Total PoP ]])</f>
        <v>0</v>
      </c>
      <c r="AY28" s="414">
        <f>WWWW[[#This Row],[Access to unimproved water points]]*WWWW[[#This Row],[Total PoP ]]</f>
        <v>0</v>
      </c>
      <c r="AZ28" s="237">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A28" s="414">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895</v>
      </c>
      <c r="BB28" s="414">
        <f>WWWW[[#This Row],['#people Equitable and continuous access to sufficient quantity of domestic water borehole n ponds_2]]/500</f>
        <v>1.79</v>
      </c>
      <c r="BC28" s="235">
        <f>1-WWWW[[#This Row],[%Equitable and continuous access to sufficient quantity of domestic water borehole n ponds]]</f>
        <v>0</v>
      </c>
      <c r="BD28" s="414">
        <f>WWWW[[#This Row],[%equitable and continuous access to sufficient quantity of safe drinking and domestic water''s GAP]]*WWWW[[#This Row],[Total PoP ]]</f>
        <v>0</v>
      </c>
      <c r="BE28" s="238">
        <f>IF(WWWW[[#This Row],[Total required water points]]-WWWW[[#This Row],['#Water points coverage]]&lt;0,0,WWWW[[#This Row],[Total required water points]]-WWWW[[#This Row],['#Water points coverage]])</f>
        <v>0.20999999999999996</v>
      </c>
      <c r="BF28" s="238">
        <f>ROUND(IF(WWWW[[#This Row],[Total PoP ]]&lt;500,1,WWWW[[#This Row],[Total PoP ]]/500),0)</f>
        <v>2</v>
      </c>
      <c r="BG28" s="238" t="str">
        <f>IF(AND(WWWW[[#This Row],[%of Water samples which passed at water source]]="no test",WWWW[[#This Row],[%Water samples which passed at HH]]="no test"),"No Test","Tested")</f>
        <v>Tested</v>
      </c>
      <c r="BH28" s="238">
        <f>WWWW[[#This Row],['# Existing functional latrines]]+WWWW[[#This Row],['# Existing latrines dysfunctional]]</f>
        <v>36</v>
      </c>
      <c r="BI28" s="235">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0.8044692737430168</v>
      </c>
      <c r="BJ28" s="675">
        <f>WWWW[[#This Row],[% people access to functioning Latrine]]*WWWW[[#This Row],[Total PoP ]]</f>
        <v>720</v>
      </c>
      <c r="BK28" s="235">
        <f>IF(WWWW[[#This Row],[Location Type 1]]="camp",WWWW[[#This Row],['# potential required new latrines]]/(WWWW[[#This Row],[Total PoP ]]/20),WWWW[[#This Row],['# potential required new latrines]]/(WWWW[[#This Row],[Total PoP ]]/6))</f>
        <v>0.2011173184357542</v>
      </c>
      <c r="BL28" s="414">
        <f>IF(WWWW[[#This Row],[Total required Latrines]]-WWWW[[#This Row],[Total '# of latrine]]&lt;0,0,WWWW[[#This Row],[Total required Latrines]]-WWWW[[#This Row],[Total '# of latrine]])</f>
        <v>9</v>
      </c>
      <c r="BM28" s="238">
        <f>ROUND(IF(WWWW[[#This Row],[Location Type 1]]="camp",WWWW[[#This Row],[Total PoP ]]/20,WWWW[[#This Row],[Total PoP ]]/6),0)</f>
        <v>45</v>
      </c>
      <c r="BN28" s="239">
        <f>IF(OR(WWWW[[#This Row],['# Existing latrines dysfunctional]]="",WWWW[[#This Row],['# Existing latrines dysfunctional]]=0),0,WWWW[[#This Row],['# Existing latrines dysfunctional]]/WWWW[[#This Row],[Total '# of latrine]])</f>
        <v>0</v>
      </c>
      <c r="BO28" s="675">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500</v>
      </c>
      <c r="BP28" s="235">
        <f>WWWW[[#This Row],[People adopt basic personal and community hygiene practices]]/WWWW[[#This Row],[Total PoP ]]</f>
        <v>0</v>
      </c>
      <c r="BQ28" s="239">
        <f>1-WWWW[[#This Row],[Hygiene Coverage%]]</f>
        <v>1</v>
      </c>
      <c r="BR28" s="414">
        <f>IF(500*WWWW[[#This Row],['# Hygiene Promoters ]]&gt;WWWW[[#This Row],[Total PoP ]],WWWW[[#This Row],[Total PoP ]],500*WWWW[[#This Row],['# Hygiene Promoters ]])</f>
        <v>895</v>
      </c>
      <c r="BS28" s="414">
        <f>IF(WWWW[[#This Row],[% of HH with access to Sanitary Pad]]&gt;=100%,1,0)</f>
        <v>0</v>
      </c>
      <c r="BT28" s="414">
        <f>IF(WWWW[[#This Row],[Total PoP ]]=0,0,IF(WWWW[[#This Row],['# Hygiene Promoters ]]=0,0,IF(WWWW[[#This Row],[Location Type 1]]="Village",IF(WWWW[[#This Row],[Total PoP ]]/WWWW[[#This Row],['# Hygiene Promoters ]]&lt;1000,1,0),IF(WWWW[[#This Row],[Total PoP ]]/WWWW[[#This Row],['# Hygiene Promoters ]]&lt;600,1,0))))</f>
        <v>1</v>
      </c>
      <c r="BU28" s="414">
        <f>IF(WWWW[[#This Row],[%HH with access to soap]]&gt;=100%,1,0)</f>
        <v>0</v>
      </c>
      <c r="BV28" s="414">
        <f>IF(WWWW[[#This Row],[% of HHs with access to Sanitary pad more than '#%]]+WWWW[[#This Row],[Ratio of Hyiene promoters to people less than '#]]+WWWW[[#This Row],[% of HHs with access to soap more than '#%]]&gt;=2,WWWW[[#This Row],[Total PoP ]],0)</f>
        <v>0</v>
      </c>
      <c r="BW28" s="346">
        <f>WWWW[[#This Row],['# people reached by regular dedicated hygiene promotion_5]]/WWWW[[#This Row],[Total PoP ]]</f>
        <v>1</v>
      </c>
      <c r="BX28" s="346">
        <f>IF(WWWW[[#This Row],['# HH received soaps]]/WWWW[[#This Row],[Total HH]]&gt;1,1,WWWW[[#This Row],['# HH received soaps]]/WWWW[[#This Row],[Total HH]])</f>
        <v>0</v>
      </c>
      <c r="BY28" s="346">
        <f>IF(WWWW[[#This Row],['# HH received Sanitary Pads]]/WWWW[[#This Row],[Total HH]]&gt;1,1,WWWW[[#This Row],['# HH received Sanitary Pads]]/WWWW[[#This Row],[Total HH]])</f>
        <v>0</v>
      </c>
      <c r="BZ28" s="720">
        <f>WWWW[[#This Row],['# HH received soaps]]*5</f>
        <v>0</v>
      </c>
      <c r="CA28" s="720">
        <f>WWWW[[#This Row],['# HH received Sanitary Pads]]*5</f>
        <v>0</v>
      </c>
      <c r="CB28" s="238">
        <f>IF(WWWW[[#This Row],['# People with access to soap]]&gt;WWWW[[#This Row],['# People with access to Sanity Pads]],WWWW[[#This Row],['# People with access to soap]],WWWW[[#This Row],['# People with access to Sanity Pads]])</f>
        <v>0</v>
      </c>
      <c r="CC28" s="414">
        <f>WWWW[[#This Row],[Total HH]]*WWWW[[#This Row],[%HHs with access to functional hand washing stations]]</f>
        <v>177</v>
      </c>
      <c r="CD28" s="240" t="str">
        <f>VLOOKUP(WWWW[[#This Row],[Site Name]],SiteDB6[],8,FALSE)</f>
        <v>Yes</v>
      </c>
      <c r="CE28" s="240" t="str">
        <f>VLOOKUP(WWWW[[#This Row],[Site Name]],SiteDB6[],9,FALSE)</f>
        <v>KMSS-BMO</v>
      </c>
      <c r="CF28" s="240" t="str">
        <f>VLOOKUP(WWWW[[#This Row],[Site Name]],SiteDB6[],10,FALSE)</f>
        <v>Camp</v>
      </c>
      <c r="CG28" s="240" t="str">
        <f>VLOOKUP(WWWW[[#This Row],[Site Name]],SiteDB6[],11,FALSE)</f>
        <v>Camp</v>
      </c>
      <c r="CH28" s="240" t="str">
        <f>VLOOKUP(WWWW[[#This Row],[Site Name]],SiteDB6[],12,FALSE)</f>
        <v>Camp</v>
      </c>
      <c r="CI28" s="240" t="str">
        <f>VLOOKUP(WWWW[[#This Row],[Site Name]],SiteDB6[],13,FALSE)</f>
        <v>GCA</v>
      </c>
      <c r="CJ28" s="240">
        <f>VLOOKUP(WWWW[[#This Row],[Site Name]],SiteDB6[],14,FALSE)</f>
        <v>24.260719999999999</v>
      </c>
      <c r="CK28" s="240">
        <f>VLOOKUP(WWWW[[#This Row],[Site Name]],SiteDB6[],15,FALSE)</f>
        <v>97.238829999999993</v>
      </c>
      <c r="CL28" s="240" t="str">
        <f>VLOOKUP(WWWW[[#This Row],[Site Name]],SiteDB6[],4,FALSE)</f>
        <v>MMR001CMP050</v>
      </c>
      <c r="CM28" s="235" t="str">
        <f t="shared" si="0"/>
        <v>Covered</v>
      </c>
      <c r="CN28" s="235"/>
    </row>
    <row r="29" spans="1:92" ht="15.75" customHeight="1" x14ac:dyDescent="0.25">
      <c r="A29" s="532" t="s">
        <v>1409</v>
      </c>
      <c r="B29" s="533" t="s">
        <v>399</v>
      </c>
      <c r="C29" s="533" t="s">
        <v>44</v>
      </c>
      <c r="D29" s="533" t="s">
        <v>304</v>
      </c>
      <c r="E29" s="533" t="s">
        <v>406</v>
      </c>
      <c r="F29" s="233">
        <v>65</v>
      </c>
      <c r="G29" s="414">
        <v>350</v>
      </c>
      <c r="H29" s="233"/>
      <c r="I29" s="233" t="s">
        <v>401</v>
      </c>
      <c r="J29" s="234">
        <v>42947</v>
      </c>
      <c r="K29" s="233">
        <v>0</v>
      </c>
      <c r="L29" s="233" t="s">
        <v>48</v>
      </c>
      <c r="M29" s="235">
        <v>0.2</v>
      </c>
      <c r="N29" s="235">
        <v>1</v>
      </c>
      <c r="O29" s="609">
        <v>2</v>
      </c>
      <c r="P29" s="615">
        <v>1</v>
      </c>
      <c r="Q29" s="615">
        <v>1500</v>
      </c>
      <c r="R29" s="604">
        <v>0</v>
      </c>
      <c r="S29" s="604">
        <v>3</v>
      </c>
      <c r="T29" s="604">
        <v>0</v>
      </c>
      <c r="U29" s="604">
        <v>0</v>
      </c>
      <c r="V29" s="604">
        <v>0</v>
      </c>
      <c r="W29" s="604">
        <v>0</v>
      </c>
      <c r="X29" s="604">
        <v>0</v>
      </c>
      <c r="Y29" s="604"/>
      <c r="Z29" s="628">
        <v>20</v>
      </c>
      <c r="AA29" s="628">
        <v>20</v>
      </c>
      <c r="AB29" s="629">
        <v>0</v>
      </c>
      <c r="AC29" s="628">
        <v>20</v>
      </c>
      <c r="AD29" s="628" t="s">
        <v>293</v>
      </c>
      <c r="AE29" s="631" t="s">
        <v>1379</v>
      </c>
      <c r="AF29" s="631">
        <v>0</v>
      </c>
      <c r="AG29" s="628">
        <v>0</v>
      </c>
      <c r="AH29" s="628"/>
      <c r="AI29" s="659">
        <v>0.5</v>
      </c>
      <c r="AJ29" s="650" t="s">
        <v>386</v>
      </c>
      <c r="AK29" s="644">
        <v>0</v>
      </c>
      <c r="AL29" s="645">
        <v>4</v>
      </c>
      <c r="AM29" s="645">
        <v>0</v>
      </c>
      <c r="AN29" s="646">
        <v>0</v>
      </c>
      <c r="AO29" s="647">
        <v>0</v>
      </c>
      <c r="AP29" s="647"/>
      <c r="AQ29" s="658"/>
      <c r="AR29" s="235" t="str">
        <f>IFERROR(WWWW[[#This Row],['# of Water passed at source]]/WWWW[[#This Row],['# of Water tested at source]],"no test")</f>
        <v>no test</v>
      </c>
      <c r="AS29" s="237" t="str">
        <f>IFERROR(WWWW[[#This Row],['# of Water passed at HH]]/WWWW[[#This Row],['# of Water tested at HH]],"no test")</f>
        <v>no test</v>
      </c>
      <c r="AT29" s="237">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U29" s="237">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AV29" s="237">
        <f>IF(WWWW[[#This Row],[Location Type 1]]="Village",WWWW[[#This Row],[Access to safe drinking water for Village]],WWWW[[#This Row],[Access to safe drinking water for Camp]])</f>
        <v>1</v>
      </c>
      <c r="AW29" s="414">
        <f>WWWW[[#This Row],[%Equitable and continuous access to sufficient quantity of safe drinking water]]*WWWW[[#This Row],[Total PoP ]]</f>
        <v>350</v>
      </c>
      <c r="AX29" s="237">
        <f>IF((WWWW[[#This Row],['# Existing protected/fenced ponds ]]*250)/WWWW[[#This Row],[Total PoP ]]&gt;1,1,WWWW[[#This Row],['# Existing protected/fenced ponds ]]*250/WWWW[[#This Row],[Total PoP ]])</f>
        <v>0</v>
      </c>
      <c r="AY29" s="414">
        <f>WWWW[[#This Row],[Access to unimproved water points]]*WWWW[[#This Row],[Total PoP ]]</f>
        <v>0</v>
      </c>
      <c r="AZ29" s="237">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A29" s="414">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350</v>
      </c>
      <c r="BB29" s="414">
        <f>WWWW[[#This Row],['#people Equitable and continuous access to sufficient quantity of domestic water borehole n ponds_2]]/500</f>
        <v>0.7</v>
      </c>
      <c r="BC29" s="235">
        <f>1-WWWW[[#This Row],[%Equitable and continuous access to sufficient quantity of domestic water borehole n ponds]]</f>
        <v>0</v>
      </c>
      <c r="BD29" s="414">
        <f>WWWW[[#This Row],[%equitable and continuous access to sufficient quantity of safe drinking and domestic water''s GAP]]*WWWW[[#This Row],[Total PoP ]]</f>
        <v>0</v>
      </c>
      <c r="BE29" s="238">
        <f>IF(WWWW[[#This Row],[Total required water points]]-WWWW[[#This Row],['#Water points coverage]]&lt;0,0,WWWW[[#This Row],[Total required water points]]-WWWW[[#This Row],['#Water points coverage]])</f>
        <v>0.30000000000000004</v>
      </c>
      <c r="BF29" s="238">
        <f>ROUND(IF(WWWW[[#This Row],[Total PoP ]]&lt;500,1,WWWW[[#This Row],[Total PoP ]]/500),0)</f>
        <v>1</v>
      </c>
      <c r="BG29" s="238" t="str">
        <f>IF(AND(WWWW[[#This Row],[%of Water samples which passed at water source]]="no test",WWWW[[#This Row],[%Water samples which passed at HH]]="no test"),"No Test","Tested")</f>
        <v>No Test</v>
      </c>
      <c r="BH29" s="238">
        <f>WWWW[[#This Row],['# Existing functional latrines]]+WWWW[[#This Row],['# Existing latrines dysfunctional]]</f>
        <v>40</v>
      </c>
      <c r="BI29" s="235">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1</v>
      </c>
      <c r="BJ29" s="675">
        <f>WWWW[[#This Row],[% people access to functioning Latrine]]*WWWW[[#This Row],[Total PoP ]]</f>
        <v>350</v>
      </c>
      <c r="BK29" s="235">
        <f>IF(WWWW[[#This Row],[Location Type 1]]="camp",WWWW[[#This Row],['# potential required new latrines]]/(WWWW[[#This Row],[Total PoP ]]/20),WWWW[[#This Row],['# potential required new latrines]]/(WWWW[[#This Row],[Total PoP ]]/6))</f>
        <v>0</v>
      </c>
      <c r="BL29" s="414">
        <f>IF(WWWW[[#This Row],[Total required Latrines]]-WWWW[[#This Row],[Total '# of latrine]]&lt;0,0,WWWW[[#This Row],[Total required Latrines]]-WWWW[[#This Row],[Total '# of latrine]])</f>
        <v>0</v>
      </c>
      <c r="BM29" s="238">
        <f>ROUND(IF(WWWW[[#This Row],[Location Type 1]]="camp",WWWW[[#This Row],[Total PoP ]]/20,WWWW[[#This Row],[Total PoP ]]/6),0)</f>
        <v>18</v>
      </c>
      <c r="BN29" s="239">
        <f>IF(OR(WWWW[[#This Row],['# Existing latrines dysfunctional]]="",WWWW[[#This Row],['# Existing latrines dysfunctional]]=0),0,WWWW[[#This Row],['# Existing latrines dysfunctional]]/WWWW[[#This Row],[Total '# of latrine]])</f>
        <v>0.5</v>
      </c>
      <c r="BO29" s="675">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P29" s="235">
        <f>WWWW[[#This Row],[People adopt basic personal and community hygiene practices]]/WWWW[[#This Row],[Total PoP ]]</f>
        <v>0</v>
      </c>
      <c r="BQ29" s="239">
        <f>1-WWWW[[#This Row],[Hygiene Coverage%]]</f>
        <v>1</v>
      </c>
      <c r="BR29" s="414">
        <f>IF(500*WWWW[[#This Row],['# Hygiene Promoters ]]&gt;WWWW[[#This Row],[Total PoP ]],WWWW[[#This Row],[Total PoP ]],500*WWWW[[#This Row],['# Hygiene Promoters ]])</f>
        <v>0</v>
      </c>
      <c r="BS29" s="414">
        <f>IF(WWWW[[#This Row],[% of HH with access to Sanitary Pad]]&gt;=100%,1,0)</f>
        <v>0</v>
      </c>
      <c r="BT29" s="414">
        <f>IF(WWWW[[#This Row],[Total PoP ]]=0,0,IF(WWWW[[#This Row],['# Hygiene Promoters ]]=0,0,IF(WWWW[[#This Row],[Location Type 1]]="Village",IF(WWWW[[#This Row],[Total PoP ]]/WWWW[[#This Row],['# Hygiene Promoters ]]&lt;1000,1,0),IF(WWWW[[#This Row],[Total PoP ]]/WWWW[[#This Row],['# Hygiene Promoters ]]&lt;600,1,0))))</f>
        <v>0</v>
      </c>
      <c r="BU29" s="414">
        <f>IF(WWWW[[#This Row],[%HH with access to soap]]&gt;=100%,1,0)</f>
        <v>0</v>
      </c>
      <c r="BV29" s="414">
        <f>IF(WWWW[[#This Row],[% of HHs with access to Sanitary pad more than '#%]]+WWWW[[#This Row],[Ratio of Hyiene promoters to people less than '#]]+WWWW[[#This Row],[% of HHs with access to soap more than '#%]]&gt;=2,WWWW[[#This Row],[Total PoP ]],0)</f>
        <v>0</v>
      </c>
      <c r="BW29" s="346">
        <f>WWWW[[#This Row],['# people reached by regular dedicated hygiene promotion_5]]/WWWW[[#This Row],[Total PoP ]]</f>
        <v>0</v>
      </c>
      <c r="BX29" s="346">
        <f>IF(WWWW[[#This Row],['# HH received soaps]]/WWWW[[#This Row],[Total HH]]&gt;1,1,WWWW[[#This Row],['# HH received soaps]]/WWWW[[#This Row],[Total HH]])</f>
        <v>0</v>
      </c>
      <c r="BY29" s="346">
        <f>IF(WWWW[[#This Row],['# HH received Sanitary Pads]]/WWWW[[#This Row],[Total HH]]&gt;1,1,WWWW[[#This Row],['# HH received Sanitary Pads]]/WWWW[[#This Row],[Total HH]])</f>
        <v>0</v>
      </c>
      <c r="BZ29" s="720">
        <f>WWWW[[#This Row],['# HH received soaps]]*5</f>
        <v>0</v>
      </c>
      <c r="CA29" s="720">
        <f>WWWW[[#This Row],['# HH received Sanitary Pads]]*5</f>
        <v>0</v>
      </c>
      <c r="CB29" s="238">
        <f>IF(WWWW[[#This Row],['# People with access to soap]]&gt;WWWW[[#This Row],['# People with access to Sanity Pads]],WWWW[[#This Row],['# People with access to soap]],WWWW[[#This Row],['# People with access to Sanity Pads]])</f>
        <v>0</v>
      </c>
      <c r="CC29" s="414">
        <f>WWWW[[#This Row],[Total HH]]*WWWW[[#This Row],[%HHs with access to functional hand washing stations]]</f>
        <v>32.5</v>
      </c>
      <c r="CD29" s="240" t="str">
        <f>VLOOKUP(WWWW[[#This Row],[Site Name]],SiteDB6[],8,FALSE)</f>
        <v>Yes</v>
      </c>
      <c r="CE29" s="240" t="str">
        <f>VLOOKUP(WWWW[[#This Row],[Site Name]],SiteDB6[],9,FALSE)</f>
        <v>Shalom</v>
      </c>
      <c r="CF29" s="240" t="str">
        <f>VLOOKUP(WWWW[[#This Row],[Site Name]],SiteDB6[],10,FALSE)</f>
        <v>Camp</v>
      </c>
      <c r="CG29" s="240" t="str">
        <f>VLOOKUP(WWWW[[#This Row],[Site Name]],SiteDB6[],11,FALSE)</f>
        <v>Camp</v>
      </c>
      <c r="CH29" s="240" t="str">
        <f>VLOOKUP(WWWW[[#This Row],[Site Name]],SiteDB6[],12,FALSE)</f>
        <v>Camp</v>
      </c>
      <c r="CI29" s="240" t="str">
        <f>VLOOKUP(WWWW[[#This Row],[Site Name]],SiteDB6[],13,FALSE)</f>
        <v>GCA</v>
      </c>
      <c r="CJ29" s="240">
        <f>VLOOKUP(WWWW[[#This Row],[Site Name]],SiteDB6[],14,FALSE)</f>
        <v>25.635300000000001</v>
      </c>
      <c r="CK29" s="240">
        <f>VLOOKUP(WWWW[[#This Row],[Site Name]],SiteDB6[],15,FALSE)</f>
        <v>96.345569999999995</v>
      </c>
      <c r="CL29" s="240" t="str">
        <f>VLOOKUP(WWWW[[#This Row],[Site Name]],SiteDB6[],4,FALSE)</f>
        <v>MMR001CMP176</v>
      </c>
      <c r="CM29" s="235" t="str">
        <f t="shared" si="0"/>
        <v>Covered</v>
      </c>
      <c r="CN29" s="235"/>
    </row>
    <row r="30" spans="1:92" ht="15.75" customHeight="1" x14ac:dyDescent="0.25">
      <c r="A30" s="532" t="s">
        <v>1409</v>
      </c>
      <c r="B30" s="533" t="s">
        <v>399</v>
      </c>
      <c r="C30" s="533" t="s">
        <v>44</v>
      </c>
      <c r="D30" s="533" t="s">
        <v>304</v>
      </c>
      <c r="E30" s="533" t="s">
        <v>407</v>
      </c>
      <c r="F30" s="233">
        <v>14</v>
      </c>
      <c r="G30" s="414">
        <v>81</v>
      </c>
      <c r="H30" s="233"/>
      <c r="I30" s="233" t="s">
        <v>401</v>
      </c>
      <c r="J30" s="234">
        <v>42947</v>
      </c>
      <c r="K30" s="233">
        <v>0</v>
      </c>
      <c r="L30" s="233" t="s">
        <v>48</v>
      </c>
      <c r="M30" s="235">
        <v>0.5</v>
      </c>
      <c r="N30" s="235">
        <v>0</v>
      </c>
      <c r="O30" s="609">
        <v>1</v>
      </c>
      <c r="P30" s="615">
        <v>0</v>
      </c>
      <c r="Q30" s="615">
        <v>500</v>
      </c>
      <c r="R30" s="604">
        <v>0</v>
      </c>
      <c r="S30" s="604">
        <v>1</v>
      </c>
      <c r="T30" s="604">
        <v>0</v>
      </c>
      <c r="U30" s="604">
        <v>0</v>
      </c>
      <c r="V30" s="604">
        <v>0</v>
      </c>
      <c r="W30" s="604">
        <v>0</v>
      </c>
      <c r="X30" s="604">
        <v>0</v>
      </c>
      <c r="Y30" s="604"/>
      <c r="Z30" s="628">
        <v>4</v>
      </c>
      <c r="AA30" s="628">
        <v>0</v>
      </c>
      <c r="AB30" s="629">
        <v>0</v>
      </c>
      <c r="AC30" s="628">
        <v>4</v>
      </c>
      <c r="AD30" s="628" t="s">
        <v>293</v>
      </c>
      <c r="AE30" s="631" t="s">
        <v>1379</v>
      </c>
      <c r="AF30" s="631">
        <v>0</v>
      </c>
      <c r="AG30" s="628">
        <v>0</v>
      </c>
      <c r="AH30" s="628"/>
      <c r="AI30" s="659">
        <v>0.2</v>
      </c>
      <c r="AJ30" s="650" t="s">
        <v>386</v>
      </c>
      <c r="AK30" s="644">
        <v>0</v>
      </c>
      <c r="AL30" s="645">
        <v>2</v>
      </c>
      <c r="AM30" s="645">
        <v>0</v>
      </c>
      <c r="AN30" s="646">
        <v>0</v>
      </c>
      <c r="AO30" s="647">
        <v>0</v>
      </c>
      <c r="AP30" s="647"/>
      <c r="AQ30" s="658"/>
      <c r="AR30" s="235" t="str">
        <f>IFERROR(WWWW[[#This Row],['# of Water passed at source]]/WWWW[[#This Row],['# of Water tested at source]],"no test")</f>
        <v>no test</v>
      </c>
      <c r="AS30" s="237" t="str">
        <f>IFERROR(WWWW[[#This Row],['# of Water passed at HH]]/WWWW[[#This Row],['# of Water tested at HH]],"no test")</f>
        <v>no test</v>
      </c>
      <c r="AT30" s="237">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U30" s="237">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AV30" s="237">
        <f>IF(WWWW[[#This Row],[Location Type 1]]="Village",WWWW[[#This Row],[Access to safe drinking water for Village]],WWWW[[#This Row],[Access to safe drinking water for Camp]])</f>
        <v>1</v>
      </c>
      <c r="AW30" s="414">
        <f>WWWW[[#This Row],[%Equitable and continuous access to sufficient quantity of safe drinking water]]*WWWW[[#This Row],[Total PoP ]]</f>
        <v>81</v>
      </c>
      <c r="AX30" s="237">
        <f>IF((WWWW[[#This Row],['# Existing protected/fenced ponds ]]*250)/WWWW[[#This Row],[Total PoP ]]&gt;1,1,WWWW[[#This Row],['# Existing protected/fenced ponds ]]*250/WWWW[[#This Row],[Total PoP ]])</f>
        <v>0</v>
      </c>
      <c r="AY30" s="414">
        <f>WWWW[[#This Row],[Access to unimproved water points]]*WWWW[[#This Row],[Total PoP ]]</f>
        <v>0</v>
      </c>
      <c r="AZ30" s="237">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A30" s="414">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81</v>
      </c>
      <c r="BB30" s="414">
        <f>WWWW[[#This Row],['#people Equitable and continuous access to sufficient quantity of domestic water borehole n ponds_2]]/500</f>
        <v>0.16200000000000001</v>
      </c>
      <c r="BC30" s="235">
        <f>1-WWWW[[#This Row],[%Equitable and continuous access to sufficient quantity of domestic water borehole n ponds]]</f>
        <v>0</v>
      </c>
      <c r="BD30" s="414">
        <f>WWWW[[#This Row],[%equitable and continuous access to sufficient quantity of safe drinking and domestic water''s GAP]]*WWWW[[#This Row],[Total PoP ]]</f>
        <v>0</v>
      </c>
      <c r="BE30" s="238">
        <f>IF(WWWW[[#This Row],[Total required water points]]-WWWW[[#This Row],['#Water points coverage]]&lt;0,0,WWWW[[#This Row],[Total required water points]]-WWWW[[#This Row],['#Water points coverage]])</f>
        <v>0.83799999999999997</v>
      </c>
      <c r="BF30" s="238">
        <f>ROUND(IF(WWWW[[#This Row],[Total PoP ]]&lt;500,1,WWWW[[#This Row],[Total PoP ]]/500),0)</f>
        <v>1</v>
      </c>
      <c r="BG30" s="238" t="str">
        <f>IF(AND(WWWW[[#This Row],[%of Water samples which passed at water source]]="no test",WWWW[[#This Row],[%Water samples which passed at HH]]="no test"),"No Test","Tested")</f>
        <v>No Test</v>
      </c>
      <c r="BH30" s="238">
        <f>WWWW[[#This Row],['# Existing functional latrines]]+WWWW[[#This Row],['# Existing latrines dysfunctional]]</f>
        <v>4</v>
      </c>
      <c r="BI30" s="235">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0.98765432098765427</v>
      </c>
      <c r="BJ30" s="675">
        <f>WWWW[[#This Row],[% people access to functioning Latrine]]*WWWW[[#This Row],[Total PoP ]]</f>
        <v>80</v>
      </c>
      <c r="BK30" s="235">
        <f>IF(WWWW[[#This Row],[Location Type 1]]="camp",WWWW[[#This Row],['# potential required new latrines]]/(WWWW[[#This Row],[Total PoP ]]/20),WWWW[[#This Row],['# potential required new latrines]]/(WWWW[[#This Row],[Total PoP ]]/6))</f>
        <v>0</v>
      </c>
      <c r="BL30" s="414">
        <f>IF(WWWW[[#This Row],[Total required Latrines]]-WWWW[[#This Row],[Total '# of latrine]]&lt;0,0,WWWW[[#This Row],[Total required Latrines]]-WWWW[[#This Row],[Total '# of latrine]])</f>
        <v>0</v>
      </c>
      <c r="BM30" s="238">
        <f>ROUND(IF(WWWW[[#This Row],[Location Type 1]]="camp",WWWW[[#This Row],[Total PoP ]]/20,WWWW[[#This Row],[Total PoP ]]/6),0)</f>
        <v>4</v>
      </c>
      <c r="BN30" s="239">
        <f>IF(OR(WWWW[[#This Row],['# Existing latrines dysfunctional]]="",WWWW[[#This Row],['# Existing latrines dysfunctional]]=0),0,WWWW[[#This Row],['# Existing latrines dysfunctional]]/WWWW[[#This Row],[Total '# of latrine]])</f>
        <v>0</v>
      </c>
      <c r="BO30" s="675">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P30" s="235">
        <f>WWWW[[#This Row],[People adopt basic personal and community hygiene practices]]/WWWW[[#This Row],[Total PoP ]]</f>
        <v>0</v>
      </c>
      <c r="BQ30" s="239">
        <f>1-WWWW[[#This Row],[Hygiene Coverage%]]</f>
        <v>1</v>
      </c>
      <c r="BR30" s="414">
        <f>IF(500*WWWW[[#This Row],['# Hygiene Promoters ]]&gt;WWWW[[#This Row],[Total PoP ]],WWWW[[#This Row],[Total PoP ]],500*WWWW[[#This Row],['# Hygiene Promoters ]])</f>
        <v>0</v>
      </c>
      <c r="BS30" s="414">
        <f>IF(WWWW[[#This Row],[% of HH with access to Sanitary Pad]]&gt;=100%,1,0)</f>
        <v>0</v>
      </c>
      <c r="BT30" s="414">
        <f>IF(WWWW[[#This Row],[Total PoP ]]=0,0,IF(WWWW[[#This Row],['# Hygiene Promoters ]]=0,0,IF(WWWW[[#This Row],[Location Type 1]]="Village",IF(WWWW[[#This Row],[Total PoP ]]/WWWW[[#This Row],['# Hygiene Promoters ]]&lt;1000,1,0),IF(WWWW[[#This Row],[Total PoP ]]/WWWW[[#This Row],['# Hygiene Promoters ]]&lt;600,1,0))))</f>
        <v>0</v>
      </c>
      <c r="BU30" s="414">
        <f>IF(WWWW[[#This Row],[%HH with access to soap]]&gt;=100%,1,0)</f>
        <v>0</v>
      </c>
      <c r="BV30" s="414">
        <f>IF(WWWW[[#This Row],[% of HHs with access to Sanitary pad more than '#%]]+WWWW[[#This Row],[Ratio of Hyiene promoters to people less than '#]]+WWWW[[#This Row],[% of HHs with access to soap more than '#%]]&gt;=2,WWWW[[#This Row],[Total PoP ]],0)</f>
        <v>0</v>
      </c>
      <c r="BW30" s="346">
        <f>WWWW[[#This Row],['# people reached by regular dedicated hygiene promotion_5]]/WWWW[[#This Row],[Total PoP ]]</f>
        <v>0</v>
      </c>
      <c r="BX30" s="346">
        <f>IF(WWWW[[#This Row],['# HH received soaps]]/WWWW[[#This Row],[Total HH]]&gt;1,1,WWWW[[#This Row],['# HH received soaps]]/WWWW[[#This Row],[Total HH]])</f>
        <v>0</v>
      </c>
      <c r="BY30" s="346">
        <f>IF(WWWW[[#This Row],['# HH received Sanitary Pads]]/WWWW[[#This Row],[Total HH]]&gt;1,1,WWWW[[#This Row],['# HH received Sanitary Pads]]/WWWW[[#This Row],[Total HH]])</f>
        <v>0</v>
      </c>
      <c r="BZ30" s="720">
        <f>WWWW[[#This Row],['# HH received soaps]]*5</f>
        <v>0</v>
      </c>
      <c r="CA30" s="720">
        <f>WWWW[[#This Row],['# HH received Sanitary Pads]]*5</f>
        <v>0</v>
      </c>
      <c r="CB30" s="238">
        <f>IF(WWWW[[#This Row],['# People with access to soap]]&gt;WWWW[[#This Row],['# People with access to Sanity Pads]],WWWW[[#This Row],['# People with access to soap]],WWWW[[#This Row],['# People with access to Sanity Pads]])</f>
        <v>0</v>
      </c>
      <c r="CC30" s="414">
        <f>WWWW[[#This Row],[Total HH]]*WWWW[[#This Row],[%HHs with access to functional hand washing stations]]</f>
        <v>2.8000000000000003</v>
      </c>
      <c r="CD30" s="240" t="str">
        <f>VLOOKUP(WWWW[[#This Row],[Site Name]],SiteDB6[],8,FALSE)</f>
        <v>Yes</v>
      </c>
      <c r="CE30" s="240" t="str">
        <f>VLOOKUP(WWWW[[#This Row],[Site Name]],SiteDB6[],9,FALSE)</f>
        <v>Shalom</v>
      </c>
      <c r="CF30" s="240" t="str">
        <f>VLOOKUP(WWWW[[#This Row],[Site Name]],SiteDB6[],10,FALSE)</f>
        <v>Camp</v>
      </c>
      <c r="CG30" s="240" t="str">
        <f>VLOOKUP(WWWW[[#This Row],[Site Name]],SiteDB6[],11,FALSE)</f>
        <v>Camp</v>
      </c>
      <c r="CH30" s="240" t="str">
        <f>VLOOKUP(WWWW[[#This Row],[Site Name]],SiteDB6[],12,FALSE)</f>
        <v>Camp</v>
      </c>
      <c r="CI30" s="240" t="str">
        <f>VLOOKUP(WWWW[[#This Row],[Site Name]],SiteDB6[],13,FALSE)</f>
        <v>GCA</v>
      </c>
      <c r="CJ30" s="240">
        <f>VLOOKUP(WWWW[[#This Row],[Site Name]],SiteDB6[],14,FALSE)</f>
        <v>25.616509000000001</v>
      </c>
      <c r="CK30" s="240">
        <f>VLOOKUP(WWWW[[#This Row],[Site Name]],SiteDB6[],15,FALSE)</f>
        <v>96.317350000000005</v>
      </c>
      <c r="CL30" s="240" t="str">
        <f>VLOOKUP(WWWW[[#This Row],[Site Name]],SiteDB6[],4,FALSE)</f>
        <v>MMR001CMP190</v>
      </c>
      <c r="CM30" s="235" t="str">
        <f t="shared" si="0"/>
        <v>Covered</v>
      </c>
      <c r="CN30" s="235"/>
    </row>
    <row r="31" spans="1:92" ht="15.75" customHeight="1" x14ac:dyDescent="0.25">
      <c r="A31" s="548" t="s">
        <v>1409</v>
      </c>
      <c r="B31" s="533" t="s">
        <v>348</v>
      </c>
      <c r="C31" s="533" t="s">
        <v>44</v>
      </c>
      <c r="D31" s="533" t="s">
        <v>351</v>
      </c>
      <c r="E31" s="533" t="s">
        <v>352</v>
      </c>
      <c r="F31" s="233">
        <v>11</v>
      </c>
      <c r="G31" s="414">
        <v>52</v>
      </c>
      <c r="H31" s="233"/>
      <c r="I31" s="233" t="s">
        <v>2601</v>
      </c>
      <c r="J31" s="234">
        <v>43344</v>
      </c>
      <c r="K31" s="233">
        <v>0</v>
      </c>
      <c r="L31" s="233" t="s">
        <v>292</v>
      </c>
      <c r="M31" s="235">
        <v>0</v>
      </c>
      <c r="N31" s="235">
        <v>0</v>
      </c>
      <c r="O31" s="609">
        <v>1</v>
      </c>
      <c r="P31" s="615">
        <v>1</v>
      </c>
      <c r="Q31" s="615">
        <v>0</v>
      </c>
      <c r="R31" s="604">
        <v>0</v>
      </c>
      <c r="S31" s="604">
        <v>0</v>
      </c>
      <c r="T31" s="604"/>
      <c r="U31" s="604"/>
      <c r="V31" s="604"/>
      <c r="W31" s="604"/>
      <c r="X31" s="604"/>
      <c r="Y31" s="604"/>
      <c r="Z31" s="628">
        <v>2</v>
      </c>
      <c r="AA31" s="628">
        <v>0</v>
      </c>
      <c r="AB31" s="629"/>
      <c r="AC31" s="628">
        <v>0</v>
      </c>
      <c r="AD31" s="628" t="s">
        <v>293</v>
      </c>
      <c r="AE31" s="631" t="s">
        <v>293</v>
      </c>
      <c r="AF31" s="631"/>
      <c r="AG31" s="628"/>
      <c r="AH31" s="628"/>
      <c r="AI31" s="659">
        <v>0</v>
      </c>
      <c r="AJ31" s="644" t="s">
        <v>301</v>
      </c>
      <c r="AK31" s="644">
        <v>0</v>
      </c>
      <c r="AL31" s="645">
        <v>1</v>
      </c>
      <c r="AM31" s="645">
        <v>0</v>
      </c>
      <c r="AN31" s="646">
        <v>11</v>
      </c>
      <c r="AO31" s="647">
        <v>11</v>
      </c>
      <c r="AP31" s="647"/>
      <c r="AQ31" s="658"/>
      <c r="AR31" s="235" t="str">
        <f>IFERROR(WWWW[[#This Row],['# of Water passed at source]]/WWWW[[#This Row],['# of Water tested at source]],"no test")</f>
        <v>no test</v>
      </c>
      <c r="AS31" s="237" t="str">
        <f>IFERROR(WWWW[[#This Row],['# of Water passed at HH]]/WWWW[[#This Row],['# of Water tested at HH]],"no test")</f>
        <v>no test</v>
      </c>
      <c r="AT31" s="237">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U31" s="237">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AV31" s="237">
        <f>IF(WWWW[[#This Row],[Location Type 1]]="Village",WWWW[[#This Row],[Access to safe drinking water for Village]],WWWW[[#This Row],[Access to safe drinking water for Camp]])</f>
        <v>1</v>
      </c>
      <c r="AW31" s="414">
        <f>WWWW[[#This Row],[%Equitable and continuous access to sufficient quantity of safe drinking water]]*WWWW[[#This Row],[Total PoP ]]</f>
        <v>52</v>
      </c>
      <c r="AX31" s="237">
        <f>IF((WWWW[[#This Row],['# Existing protected/fenced ponds ]]*250)/WWWW[[#This Row],[Total PoP ]]&gt;1,1,WWWW[[#This Row],['# Existing protected/fenced ponds ]]*250/WWWW[[#This Row],[Total PoP ]])</f>
        <v>0</v>
      </c>
      <c r="AY31" s="414">
        <f>WWWW[[#This Row],[Access to unimproved water points]]*WWWW[[#This Row],[Total PoP ]]</f>
        <v>0</v>
      </c>
      <c r="AZ31" s="237">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A31" s="414">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52</v>
      </c>
      <c r="BB31" s="414">
        <f>WWWW[[#This Row],['#people Equitable and continuous access to sufficient quantity of domestic water borehole n ponds_2]]/500</f>
        <v>0.104</v>
      </c>
      <c r="BC31" s="235">
        <f>1-WWWW[[#This Row],[%Equitable and continuous access to sufficient quantity of domestic water borehole n ponds]]</f>
        <v>0</v>
      </c>
      <c r="BD31" s="414">
        <f>WWWW[[#This Row],[%equitable and continuous access to sufficient quantity of safe drinking and domestic water''s GAP]]*WWWW[[#This Row],[Total PoP ]]</f>
        <v>0</v>
      </c>
      <c r="BE31" s="238">
        <f>IF(WWWW[[#This Row],[Total required water points]]-WWWW[[#This Row],['#Water points coverage]]&lt;0,0,WWWW[[#This Row],[Total required water points]]-WWWW[[#This Row],['#Water points coverage]])</f>
        <v>0.89600000000000002</v>
      </c>
      <c r="BF31" s="238">
        <f>ROUND(IF(WWWW[[#This Row],[Total PoP ]]&lt;500,1,WWWW[[#This Row],[Total PoP ]]/500),0)</f>
        <v>1</v>
      </c>
      <c r="BG31" s="238" t="str">
        <f>IF(AND(WWWW[[#This Row],[%of Water samples which passed at water source]]="no test",WWWW[[#This Row],[%Water samples which passed at HH]]="no test"),"No Test","Tested")</f>
        <v>No Test</v>
      </c>
      <c r="BH31" s="238">
        <f>WWWW[[#This Row],['# Existing functional latrines]]+WWWW[[#This Row],['# Existing latrines dysfunctional]]</f>
        <v>2</v>
      </c>
      <c r="BI31" s="235">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0.76923076923076927</v>
      </c>
      <c r="BJ31" s="675">
        <f>WWWW[[#This Row],[% people access to functioning Latrine]]*WWWW[[#This Row],[Total PoP ]]</f>
        <v>40</v>
      </c>
      <c r="BK31" s="235">
        <f>IF(WWWW[[#This Row],[Location Type 1]]="camp",WWWW[[#This Row],['# potential required new latrines]]/(WWWW[[#This Row],[Total PoP ]]/20),WWWW[[#This Row],['# potential required new latrines]]/(WWWW[[#This Row],[Total PoP ]]/6))</f>
        <v>0.38461538461538458</v>
      </c>
      <c r="BL31" s="414">
        <f>IF(WWWW[[#This Row],[Total required Latrines]]-WWWW[[#This Row],[Total '# of latrine]]&lt;0,0,WWWW[[#This Row],[Total required Latrines]]-WWWW[[#This Row],[Total '# of latrine]])</f>
        <v>1</v>
      </c>
      <c r="BM31" s="238">
        <f>ROUND(IF(WWWW[[#This Row],[Location Type 1]]="camp",WWWW[[#This Row],[Total PoP ]]/20,WWWW[[#This Row],[Total PoP ]]/6),0)</f>
        <v>3</v>
      </c>
      <c r="BN31" s="239">
        <f>IF(OR(WWWW[[#This Row],['# Existing latrines dysfunctional]]="",WWWW[[#This Row],['# Existing latrines dysfunctional]]=0),0,WWWW[[#This Row],['# Existing latrines dysfunctional]]/WWWW[[#This Row],[Total '# of latrine]])</f>
        <v>0</v>
      </c>
      <c r="BO31" s="675">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P31" s="235">
        <f>WWWW[[#This Row],[People adopt basic personal and community hygiene practices]]/WWWW[[#This Row],[Total PoP ]]</f>
        <v>1</v>
      </c>
      <c r="BQ31" s="239">
        <f>1-WWWW[[#This Row],[Hygiene Coverage%]]</f>
        <v>0</v>
      </c>
      <c r="BR31" s="414">
        <f>IF(500*WWWW[[#This Row],['# Hygiene Promoters ]]&gt;WWWW[[#This Row],[Total PoP ]],WWWW[[#This Row],[Total PoP ]],500*WWWW[[#This Row],['# Hygiene Promoters ]])</f>
        <v>0</v>
      </c>
      <c r="BS31" s="414">
        <f>IF(WWWW[[#This Row],[% of HH with access to Sanitary Pad]]&gt;=100%,1,0)</f>
        <v>1</v>
      </c>
      <c r="BT31" s="414">
        <f>IF(WWWW[[#This Row],[Total PoP ]]=0,0,IF(WWWW[[#This Row],['# Hygiene Promoters ]]=0,0,IF(WWWW[[#This Row],[Location Type 1]]="Village",IF(WWWW[[#This Row],[Total PoP ]]/WWWW[[#This Row],['# Hygiene Promoters ]]&lt;1000,1,0),IF(WWWW[[#This Row],[Total PoP ]]/WWWW[[#This Row],['# Hygiene Promoters ]]&lt;600,1,0))))</f>
        <v>0</v>
      </c>
      <c r="BU31" s="414">
        <f>IF(WWWW[[#This Row],[%HH with access to soap]]&gt;=100%,1,0)</f>
        <v>1</v>
      </c>
      <c r="BV31" s="414">
        <f>IF(WWWW[[#This Row],[% of HHs with access to Sanitary pad more than '#%]]+WWWW[[#This Row],[Ratio of Hyiene promoters to people less than '#]]+WWWW[[#This Row],[% of HHs with access to soap more than '#%]]&gt;=2,WWWW[[#This Row],[Total PoP ]],0)</f>
        <v>52</v>
      </c>
      <c r="BW31" s="346">
        <f>WWWW[[#This Row],['# people reached by regular dedicated hygiene promotion_5]]/WWWW[[#This Row],[Total PoP ]]</f>
        <v>0</v>
      </c>
      <c r="BX31" s="346">
        <f>IF(WWWW[[#This Row],['# HH received soaps]]/WWWW[[#This Row],[Total HH]]&gt;1,1,WWWW[[#This Row],['# HH received soaps]]/WWWW[[#This Row],[Total HH]])</f>
        <v>1</v>
      </c>
      <c r="BY31" s="346">
        <f>IF(WWWW[[#This Row],['# HH received Sanitary Pads]]/WWWW[[#This Row],[Total HH]]&gt;1,1,WWWW[[#This Row],['# HH received Sanitary Pads]]/WWWW[[#This Row],[Total HH]])</f>
        <v>1</v>
      </c>
      <c r="BZ31" s="720">
        <f>WWWW[[#This Row],['# HH received soaps]]*5</f>
        <v>55</v>
      </c>
      <c r="CA31" s="720">
        <f>WWWW[[#This Row],['# HH received Sanitary Pads]]*5</f>
        <v>55</v>
      </c>
      <c r="CB31" s="238">
        <f>IF(WWWW[[#This Row],['# People with access to soap]]&gt;WWWW[[#This Row],['# People with access to Sanity Pads]],WWWW[[#This Row],['# People with access to soap]],WWWW[[#This Row],['# People with access to Sanity Pads]])</f>
        <v>55</v>
      </c>
      <c r="CC31" s="414">
        <f>WWWW[[#This Row],[Total HH]]*WWWW[[#This Row],[%HHs with access to functional hand washing stations]]</f>
        <v>0</v>
      </c>
      <c r="CD31" s="240" t="str">
        <f>VLOOKUP(WWWW[[#This Row],[Site Name]],SiteDB6[],8,FALSE)</f>
        <v>Yes</v>
      </c>
      <c r="CE31" s="240" t="str">
        <f>VLOOKUP(WWWW[[#This Row],[Site Name]],SiteDB6[],9,FALSE)</f>
        <v>KBC</v>
      </c>
      <c r="CF31" s="240" t="str">
        <f>VLOOKUP(WWWW[[#This Row],[Site Name]],SiteDB6[],10,FALSE)</f>
        <v>Camp</v>
      </c>
      <c r="CG31" s="240" t="str">
        <f>VLOOKUP(WWWW[[#This Row],[Site Name]],SiteDB6[],11,FALSE)</f>
        <v>Camp</v>
      </c>
      <c r="CH31" s="240" t="str">
        <f>VLOOKUP(WWWW[[#This Row],[Site Name]],SiteDB6[],12,FALSE)</f>
        <v>Camp</v>
      </c>
      <c r="CI31" s="240" t="str">
        <f>VLOOKUP(WWWW[[#This Row],[Site Name]],SiteDB6[],13,FALSE)</f>
        <v>GCA</v>
      </c>
      <c r="CJ31" s="240">
        <f>VLOOKUP(WWWW[[#This Row],[Site Name]],SiteDB6[],14,FALSE)</f>
        <v>24.260466999999998</v>
      </c>
      <c r="CK31" s="240">
        <f>VLOOKUP(WWWW[[#This Row],[Site Name]],SiteDB6[],15,FALSE)</f>
        <v>97.252650000000003</v>
      </c>
      <c r="CL31" s="240" t="str">
        <f>VLOOKUP(WWWW[[#This Row],[Site Name]],SiteDB6[],4,FALSE)</f>
        <v>MMR001CMP194</v>
      </c>
      <c r="CM31" s="235" t="str">
        <f t="shared" si="0"/>
        <v>Covered</v>
      </c>
      <c r="CN31" s="235"/>
    </row>
    <row r="32" spans="1:92" ht="15.75" customHeight="1" x14ac:dyDescent="0.25">
      <c r="A32" s="532" t="s">
        <v>1409</v>
      </c>
      <c r="B32" s="533" t="s">
        <v>399</v>
      </c>
      <c r="C32" s="533" t="s">
        <v>44</v>
      </c>
      <c r="D32" s="533" t="s">
        <v>304</v>
      </c>
      <c r="E32" s="533" t="s">
        <v>408</v>
      </c>
      <c r="F32" s="233">
        <v>37</v>
      </c>
      <c r="G32" s="414">
        <v>228</v>
      </c>
      <c r="H32" s="233"/>
      <c r="I32" s="233" t="s">
        <v>401</v>
      </c>
      <c r="J32" s="234">
        <v>42947</v>
      </c>
      <c r="K32" s="233">
        <v>0</v>
      </c>
      <c r="L32" s="233" t="s">
        <v>48</v>
      </c>
      <c r="M32" s="235">
        <v>0.5</v>
      </c>
      <c r="N32" s="235">
        <v>0</v>
      </c>
      <c r="O32" s="609">
        <v>2</v>
      </c>
      <c r="P32" s="615">
        <v>0</v>
      </c>
      <c r="Q32" s="615">
        <v>2000</v>
      </c>
      <c r="R32" s="604">
        <v>0</v>
      </c>
      <c r="S32" s="604">
        <v>2</v>
      </c>
      <c r="T32" s="604">
        <v>0</v>
      </c>
      <c r="U32" s="604">
        <v>0</v>
      </c>
      <c r="V32" s="604">
        <v>0</v>
      </c>
      <c r="W32" s="604">
        <v>0</v>
      </c>
      <c r="X32" s="604">
        <v>0</v>
      </c>
      <c r="Y32" s="604" t="s">
        <v>409</v>
      </c>
      <c r="Z32" s="628">
        <v>10</v>
      </c>
      <c r="AA32" s="628">
        <v>4</v>
      </c>
      <c r="AB32" s="629">
        <v>0</v>
      </c>
      <c r="AC32" s="628">
        <v>10</v>
      </c>
      <c r="AD32" s="628" t="s">
        <v>293</v>
      </c>
      <c r="AE32" s="631" t="s">
        <v>1379</v>
      </c>
      <c r="AF32" s="631">
        <v>0</v>
      </c>
      <c r="AG32" s="628">
        <v>0</v>
      </c>
      <c r="AH32" s="628"/>
      <c r="AI32" s="659">
        <v>0.6</v>
      </c>
      <c r="AJ32" s="650" t="s">
        <v>386</v>
      </c>
      <c r="AK32" s="644">
        <v>0</v>
      </c>
      <c r="AL32" s="645">
        <v>3</v>
      </c>
      <c r="AM32" s="645">
        <v>0</v>
      </c>
      <c r="AN32" s="646">
        <v>0</v>
      </c>
      <c r="AO32" s="647">
        <v>0</v>
      </c>
      <c r="AP32" s="647"/>
      <c r="AQ32" s="658"/>
      <c r="AR32" s="235" t="str">
        <f>IFERROR(WWWW[[#This Row],['# of Water passed at source]]/WWWW[[#This Row],['# of Water tested at source]],"no test")</f>
        <v>no test</v>
      </c>
      <c r="AS32" s="237" t="str">
        <f>IFERROR(WWWW[[#This Row],['# of Water passed at HH]]/WWWW[[#This Row],['# of Water tested at HH]],"no test")</f>
        <v>no test</v>
      </c>
      <c r="AT32" s="237">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U32" s="237">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AV32" s="237">
        <f>IF(WWWW[[#This Row],[Location Type 1]]="Village",WWWW[[#This Row],[Access to safe drinking water for Village]],WWWW[[#This Row],[Access to safe drinking water for Camp]])</f>
        <v>1</v>
      </c>
      <c r="AW32" s="414">
        <f>WWWW[[#This Row],[%Equitable and continuous access to sufficient quantity of safe drinking water]]*WWWW[[#This Row],[Total PoP ]]</f>
        <v>228</v>
      </c>
      <c r="AX32" s="237">
        <f>IF((WWWW[[#This Row],['# Existing protected/fenced ponds ]]*250)/WWWW[[#This Row],[Total PoP ]]&gt;1,1,WWWW[[#This Row],['# Existing protected/fenced ponds ]]*250/WWWW[[#This Row],[Total PoP ]])</f>
        <v>0</v>
      </c>
      <c r="AY32" s="236">
        <f>WWWW[[#This Row],[Access to unimproved water points]]*WWWW[[#This Row],[Total PoP ]]</f>
        <v>0</v>
      </c>
      <c r="AZ32" s="237">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A32" s="414">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228</v>
      </c>
      <c r="BB32" s="414">
        <f>WWWW[[#This Row],['#people Equitable and continuous access to sufficient quantity of domestic water borehole n ponds_2]]/500</f>
        <v>0.45600000000000002</v>
      </c>
      <c r="BC32" s="235">
        <f>1-WWWW[[#This Row],[%Equitable and continuous access to sufficient quantity of domestic water borehole n ponds]]</f>
        <v>0</v>
      </c>
      <c r="BD32" s="236">
        <f>WWWW[[#This Row],[%equitable and continuous access to sufficient quantity of safe drinking and domestic water''s GAP]]*WWWW[[#This Row],[Total PoP ]]</f>
        <v>0</v>
      </c>
      <c r="BE32" s="238">
        <f>IF(WWWW[[#This Row],[Total required water points]]-WWWW[[#This Row],['#Water points coverage]]&lt;0,0,WWWW[[#This Row],[Total required water points]]-WWWW[[#This Row],['#Water points coverage]])</f>
        <v>0.54400000000000004</v>
      </c>
      <c r="BF32" s="238">
        <f>ROUND(IF(WWWW[[#This Row],[Total PoP ]]&lt;500,1,WWWW[[#This Row],[Total PoP ]]/500),0)</f>
        <v>1</v>
      </c>
      <c r="BG32" s="238" t="str">
        <f>IF(AND(WWWW[[#This Row],[%of Water samples which passed at water source]]="no test",WWWW[[#This Row],[%Water samples which passed at HH]]="no test"),"No Test","Tested")</f>
        <v>No Test</v>
      </c>
      <c r="BH32" s="238">
        <f>WWWW[[#This Row],['# Existing functional latrines]]+WWWW[[#This Row],['# Existing latrines dysfunctional]]</f>
        <v>14</v>
      </c>
      <c r="BI32" s="235">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0.8771929824561403</v>
      </c>
      <c r="BJ32" s="675">
        <f>WWWW[[#This Row],[% people access to functioning Latrine]]*WWWW[[#This Row],[Total PoP ]]</f>
        <v>200</v>
      </c>
      <c r="BK32" s="235">
        <f>IF(WWWW[[#This Row],[Location Type 1]]="camp",WWWW[[#This Row],['# potential required new latrines]]/(WWWW[[#This Row],[Total PoP ]]/20),WWWW[[#This Row],['# potential required new latrines]]/(WWWW[[#This Row],[Total PoP ]]/6))</f>
        <v>0</v>
      </c>
      <c r="BL32" s="236">
        <f>IF(WWWW[[#This Row],[Total required Latrines]]-WWWW[[#This Row],[Total '# of latrine]]&lt;0,0,WWWW[[#This Row],[Total required Latrines]]-WWWW[[#This Row],[Total '# of latrine]])</f>
        <v>0</v>
      </c>
      <c r="BM32" s="238">
        <f>ROUND(IF(WWWW[[#This Row],[Location Type 1]]="camp",WWWW[[#This Row],[Total PoP ]]/20,WWWW[[#This Row],[Total PoP ]]/6),0)</f>
        <v>11</v>
      </c>
      <c r="BN32" s="239">
        <f>IF(OR(WWWW[[#This Row],['# Existing latrines dysfunctional]]="",WWWW[[#This Row],['# Existing latrines dysfunctional]]=0),0,WWWW[[#This Row],['# Existing latrines dysfunctional]]/WWWW[[#This Row],[Total '# of latrine]])</f>
        <v>0.2857142857142857</v>
      </c>
      <c r="BO32" s="675">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P32" s="235">
        <f>WWWW[[#This Row],[People adopt basic personal and community hygiene practices]]/WWWW[[#This Row],[Total PoP ]]</f>
        <v>0</v>
      </c>
      <c r="BQ32" s="239">
        <f>1-WWWW[[#This Row],[Hygiene Coverage%]]</f>
        <v>1</v>
      </c>
      <c r="BR32" s="414">
        <f>IF(500*WWWW[[#This Row],['# Hygiene Promoters ]]&gt;WWWW[[#This Row],[Total PoP ]],WWWW[[#This Row],[Total PoP ]],500*WWWW[[#This Row],['# Hygiene Promoters ]])</f>
        <v>0</v>
      </c>
      <c r="BS32" s="414">
        <f>IF(WWWW[[#This Row],[% of HH with access to Sanitary Pad]]&gt;=100%,1,0)</f>
        <v>0</v>
      </c>
      <c r="BT32" s="414">
        <f>IF(WWWW[[#This Row],[Total PoP ]]=0,0,IF(WWWW[[#This Row],['# Hygiene Promoters ]]=0,0,IF(WWWW[[#This Row],[Location Type 1]]="Village",IF(WWWW[[#This Row],[Total PoP ]]/WWWW[[#This Row],['# Hygiene Promoters ]]&lt;1000,1,0),IF(WWWW[[#This Row],[Total PoP ]]/WWWW[[#This Row],['# Hygiene Promoters ]]&lt;600,1,0))))</f>
        <v>0</v>
      </c>
      <c r="BU32" s="414">
        <f>IF(WWWW[[#This Row],[%HH with access to soap]]&gt;=100%,1,0)</f>
        <v>0</v>
      </c>
      <c r="BV32" s="414">
        <f>IF(WWWW[[#This Row],[% of HHs with access to Sanitary pad more than '#%]]+WWWW[[#This Row],[Ratio of Hyiene promoters to people less than '#]]+WWWW[[#This Row],[% of HHs with access to soap more than '#%]]&gt;=2,WWWW[[#This Row],[Total PoP ]],0)</f>
        <v>0</v>
      </c>
      <c r="BW32" s="346">
        <f>WWWW[[#This Row],['# people reached by regular dedicated hygiene promotion_5]]/WWWW[[#This Row],[Total PoP ]]</f>
        <v>0</v>
      </c>
      <c r="BX32" s="346">
        <f>IF(WWWW[[#This Row],['# HH received soaps]]/WWWW[[#This Row],[Total HH]]&gt;1,1,WWWW[[#This Row],['# HH received soaps]]/WWWW[[#This Row],[Total HH]])</f>
        <v>0</v>
      </c>
      <c r="BY32" s="346">
        <f>IF(WWWW[[#This Row],['# HH received Sanitary Pads]]/WWWW[[#This Row],[Total HH]]&gt;1,1,WWWW[[#This Row],['# HH received Sanitary Pads]]/WWWW[[#This Row],[Total HH]])</f>
        <v>0</v>
      </c>
      <c r="BZ32" s="720">
        <f>WWWW[[#This Row],['# HH received soaps]]*5</f>
        <v>0</v>
      </c>
      <c r="CA32" s="720">
        <f>WWWW[[#This Row],['# HH received Sanitary Pads]]*5</f>
        <v>0</v>
      </c>
      <c r="CB32" s="238">
        <f>IF(WWWW[[#This Row],['# People with access to soap]]&gt;WWWW[[#This Row],['# People with access to Sanity Pads]],WWWW[[#This Row],['# People with access to soap]],WWWW[[#This Row],['# People with access to Sanity Pads]])</f>
        <v>0</v>
      </c>
      <c r="CC32" s="236">
        <f>WWWW[[#This Row],[Total HH]]*WWWW[[#This Row],[%HHs with access to functional hand washing stations]]</f>
        <v>22.2</v>
      </c>
      <c r="CD32" s="240" t="str">
        <f>VLOOKUP(WWWW[[#This Row],[Site Name]],SiteDB6[],8,FALSE)</f>
        <v>Yes</v>
      </c>
      <c r="CE32" s="240" t="str">
        <f>VLOOKUP(WWWW[[#This Row],[Site Name]],SiteDB6[],9,FALSE)</f>
        <v>KBC</v>
      </c>
      <c r="CF32" s="240" t="str">
        <f>VLOOKUP(WWWW[[#This Row],[Site Name]],SiteDB6[],10,FALSE)</f>
        <v>Camp</v>
      </c>
      <c r="CG32" s="240" t="str">
        <f>VLOOKUP(WWWW[[#This Row],[Site Name]],SiteDB6[],11,FALSE)</f>
        <v>Camp</v>
      </c>
      <c r="CH32" s="240" t="str">
        <f>VLOOKUP(WWWW[[#This Row],[Site Name]],SiteDB6[],12,FALSE)</f>
        <v>Camp</v>
      </c>
      <c r="CI32" s="240" t="str">
        <f>VLOOKUP(WWWW[[#This Row],[Site Name]],SiteDB6[],13,FALSE)</f>
        <v>GCA</v>
      </c>
      <c r="CJ32" s="240">
        <f>VLOOKUP(WWWW[[#This Row],[Site Name]],SiteDB6[],14,FALSE)</f>
        <v>25.647649999999999</v>
      </c>
      <c r="CK32" s="240">
        <f>VLOOKUP(WWWW[[#This Row],[Site Name]],SiteDB6[],15,FALSE)</f>
        <v>96.346469999999997</v>
      </c>
      <c r="CL32" s="240" t="str">
        <f>VLOOKUP(WWWW[[#This Row],[Site Name]],SiteDB6[],4,FALSE)</f>
        <v>MMR001CMP169</v>
      </c>
      <c r="CM32" s="235" t="str">
        <f t="shared" si="0"/>
        <v>Covered</v>
      </c>
      <c r="CN32" s="235"/>
    </row>
    <row r="33" spans="1:92" ht="15.75" customHeight="1" x14ac:dyDescent="0.25">
      <c r="A33" s="532" t="s">
        <v>1409</v>
      </c>
      <c r="B33" s="533" t="s">
        <v>43</v>
      </c>
      <c r="C33" s="533" t="s">
        <v>44</v>
      </c>
      <c r="D33" s="533" t="s">
        <v>298</v>
      </c>
      <c r="E33" s="533" t="s">
        <v>393</v>
      </c>
      <c r="F33" s="233">
        <v>130</v>
      </c>
      <c r="G33" s="414">
        <v>527</v>
      </c>
      <c r="H33" s="233"/>
      <c r="I33" s="233" t="s">
        <v>382</v>
      </c>
      <c r="J33" s="234">
        <v>43465</v>
      </c>
      <c r="K33" s="233">
        <v>0</v>
      </c>
      <c r="L33" s="233" t="s">
        <v>2578</v>
      </c>
      <c r="M33" s="235">
        <v>0.6</v>
      </c>
      <c r="N33" s="235">
        <v>0.3</v>
      </c>
      <c r="O33" s="609">
        <v>0</v>
      </c>
      <c r="P33" s="615">
        <v>0</v>
      </c>
      <c r="Q33" s="615">
        <v>10000</v>
      </c>
      <c r="R33" s="604">
        <v>0</v>
      </c>
      <c r="S33" s="604">
        <v>6</v>
      </c>
      <c r="T33" s="604">
        <v>0</v>
      </c>
      <c r="U33" s="604">
        <v>0</v>
      </c>
      <c r="V33" s="604">
        <v>0</v>
      </c>
      <c r="W33" s="604">
        <v>0</v>
      </c>
      <c r="X33" s="604">
        <v>0</v>
      </c>
      <c r="Y33" s="604"/>
      <c r="Z33" s="628">
        <v>90</v>
      </c>
      <c r="AA33" s="628">
        <v>0</v>
      </c>
      <c r="AB33" s="629">
        <v>0</v>
      </c>
      <c r="AC33" s="628">
        <v>25</v>
      </c>
      <c r="AD33" s="628" t="s">
        <v>293</v>
      </c>
      <c r="AE33" s="631" t="s">
        <v>1379</v>
      </c>
      <c r="AF33" s="631">
        <v>0</v>
      </c>
      <c r="AG33" s="628">
        <v>0</v>
      </c>
      <c r="AH33" s="628"/>
      <c r="AI33" s="659">
        <v>0</v>
      </c>
      <c r="AJ33" s="650" t="s">
        <v>386</v>
      </c>
      <c r="AK33" s="644">
        <v>0</v>
      </c>
      <c r="AL33" s="645">
        <v>2</v>
      </c>
      <c r="AM33" s="645">
        <v>2</v>
      </c>
      <c r="AN33" s="646">
        <v>0</v>
      </c>
      <c r="AO33" s="647">
        <v>0</v>
      </c>
      <c r="AP33" s="647" t="s">
        <v>292</v>
      </c>
      <c r="AQ33" s="658"/>
      <c r="AR33" s="235" t="str">
        <f>IFERROR(WWWW[[#This Row],['# of Water passed at source]]/WWWW[[#This Row],['# of Water tested at source]],"no test")</f>
        <v>no test</v>
      </c>
      <c r="AS33" s="237" t="str">
        <f>IFERROR(WWWW[[#This Row],['# of Water passed at HH]]/WWWW[[#This Row],['# of Water tested at HH]],"no test")</f>
        <v>no test</v>
      </c>
      <c r="AT33" s="237">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U33" s="237">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AV33" s="237">
        <f>IF(WWWW[[#This Row],[Location Type 1]]="Village",WWWW[[#This Row],[Access to safe drinking water for Village]],WWWW[[#This Row],[Access to safe drinking water for Camp]])</f>
        <v>1</v>
      </c>
      <c r="AW33" s="414">
        <f>WWWW[[#This Row],[%Equitable and continuous access to sufficient quantity of safe drinking water]]*WWWW[[#This Row],[Total PoP ]]</f>
        <v>527</v>
      </c>
      <c r="AX33" s="237">
        <f>IF((WWWW[[#This Row],['# Existing protected/fenced ponds ]]*250)/WWWW[[#This Row],[Total PoP ]]&gt;1,1,WWWW[[#This Row],['# Existing protected/fenced ponds ]]*250/WWWW[[#This Row],[Total PoP ]])</f>
        <v>0</v>
      </c>
      <c r="AY33" s="236">
        <f>WWWW[[#This Row],[Access to unimproved water points]]*WWWW[[#This Row],[Total PoP ]]</f>
        <v>0</v>
      </c>
      <c r="AZ33" s="237">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A33" s="414">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527</v>
      </c>
      <c r="BB33" s="414">
        <f>WWWW[[#This Row],['#people Equitable and continuous access to sufficient quantity of domestic water borehole n ponds_2]]/500</f>
        <v>1.054</v>
      </c>
      <c r="BC33" s="235">
        <f>1-WWWW[[#This Row],[%Equitable and continuous access to sufficient quantity of domestic water borehole n ponds]]</f>
        <v>0</v>
      </c>
      <c r="BD33" s="236">
        <f>WWWW[[#This Row],[%equitable and continuous access to sufficient quantity of safe drinking and domestic water''s GAP]]*WWWW[[#This Row],[Total PoP ]]</f>
        <v>0</v>
      </c>
      <c r="BE33" s="238">
        <f>IF(WWWW[[#This Row],[Total required water points]]-WWWW[[#This Row],['#Water points coverage]]&lt;0,0,WWWW[[#This Row],[Total required water points]]-WWWW[[#This Row],['#Water points coverage]])</f>
        <v>0</v>
      </c>
      <c r="BF33" s="238">
        <f>ROUND(IF(WWWW[[#This Row],[Total PoP ]]&lt;500,1,WWWW[[#This Row],[Total PoP ]]/500),0)</f>
        <v>1</v>
      </c>
      <c r="BG33" s="238" t="str">
        <f>IF(AND(WWWW[[#This Row],[%of Water samples which passed at water source]]="no test",WWWW[[#This Row],[%Water samples which passed at HH]]="no test"),"No Test","Tested")</f>
        <v>No Test</v>
      </c>
      <c r="BH33" s="238">
        <f>WWWW[[#This Row],['# Existing functional latrines]]+WWWW[[#This Row],['# Existing latrines dysfunctional]]</f>
        <v>90</v>
      </c>
      <c r="BI33" s="235">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1</v>
      </c>
      <c r="BJ33" s="675">
        <f>WWWW[[#This Row],[% people access to functioning Latrine]]*WWWW[[#This Row],[Total PoP ]]</f>
        <v>527</v>
      </c>
      <c r="BK33" s="235">
        <f>IF(WWWW[[#This Row],[Location Type 1]]="camp",WWWW[[#This Row],['# potential required new latrines]]/(WWWW[[#This Row],[Total PoP ]]/20),WWWW[[#This Row],['# potential required new latrines]]/(WWWW[[#This Row],[Total PoP ]]/6))</f>
        <v>0</v>
      </c>
      <c r="BL33" s="236">
        <f>IF(WWWW[[#This Row],[Total required Latrines]]-WWWW[[#This Row],[Total '# of latrine]]&lt;0,0,WWWW[[#This Row],[Total required Latrines]]-WWWW[[#This Row],[Total '# of latrine]])</f>
        <v>0</v>
      </c>
      <c r="BM33" s="238">
        <f>ROUND(IF(WWWW[[#This Row],[Location Type 1]]="camp",WWWW[[#This Row],[Total PoP ]]/20,WWWW[[#This Row],[Total PoP ]]/6),0)</f>
        <v>26</v>
      </c>
      <c r="BN33" s="239">
        <f>IF(OR(WWWW[[#This Row],['# Existing latrines dysfunctional]]="",WWWW[[#This Row],['# Existing latrines dysfunctional]]=0),0,WWWW[[#This Row],['# Existing latrines dysfunctional]]/WWWW[[#This Row],[Total '# of latrine]])</f>
        <v>0</v>
      </c>
      <c r="BO33" s="675">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P33" s="235">
        <f>WWWW[[#This Row],[People adopt basic personal and community hygiene practices]]/WWWW[[#This Row],[Total PoP ]]</f>
        <v>0</v>
      </c>
      <c r="BQ33" s="239">
        <f>1-WWWW[[#This Row],[Hygiene Coverage%]]</f>
        <v>1</v>
      </c>
      <c r="BR33" s="414">
        <f>IF(500*WWWW[[#This Row],['# Hygiene Promoters ]]&gt;WWWW[[#This Row],[Total PoP ]],WWWW[[#This Row],[Total PoP ]],500*WWWW[[#This Row],['# Hygiene Promoters ]])</f>
        <v>527</v>
      </c>
      <c r="BS33" s="414">
        <f>IF(WWWW[[#This Row],[% of HH with access to Sanitary Pad]]&gt;=100%,1,0)</f>
        <v>0</v>
      </c>
      <c r="BT33" s="414">
        <f>IF(WWWW[[#This Row],[Total PoP ]]=0,0,IF(WWWW[[#This Row],['# Hygiene Promoters ]]=0,0,IF(WWWW[[#This Row],[Location Type 1]]="Village",IF(WWWW[[#This Row],[Total PoP ]]/WWWW[[#This Row],['# Hygiene Promoters ]]&lt;1000,1,0),IF(WWWW[[#This Row],[Total PoP ]]/WWWW[[#This Row],['# Hygiene Promoters ]]&lt;600,1,0))))</f>
        <v>1</v>
      </c>
      <c r="BU33" s="414">
        <f>IF(WWWW[[#This Row],[%HH with access to soap]]&gt;=100%,1,0)</f>
        <v>0</v>
      </c>
      <c r="BV33" s="414">
        <f>IF(WWWW[[#This Row],[% of HHs with access to Sanitary pad more than '#%]]+WWWW[[#This Row],[Ratio of Hyiene promoters to people less than '#]]+WWWW[[#This Row],[% of HHs with access to soap more than '#%]]&gt;=2,WWWW[[#This Row],[Total PoP ]],0)</f>
        <v>0</v>
      </c>
      <c r="BW33" s="346">
        <f>WWWW[[#This Row],['# people reached by regular dedicated hygiene promotion_5]]/WWWW[[#This Row],[Total PoP ]]</f>
        <v>1</v>
      </c>
      <c r="BX33" s="346">
        <f>IF(WWWW[[#This Row],['# HH received soaps]]/WWWW[[#This Row],[Total HH]]&gt;1,1,WWWW[[#This Row],['# HH received soaps]]/WWWW[[#This Row],[Total HH]])</f>
        <v>0</v>
      </c>
      <c r="BY33" s="346">
        <f>IF(WWWW[[#This Row],['# HH received Sanitary Pads]]/WWWW[[#This Row],[Total HH]]&gt;1,1,WWWW[[#This Row],['# HH received Sanitary Pads]]/WWWW[[#This Row],[Total HH]])</f>
        <v>0</v>
      </c>
      <c r="BZ33" s="720">
        <f>WWWW[[#This Row],['# HH received soaps]]*5</f>
        <v>0</v>
      </c>
      <c r="CA33" s="720">
        <f>WWWW[[#This Row],['# HH received Sanitary Pads]]*5</f>
        <v>0</v>
      </c>
      <c r="CB33" s="238">
        <f>IF(WWWW[[#This Row],['# People with access to soap]]&gt;WWWW[[#This Row],['# People with access to Sanity Pads]],WWWW[[#This Row],['# People with access to soap]],WWWW[[#This Row],['# People with access to Sanity Pads]])</f>
        <v>0</v>
      </c>
      <c r="CC33" s="236">
        <f>WWWW[[#This Row],[Total HH]]*WWWW[[#This Row],[%HHs with access to functional hand washing stations]]</f>
        <v>0</v>
      </c>
      <c r="CD33" s="240" t="str">
        <f>VLOOKUP(WWWW[[#This Row],[Site Name]],SiteDB6[],8,FALSE)</f>
        <v>Yes</v>
      </c>
      <c r="CE33" s="240" t="str">
        <f>VLOOKUP(WWWW[[#This Row],[Site Name]],SiteDB6[],9,FALSE)</f>
        <v>KMSS-MYT</v>
      </c>
      <c r="CF33" s="240" t="str">
        <f>VLOOKUP(WWWW[[#This Row],[Site Name]],SiteDB6[],10,FALSE)</f>
        <v>Camp</v>
      </c>
      <c r="CG33" s="240" t="str">
        <f>VLOOKUP(WWWW[[#This Row],[Site Name]],SiteDB6[],11,FALSE)</f>
        <v>Camp</v>
      </c>
      <c r="CH33" s="240" t="str">
        <f>VLOOKUP(WWWW[[#This Row],[Site Name]],SiteDB6[],12,FALSE)</f>
        <v>Camp</v>
      </c>
      <c r="CI33" s="240" t="str">
        <f>VLOOKUP(WWWW[[#This Row],[Site Name]],SiteDB6[],13,FALSE)</f>
        <v>NGCA</v>
      </c>
      <c r="CJ33" s="240">
        <f>VLOOKUP(WWWW[[#This Row],[Site Name]],SiteDB6[],14,FALSE)</f>
        <v>25.220278</v>
      </c>
      <c r="CK33" s="240">
        <f>VLOOKUP(WWWW[[#This Row],[Site Name]],SiteDB6[],15,FALSE)</f>
        <v>97.915833000000006</v>
      </c>
      <c r="CL33" s="240" t="str">
        <f>VLOOKUP(WWWW[[#This Row],[Site Name]],SiteDB6[],4,FALSE)</f>
        <v>MMR001CMP113</v>
      </c>
      <c r="CM33" s="235" t="str">
        <f t="shared" si="0"/>
        <v>Covered</v>
      </c>
      <c r="CN33" s="235"/>
    </row>
    <row r="34" spans="1:92" ht="15.75" customHeight="1" x14ac:dyDescent="0.25">
      <c r="A34" s="532" t="s">
        <v>1409</v>
      </c>
      <c r="B34" s="533" t="s">
        <v>451</v>
      </c>
      <c r="C34" s="533" t="s">
        <v>44</v>
      </c>
      <c r="D34" s="533" t="s">
        <v>45</v>
      </c>
      <c r="E34" s="533" t="s">
        <v>2569</v>
      </c>
      <c r="F34" s="233">
        <v>415</v>
      </c>
      <c r="G34" s="414">
        <v>1786</v>
      </c>
      <c r="H34" s="233"/>
      <c r="I34" s="233" t="s">
        <v>452</v>
      </c>
      <c r="J34" s="234">
        <v>43100</v>
      </c>
      <c r="K34" s="233">
        <v>0</v>
      </c>
      <c r="L34" s="233" t="s">
        <v>296</v>
      </c>
      <c r="M34" s="235">
        <v>0</v>
      </c>
      <c r="N34" s="235">
        <v>0</v>
      </c>
      <c r="O34" s="609">
        <v>1</v>
      </c>
      <c r="P34" s="615">
        <v>0</v>
      </c>
      <c r="Q34" s="615">
        <v>0</v>
      </c>
      <c r="R34" s="604">
        <v>0</v>
      </c>
      <c r="S34" s="604">
        <v>0</v>
      </c>
      <c r="T34" s="604">
        <v>0</v>
      </c>
      <c r="U34" s="604">
        <v>0</v>
      </c>
      <c r="V34" s="604">
        <v>0</v>
      </c>
      <c r="W34" s="604">
        <v>0</v>
      </c>
      <c r="X34" s="604">
        <v>0</v>
      </c>
      <c r="Y34" s="604"/>
      <c r="Z34" s="628">
        <v>177</v>
      </c>
      <c r="AA34" s="628">
        <v>40</v>
      </c>
      <c r="AB34" s="629">
        <v>0</v>
      </c>
      <c r="AC34" s="628">
        <v>0</v>
      </c>
      <c r="AD34" s="628" t="s">
        <v>342</v>
      </c>
      <c r="AE34" s="631" t="s">
        <v>342</v>
      </c>
      <c r="AF34" s="631">
        <v>0</v>
      </c>
      <c r="AG34" s="628">
        <v>0</v>
      </c>
      <c r="AH34" s="628"/>
      <c r="AI34" s="659">
        <v>0</v>
      </c>
      <c r="AJ34" s="644" t="s">
        <v>301</v>
      </c>
      <c r="AK34" s="644">
        <v>0</v>
      </c>
      <c r="AL34" s="645">
        <v>15</v>
      </c>
      <c r="AM34" s="645">
        <v>1</v>
      </c>
      <c r="AN34" s="646">
        <v>374</v>
      </c>
      <c r="AO34" s="647">
        <v>0</v>
      </c>
      <c r="AP34" s="647" t="s">
        <v>292</v>
      </c>
      <c r="AQ34" s="658"/>
      <c r="AR34" s="235" t="str">
        <f>IFERROR(WWWW[[#This Row],['# of Water passed at source]]/WWWW[[#This Row],['# of Water tested at source]],"no test")</f>
        <v>no test</v>
      </c>
      <c r="AS34" s="237" t="str">
        <f>IFERROR(WWWW[[#This Row],['# of Water passed at HH]]/WWWW[[#This Row],['# of Water tested at HH]],"no test")</f>
        <v>no test</v>
      </c>
      <c r="AT34" s="237">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U34" s="237">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0.13997760358342665</v>
      </c>
      <c r="AV34" s="237">
        <f>IF(WWWW[[#This Row],[Location Type 1]]="Village",WWWW[[#This Row],[Access to safe drinking water for Village]],WWWW[[#This Row],[Access to safe drinking water for Camp]])</f>
        <v>1</v>
      </c>
      <c r="AW34" s="414">
        <f>WWWW[[#This Row],[%Equitable and continuous access to sufficient quantity of safe drinking water]]*WWWW[[#This Row],[Total PoP ]]</f>
        <v>1786</v>
      </c>
      <c r="AX34" s="237">
        <f>IF((WWWW[[#This Row],['# Existing protected/fenced ponds ]]*250)/WWWW[[#This Row],[Total PoP ]]&gt;1,1,WWWW[[#This Row],['# Existing protected/fenced ponds ]]*250/WWWW[[#This Row],[Total PoP ]])</f>
        <v>0</v>
      </c>
      <c r="AY34" s="236">
        <f>WWWW[[#This Row],[Access to unimproved water points]]*WWWW[[#This Row],[Total PoP ]]</f>
        <v>0</v>
      </c>
      <c r="AZ34" s="237">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A34" s="414">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1786</v>
      </c>
      <c r="BB34" s="414">
        <f>WWWW[[#This Row],['#people Equitable and continuous access to sufficient quantity of domestic water borehole n ponds_2]]/500</f>
        <v>3.5720000000000001</v>
      </c>
      <c r="BC34" s="235">
        <f>1-WWWW[[#This Row],[%Equitable and continuous access to sufficient quantity of domestic water borehole n ponds]]</f>
        <v>0</v>
      </c>
      <c r="BD34" s="236">
        <f>WWWW[[#This Row],[%equitable and continuous access to sufficient quantity of safe drinking and domestic water''s GAP]]*WWWW[[#This Row],[Total PoP ]]</f>
        <v>0</v>
      </c>
      <c r="BE34" s="238">
        <f>IF(WWWW[[#This Row],[Total required water points]]-WWWW[[#This Row],['#Water points coverage]]&lt;0,0,WWWW[[#This Row],[Total required water points]]-WWWW[[#This Row],['#Water points coverage]])</f>
        <v>0.42799999999999994</v>
      </c>
      <c r="BF34" s="238">
        <f>ROUND(IF(WWWW[[#This Row],[Total PoP ]]&lt;500,1,WWWW[[#This Row],[Total PoP ]]/500),0)</f>
        <v>4</v>
      </c>
      <c r="BG34" s="238" t="str">
        <f>IF(AND(WWWW[[#This Row],[%of Water samples which passed at water source]]="no test",WWWW[[#This Row],[%Water samples which passed at HH]]="no test"),"No Test","Tested")</f>
        <v>No Test</v>
      </c>
      <c r="BH34" s="238">
        <f>WWWW[[#This Row],['# Existing functional latrines]]+WWWW[[#This Row],['# Existing latrines dysfunctional]]</f>
        <v>217</v>
      </c>
      <c r="BI34" s="235">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1</v>
      </c>
      <c r="BJ34" s="675">
        <f>WWWW[[#This Row],[% people access to functioning Latrine]]*WWWW[[#This Row],[Total PoP ]]</f>
        <v>1786</v>
      </c>
      <c r="BK34" s="235">
        <f>IF(WWWW[[#This Row],[Location Type 1]]="camp",WWWW[[#This Row],['# potential required new latrines]]/(WWWW[[#This Row],[Total PoP ]]/20),WWWW[[#This Row],['# potential required new latrines]]/(WWWW[[#This Row],[Total PoP ]]/6))</f>
        <v>0</v>
      </c>
      <c r="BL34" s="236">
        <f>IF(WWWW[[#This Row],[Total required Latrines]]-WWWW[[#This Row],[Total '# of latrine]]&lt;0,0,WWWW[[#This Row],[Total required Latrines]]-WWWW[[#This Row],[Total '# of latrine]])</f>
        <v>0</v>
      </c>
      <c r="BM34" s="238">
        <f>ROUND(IF(WWWW[[#This Row],[Location Type 1]]="camp",WWWW[[#This Row],[Total PoP ]]/20,WWWW[[#This Row],[Total PoP ]]/6),0)</f>
        <v>89</v>
      </c>
      <c r="BN34" s="239">
        <f>IF(OR(WWWW[[#This Row],['# Existing latrines dysfunctional]]="",WWWW[[#This Row],['# Existing latrines dysfunctional]]=0),0,WWWW[[#This Row],['# Existing latrines dysfunctional]]/WWWW[[#This Row],[Total '# of latrine]])</f>
        <v>0.18433179723502305</v>
      </c>
      <c r="BO34" s="675">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P34" s="235">
        <f>WWWW[[#This Row],[People adopt basic personal and community hygiene practices]]/WWWW[[#This Row],[Total PoP ]]</f>
        <v>0</v>
      </c>
      <c r="BQ34" s="239">
        <f>1-WWWW[[#This Row],[Hygiene Coverage%]]</f>
        <v>1</v>
      </c>
      <c r="BR34" s="414">
        <f>IF(500*WWWW[[#This Row],['# Hygiene Promoters ]]&gt;WWWW[[#This Row],[Total PoP ]],WWWW[[#This Row],[Total PoP ]],500*WWWW[[#This Row],['# Hygiene Promoters ]])</f>
        <v>500</v>
      </c>
      <c r="BS34" s="414">
        <f>IF(WWWW[[#This Row],[% of HH with access to Sanitary Pad]]&gt;=100%,1,0)</f>
        <v>0</v>
      </c>
      <c r="BT34" s="414">
        <f>IF(WWWW[[#This Row],[Total PoP ]]=0,0,IF(WWWW[[#This Row],['# Hygiene Promoters ]]=0,0,IF(WWWW[[#This Row],[Location Type 1]]="Village",IF(WWWW[[#This Row],[Total PoP ]]/WWWW[[#This Row],['# Hygiene Promoters ]]&lt;1000,1,0),IF(WWWW[[#This Row],[Total PoP ]]/WWWW[[#This Row],['# Hygiene Promoters ]]&lt;600,1,0))))</f>
        <v>0</v>
      </c>
      <c r="BU34" s="414">
        <f>IF(WWWW[[#This Row],[%HH with access to soap]]&gt;=100%,1,0)</f>
        <v>0</v>
      </c>
      <c r="BV34" s="414">
        <f>IF(WWWW[[#This Row],[% of HHs with access to Sanitary pad more than '#%]]+WWWW[[#This Row],[Ratio of Hyiene promoters to people less than '#]]+WWWW[[#This Row],[% of HHs with access to soap more than '#%]]&gt;=2,WWWW[[#This Row],[Total PoP ]],0)</f>
        <v>0</v>
      </c>
      <c r="BW34" s="346">
        <f>WWWW[[#This Row],['# people reached by regular dedicated hygiene promotion_5]]/WWWW[[#This Row],[Total PoP ]]</f>
        <v>0.27995520716685329</v>
      </c>
      <c r="BX34" s="346">
        <f>IF(WWWW[[#This Row],['# HH received soaps]]/WWWW[[#This Row],[Total HH]]&gt;1,1,WWWW[[#This Row],['# HH received soaps]]/WWWW[[#This Row],[Total HH]])</f>
        <v>0.90120481927710838</v>
      </c>
      <c r="BY34" s="346">
        <f>IF(WWWW[[#This Row],['# HH received Sanitary Pads]]/WWWW[[#This Row],[Total HH]]&gt;1,1,WWWW[[#This Row],['# HH received Sanitary Pads]]/WWWW[[#This Row],[Total HH]])</f>
        <v>0</v>
      </c>
      <c r="BZ34" s="720">
        <f>WWWW[[#This Row],['# HH received soaps]]*5</f>
        <v>1870</v>
      </c>
      <c r="CA34" s="720">
        <f>WWWW[[#This Row],['# HH received Sanitary Pads]]*5</f>
        <v>0</v>
      </c>
      <c r="CB34" s="238">
        <f>IF(WWWW[[#This Row],['# People with access to soap]]&gt;WWWW[[#This Row],['# People with access to Sanity Pads]],WWWW[[#This Row],['# People with access to soap]],WWWW[[#This Row],['# People with access to Sanity Pads]])</f>
        <v>1870</v>
      </c>
      <c r="CC34" s="236">
        <f>WWWW[[#This Row],[Total HH]]*WWWW[[#This Row],[%HHs with access to functional hand washing stations]]</f>
        <v>0</v>
      </c>
      <c r="CD34" s="240" t="str">
        <f>VLOOKUP(WWWW[[#This Row],[Site Name]],SiteDB6[],8,FALSE)</f>
        <v>Yes</v>
      </c>
      <c r="CE34" s="240" t="str">
        <f>VLOOKUP(WWWW[[#This Row],[Site Name]],SiteDB6[],9,FALSE)</f>
        <v>KMSS-BMO</v>
      </c>
      <c r="CF34" s="240" t="str">
        <f>VLOOKUP(WWWW[[#This Row],[Site Name]],SiteDB6[],10,FALSE)</f>
        <v>Camp</v>
      </c>
      <c r="CG34" s="240" t="str">
        <f>VLOOKUP(WWWW[[#This Row],[Site Name]],SiteDB6[],11,FALSE)</f>
        <v>Camp</v>
      </c>
      <c r="CH34" s="240" t="str">
        <f>VLOOKUP(WWWW[[#This Row],[Site Name]],SiteDB6[],12,FALSE)</f>
        <v>Camp</v>
      </c>
      <c r="CI34" s="240" t="str">
        <f>VLOOKUP(WWWW[[#This Row],[Site Name]],SiteDB6[],13,FALSE)</f>
        <v>NGCA</v>
      </c>
      <c r="CJ34" s="240">
        <f>VLOOKUP(WWWW[[#This Row],[Site Name]],SiteDB6[],14,FALSE)</f>
        <v>24.002433</v>
      </c>
      <c r="CK34" s="240">
        <f>VLOOKUP(WWWW[[#This Row],[Site Name]],SiteDB6[],15,FALSE)</f>
        <v>97.609832999999995</v>
      </c>
      <c r="CL34" s="240" t="str">
        <f>VLOOKUP(WWWW[[#This Row],[Site Name]],SiteDB6[],4,FALSE)</f>
        <v>MMR001CMP129</v>
      </c>
      <c r="CM34" s="235" t="str">
        <f t="shared" si="0"/>
        <v>Covered</v>
      </c>
      <c r="CN34" s="235"/>
    </row>
    <row r="35" spans="1:92" ht="15.75" customHeight="1" x14ac:dyDescent="0.25">
      <c r="A35" s="532" t="s">
        <v>1409</v>
      </c>
      <c r="B35" s="533" t="s">
        <v>399</v>
      </c>
      <c r="C35" s="533" t="s">
        <v>44</v>
      </c>
      <c r="D35" s="533" t="s">
        <v>304</v>
      </c>
      <c r="E35" s="533" t="s">
        <v>410</v>
      </c>
      <c r="F35" s="233">
        <v>5</v>
      </c>
      <c r="G35" s="414">
        <v>26</v>
      </c>
      <c r="H35" s="233"/>
      <c r="I35" s="233" t="s">
        <v>401</v>
      </c>
      <c r="J35" s="234">
        <v>42947</v>
      </c>
      <c r="K35" s="233">
        <v>0</v>
      </c>
      <c r="L35" s="233" t="s">
        <v>48</v>
      </c>
      <c r="M35" s="235">
        <v>0.25</v>
      </c>
      <c r="N35" s="235">
        <v>1</v>
      </c>
      <c r="O35" s="609">
        <v>0</v>
      </c>
      <c r="P35" s="615">
        <v>0</v>
      </c>
      <c r="Q35" s="615">
        <v>0</v>
      </c>
      <c r="R35" s="604">
        <v>0</v>
      </c>
      <c r="S35" s="604">
        <v>1</v>
      </c>
      <c r="T35" s="604">
        <v>0</v>
      </c>
      <c r="U35" s="604">
        <v>0</v>
      </c>
      <c r="V35" s="604">
        <v>0</v>
      </c>
      <c r="W35" s="604">
        <v>0</v>
      </c>
      <c r="X35" s="604">
        <v>0</v>
      </c>
      <c r="Y35" s="604" t="s">
        <v>411</v>
      </c>
      <c r="Z35" s="628">
        <v>2</v>
      </c>
      <c r="AA35" s="628">
        <v>0</v>
      </c>
      <c r="AB35" s="629">
        <v>0</v>
      </c>
      <c r="AC35" s="628">
        <v>2</v>
      </c>
      <c r="AD35" s="628" t="s">
        <v>293</v>
      </c>
      <c r="AE35" s="631" t="s">
        <v>1379</v>
      </c>
      <c r="AF35" s="631">
        <v>0</v>
      </c>
      <c r="AG35" s="628">
        <v>0</v>
      </c>
      <c r="AH35" s="628"/>
      <c r="AI35" s="659">
        <v>0.5</v>
      </c>
      <c r="AJ35" s="650" t="s">
        <v>386</v>
      </c>
      <c r="AK35" s="644">
        <v>0</v>
      </c>
      <c r="AL35" s="645">
        <v>1</v>
      </c>
      <c r="AM35" s="645">
        <v>0</v>
      </c>
      <c r="AN35" s="646">
        <v>0</v>
      </c>
      <c r="AO35" s="647">
        <v>0</v>
      </c>
      <c r="AP35" s="647"/>
      <c r="AQ35" s="658"/>
      <c r="AR35" s="235" t="str">
        <f>IFERROR(WWWW[[#This Row],['# of Water passed at source]]/WWWW[[#This Row],['# of Water tested at source]],"no test")</f>
        <v>no test</v>
      </c>
      <c r="AS35" s="237" t="str">
        <f>IFERROR(WWWW[[#This Row],['# of Water passed at HH]]/WWWW[[#This Row],['# of Water tested at HH]],"no test")</f>
        <v>no test</v>
      </c>
      <c r="AT35" s="237">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U35" s="237">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AV35" s="237">
        <f>IF(WWWW[[#This Row],[Location Type 1]]="Village",WWWW[[#This Row],[Access to safe drinking water for Village]],WWWW[[#This Row],[Access to safe drinking water for Camp]])</f>
        <v>0</v>
      </c>
      <c r="AW35" s="414">
        <f>WWWW[[#This Row],[%Equitable and continuous access to sufficient quantity of safe drinking water]]*WWWW[[#This Row],[Total PoP ]]</f>
        <v>0</v>
      </c>
      <c r="AX35" s="237">
        <f>IF((WWWW[[#This Row],['# Existing protected/fenced ponds ]]*250)/WWWW[[#This Row],[Total PoP ]]&gt;1,1,WWWW[[#This Row],['# Existing protected/fenced ponds ]]*250/WWWW[[#This Row],[Total PoP ]])</f>
        <v>0</v>
      </c>
      <c r="AY35" s="236">
        <f>WWWW[[#This Row],[Access to unimproved water points]]*WWWW[[#This Row],[Total PoP ]]</f>
        <v>0</v>
      </c>
      <c r="AZ35" s="237">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A35" s="414">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B35" s="414">
        <f>WWWW[[#This Row],['#people Equitable and continuous access to sufficient quantity of domestic water borehole n ponds_2]]/500</f>
        <v>0</v>
      </c>
      <c r="BC35" s="235">
        <f>1-WWWW[[#This Row],[%Equitable and continuous access to sufficient quantity of domestic water borehole n ponds]]</f>
        <v>1</v>
      </c>
      <c r="BD35" s="236">
        <f>WWWW[[#This Row],[%equitable and continuous access to sufficient quantity of safe drinking and domestic water''s GAP]]*WWWW[[#This Row],[Total PoP ]]</f>
        <v>26</v>
      </c>
      <c r="BE35" s="238">
        <f>IF(WWWW[[#This Row],[Total required water points]]-WWWW[[#This Row],['#Water points coverage]]&lt;0,0,WWWW[[#This Row],[Total required water points]]-WWWW[[#This Row],['#Water points coverage]])</f>
        <v>1</v>
      </c>
      <c r="BF35" s="238">
        <f>ROUND(IF(WWWW[[#This Row],[Total PoP ]]&lt;500,1,WWWW[[#This Row],[Total PoP ]]/500),0)</f>
        <v>1</v>
      </c>
      <c r="BG35" s="238" t="str">
        <f>IF(AND(WWWW[[#This Row],[%of Water samples which passed at water source]]="no test",WWWW[[#This Row],[%Water samples which passed at HH]]="no test"),"No Test","Tested")</f>
        <v>No Test</v>
      </c>
      <c r="BH35" s="238">
        <f>WWWW[[#This Row],['# Existing functional latrines]]+WWWW[[#This Row],['# Existing latrines dysfunctional]]</f>
        <v>2</v>
      </c>
      <c r="BI35" s="235">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1</v>
      </c>
      <c r="BJ35" s="675">
        <f>WWWW[[#This Row],[% people access to functioning Latrine]]*WWWW[[#This Row],[Total PoP ]]</f>
        <v>26</v>
      </c>
      <c r="BK35" s="235">
        <f>IF(WWWW[[#This Row],[Location Type 1]]="camp",WWWW[[#This Row],['# potential required new latrines]]/(WWWW[[#This Row],[Total PoP ]]/20),WWWW[[#This Row],['# potential required new latrines]]/(WWWW[[#This Row],[Total PoP ]]/6))</f>
        <v>0</v>
      </c>
      <c r="BL35" s="236">
        <f>IF(WWWW[[#This Row],[Total required Latrines]]-WWWW[[#This Row],[Total '# of latrine]]&lt;0,0,WWWW[[#This Row],[Total required Latrines]]-WWWW[[#This Row],[Total '# of latrine]])</f>
        <v>0</v>
      </c>
      <c r="BM35" s="238">
        <f>ROUND(IF(WWWW[[#This Row],[Location Type 1]]="camp",WWWW[[#This Row],[Total PoP ]]/20,WWWW[[#This Row],[Total PoP ]]/6),0)</f>
        <v>1</v>
      </c>
      <c r="BN35" s="239">
        <f>IF(OR(WWWW[[#This Row],['# Existing latrines dysfunctional]]="",WWWW[[#This Row],['# Existing latrines dysfunctional]]=0),0,WWWW[[#This Row],['# Existing latrines dysfunctional]]/WWWW[[#This Row],[Total '# of latrine]])</f>
        <v>0</v>
      </c>
      <c r="BO35" s="675">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P35" s="235">
        <f>WWWW[[#This Row],[People adopt basic personal and community hygiene practices]]/WWWW[[#This Row],[Total PoP ]]</f>
        <v>0</v>
      </c>
      <c r="BQ35" s="239">
        <f>1-WWWW[[#This Row],[Hygiene Coverage%]]</f>
        <v>1</v>
      </c>
      <c r="BR35" s="414">
        <f>IF(500*WWWW[[#This Row],['# Hygiene Promoters ]]&gt;WWWW[[#This Row],[Total PoP ]],WWWW[[#This Row],[Total PoP ]],500*WWWW[[#This Row],['# Hygiene Promoters ]])</f>
        <v>0</v>
      </c>
      <c r="BS35" s="414">
        <f>IF(WWWW[[#This Row],[% of HH with access to Sanitary Pad]]&gt;=100%,1,0)</f>
        <v>0</v>
      </c>
      <c r="BT35" s="414">
        <f>IF(WWWW[[#This Row],[Total PoP ]]=0,0,IF(WWWW[[#This Row],['# Hygiene Promoters ]]=0,0,IF(WWWW[[#This Row],[Location Type 1]]="Village",IF(WWWW[[#This Row],[Total PoP ]]/WWWW[[#This Row],['# Hygiene Promoters ]]&lt;1000,1,0),IF(WWWW[[#This Row],[Total PoP ]]/WWWW[[#This Row],['# Hygiene Promoters ]]&lt;600,1,0))))</f>
        <v>0</v>
      </c>
      <c r="BU35" s="414">
        <f>IF(WWWW[[#This Row],[%HH with access to soap]]&gt;=100%,1,0)</f>
        <v>0</v>
      </c>
      <c r="BV35" s="414">
        <f>IF(WWWW[[#This Row],[% of HHs with access to Sanitary pad more than '#%]]+WWWW[[#This Row],[Ratio of Hyiene promoters to people less than '#]]+WWWW[[#This Row],[% of HHs with access to soap more than '#%]]&gt;=2,WWWW[[#This Row],[Total PoP ]],0)</f>
        <v>0</v>
      </c>
      <c r="BW35" s="346">
        <f>WWWW[[#This Row],['# people reached by regular dedicated hygiene promotion_5]]/WWWW[[#This Row],[Total PoP ]]</f>
        <v>0</v>
      </c>
      <c r="BX35" s="346">
        <f>IF(WWWW[[#This Row],['# HH received soaps]]/WWWW[[#This Row],[Total HH]]&gt;1,1,WWWW[[#This Row],['# HH received soaps]]/WWWW[[#This Row],[Total HH]])</f>
        <v>0</v>
      </c>
      <c r="BY35" s="346">
        <f>IF(WWWW[[#This Row],['# HH received Sanitary Pads]]/WWWW[[#This Row],[Total HH]]&gt;1,1,WWWW[[#This Row],['# HH received Sanitary Pads]]/WWWW[[#This Row],[Total HH]])</f>
        <v>0</v>
      </c>
      <c r="BZ35" s="720">
        <f>WWWW[[#This Row],['# HH received soaps]]*5</f>
        <v>0</v>
      </c>
      <c r="CA35" s="720">
        <f>WWWW[[#This Row],['# HH received Sanitary Pads]]*5</f>
        <v>0</v>
      </c>
      <c r="CB35" s="238">
        <f>IF(WWWW[[#This Row],['# People with access to soap]]&gt;WWWW[[#This Row],['# People with access to Sanity Pads]],WWWW[[#This Row],['# People with access to soap]],WWWW[[#This Row],['# People with access to Sanity Pads]])</f>
        <v>0</v>
      </c>
      <c r="CC35" s="236">
        <f>WWWW[[#This Row],[Total HH]]*WWWW[[#This Row],[%HHs with access to functional hand washing stations]]</f>
        <v>2.5</v>
      </c>
      <c r="CD35" s="240" t="str">
        <f>VLOOKUP(WWWW[[#This Row],[Site Name]],SiteDB6[],8,FALSE)</f>
        <v>Yes</v>
      </c>
      <c r="CE35" s="240" t="str">
        <f>VLOOKUP(WWWW[[#This Row],[Site Name]],SiteDB6[],9,FALSE)</f>
        <v>Shalom</v>
      </c>
      <c r="CF35" s="240" t="str">
        <f>VLOOKUP(WWWW[[#This Row],[Site Name]],SiteDB6[],10,FALSE)</f>
        <v>Camp</v>
      </c>
      <c r="CG35" s="240" t="str">
        <f>VLOOKUP(WWWW[[#This Row],[Site Name]],SiteDB6[],11,FALSE)</f>
        <v>Camp</v>
      </c>
      <c r="CH35" s="240" t="str">
        <f>VLOOKUP(WWWW[[#This Row],[Site Name]],SiteDB6[],12,FALSE)</f>
        <v>Camp</v>
      </c>
      <c r="CI35" s="240" t="str">
        <f>VLOOKUP(WWWW[[#This Row],[Site Name]],SiteDB6[],13,FALSE)</f>
        <v>GCA</v>
      </c>
      <c r="CJ35" s="240">
        <f>VLOOKUP(WWWW[[#This Row],[Site Name]],SiteDB6[],14,FALSE)</f>
        <v>25.582065</v>
      </c>
      <c r="CK35" s="240">
        <f>VLOOKUP(WWWW[[#This Row],[Site Name]],SiteDB6[],15,FALSE)</f>
        <v>96.283377000000002</v>
      </c>
      <c r="CL35" s="240" t="str">
        <f>VLOOKUP(WWWW[[#This Row],[Site Name]],SiteDB6[],4,FALSE)</f>
        <v>MMR001CMP109</v>
      </c>
      <c r="CM35" s="235" t="str">
        <f t="shared" si="0"/>
        <v>Covered</v>
      </c>
      <c r="CN35" s="235"/>
    </row>
    <row r="36" spans="1:92" ht="15.75" customHeight="1" x14ac:dyDescent="0.25">
      <c r="A36" s="532" t="s">
        <v>1409</v>
      </c>
      <c r="B36" s="533" t="s">
        <v>399</v>
      </c>
      <c r="C36" s="533" t="s">
        <v>44</v>
      </c>
      <c r="D36" s="533" t="s">
        <v>302</v>
      </c>
      <c r="E36" s="533" t="s">
        <v>402</v>
      </c>
      <c r="F36" s="233">
        <v>108</v>
      </c>
      <c r="G36" s="414">
        <v>519</v>
      </c>
      <c r="H36" s="233"/>
      <c r="I36" s="233" t="s">
        <v>403</v>
      </c>
      <c r="J36" s="234">
        <v>42947</v>
      </c>
      <c r="K36" s="233">
        <v>0</v>
      </c>
      <c r="L36" s="233" t="s">
        <v>48</v>
      </c>
      <c r="M36" s="235">
        <v>0.6</v>
      </c>
      <c r="N36" s="235">
        <v>1</v>
      </c>
      <c r="O36" s="609">
        <v>0</v>
      </c>
      <c r="P36" s="615">
        <v>0</v>
      </c>
      <c r="Q36" s="615">
        <v>0</v>
      </c>
      <c r="R36" s="604">
        <v>0</v>
      </c>
      <c r="S36" s="604">
        <v>1</v>
      </c>
      <c r="T36" s="604">
        <v>0</v>
      </c>
      <c r="U36" s="604">
        <v>0</v>
      </c>
      <c r="V36" s="604">
        <v>0</v>
      </c>
      <c r="W36" s="604">
        <v>0</v>
      </c>
      <c r="X36" s="604">
        <v>0</v>
      </c>
      <c r="Y36" s="604" t="s">
        <v>404</v>
      </c>
      <c r="Z36" s="628">
        <v>26</v>
      </c>
      <c r="AA36" s="628">
        <v>4</v>
      </c>
      <c r="AB36" s="629">
        <v>0</v>
      </c>
      <c r="AC36" s="628">
        <v>26</v>
      </c>
      <c r="AD36" s="628" t="s">
        <v>1379</v>
      </c>
      <c r="AE36" s="631" t="s">
        <v>1379</v>
      </c>
      <c r="AF36" s="631">
        <v>0</v>
      </c>
      <c r="AG36" s="628">
        <v>0</v>
      </c>
      <c r="AH36" s="628"/>
      <c r="AI36" s="659">
        <v>0.5</v>
      </c>
      <c r="AJ36" s="650" t="s">
        <v>386</v>
      </c>
      <c r="AK36" s="644">
        <v>0</v>
      </c>
      <c r="AL36" s="645">
        <v>5</v>
      </c>
      <c r="AM36" s="645">
        <v>0</v>
      </c>
      <c r="AN36" s="646">
        <v>0</v>
      </c>
      <c r="AO36" s="647">
        <v>0</v>
      </c>
      <c r="AP36" s="647"/>
      <c r="AQ36" s="658"/>
      <c r="AR36" s="235" t="str">
        <f>IFERROR(WWWW[[#This Row],['# of Water passed at source]]/WWWW[[#This Row],['# of Water tested at source]],"no test")</f>
        <v>no test</v>
      </c>
      <c r="AS36" s="237" t="str">
        <f>IFERROR(WWWW[[#This Row],['# of Water passed at HH]]/WWWW[[#This Row],['# of Water tested at HH]],"no test")</f>
        <v>no test</v>
      </c>
      <c r="AT36" s="237">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U36" s="237">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AV36" s="237">
        <f>IF(WWWW[[#This Row],[Location Type 1]]="Village",WWWW[[#This Row],[Access to safe drinking water for Village]],WWWW[[#This Row],[Access to safe drinking water for Camp]])</f>
        <v>0</v>
      </c>
      <c r="AW36" s="414">
        <f>WWWW[[#This Row],[%Equitable and continuous access to sufficient quantity of safe drinking water]]*WWWW[[#This Row],[Total PoP ]]</f>
        <v>0</v>
      </c>
      <c r="AX36" s="237">
        <f>IF((WWWW[[#This Row],['# Existing protected/fenced ponds ]]*250)/WWWW[[#This Row],[Total PoP ]]&gt;1,1,WWWW[[#This Row],['# Existing protected/fenced ponds ]]*250/WWWW[[#This Row],[Total PoP ]])</f>
        <v>0</v>
      </c>
      <c r="AY36" s="236">
        <f>WWWW[[#This Row],[Access to unimproved water points]]*WWWW[[#This Row],[Total PoP ]]</f>
        <v>0</v>
      </c>
      <c r="AZ36" s="237">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A36" s="414">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B36" s="414">
        <f>WWWW[[#This Row],['#people Equitable and continuous access to sufficient quantity of domestic water borehole n ponds_2]]/500</f>
        <v>0</v>
      </c>
      <c r="BC36" s="235">
        <f>1-WWWW[[#This Row],[%Equitable and continuous access to sufficient quantity of domestic water borehole n ponds]]</f>
        <v>1</v>
      </c>
      <c r="BD36" s="236">
        <f>WWWW[[#This Row],[%equitable and continuous access to sufficient quantity of safe drinking and domestic water''s GAP]]*WWWW[[#This Row],[Total PoP ]]</f>
        <v>519</v>
      </c>
      <c r="BE36" s="238">
        <f>IF(WWWW[[#This Row],[Total required water points]]-WWWW[[#This Row],['#Water points coverage]]&lt;0,0,WWWW[[#This Row],[Total required water points]]-WWWW[[#This Row],['#Water points coverage]])</f>
        <v>1</v>
      </c>
      <c r="BF36" s="238">
        <f>ROUND(IF(WWWW[[#This Row],[Total PoP ]]&lt;500,1,WWWW[[#This Row],[Total PoP ]]/500),0)</f>
        <v>1</v>
      </c>
      <c r="BG36" s="238" t="str">
        <f>IF(AND(WWWW[[#This Row],[%of Water samples which passed at water source]]="no test",WWWW[[#This Row],[%Water samples which passed at HH]]="no test"),"No Test","Tested")</f>
        <v>No Test</v>
      </c>
      <c r="BH36" s="238">
        <f>WWWW[[#This Row],['# Existing functional latrines]]+WWWW[[#This Row],['# Existing latrines dysfunctional]]</f>
        <v>30</v>
      </c>
      <c r="BI36" s="235">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1</v>
      </c>
      <c r="BJ36" s="675">
        <f>WWWW[[#This Row],[% people access to functioning Latrine]]*WWWW[[#This Row],[Total PoP ]]</f>
        <v>519</v>
      </c>
      <c r="BK36" s="235">
        <f>IF(WWWW[[#This Row],[Location Type 1]]="camp",WWWW[[#This Row],['# potential required new latrines]]/(WWWW[[#This Row],[Total PoP ]]/20),WWWW[[#This Row],['# potential required new latrines]]/(WWWW[[#This Row],[Total PoP ]]/6))</f>
        <v>0</v>
      </c>
      <c r="BL36" s="236">
        <f>IF(WWWW[[#This Row],[Total required Latrines]]-WWWW[[#This Row],[Total '# of latrine]]&lt;0,0,WWWW[[#This Row],[Total required Latrines]]-WWWW[[#This Row],[Total '# of latrine]])</f>
        <v>0</v>
      </c>
      <c r="BM36" s="238">
        <f>ROUND(IF(WWWW[[#This Row],[Location Type 1]]="camp",WWWW[[#This Row],[Total PoP ]]/20,WWWW[[#This Row],[Total PoP ]]/6),0)</f>
        <v>26</v>
      </c>
      <c r="BN36" s="239">
        <f>IF(OR(WWWW[[#This Row],['# Existing latrines dysfunctional]]="",WWWW[[#This Row],['# Existing latrines dysfunctional]]=0),0,WWWW[[#This Row],['# Existing latrines dysfunctional]]/WWWW[[#This Row],[Total '# of latrine]])</f>
        <v>0.13333333333333333</v>
      </c>
      <c r="BO36" s="675">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P36" s="235">
        <f>WWWW[[#This Row],[People adopt basic personal and community hygiene practices]]/WWWW[[#This Row],[Total PoP ]]</f>
        <v>0</v>
      </c>
      <c r="BQ36" s="239">
        <f>1-WWWW[[#This Row],[Hygiene Coverage%]]</f>
        <v>1</v>
      </c>
      <c r="BR36" s="414">
        <f>IF(500*WWWW[[#This Row],['# Hygiene Promoters ]]&gt;WWWW[[#This Row],[Total PoP ]],WWWW[[#This Row],[Total PoP ]],500*WWWW[[#This Row],['# Hygiene Promoters ]])</f>
        <v>0</v>
      </c>
      <c r="BS36" s="414">
        <f>IF(WWWW[[#This Row],[% of HH with access to Sanitary Pad]]&gt;=100%,1,0)</f>
        <v>0</v>
      </c>
      <c r="BT36" s="414">
        <f>IF(WWWW[[#This Row],[Total PoP ]]=0,0,IF(WWWW[[#This Row],['# Hygiene Promoters ]]=0,0,IF(WWWW[[#This Row],[Location Type 1]]="Village",IF(WWWW[[#This Row],[Total PoP ]]/WWWW[[#This Row],['# Hygiene Promoters ]]&lt;1000,1,0),IF(WWWW[[#This Row],[Total PoP ]]/WWWW[[#This Row],['# Hygiene Promoters ]]&lt;600,1,0))))</f>
        <v>0</v>
      </c>
      <c r="BU36" s="414">
        <f>IF(WWWW[[#This Row],[%HH with access to soap]]&gt;=100%,1,0)</f>
        <v>0</v>
      </c>
      <c r="BV36" s="414">
        <f>IF(WWWW[[#This Row],[% of HHs with access to Sanitary pad more than '#%]]+WWWW[[#This Row],[Ratio of Hyiene promoters to people less than '#]]+WWWW[[#This Row],[% of HHs with access to soap more than '#%]]&gt;=2,WWWW[[#This Row],[Total PoP ]],0)</f>
        <v>0</v>
      </c>
      <c r="BW36" s="346">
        <f>WWWW[[#This Row],['# people reached by regular dedicated hygiene promotion_5]]/WWWW[[#This Row],[Total PoP ]]</f>
        <v>0</v>
      </c>
      <c r="BX36" s="346">
        <f>IF(WWWW[[#This Row],['# HH received soaps]]/WWWW[[#This Row],[Total HH]]&gt;1,1,WWWW[[#This Row],['# HH received soaps]]/WWWW[[#This Row],[Total HH]])</f>
        <v>0</v>
      </c>
      <c r="BY36" s="346">
        <f>IF(WWWW[[#This Row],['# HH received Sanitary Pads]]/WWWW[[#This Row],[Total HH]]&gt;1,1,WWWW[[#This Row],['# HH received Sanitary Pads]]/WWWW[[#This Row],[Total HH]])</f>
        <v>0</v>
      </c>
      <c r="BZ36" s="720">
        <f>WWWW[[#This Row],['# HH received soaps]]*5</f>
        <v>0</v>
      </c>
      <c r="CA36" s="720">
        <f>WWWW[[#This Row],['# HH received Sanitary Pads]]*5</f>
        <v>0</v>
      </c>
      <c r="CB36" s="238">
        <f>IF(WWWW[[#This Row],['# People with access to soap]]&gt;WWWW[[#This Row],['# People with access to Sanity Pads]],WWWW[[#This Row],['# People with access to soap]],WWWW[[#This Row],['# People with access to Sanity Pads]])</f>
        <v>0</v>
      </c>
      <c r="CC36" s="236">
        <f>WWWW[[#This Row],[Total HH]]*WWWW[[#This Row],[%HHs with access to functional hand washing stations]]</f>
        <v>54</v>
      </c>
      <c r="CD36" s="240" t="str">
        <f>VLOOKUP(WWWW[[#This Row],[Site Name]],SiteDB6[],8,FALSE)</f>
        <v>Yes</v>
      </c>
      <c r="CE36" s="240" t="str">
        <f>VLOOKUP(WWWW[[#This Row],[Site Name]],SiteDB6[],9,FALSE)</f>
        <v>Shalom</v>
      </c>
      <c r="CF36" s="240" t="str">
        <f>VLOOKUP(WWWW[[#This Row],[Site Name]],SiteDB6[],10,FALSE)</f>
        <v>Camp</v>
      </c>
      <c r="CG36" s="240" t="str">
        <f>VLOOKUP(WWWW[[#This Row],[Site Name]],SiteDB6[],11,FALSE)</f>
        <v>Camp</v>
      </c>
      <c r="CH36" s="240" t="str">
        <f>VLOOKUP(WWWW[[#This Row],[Site Name]],SiteDB6[],12,FALSE)</f>
        <v>Camp</v>
      </c>
      <c r="CI36" s="240" t="str">
        <f>VLOOKUP(WWWW[[#This Row],[Site Name]],SiteDB6[],13,FALSE)</f>
        <v>GCA</v>
      </c>
      <c r="CJ36" s="240">
        <f>VLOOKUP(WWWW[[#This Row],[Site Name]],SiteDB6[],14,FALSE)</f>
        <v>25.889410000000002</v>
      </c>
      <c r="CK36" s="240">
        <f>VLOOKUP(WWWW[[#This Row],[Site Name]],SiteDB6[],15,FALSE)</f>
        <v>98.131550000000004</v>
      </c>
      <c r="CL36" s="240" t="str">
        <f>VLOOKUP(WWWW[[#This Row],[Site Name]],SiteDB6[],4,FALSE)</f>
        <v>MMR001CMP042</v>
      </c>
      <c r="CM36" s="235" t="str">
        <f t="shared" si="0"/>
        <v>Covered</v>
      </c>
      <c r="CN36" s="235"/>
    </row>
    <row r="37" spans="1:92" ht="15.75" customHeight="1" x14ac:dyDescent="0.25">
      <c r="A37" s="532" t="s">
        <v>1409</v>
      </c>
      <c r="B37" s="533" t="s">
        <v>399</v>
      </c>
      <c r="C37" s="533" t="s">
        <v>44</v>
      </c>
      <c r="D37" s="533" t="s">
        <v>304</v>
      </c>
      <c r="E37" s="533" t="s">
        <v>412</v>
      </c>
      <c r="F37" s="233">
        <v>70</v>
      </c>
      <c r="G37" s="414">
        <v>365</v>
      </c>
      <c r="H37" s="233"/>
      <c r="I37" s="233" t="s">
        <v>401</v>
      </c>
      <c r="J37" s="234">
        <v>42947</v>
      </c>
      <c r="K37" s="233">
        <v>0</v>
      </c>
      <c r="L37" s="233" t="s">
        <v>48</v>
      </c>
      <c r="M37" s="235">
        <v>0.56999999999999995</v>
      </c>
      <c r="N37" s="235">
        <v>0</v>
      </c>
      <c r="O37" s="609">
        <v>1</v>
      </c>
      <c r="P37" s="615">
        <v>1</v>
      </c>
      <c r="Q37" s="615">
        <v>0</v>
      </c>
      <c r="R37" s="604">
        <v>0</v>
      </c>
      <c r="S37" s="604">
        <v>2</v>
      </c>
      <c r="T37" s="604">
        <v>0</v>
      </c>
      <c r="U37" s="604">
        <v>0</v>
      </c>
      <c r="V37" s="604">
        <v>0</v>
      </c>
      <c r="W37" s="604">
        <v>0</v>
      </c>
      <c r="X37" s="604">
        <v>0</v>
      </c>
      <c r="Y37" s="604"/>
      <c r="Z37" s="628">
        <v>22</v>
      </c>
      <c r="AA37" s="628">
        <v>18</v>
      </c>
      <c r="AB37" s="629">
        <v>4</v>
      </c>
      <c r="AC37" s="628">
        <v>22</v>
      </c>
      <c r="AD37" s="628" t="s">
        <v>293</v>
      </c>
      <c r="AE37" s="631" t="s">
        <v>293</v>
      </c>
      <c r="AF37" s="631">
        <v>0</v>
      </c>
      <c r="AG37" s="628">
        <v>0</v>
      </c>
      <c r="AH37" s="628"/>
      <c r="AI37" s="659">
        <v>0.2</v>
      </c>
      <c r="AJ37" s="650" t="s">
        <v>386</v>
      </c>
      <c r="AK37" s="644">
        <v>0</v>
      </c>
      <c r="AL37" s="645">
        <v>3</v>
      </c>
      <c r="AM37" s="645">
        <v>0</v>
      </c>
      <c r="AN37" s="646">
        <v>0</v>
      </c>
      <c r="AO37" s="647">
        <v>0</v>
      </c>
      <c r="AP37" s="647"/>
      <c r="AQ37" s="658"/>
      <c r="AR37" s="235" t="str">
        <f>IFERROR(WWWW[[#This Row],['# of Water passed at source]]/WWWW[[#This Row],['# of Water tested at source]],"no test")</f>
        <v>no test</v>
      </c>
      <c r="AS37" s="237" t="str">
        <f>IFERROR(WWWW[[#This Row],['# of Water passed at HH]]/WWWW[[#This Row],['# of Water tested at HH]],"no test")</f>
        <v>no test</v>
      </c>
      <c r="AT37" s="237">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U37" s="237">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AV37" s="237">
        <f>IF(WWWW[[#This Row],[Location Type 1]]="Village",WWWW[[#This Row],[Access to safe drinking water for Village]],WWWW[[#This Row],[Access to safe drinking water for Camp]])</f>
        <v>1</v>
      </c>
      <c r="AW37" s="414">
        <f>WWWW[[#This Row],[%Equitable and continuous access to sufficient quantity of safe drinking water]]*WWWW[[#This Row],[Total PoP ]]</f>
        <v>365</v>
      </c>
      <c r="AX37" s="237">
        <f>IF((WWWW[[#This Row],['# Existing protected/fenced ponds ]]*250)/WWWW[[#This Row],[Total PoP ]]&gt;1,1,WWWW[[#This Row],['# Existing protected/fenced ponds ]]*250/WWWW[[#This Row],[Total PoP ]])</f>
        <v>0</v>
      </c>
      <c r="AY37" s="414">
        <f>WWWW[[#This Row],[Access to unimproved water points]]*WWWW[[#This Row],[Total PoP ]]</f>
        <v>0</v>
      </c>
      <c r="AZ37" s="237">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A37" s="414">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365</v>
      </c>
      <c r="BB37" s="414">
        <f>WWWW[[#This Row],['#people Equitable and continuous access to sufficient quantity of domestic water borehole n ponds_2]]/500</f>
        <v>0.73</v>
      </c>
      <c r="BC37" s="235">
        <f>1-WWWW[[#This Row],[%Equitable and continuous access to sufficient quantity of domestic water borehole n ponds]]</f>
        <v>0</v>
      </c>
      <c r="BD37" s="414">
        <f>WWWW[[#This Row],[%equitable and continuous access to sufficient quantity of safe drinking and domestic water''s GAP]]*WWWW[[#This Row],[Total PoP ]]</f>
        <v>0</v>
      </c>
      <c r="BE37" s="238">
        <f>IF(WWWW[[#This Row],[Total required water points]]-WWWW[[#This Row],['#Water points coverage]]&lt;0,0,WWWW[[#This Row],[Total required water points]]-WWWW[[#This Row],['#Water points coverage]])</f>
        <v>0.27</v>
      </c>
      <c r="BF37" s="238">
        <f>ROUND(IF(WWWW[[#This Row],[Total PoP ]]&lt;500,1,WWWW[[#This Row],[Total PoP ]]/500),0)</f>
        <v>1</v>
      </c>
      <c r="BG37" s="238" t="str">
        <f>IF(AND(WWWW[[#This Row],[%of Water samples which passed at water source]]="no test",WWWW[[#This Row],[%Water samples which passed at HH]]="no test"),"No Test","Tested")</f>
        <v>No Test</v>
      </c>
      <c r="BH37" s="238">
        <f>WWWW[[#This Row],['# Existing functional latrines]]+WWWW[[#This Row],['# Existing latrines dysfunctional]]</f>
        <v>40</v>
      </c>
      <c r="BI37" s="235">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1</v>
      </c>
      <c r="BJ37" s="675">
        <f>WWWW[[#This Row],[% people access to functioning Latrine]]*WWWW[[#This Row],[Total PoP ]]</f>
        <v>365</v>
      </c>
      <c r="BK37" s="235">
        <f>IF(WWWW[[#This Row],[Location Type 1]]="camp",WWWW[[#This Row],['# potential required new latrines]]/(WWWW[[#This Row],[Total PoP ]]/20),WWWW[[#This Row],['# potential required new latrines]]/(WWWW[[#This Row],[Total PoP ]]/6))</f>
        <v>0</v>
      </c>
      <c r="BL37" s="414">
        <f>IF(WWWW[[#This Row],[Total required Latrines]]-WWWW[[#This Row],[Total '# of latrine]]&lt;0,0,WWWW[[#This Row],[Total required Latrines]]-WWWW[[#This Row],[Total '# of latrine]])</f>
        <v>0</v>
      </c>
      <c r="BM37" s="238">
        <f>ROUND(IF(WWWW[[#This Row],[Location Type 1]]="camp",WWWW[[#This Row],[Total PoP ]]/20,WWWW[[#This Row],[Total PoP ]]/6),0)</f>
        <v>18</v>
      </c>
      <c r="BN37" s="239">
        <f>IF(OR(WWWW[[#This Row],['# Existing latrines dysfunctional]]="",WWWW[[#This Row],['# Existing latrines dysfunctional]]=0),0,WWWW[[#This Row],['# Existing latrines dysfunctional]]/WWWW[[#This Row],[Total '# of latrine]])</f>
        <v>0.45</v>
      </c>
      <c r="BO37" s="675">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80</v>
      </c>
      <c r="BP37" s="235">
        <f>WWWW[[#This Row],[People adopt basic personal and community hygiene practices]]/WWWW[[#This Row],[Total PoP ]]</f>
        <v>0</v>
      </c>
      <c r="BQ37" s="239">
        <f>1-WWWW[[#This Row],[Hygiene Coverage%]]</f>
        <v>1</v>
      </c>
      <c r="BR37" s="414">
        <f>IF(500*WWWW[[#This Row],['# Hygiene Promoters ]]&gt;WWWW[[#This Row],[Total PoP ]],WWWW[[#This Row],[Total PoP ]],500*WWWW[[#This Row],['# Hygiene Promoters ]])</f>
        <v>0</v>
      </c>
      <c r="BS37" s="414">
        <f>IF(WWWW[[#This Row],[% of HH with access to Sanitary Pad]]&gt;=100%,1,0)</f>
        <v>0</v>
      </c>
      <c r="BT37" s="414">
        <f>IF(WWWW[[#This Row],[Total PoP ]]=0,0,IF(WWWW[[#This Row],['# Hygiene Promoters ]]=0,0,IF(WWWW[[#This Row],[Location Type 1]]="Village",IF(WWWW[[#This Row],[Total PoP ]]/WWWW[[#This Row],['# Hygiene Promoters ]]&lt;1000,1,0),IF(WWWW[[#This Row],[Total PoP ]]/WWWW[[#This Row],['# Hygiene Promoters ]]&lt;600,1,0))))</f>
        <v>0</v>
      </c>
      <c r="BU37" s="414">
        <f>IF(WWWW[[#This Row],[%HH with access to soap]]&gt;=100%,1,0)</f>
        <v>0</v>
      </c>
      <c r="BV37" s="414">
        <f>IF(WWWW[[#This Row],[% of HHs with access to Sanitary pad more than '#%]]+WWWW[[#This Row],[Ratio of Hyiene promoters to people less than '#]]+WWWW[[#This Row],[% of HHs with access to soap more than '#%]]&gt;=2,WWWW[[#This Row],[Total PoP ]],0)</f>
        <v>0</v>
      </c>
      <c r="BW37" s="346">
        <f>WWWW[[#This Row],['# people reached by regular dedicated hygiene promotion_5]]/WWWW[[#This Row],[Total PoP ]]</f>
        <v>0</v>
      </c>
      <c r="BX37" s="346">
        <f>IF(WWWW[[#This Row],['# HH received soaps]]/WWWW[[#This Row],[Total HH]]&gt;1,1,WWWW[[#This Row],['# HH received soaps]]/WWWW[[#This Row],[Total HH]])</f>
        <v>0</v>
      </c>
      <c r="BY37" s="346">
        <f>IF(WWWW[[#This Row],['# HH received Sanitary Pads]]/WWWW[[#This Row],[Total HH]]&gt;1,1,WWWW[[#This Row],['# HH received Sanitary Pads]]/WWWW[[#This Row],[Total HH]])</f>
        <v>0</v>
      </c>
      <c r="BZ37" s="720">
        <f>WWWW[[#This Row],['# HH received soaps]]*5</f>
        <v>0</v>
      </c>
      <c r="CA37" s="720">
        <f>WWWW[[#This Row],['# HH received Sanitary Pads]]*5</f>
        <v>0</v>
      </c>
      <c r="CB37" s="238">
        <f>IF(WWWW[[#This Row],['# People with access to soap]]&gt;WWWW[[#This Row],['# People with access to Sanity Pads]],WWWW[[#This Row],['# People with access to soap]],WWWW[[#This Row],['# People with access to Sanity Pads]])</f>
        <v>0</v>
      </c>
      <c r="CC37" s="414">
        <f>WWWW[[#This Row],[Total HH]]*WWWW[[#This Row],[%HHs with access to functional hand washing stations]]</f>
        <v>14</v>
      </c>
      <c r="CD37" s="240" t="str">
        <f>VLOOKUP(WWWW[[#This Row],[Site Name]],SiteDB6[],8,FALSE)</f>
        <v>Yes</v>
      </c>
      <c r="CE37" s="240" t="str">
        <f>VLOOKUP(WWWW[[#This Row],[Site Name]],SiteDB6[],9,FALSE)</f>
        <v>Shalom</v>
      </c>
      <c r="CF37" s="240" t="str">
        <f>VLOOKUP(WWWW[[#This Row],[Site Name]],SiteDB6[],10,FALSE)</f>
        <v>Camp</v>
      </c>
      <c r="CG37" s="240" t="str">
        <f>VLOOKUP(WWWW[[#This Row],[Site Name]],SiteDB6[],11,FALSE)</f>
        <v>Camp</v>
      </c>
      <c r="CH37" s="240" t="str">
        <f>VLOOKUP(WWWW[[#This Row],[Site Name]],SiteDB6[],12,FALSE)</f>
        <v>Camp</v>
      </c>
      <c r="CI37" s="240" t="str">
        <f>VLOOKUP(WWWW[[#This Row],[Site Name]],SiteDB6[],13,FALSE)</f>
        <v>GCA</v>
      </c>
      <c r="CJ37" s="240">
        <f>VLOOKUP(WWWW[[#This Row],[Site Name]],SiteDB6[],14,FALSE)</f>
        <v>25.637309999999999</v>
      </c>
      <c r="CK37" s="240">
        <f>VLOOKUP(WWWW[[#This Row],[Site Name]],SiteDB6[],15,FALSE)</f>
        <v>96.35257</v>
      </c>
      <c r="CL37" s="240" t="str">
        <f>VLOOKUP(WWWW[[#This Row],[Site Name]],SiteDB6[],4,FALSE)</f>
        <v>MMR001CMP174</v>
      </c>
      <c r="CM37" s="235" t="str">
        <f t="shared" si="0"/>
        <v>Covered</v>
      </c>
      <c r="CN37" s="235"/>
    </row>
    <row r="38" spans="1:92" ht="15.75" customHeight="1" x14ac:dyDescent="0.25">
      <c r="A38" s="532" t="s">
        <v>1409</v>
      </c>
      <c r="B38" s="533" t="s">
        <v>297</v>
      </c>
      <c r="C38" s="533" t="s">
        <v>44</v>
      </c>
      <c r="D38" s="533" t="s">
        <v>315</v>
      </c>
      <c r="E38" s="533" t="s">
        <v>316</v>
      </c>
      <c r="F38" s="233">
        <v>42</v>
      </c>
      <c r="G38" s="414">
        <v>185</v>
      </c>
      <c r="H38" s="233"/>
      <c r="I38" s="233" t="s">
        <v>300</v>
      </c>
      <c r="J38" s="234">
        <v>43555</v>
      </c>
      <c r="K38" s="233">
        <v>0</v>
      </c>
      <c r="L38" s="233" t="s">
        <v>48</v>
      </c>
      <c r="M38" s="235">
        <v>0.6</v>
      </c>
      <c r="N38" s="235">
        <v>0.5</v>
      </c>
      <c r="O38" s="609">
        <v>0</v>
      </c>
      <c r="P38" s="615">
        <v>3</v>
      </c>
      <c r="Q38" s="615">
        <v>4000</v>
      </c>
      <c r="R38" s="604">
        <v>0</v>
      </c>
      <c r="S38" s="604">
        <v>0</v>
      </c>
      <c r="T38" s="604">
        <v>0</v>
      </c>
      <c r="U38" s="604">
        <v>0</v>
      </c>
      <c r="V38" s="604">
        <v>0</v>
      </c>
      <c r="W38" s="604">
        <v>0</v>
      </c>
      <c r="X38" s="604">
        <v>0</v>
      </c>
      <c r="Y38" s="604"/>
      <c r="Z38" s="628">
        <v>7</v>
      </c>
      <c r="AA38" s="628">
        <v>0</v>
      </c>
      <c r="AB38" s="629">
        <v>0</v>
      </c>
      <c r="AC38" s="628">
        <v>0</v>
      </c>
      <c r="AD38" s="628" t="s">
        <v>293</v>
      </c>
      <c r="AE38" s="631" t="s">
        <v>1379</v>
      </c>
      <c r="AF38" s="631"/>
      <c r="AG38" s="628"/>
      <c r="AH38" s="628"/>
      <c r="AI38" s="659">
        <v>0.6</v>
      </c>
      <c r="AJ38" s="650" t="s">
        <v>386</v>
      </c>
      <c r="AK38" s="644">
        <v>0</v>
      </c>
      <c r="AL38" s="645">
        <v>3</v>
      </c>
      <c r="AM38" s="645">
        <v>1</v>
      </c>
      <c r="AN38" s="646">
        <v>0</v>
      </c>
      <c r="AO38" s="647">
        <v>0</v>
      </c>
      <c r="AP38" s="647"/>
      <c r="AQ38" s="658"/>
      <c r="AR38" s="235" t="str">
        <f>IFERROR(WWWW[[#This Row],['# of Water passed at source]]/WWWW[[#This Row],['# of Water tested at source]],"no test")</f>
        <v>no test</v>
      </c>
      <c r="AS38" s="237" t="str">
        <f>IFERROR(WWWW[[#This Row],['# of Water passed at HH]]/WWWW[[#This Row],['# of Water tested at HH]],"no test")</f>
        <v>no test</v>
      </c>
      <c r="AT38" s="237">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U38" s="237">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AV38" s="237">
        <f>IF(WWWW[[#This Row],[Location Type 1]]="Village",WWWW[[#This Row],[Access to safe drinking water for Village]],WWWW[[#This Row],[Access to safe drinking water for Camp]])</f>
        <v>1</v>
      </c>
      <c r="AW38" s="414">
        <f>WWWW[[#This Row],[%Equitable and continuous access to sufficient quantity of safe drinking water]]*WWWW[[#This Row],[Total PoP ]]</f>
        <v>185</v>
      </c>
      <c r="AX38" s="237">
        <f>IF((WWWW[[#This Row],['# Existing protected/fenced ponds ]]*250)/WWWW[[#This Row],[Total PoP ]]&gt;1,1,WWWW[[#This Row],['# Existing protected/fenced ponds ]]*250/WWWW[[#This Row],[Total PoP ]])</f>
        <v>0</v>
      </c>
      <c r="AY38" s="414">
        <f>WWWW[[#This Row],[Access to unimproved water points]]*WWWW[[#This Row],[Total PoP ]]</f>
        <v>0</v>
      </c>
      <c r="AZ38" s="237">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A38" s="414">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185</v>
      </c>
      <c r="BB38" s="414">
        <f>WWWW[[#This Row],['#people Equitable and continuous access to sufficient quantity of domestic water borehole n ponds_2]]/500</f>
        <v>0.37</v>
      </c>
      <c r="BC38" s="235">
        <f>1-WWWW[[#This Row],[%Equitable and continuous access to sufficient quantity of domestic water borehole n ponds]]</f>
        <v>0</v>
      </c>
      <c r="BD38" s="414">
        <f>WWWW[[#This Row],[%equitable and continuous access to sufficient quantity of safe drinking and domestic water''s GAP]]*WWWW[[#This Row],[Total PoP ]]</f>
        <v>0</v>
      </c>
      <c r="BE38" s="238">
        <f>IF(WWWW[[#This Row],[Total required water points]]-WWWW[[#This Row],['#Water points coverage]]&lt;0,0,WWWW[[#This Row],[Total required water points]]-WWWW[[#This Row],['#Water points coverage]])</f>
        <v>0.63</v>
      </c>
      <c r="BF38" s="238">
        <f>ROUND(IF(WWWW[[#This Row],[Total PoP ]]&lt;500,1,WWWW[[#This Row],[Total PoP ]]/500),0)</f>
        <v>1</v>
      </c>
      <c r="BG38" s="238" t="str">
        <f>IF(AND(WWWW[[#This Row],[%of Water samples which passed at water source]]="no test",WWWW[[#This Row],[%Water samples which passed at HH]]="no test"),"No Test","Tested")</f>
        <v>No Test</v>
      </c>
      <c r="BH38" s="238">
        <f>WWWW[[#This Row],['# Existing functional latrines]]+WWWW[[#This Row],['# Existing latrines dysfunctional]]</f>
        <v>7</v>
      </c>
      <c r="BI38" s="235">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0.7567567567567568</v>
      </c>
      <c r="BJ38" s="675">
        <f>WWWW[[#This Row],[% people access to functioning Latrine]]*WWWW[[#This Row],[Total PoP ]]</f>
        <v>140</v>
      </c>
      <c r="BK38" s="235">
        <f>IF(WWWW[[#This Row],[Location Type 1]]="camp",WWWW[[#This Row],['# potential required new latrines]]/(WWWW[[#This Row],[Total PoP ]]/20),WWWW[[#This Row],['# potential required new latrines]]/(WWWW[[#This Row],[Total PoP ]]/6))</f>
        <v>0.21621621621621623</v>
      </c>
      <c r="BL38" s="414">
        <f>IF(WWWW[[#This Row],[Total required Latrines]]-WWWW[[#This Row],[Total '# of latrine]]&lt;0,0,WWWW[[#This Row],[Total required Latrines]]-WWWW[[#This Row],[Total '# of latrine]])</f>
        <v>2</v>
      </c>
      <c r="BM38" s="238">
        <f>ROUND(IF(WWWW[[#This Row],[Location Type 1]]="camp",WWWW[[#This Row],[Total PoP ]]/20,WWWW[[#This Row],[Total PoP ]]/6),0)</f>
        <v>9</v>
      </c>
      <c r="BN38" s="239">
        <f>IF(OR(WWWW[[#This Row],['# Existing latrines dysfunctional]]="",WWWW[[#This Row],['# Existing latrines dysfunctional]]=0),0,WWWW[[#This Row],['# Existing latrines dysfunctional]]/WWWW[[#This Row],[Total '# of latrine]])</f>
        <v>0</v>
      </c>
      <c r="BO38" s="675">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P38" s="235">
        <f>WWWW[[#This Row],[People adopt basic personal and community hygiene practices]]/WWWW[[#This Row],[Total PoP ]]</f>
        <v>0</v>
      </c>
      <c r="BQ38" s="239">
        <f>1-WWWW[[#This Row],[Hygiene Coverage%]]</f>
        <v>1</v>
      </c>
      <c r="BR38" s="414">
        <f>IF(500*WWWW[[#This Row],['# Hygiene Promoters ]]&gt;WWWW[[#This Row],[Total PoP ]],WWWW[[#This Row],[Total PoP ]],500*WWWW[[#This Row],['# Hygiene Promoters ]])</f>
        <v>185</v>
      </c>
      <c r="BS38" s="414">
        <f>IF(WWWW[[#This Row],[% of HH with access to Sanitary Pad]]&gt;=100%,1,0)</f>
        <v>0</v>
      </c>
      <c r="BT38" s="414">
        <f>IF(WWWW[[#This Row],[Total PoP ]]=0,0,IF(WWWW[[#This Row],['# Hygiene Promoters ]]=0,0,IF(WWWW[[#This Row],[Location Type 1]]="Village",IF(WWWW[[#This Row],[Total PoP ]]/WWWW[[#This Row],['# Hygiene Promoters ]]&lt;1000,1,0),IF(WWWW[[#This Row],[Total PoP ]]/WWWW[[#This Row],['# Hygiene Promoters ]]&lt;600,1,0))))</f>
        <v>1</v>
      </c>
      <c r="BU38" s="414">
        <f>IF(WWWW[[#This Row],[%HH with access to soap]]&gt;=100%,1,0)</f>
        <v>0</v>
      </c>
      <c r="BV38" s="414">
        <f>IF(WWWW[[#This Row],[% of HHs with access to Sanitary pad more than '#%]]+WWWW[[#This Row],[Ratio of Hyiene promoters to people less than '#]]+WWWW[[#This Row],[% of HHs with access to soap more than '#%]]&gt;=2,WWWW[[#This Row],[Total PoP ]],0)</f>
        <v>0</v>
      </c>
      <c r="BW38" s="346">
        <f>WWWW[[#This Row],['# people reached by regular dedicated hygiene promotion_5]]/WWWW[[#This Row],[Total PoP ]]</f>
        <v>1</v>
      </c>
      <c r="BX38" s="346">
        <f>IF(WWWW[[#This Row],['# HH received soaps]]/WWWW[[#This Row],[Total HH]]&gt;1,1,WWWW[[#This Row],['# HH received soaps]]/WWWW[[#This Row],[Total HH]])</f>
        <v>0</v>
      </c>
      <c r="BY38" s="346">
        <f>IF(WWWW[[#This Row],['# HH received Sanitary Pads]]/WWWW[[#This Row],[Total HH]]&gt;1,1,WWWW[[#This Row],['# HH received Sanitary Pads]]/WWWW[[#This Row],[Total HH]])</f>
        <v>0</v>
      </c>
      <c r="BZ38" s="720">
        <f>WWWW[[#This Row],['# HH received soaps]]*5</f>
        <v>0</v>
      </c>
      <c r="CA38" s="720">
        <f>WWWW[[#This Row],['# HH received Sanitary Pads]]*5</f>
        <v>0</v>
      </c>
      <c r="CB38" s="238">
        <f>IF(WWWW[[#This Row],['# People with access to soap]]&gt;WWWW[[#This Row],['# People with access to Sanity Pads]],WWWW[[#This Row],['# People with access to soap]],WWWW[[#This Row],['# People with access to Sanity Pads]])</f>
        <v>0</v>
      </c>
      <c r="CC38" s="414">
        <f>WWWW[[#This Row],[Total HH]]*WWWW[[#This Row],[%HHs with access to functional hand washing stations]]</f>
        <v>25.2</v>
      </c>
      <c r="CD38" s="240" t="str">
        <f>VLOOKUP(WWWW[[#This Row],[Site Name]],SiteDB6[],8,FALSE)</f>
        <v>Yes</v>
      </c>
      <c r="CE38" s="240" t="str">
        <f>VLOOKUP(WWWW[[#This Row],[Site Name]],SiteDB6[],9,FALSE)</f>
        <v>KBC</v>
      </c>
      <c r="CF38" s="240" t="str">
        <f>VLOOKUP(WWWW[[#This Row],[Site Name]],SiteDB6[],10,FALSE)</f>
        <v>Camp</v>
      </c>
      <c r="CG38" s="240" t="str">
        <f>VLOOKUP(WWWW[[#This Row],[Site Name]],SiteDB6[],11,FALSE)</f>
        <v>Camp</v>
      </c>
      <c r="CH38" s="240" t="str">
        <f>VLOOKUP(WWWW[[#This Row],[Site Name]],SiteDB6[],12,FALSE)</f>
        <v>Camp</v>
      </c>
      <c r="CI38" s="240" t="str">
        <f>VLOOKUP(WWWW[[#This Row],[Site Name]],SiteDB6[],13,FALSE)</f>
        <v>GCA</v>
      </c>
      <c r="CJ38" s="240">
        <f>VLOOKUP(WWWW[[#This Row],[Site Name]],SiteDB6[],14,FALSE)</f>
        <v>25.3959740909091</v>
      </c>
      <c r="CK38" s="240">
        <f>VLOOKUP(WWWW[[#This Row],[Site Name]],SiteDB6[],15,FALSE)</f>
        <v>97.382997575757599</v>
      </c>
      <c r="CL38" s="240" t="str">
        <f>VLOOKUP(WWWW[[#This Row],[Site Name]],SiteDB6[],4,FALSE)</f>
        <v>MMR001CMP010</v>
      </c>
      <c r="CM38" s="235" t="str">
        <f t="shared" si="0"/>
        <v>Covered</v>
      </c>
      <c r="CN38" s="235"/>
    </row>
    <row r="39" spans="1:92" ht="15.75" customHeight="1" x14ac:dyDescent="0.25">
      <c r="A39" s="532" t="s">
        <v>1409</v>
      </c>
      <c r="B39" s="533" t="s">
        <v>43</v>
      </c>
      <c r="C39" s="533" t="s">
        <v>44</v>
      </c>
      <c r="D39" s="533" t="s">
        <v>361</v>
      </c>
      <c r="E39" s="533" t="s">
        <v>389</v>
      </c>
      <c r="F39" s="233">
        <v>98</v>
      </c>
      <c r="G39" s="414">
        <v>446</v>
      </c>
      <c r="H39" s="233"/>
      <c r="I39" s="233" t="s">
        <v>382</v>
      </c>
      <c r="J39" s="234">
        <v>43465</v>
      </c>
      <c r="K39" s="233">
        <v>0</v>
      </c>
      <c r="L39" s="233" t="s">
        <v>2578</v>
      </c>
      <c r="M39" s="235">
        <v>0.5</v>
      </c>
      <c r="N39" s="235">
        <v>0.3</v>
      </c>
      <c r="O39" s="609">
        <v>0</v>
      </c>
      <c r="P39" s="615">
        <v>0</v>
      </c>
      <c r="Q39" s="615">
        <v>7000</v>
      </c>
      <c r="R39" s="604">
        <v>0</v>
      </c>
      <c r="S39" s="604">
        <v>8</v>
      </c>
      <c r="T39" s="604">
        <v>0</v>
      </c>
      <c r="U39" s="604">
        <v>0</v>
      </c>
      <c r="V39" s="604">
        <v>0</v>
      </c>
      <c r="W39" s="604">
        <v>0</v>
      </c>
      <c r="X39" s="604">
        <v>0</v>
      </c>
      <c r="Y39" s="604"/>
      <c r="Z39" s="628">
        <v>93</v>
      </c>
      <c r="AA39" s="628">
        <v>0</v>
      </c>
      <c r="AB39" s="629">
        <v>0</v>
      </c>
      <c r="AC39" s="628">
        <v>0</v>
      </c>
      <c r="AD39" s="628" t="s">
        <v>293</v>
      </c>
      <c r="AE39" s="631" t="s">
        <v>1379</v>
      </c>
      <c r="AF39" s="631">
        <v>0</v>
      </c>
      <c r="AG39" s="628">
        <v>0</v>
      </c>
      <c r="AH39" s="628"/>
      <c r="AI39" s="659">
        <v>0</v>
      </c>
      <c r="AJ39" s="650" t="s">
        <v>386</v>
      </c>
      <c r="AK39" s="644">
        <v>0</v>
      </c>
      <c r="AL39" s="645">
        <v>2</v>
      </c>
      <c r="AM39" s="645">
        <v>2</v>
      </c>
      <c r="AN39" s="646">
        <v>0</v>
      </c>
      <c r="AO39" s="647">
        <v>0</v>
      </c>
      <c r="AP39" s="647" t="s">
        <v>292</v>
      </c>
      <c r="AQ39" s="658"/>
      <c r="AR39" s="235" t="str">
        <f>IFERROR(WWWW[[#This Row],['# of Water passed at source]]/WWWW[[#This Row],['# of Water tested at source]],"no test")</f>
        <v>no test</v>
      </c>
      <c r="AS39" s="237" t="str">
        <f>IFERROR(WWWW[[#This Row],['# of Water passed at HH]]/WWWW[[#This Row],['# of Water tested at HH]],"no test")</f>
        <v>no test</v>
      </c>
      <c r="AT39" s="237">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U39" s="237">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AV39" s="237">
        <f>IF(WWWW[[#This Row],[Location Type 1]]="Village",WWWW[[#This Row],[Access to safe drinking water for Village]],WWWW[[#This Row],[Access to safe drinking water for Camp]])</f>
        <v>1</v>
      </c>
      <c r="AW39" s="414">
        <f>WWWW[[#This Row],[%Equitable and continuous access to sufficient quantity of safe drinking water]]*WWWW[[#This Row],[Total PoP ]]</f>
        <v>446</v>
      </c>
      <c r="AX39" s="237">
        <f>IF((WWWW[[#This Row],['# Existing protected/fenced ponds ]]*250)/WWWW[[#This Row],[Total PoP ]]&gt;1,1,WWWW[[#This Row],['# Existing protected/fenced ponds ]]*250/WWWW[[#This Row],[Total PoP ]])</f>
        <v>0</v>
      </c>
      <c r="AY39" s="414">
        <f>WWWW[[#This Row],[Access to unimproved water points]]*WWWW[[#This Row],[Total PoP ]]</f>
        <v>0</v>
      </c>
      <c r="AZ39" s="237">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A39" s="414">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446</v>
      </c>
      <c r="BB39" s="414">
        <f>WWWW[[#This Row],['#people Equitable and continuous access to sufficient quantity of domestic water borehole n ponds_2]]/500</f>
        <v>0.89200000000000002</v>
      </c>
      <c r="BC39" s="235">
        <f>1-WWWW[[#This Row],[%Equitable and continuous access to sufficient quantity of domestic water borehole n ponds]]</f>
        <v>0</v>
      </c>
      <c r="BD39" s="414">
        <f>WWWW[[#This Row],[%equitable and continuous access to sufficient quantity of safe drinking and domestic water''s GAP]]*WWWW[[#This Row],[Total PoP ]]</f>
        <v>0</v>
      </c>
      <c r="BE39" s="238">
        <f>IF(WWWW[[#This Row],[Total required water points]]-WWWW[[#This Row],['#Water points coverage]]&lt;0,0,WWWW[[#This Row],[Total required water points]]-WWWW[[#This Row],['#Water points coverage]])</f>
        <v>0.10799999999999998</v>
      </c>
      <c r="BF39" s="238">
        <f>ROUND(IF(WWWW[[#This Row],[Total PoP ]]&lt;500,1,WWWW[[#This Row],[Total PoP ]]/500),0)</f>
        <v>1</v>
      </c>
      <c r="BG39" s="238" t="str">
        <f>IF(AND(WWWW[[#This Row],[%of Water samples which passed at water source]]="no test",WWWW[[#This Row],[%Water samples which passed at HH]]="no test"),"No Test","Tested")</f>
        <v>No Test</v>
      </c>
      <c r="BH39" s="238">
        <f>WWWW[[#This Row],['# Existing functional latrines]]+WWWW[[#This Row],['# Existing latrines dysfunctional]]</f>
        <v>93</v>
      </c>
      <c r="BI39" s="235">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1</v>
      </c>
      <c r="BJ39" s="675">
        <f>WWWW[[#This Row],[% people access to functioning Latrine]]*WWWW[[#This Row],[Total PoP ]]</f>
        <v>446</v>
      </c>
      <c r="BK39" s="235">
        <f>IF(WWWW[[#This Row],[Location Type 1]]="camp",WWWW[[#This Row],['# potential required new latrines]]/(WWWW[[#This Row],[Total PoP ]]/20),WWWW[[#This Row],['# potential required new latrines]]/(WWWW[[#This Row],[Total PoP ]]/6))</f>
        <v>0</v>
      </c>
      <c r="BL39" s="414">
        <f>IF(WWWW[[#This Row],[Total required Latrines]]-WWWW[[#This Row],[Total '# of latrine]]&lt;0,0,WWWW[[#This Row],[Total required Latrines]]-WWWW[[#This Row],[Total '# of latrine]])</f>
        <v>0</v>
      </c>
      <c r="BM39" s="238">
        <f>ROUND(IF(WWWW[[#This Row],[Location Type 1]]="camp",WWWW[[#This Row],[Total PoP ]]/20,WWWW[[#This Row],[Total PoP ]]/6),0)</f>
        <v>22</v>
      </c>
      <c r="BN39" s="239">
        <f>IF(OR(WWWW[[#This Row],['# Existing latrines dysfunctional]]="",WWWW[[#This Row],['# Existing latrines dysfunctional]]=0),0,WWWW[[#This Row],['# Existing latrines dysfunctional]]/WWWW[[#This Row],[Total '# of latrine]])</f>
        <v>0</v>
      </c>
      <c r="BO39" s="675">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P39" s="235">
        <f>WWWW[[#This Row],[People adopt basic personal and community hygiene practices]]/WWWW[[#This Row],[Total PoP ]]</f>
        <v>0</v>
      </c>
      <c r="BQ39" s="239">
        <f>1-WWWW[[#This Row],[Hygiene Coverage%]]</f>
        <v>1</v>
      </c>
      <c r="BR39" s="414">
        <f>IF(500*WWWW[[#This Row],['# Hygiene Promoters ]]&gt;WWWW[[#This Row],[Total PoP ]],WWWW[[#This Row],[Total PoP ]],500*WWWW[[#This Row],['# Hygiene Promoters ]])</f>
        <v>446</v>
      </c>
      <c r="BS39" s="414">
        <f>IF(WWWW[[#This Row],[% of HH with access to Sanitary Pad]]&gt;=100%,1,0)</f>
        <v>0</v>
      </c>
      <c r="BT39" s="414">
        <f>IF(WWWW[[#This Row],[Total PoP ]]=0,0,IF(WWWW[[#This Row],['# Hygiene Promoters ]]=0,0,IF(WWWW[[#This Row],[Location Type 1]]="Village",IF(WWWW[[#This Row],[Total PoP ]]/WWWW[[#This Row],['# Hygiene Promoters ]]&lt;1000,1,0),IF(WWWW[[#This Row],[Total PoP ]]/WWWW[[#This Row],['# Hygiene Promoters ]]&lt;600,1,0))))</f>
        <v>1</v>
      </c>
      <c r="BU39" s="414">
        <f>IF(WWWW[[#This Row],[%HH with access to soap]]&gt;=100%,1,0)</f>
        <v>0</v>
      </c>
      <c r="BV39" s="414">
        <f>IF(WWWW[[#This Row],[% of HHs with access to Sanitary pad more than '#%]]+WWWW[[#This Row],[Ratio of Hyiene promoters to people less than '#]]+WWWW[[#This Row],[% of HHs with access to soap more than '#%]]&gt;=2,WWWW[[#This Row],[Total PoP ]],0)</f>
        <v>0</v>
      </c>
      <c r="BW39" s="346">
        <f>WWWW[[#This Row],['# people reached by regular dedicated hygiene promotion_5]]/WWWW[[#This Row],[Total PoP ]]</f>
        <v>1</v>
      </c>
      <c r="BX39" s="346">
        <f>IF(WWWW[[#This Row],['# HH received soaps]]/WWWW[[#This Row],[Total HH]]&gt;1,1,WWWW[[#This Row],['# HH received soaps]]/WWWW[[#This Row],[Total HH]])</f>
        <v>0</v>
      </c>
      <c r="BY39" s="346">
        <f>IF(WWWW[[#This Row],['# HH received Sanitary Pads]]/WWWW[[#This Row],[Total HH]]&gt;1,1,WWWW[[#This Row],['# HH received Sanitary Pads]]/WWWW[[#This Row],[Total HH]])</f>
        <v>0</v>
      </c>
      <c r="BZ39" s="720">
        <f>WWWW[[#This Row],['# HH received soaps]]*5</f>
        <v>0</v>
      </c>
      <c r="CA39" s="720">
        <f>WWWW[[#This Row],['# HH received Sanitary Pads]]*5</f>
        <v>0</v>
      </c>
      <c r="CB39" s="238">
        <f>IF(WWWW[[#This Row],['# People with access to soap]]&gt;WWWW[[#This Row],['# People with access to Sanity Pads]],WWWW[[#This Row],['# People with access to soap]],WWWW[[#This Row],['# People with access to Sanity Pads]])</f>
        <v>0</v>
      </c>
      <c r="CC39" s="414">
        <f>WWWW[[#This Row],[Total HH]]*WWWW[[#This Row],[%HHs with access to functional hand washing stations]]</f>
        <v>0</v>
      </c>
      <c r="CD39" s="240" t="str">
        <f>VLOOKUP(WWWW[[#This Row],[Site Name]],SiteDB6[],8,FALSE)</f>
        <v>Yes</v>
      </c>
      <c r="CE39" s="240" t="str">
        <f>VLOOKUP(WWWW[[#This Row],[Site Name]],SiteDB6[],9,FALSE)</f>
        <v>KMSS-MYT</v>
      </c>
      <c r="CF39" s="240" t="str">
        <f>VLOOKUP(WWWW[[#This Row],[Site Name]],SiteDB6[],10,FALSE)</f>
        <v>Camp</v>
      </c>
      <c r="CG39" s="240" t="str">
        <f>VLOOKUP(WWWW[[#This Row],[Site Name]],SiteDB6[],11,FALSE)</f>
        <v>Camp</v>
      </c>
      <c r="CH39" s="240" t="str">
        <f>VLOOKUP(WWWW[[#This Row],[Site Name]],SiteDB6[],12,FALSE)</f>
        <v>Camp</v>
      </c>
      <c r="CI39" s="240" t="str">
        <f>VLOOKUP(WWWW[[#This Row],[Site Name]],SiteDB6[],13,FALSE)</f>
        <v>NGCA</v>
      </c>
      <c r="CJ39" s="240">
        <f>VLOOKUP(WWWW[[#This Row],[Site Name]],SiteDB6[],14,FALSE)</f>
        <v>24.461033</v>
      </c>
      <c r="CK39" s="240">
        <f>VLOOKUP(WWWW[[#This Row],[Site Name]],SiteDB6[],15,FALSE)</f>
        <v>97.537099999999995</v>
      </c>
      <c r="CL39" s="240" t="str">
        <f>VLOOKUP(WWWW[[#This Row],[Site Name]],SiteDB6[],4,FALSE)</f>
        <v>MMR001CMP123</v>
      </c>
      <c r="CM39" s="235" t="str">
        <f t="shared" si="0"/>
        <v>Covered</v>
      </c>
      <c r="CN39" s="235"/>
    </row>
    <row r="40" spans="1:92" ht="15.75" customHeight="1" x14ac:dyDescent="0.25">
      <c r="A40" s="532" t="s">
        <v>1409</v>
      </c>
      <c r="B40" s="533" t="s">
        <v>399</v>
      </c>
      <c r="C40" s="533" t="s">
        <v>44</v>
      </c>
      <c r="D40" s="533" t="s">
        <v>298</v>
      </c>
      <c r="E40" s="533" t="s">
        <v>428</v>
      </c>
      <c r="F40" s="233">
        <v>103</v>
      </c>
      <c r="G40" s="414">
        <v>503</v>
      </c>
      <c r="H40" s="233"/>
      <c r="I40" s="233" t="s">
        <v>401</v>
      </c>
      <c r="J40" s="234">
        <v>42947</v>
      </c>
      <c r="K40" s="233">
        <v>0</v>
      </c>
      <c r="L40" s="233" t="s">
        <v>48</v>
      </c>
      <c r="M40" s="235">
        <v>1</v>
      </c>
      <c r="N40" s="235">
        <v>1</v>
      </c>
      <c r="O40" s="609">
        <v>2</v>
      </c>
      <c r="P40" s="615">
        <v>0</v>
      </c>
      <c r="Q40" s="615">
        <v>2000</v>
      </c>
      <c r="R40" s="604">
        <v>0</v>
      </c>
      <c r="S40" s="604">
        <v>2</v>
      </c>
      <c r="T40" s="604">
        <v>0</v>
      </c>
      <c r="U40" s="604">
        <v>0</v>
      </c>
      <c r="V40" s="604">
        <v>0</v>
      </c>
      <c r="W40" s="604">
        <v>0</v>
      </c>
      <c r="X40" s="604">
        <v>0</v>
      </c>
      <c r="Y40" s="604"/>
      <c r="Z40" s="628">
        <v>16</v>
      </c>
      <c r="AA40" s="628">
        <v>6</v>
      </c>
      <c r="AB40" s="629">
        <v>4</v>
      </c>
      <c r="AC40" s="628">
        <v>16</v>
      </c>
      <c r="AD40" s="628" t="s">
        <v>293</v>
      </c>
      <c r="AE40" s="631" t="s">
        <v>1379</v>
      </c>
      <c r="AF40" s="631">
        <v>0</v>
      </c>
      <c r="AG40" s="628">
        <v>0</v>
      </c>
      <c r="AH40" s="628"/>
      <c r="AI40" s="659">
        <v>0.5</v>
      </c>
      <c r="AJ40" s="650" t="s">
        <v>386</v>
      </c>
      <c r="AK40" s="644">
        <v>0</v>
      </c>
      <c r="AL40" s="645">
        <v>4</v>
      </c>
      <c r="AM40" s="645">
        <v>0</v>
      </c>
      <c r="AN40" s="646">
        <v>0</v>
      </c>
      <c r="AO40" s="647">
        <v>0</v>
      </c>
      <c r="AP40" s="647"/>
      <c r="AQ40" s="658"/>
      <c r="AR40" s="235" t="str">
        <f>IFERROR(WWWW[[#This Row],['# of Water passed at source]]/WWWW[[#This Row],['# of Water tested at source]],"no test")</f>
        <v>no test</v>
      </c>
      <c r="AS40" s="237" t="str">
        <f>IFERROR(WWWW[[#This Row],['# of Water passed at HH]]/WWWW[[#This Row],['# of Water tested at HH]],"no test")</f>
        <v>no test</v>
      </c>
      <c r="AT40" s="237">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U40" s="237">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AV40" s="237">
        <f>IF(WWWW[[#This Row],[Location Type 1]]="Village",WWWW[[#This Row],[Access to safe drinking water for Village]],WWWW[[#This Row],[Access to safe drinking water for Camp]])</f>
        <v>1</v>
      </c>
      <c r="AW40" s="414">
        <f>WWWW[[#This Row],[%Equitable and continuous access to sufficient quantity of safe drinking water]]*WWWW[[#This Row],[Total PoP ]]</f>
        <v>503</v>
      </c>
      <c r="AX40" s="237">
        <f>IF((WWWW[[#This Row],['# Existing protected/fenced ponds ]]*250)/WWWW[[#This Row],[Total PoP ]]&gt;1,1,WWWW[[#This Row],['# Existing protected/fenced ponds ]]*250/WWWW[[#This Row],[Total PoP ]])</f>
        <v>0</v>
      </c>
      <c r="AY40" s="236">
        <f>WWWW[[#This Row],[Access to unimproved water points]]*WWWW[[#This Row],[Total PoP ]]</f>
        <v>0</v>
      </c>
      <c r="AZ40" s="237">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A40" s="414">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503</v>
      </c>
      <c r="BB40" s="414">
        <f>WWWW[[#This Row],['#people Equitable and continuous access to sufficient quantity of domestic water borehole n ponds_2]]/500</f>
        <v>1.006</v>
      </c>
      <c r="BC40" s="235">
        <f>1-WWWW[[#This Row],[%Equitable and continuous access to sufficient quantity of domestic water borehole n ponds]]</f>
        <v>0</v>
      </c>
      <c r="BD40" s="236">
        <f>WWWW[[#This Row],[%equitable and continuous access to sufficient quantity of safe drinking and domestic water''s GAP]]*WWWW[[#This Row],[Total PoP ]]</f>
        <v>0</v>
      </c>
      <c r="BE40" s="238">
        <f>IF(WWWW[[#This Row],[Total required water points]]-WWWW[[#This Row],['#Water points coverage]]&lt;0,0,WWWW[[#This Row],[Total required water points]]-WWWW[[#This Row],['#Water points coverage]])</f>
        <v>0</v>
      </c>
      <c r="BF40" s="238">
        <f>ROUND(IF(WWWW[[#This Row],[Total PoP ]]&lt;500,1,WWWW[[#This Row],[Total PoP ]]/500),0)</f>
        <v>1</v>
      </c>
      <c r="BG40" s="238" t="str">
        <f>IF(AND(WWWW[[#This Row],[%of Water samples which passed at water source]]="no test",WWWW[[#This Row],[%Water samples which passed at HH]]="no test"),"No Test","Tested")</f>
        <v>No Test</v>
      </c>
      <c r="BH40" s="238">
        <f>WWWW[[#This Row],['# Existing functional latrines]]+WWWW[[#This Row],['# Existing latrines dysfunctional]]</f>
        <v>22</v>
      </c>
      <c r="BI40" s="235">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0.63618290258449306</v>
      </c>
      <c r="BJ40" s="675">
        <f>WWWW[[#This Row],[% people access to functioning Latrine]]*WWWW[[#This Row],[Total PoP ]]</f>
        <v>320</v>
      </c>
      <c r="BK40" s="235">
        <f>IF(WWWW[[#This Row],[Location Type 1]]="camp",WWWW[[#This Row],['# potential required new latrines]]/(WWWW[[#This Row],[Total PoP ]]/20),WWWW[[#This Row],['# potential required new latrines]]/(WWWW[[#This Row],[Total PoP ]]/6))</f>
        <v>0.11928429423459246</v>
      </c>
      <c r="BL40" s="236">
        <f>IF(WWWW[[#This Row],[Total required Latrines]]-WWWW[[#This Row],[Total '# of latrine]]&lt;0,0,WWWW[[#This Row],[Total required Latrines]]-WWWW[[#This Row],[Total '# of latrine]])</f>
        <v>3</v>
      </c>
      <c r="BM40" s="238">
        <f>ROUND(IF(WWWW[[#This Row],[Location Type 1]]="camp",WWWW[[#This Row],[Total PoP ]]/20,WWWW[[#This Row],[Total PoP ]]/6),0)</f>
        <v>25</v>
      </c>
      <c r="BN40" s="239">
        <f>IF(OR(WWWW[[#This Row],['# Existing latrines dysfunctional]]="",WWWW[[#This Row],['# Existing latrines dysfunctional]]=0),0,WWWW[[#This Row],['# Existing latrines dysfunctional]]/WWWW[[#This Row],[Total '# of latrine]])</f>
        <v>0.27272727272727271</v>
      </c>
      <c r="BO40" s="675">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80</v>
      </c>
      <c r="BP40" s="235">
        <f>WWWW[[#This Row],[People adopt basic personal and community hygiene practices]]/WWWW[[#This Row],[Total PoP ]]</f>
        <v>0</v>
      </c>
      <c r="BQ40" s="239">
        <f>1-WWWW[[#This Row],[Hygiene Coverage%]]</f>
        <v>1</v>
      </c>
      <c r="BR40" s="414">
        <f>IF(500*WWWW[[#This Row],['# Hygiene Promoters ]]&gt;WWWW[[#This Row],[Total PoP ]],WWWW[[#This Row],[Total PoP ]],500*WWWW[[#This Row],['# Hygiene Promoters ]])</f>
        <v>0</v>
      </c>
      <c r="BS40" s="414">
        <f>IF(WWWW[[#This Row],[% of HH with access to Sanitary Pad]]&gt;=100%,1,0)</f>
        <v>0</v>
      </c>
      <c r="BT40" s="414">
        <f>IF(WWWW[[#This Row],[Total PoP ]]=0,0,IF(WWWW[[#This Row],['# Hygiene Promoters ]]=0,0,IF(WWWW[[#This Row],[Location Type 1]]="Village",IF(WWWW[[#This Row],[Total PoP ]]/WWWW[[#This Row],['# Hygiene Promoters ]]&lt;1000,1,0),IF(WWWW[[#This Row],[Total PoP ]]/WWWW[[#This Row],['# Hygiene Promoters ]]&lt;600,1,0))))</f>
        <v>0</v>
      </c>
      <c r="BU40" s="414">
        <f>IF(WWWW[[#This Row],[%HH with access to soap]]&gt;=100%,1,0)</f>
        <v>0</v>
      </c>
      <c r="BV40" s="414">
        <f>IF(WWWW[[#This Row],[% of HHs with access to Sanitary pad more than '#%]]+WWWW[[#This Row],[Ratio of Hyiene promoters to people less than '#]]+WWWW[[#This Row],[% of HHs with access to soap more than '#%]]&gt;=2,WWWW[[#This Row],[Total PoP ]],0)</f>
        <v>0</v>
      </c>
      <c r="BW40" s="346">
        <f>WWWW[[#This Row],['# people reached by regular dedicated hygiene promotion_5]]/WWWW[[#This Row],[Total PoP ]]</f>
        <v>0</v>
      </c>
      <c r="BX40" s="346">
        <f>IF(WWWW[[#This Row],['# HH received soaps]]/WWWW[[#This Row],[Total HH]]&gt;1,1,WWWW[[#This Row],['# HH received soaps]]/WWWW[[#This Row],[Total HH]])</f>
        <v>0</v>
      </c>
      <c r="BY40" s="346">
        <f>IF(WWWW[[#This Row],['# HH received Sanitary Pads]]/WWWW[[#This Row],[Total HH]]&gt;1,1,WWWW[[#This Row],['# HH received Sanitary Pads]]/WWWW[[#This Row],[Total HH]])</f>
        <v>0</v>
      </c>
      <c r="BZ40" s="720">
        <f>WWWW[[#This Row],['# HH received soaps]]*5</f>
        <v>0</v>
      </c>
      <c r="CA40" s="720">
        <f>WWWW[[#This Row],['# HH received Sanitary Pads]]*5</f>
        <v>0</v>
      </c>
      <c r="CB40" s="238">
        <f>IF(WWWW[[#This Row],['# People with access to soap]]&gt;WWWW[[#This Row],['# People with access to Sanity Pads]],WWWW[[#This Row],['# People with access to soap]],WWWW[[#This Row],['# People with access to Sanity Pads]])</f>
        <v>0</v>
      </c>
      <c r="CC40" s="236">
        <f>WWWW[[#This Row],[Total HH]]*WWWW[[#This Row],[%HHs with access to functional hand washing stations]]</f>
        <v>51.5</v>
      </c>
      <c r="CD40" s="240" t="str">
        <f>VLOOKUP(WWWW[[#This Row],[Site Name]],SiteDB6[],8,FALSE)</f>
        <v>Yes</v>
      </c>
      <c r="CE40" s="240" t="str">
        <f>VLOOKUP(WWWW[[#This Row],[Site Name]],SiteDB6[],9,FALSE)</f>
        <v>Shalom</v>
      </c>
      <c r="CF40" s="240" t="str">
        <f>VLOOKUP(WWWW[[#This Row],[Site Name]],SiteDB6[],10,FALSE)</f>
        <v>Camp</v>
      </c>
      <c r="CG40" s="240" t="str">
        <f>VLOOKUP(WWWW[[#This Row],[Site Name]],SiteDB6[],11,FALSE)</f>
        <v>Camp</v>
      </c>
      <c r="CH40" s="240" t="str">
        <f>VLOOKUP(WWWW[[#This Row],[Site Name]],SiteDB6[],12,FALSE)</f>
        <v>Camp</v>
      </c>
      <c r="CI40" s="240" t="str">
        <f>VLOOKUP(WWWW[[#This Row],[Site Name]],SiteDB6[],13,FALSE)</f>
        <v>GCA</v>
      </c>
      <c r="CJ40" s="240">
        <f>VLOOKUP(WWWW[[#This Row],[Site Name]],SiteDB6[],14,FALSE)</f>
        <v>25.321710740740698</v>
      </c>
      <c r="CK40" s="240">
        <f>VLOOKUP(WWWW[[#This Row],[Site Name]],SiteDB6[],15,FALSE)</f>
        <v>97.404195925926004</v>
      </c>
      <c r="CL40" s="240" t="str">
        <f>VLOOKUP(WWWW[[#This Row],[Site Name]],SiteDB6[],4,FALSE)</f>
        <v>MMR001CMP028</v>
      </c>
      <c r="CM40" s="235" t="str">
        <f t="shared" si="0"/>
        <v>Covered</v>
      </c>
      <c r="CN40" s="235"/>
    </row>
    <row r="41" spans="1:92" ht="15.75" customHeight="1" x14ac:dyDescent="0.25">
      <c r="A41" s="532" t="s">
        <v>1409</v>
      </c>
      <c r="B41" s="530" t="s">
        <v>297</v>
      </c>
      <c r="C41" s="531" t="s">
        <v>44</v>
      </c>
      <c r="D41" s="531" t="s">
        <v>298</v>
      </c>
      <c r="E41" s="531" t="s">
        <v>331</v>
      </c>
      <c r="F41" s="233">
        <v>154</v>
      </c>
      <c r="G41" s="414">
        <v>903</v>
      </c>
      <c r="H41" s="233"/>
      <c r="I41" s="233" t="s">
        <v>306</v>
      </c>
      <c r="J41" s="234" t="s">
        <v>2577</v>
      </c>
      <c r="K41" s="233">
        <v>0</v>
      </c>
      <c r="L41" s="233" t="s">
        <v>48</v>
      </c>
      <c r="M41" s="235">
        <v>0.6</v>
      </c>
      <c r="N41" s="235">
        <v>0.5</v>
      </c>
      <c r="O41" s="609">
        <v>0</v>
      </c>
      <c r="P41" s="615">
        <v>0</v>
      </c>
      <c r="Q41" s="615">
        <v>116640</v>
      </c>
      <c r="R41" s="604">
        <v>0</v>
      </c>
      <c r="S41" s="604">
        <v>0</v>
      </c>
      <c r="T41" s="604">
        <v>0</v>
      </c>
      <c r="U41" s="604">
        <v>0</v>
      </c>
      <c r="V41" s="604">
        <v>0</v>
      </c>
      <c r="W41" s="604">
        <v>0</v>
      </c>
      <c r="X41" s="604">
        <v>0</v>
      </c>
      <c r="Y41" s="604"/>
      <c r="Z41" s="628">
        <v>50</v>
      </c>
      <c r="AA41" s="628">
        <v>0</v>
      </c>
      <c r="AB41" s="629">
        <v>0</v>
      </c>
      <c r="AC41" s="628">
        <v>0</v>
      </c>
      <c r="AD41" s="628" t="s">
        <v>293</v>
      </c>
      <c r="AE41" s="631" t="s">
        <v>293</v>
      </c>
      <c r="AF41" s="631"/>
      <c r="AG41" s="628"/>
      <c r="AH41" s="628"/>
      <c r="AI41" s="659">
        <v>0.6</v>
      </c>
      <c r="AJ41" s="644" t="s">
        <v>301</v>
      </c>
      <c r="AK41" s="644">
        <v>0</v>
      </c>
      <c r="AL41" s="645">
        <v>4</v>
      </c>
      <c r="AM41" s="645">
        <v>3</v>
      </c>
      <c r="AN41" s="646">
        <v>0</v>
      </c>
      <c r="AO41" s="647">
        <v>0</v>
      </c>
      <c r="AP41" s="647"/>
      <c r="AQ41" s="658"/>
      <c r="AR41" s="235" t="str">
        <f>IFERROR(WWWW[[#This Row],['# of Water passed at source]]/WWWW[[#This Row],['# of Water tested at source]],"no test")</f>
        <v>no test</v>
      </c>
      <c r="AS41" s="237" t="str">
        <f>IFERROR(WWWW[[#This Row],['# of Water passed at HH]]/WWWW[[#This Row],['# of Water tested at HH]],"no test")</f>
        <v>no test</v>
      </c>
      <c r="AT41" s="237">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U41" s="237">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AV41" s="237">
        <f>IF(WWWW[[#This Row],[Location Type 1]]="Village",WWWW[[#This Row],[Access to safe drinking water for Village]],WWWW[[#This Row],[Access to safe drinking water for Camp]])</f>
        <v>1</v>
      </c>
      <c r="AW41" s="414">
        <f>WWWW[[#This Row],[%Equitable and continuous access to sufficient quantity of safe drinking water]]*WWWW[[#This Row],[Total PoP ]]</f>
        <v>903</v>
      </c>
      <c r="AX41" s="237">
        <f>IF((WWWW[[#This Row],['# Existing protected/fenced ponds ]]*250)/WWWW[[#This Row],[Total PoP ]]&gt;1,1,WWWW[[#This Row],['# Existing protected/fenced ponds ]]*250/WWWW[[#This Row],[Total PoP ]])</f>
        <v>0</v>
      </c>
      <c r="AY41" s="414">
        <f>WWWW[[#This Row],[Access to unimproved water points]]*WWWW[[#This Row],[Total PoP ]]</f>
        <v>0</v>
      </c>
      <c r="AZ41" s="237">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A41" s="414">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903</v>
      </c>
      <c r="BB41" s="414">
        <f>WWWW[[#This Row],['#people Equitable and continuous access to sufficient quantity of domestic water borehole n ponds_2]]/500</f>
        <v>1.806</v>
      </c>
      <c r="BC41" s="235">
        <f>1-WWWW[[#This Row],[%Equitable and continuous access to sufficient quantity of domestic water borehole n ponds]]</f>
        <v>0</v>
      </c>
      <c r="BD41" s="414">
        <f>WWWW[[#This Row],[%equitable and continuous access to sufficient quantity of safe drinking and domestic water''s GAP]]*WWWW[[#This Row],[Total PoP ]]</f>
        <v>0</v>
      </c>
      <c r="BE41" s="238">
        <f>IF(WWWW[[#This Row],[Total required water points]]-WWWW[[#This Row],['#Water points coverage]]&lt;0,0,WWWW[[#This Row],[Total required water points]]-WWWW[[#This Row],['#Water points coverage]])</f>
        <v>0.19399999999999995</v>
      </c>
      <c r="BF41" s="238">
        <f>ROUND(IF(WWWW[[#This Row],[Total PoP ]]&lt;500,1,WWWW[[#This Row],[Total PoP ]]/500),0)</f>
        <v>2</v>
      </c>
      <c r="BG41" s="238" t="str">
        <f>IF(AND(WWWW[[#This Row],[%of Water samples which passed at water source]]="no test",WWWW[[#This Row],[%Water samples which passed at HH]]="no test"),"No Test","Tested")</f>
        <v>No Test</v>
      </c>
      <c r="BH41" s="238">
        <f>WWWW[[#This Row],['# Existing functional latrines]]+WWWW[[#This Row],['# Existing latrines dysfunctional]]</f>
        <v>50</v>
      </c>
      <c r="BI41" s="235">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1</v>
      </c>
      <c r="BJ41" s="675">
        <f>WWWW[[#This Row],[% people access to functioning Latrine]]*WWWW[[#This Row],[Total PoP ]]</f>
        <v>903</v>
      </c>
      <c r="BK41" s="235">
        <f>IF(WWWW[[#This Row],[Location Type 1]]="camp",WWWW[[#This Row],['# potential required new latrines]]/(WWWW[[#This Row],[Total PoP ]]/20),WWWW[[#This Row],['# potential required new latrines]]/(WWWW[[#This Row],[Total PoP ]]/6))</f>
        <v>0</v>
      </c>
      <c r="BL41" s="236">
        <f>IF(WWWW[[#This Row],[Total required Latrines]]-WWWW[[#This Row],[Total '# of latrine]]&lt;0,0,WWWW[[#This Row],[Total required Latrines]]-WWWW[[#This Row],[Total '# of latrine]])</f>
        <v>0</v>
      </c>
      <c r="BM41" s="238">
        <f>ROUND(IF(WWWW[[#This Row],[Location Type 1]]="camp",WWWW[[#This Row],[Total PoP ]]/20,WWWW[[#This Row],[Total PoP ]]/6),0)</f>
        <v>45</v>
      </c>
      <c r="BN41" s="239">
        <f>IF(OR(WWWW[[#This Row],['# Existing latrines dysfunctional]]="",WWWW[[#This Row],['# Existing latrines dysfunctional]]=0),0,WWWW[[#This Row],['# Existing latrines dysfunctional]]/WWWW[[#This Row],[Total '# of latrine]])</f>
        <v>0</v>
      </c>
      <c r="BO41" s="675">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P41" s="235">
        <f>WWWW[[#This Row],[People adopt basic personal and community hygiene practices]]/WWWW[[#This Row],[Total PoP ]]</f>
        <v>0</v>
      </c>
      <c r="BQ41" s="239">
        <f>1-WWWW[[#This Row],[Hygiene Coverage%]]</f>
        <v>1</v>
      </c>
      <c r="BR41" s="414">
        <f>IF(500*WWWW[[#This Row],['# Hygiene Promoters ]]&gt;WWWW[[#This Row],[Total PoP ]],WWWW[[#This Row],[Total PoP ]],500*WWWW[[#This Row],['# Hygiene Promoters ]])</f>
        <v>903</v>
      </c>
      <c r="BS41" s="414">
        <f>IF(WWWW[[#This Row],[% of HH with access to Sanitary Pad]]&gt;=100%,1,0)</f>
        <v>0</v>
      </c>
      <c r="BT41" s="414">
        <f>IF(WWWW[[#This Row],[Total PoP ]]=0,0,IF(WWWW[[#This Row],['# Hygiene Promoters ]]=0,0,IF(WWWW[[#This Row],[Location Type 1]]="Village",IF(WWWW[[#This Row],[Total PoP ]]/WWWW[[#This Row],['# Hygiene Promoters ]]&lt;1000,1,0),IF(WWWW[[#This Row],[Total PoP ]]/WWWW[[#This Row],['# Hygiene Promoters ]]&lt;600,1,0))))</f>
        <v>1</v>
      </c>
      <c r="BU41" s="414">
        <f>IF(WWWW[[#This Row],[%HH with access to soap]]&gt;=100%,1,0)</f>
        <v>0</v>
      </c>
      <c r="BV41" s="414">
        <f>IF(WWWW[[#This Row],[% of HHs with access to Sanitary pad more than '#%]]+WWWW[[#This Row],[Ratio of Hyiene promoters to people less than '#]]+WWWW[[#This Row],[% of HHs with access to soap more than '#%]]&gt;=2,WWWW[[#This Row],[Total PoP ]],0)</f>
        <v>0</v>
      </c>
      <c r="BW41" s="346">
        <f>WWWW[[#This Row],['# people reached by regular dedicated hygiene promotion_5]]/WWWW[[#This Row],[Total PoP ]]</f>
        <v>1</v>
      </c>
      <c r="BX41" s="346">
        <f>IF(WWWW[[#This Row],['# HH received soaps]]/WWWW[[#This Row],[Total HH]]&gt;1,1,WWWW[[#This Row],['# HH received soaps]]/WWWW[[#This Row],[Total HH]])</f>
        <v>0</v>
      </c>
      <c r="BY41" s="346">
        <f>IF(WWWW[[#This Row],['# HH received Sanitary Pads]]/WWWW[[#This Row],[Total HH]]&gt;1,1,WWWW[[#This Row],['# HH received Sanitary Pads]]/WWWW[[#This Row],[Total HH]])</f>
        <v>0</v>
      </c>
      <c r="BZ41" s="720">
        <f>WWWW[[#This Row],['# HH received soaps]]*5</f>
        <v>0</v>
      </c>
      <c r="CA41" s="720">
        <f>WWWW[[#This Row],['# HH received Sanitary Pads]]*5</f>
        <v>0</v>
      </c>
      <c r="CB41" s="238">
        <f>IF(WWWW[[#This Row],['# People with access to soap]]&gt;WWWW[[#This Row],['# People with access to Sanity Pads]],WWWW[[#This Row],['# People with access to soap]],WWWW[[#This Row],['# People with access to Sanity Pads]])</f>
        <v>0</v>
      </c>
      <c r="CC41" s="414">
        <f>WWWW[[#This Row],[Total HH]]*WWWW[[#This Row],[%HHs with access to functional hand washing stations]]</f>
        <v>92.399999999999991</v>
      </c>
      <c r="CD41" s="240" t="str">
        <f>VLOOKUP(WWWW[[#This Row],[Site Name]],SiteDB6[],8,FALSE)</f>
        <v>Yes</v>
      </c>
      <c r="CE41" s="240" t="str">
        <f>VLOOKUP(WWWW[[#This Row],[Site Name]],SiteDB6[],9,FALSE)</f>
        <v>KBC</v>
      </c>
      <c r="CF41" s="240" t="str">
        <f>VLOOKUP(WWWW[[#This Row],[Site Name]],SiteDB6[],10,FALSE)</f>
        <v>Camp</v>
      </c>
      <c r="CG41" s="240" t="str">
        <f>VLOOKUP(WWWW[[#This Row],[Site Name]],SiteDB6[],11,FALSE)</f>
        <v>Camp</v>
      </c>
      <c r="CH41" s="240" t="str">
        <f>VLOOKUP(WWWW[[#This Row],[Site Name]],SiteDB6[],12,FALSE)</f>
        <v>Camp</v>
      </c>
      <c r="CI41" s="240" t="str">
        <f>VLOOKUP(WWWW[[#This Row],[Site Name]],SiteDB6[],13,FALSE)</f>
        <v>NGCA</v>
      </c>
      <c r="CJ41" s="240">
        <f>VLOOKUP(WWWW[[#This Row],[Site Name]],SiteDB6[],14,FALSE)</f>
        <v>25.200333000000001</v>
      </c>
      <c r="CK41" s="240">
        <f>VLOOKUP(WWWW[[#This Row],[Site Name]],SiteDB6[],15,FALSE)</f>
        <v>97.807182999999995</v>
      </c>
      <c r="CL41" s="240" t="str">
        <f>VLOOKUP(WWWW[[#This Row],[Site Name]],SiteDB6[],4,FALSE)</f>
        <v>MMR001CMP115</v>
      </c>
      <c r="CM41" s="235" t="str">
        <f t="shared" si="0"/>
        <v>Covered</v>
      </c>
      <c r="CN41" s="235"/>
    </row>
    <row r="42" spans="1:92" ht="15.75" customHeight="1" x14ac:dyDescent="0.25">
      <c r="A42" s="532" t="s">
        <v>1409</v>
      </c>
      <c r="B42" s="533" t="s">
        <v>297</v>
      </c>
      <c r="C42" s="533" t="s">
        <v>44</v>
      </c>
      <c r="D42" s="533" t="s">
        <v>304</v>
      </c>
      <c r="E42" s="533" t="s">
        <v>305</v>
      </c>
      <c r="F42" s="233">
        <v>13</v>
      </c>
      <c r="G42" s="414">
        <v>46</v>
      </c>
      <c r="H42" s="233"/>
      <c r="I42" s="233" t="s">
        <v>306</v>
      </c>
      <c r="J42" s="234">
        <v>43131</v>
      </c>
      <c r="K42" s="233">
        <v>0</v>
      </c>
      <c r="L42" s="233" t="s">
        <v>48</v>
      </c>
      <c r="M42" s="235">
        <v>0.6</v>
      </c>
      <c r="N42" s="235">
        <v>0.5</v>
      </c>
      <c r="O42" s="609">
        <v>0</v>
      </c>
      <c r="P42" s="615">
        <v>3</v>
      </c>
      <c r="Q42" s="615">
        <v>2000</v>
      </c>
      <c r="R42" s="604">
        <v>0</v>
      </c>
      <c r="S42" s="604">
        <v>0</v>
      </c>
      <c r="T42" s="604">
        <v>0</v>
      </c>
      <c r="U42" s="604">
        <v>0</v>
      </c>
      <c r="V42" s="604">
        <v>0</v>
      </c>
      <c r="W42" s="604">
        <v>0</v>
      </c>
      <c r="X42" s="604">
        <v>0</v>
      </c>
      <c r="Y42" s="604"/>
      <c r="Z42" s="628">
        <v>9</v>
      </c>
      <c r="AA42" s="628">
        <v>0</v>
      </c>
      <c r="AB42" s="629">
        <v>0</v>
      </c>
      <c r="AC42" s="628">
        <v>0</v>
      </c>
      <c r="AD42" s="628" t="s">
        <v>293</v>
      </c>
      <c r="AE42" s="631" t="s">
        <v>1379</v>
      </c>
      <c r="AF42" s="631"/>
      <c r="AG42" s="628"/>
      <c r="AH42" s="628"/>
      <c r="AI42" s="659">
        <v>1</v>
      </c>
      <c r="AJ42" s="650" t="s">
        <v>386</v>
      </c>
      <c r="AK42" s="644">
        <v>0</v>
      </c>
      <c r="AL42" s="645">
        <v>2</v>
      </c>
      <c r="AM42" s="645">
        <v>1</v>
      </c>
      <c r="AN42" s="646">
        <v>0</v>
      </c>
      <c r="AO42" s="647">
        <v>0</v>
      </c>
      <c r="AP42" s="647"/>
      <c r="AQ42" s="658"/>
      <c r="AR42" s="235" t="str">
        <f>IFERROR(WWWW[[#This Row],['# of Water passed at source]]/WWWW[[#This Row],['# of Water tested at source]],"no test")</f>
        <v>no test</v>
      </c>
      <c r="AS42" s="237" t="str">
        <f>IFERROR(WWWW[[#This Row],['# of Water passed at HH]]/WWWW[[#This Row],['# of Water tested at HH]],"no test")</f>
        <v>no test</v>
      </c>
      <c r="AT42" s="237">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U42" s="237">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AV42" s="237">
        <f>IF(WWWW[[#This Row],[Location Type 1]]="Village",WWWW[[#This Row],[Access to safe drinking water for Village]],WWWW[[#This Row],[Access to safe drinking water for Camp]])</f>
        <v>1</v>
      </c>
      <c r="AW42" s="414">
        <f>WWWW[[#This Row],[%Equitable and continuous access to sufficient quantity of safe drinking water]]*WWWW[[#This Row],[Total PoP ]]</f>
        <v>46</v>
      </c>
      <c r="AX42" s="237">
        <f>IF((WWWW[[#This Row],['# Existing protected/fenced ponds ]]*250)/WWWW[[#This Row],[Total PoP ]]&gt;1,1,WWWW[[#This Row],['# Existing protected/fenced ponds ]]*250/WWWW[[#This Row],[Total PoP ]])</f>
        <v>0</v>
      </c>
      <c r="AY42" s="414">
        <f>WWWW[[#This Row],[Access to unimproved water points]]*WWWW[[#This Row],[Total PoP ]]</f>
        <v>0</v>
      </c>
      <c r="AZ42" s="237">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A42" s="414">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46</v>
      </c>
      <c r="BB42" s="414">
        <f>WWWW[[#This Row],['#people Equitable and continuous access to sufficient quantity of domestic water borehole n ponds_2]]/500</f>
        <v>9.1999999999999998E-2</v>
      </c>
      <c r="BC42" s="235">
        <f>1-WWWW[[#This Row],[%Equitable and continuous access to sufficient quantity of domestic water borehole n ponds]]</f>
        <v>0</v>
      </c>
      <c r="BD42" s="414">
        <f>WWWW[[#This Row],[%equitable and continuous access to sufficient quantity of safe drinking and domestic water''s GAP]]*WWWW[[#This Row],[Total PoP ]]</f>
        <v>0</v>
      </c>
      <c r="BE42" s="238">
        <f>IF(WWWW[[#This Row],[Total required water points]]-WWWW[[#This Row],['#Water points coverage]]&lt;0,0,WWWW[[#This Row],[Total required water points]]-WWWW[[#This Row],['#Water points coverage]])</f>
        <v>0.90800000000000003</v>
      </c>
      <c r="BF42" s="238">
        <f>ROUND(IF(WWWW[[#This Row],[Total PoP ]]&lt;500,1,WWWW[[#This Row],[Total PoP ]]/500),0)</f>
        <v>1</v>
      </c>
      <c r="BG42" s="238" t="str">
        <f>IF(AND(WWWW[[#This Row],[%of Water samples which passed at water source]]="no test",WWWW[[#This Row],[%Water samples which passed at HH]]="no test"),"No Test","Tested")</f>
        <v>No Test</v>
      </c>
      <c r="BH42" s="238">
        <f>WWWW[[#This Row],['# Existing functional latrines]]+WWWW[[#This Row],['# Existing latrines dysfunctional]]</f>
        <v>9</v>
      </c>
      <c r="BI42" s="235">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1</v>
      </c>
      <c r="BJ42" s="675">
        <f>WWWW[[#This Row],[% people access to functioning Latrine]]*WWWW[[#This Row],[Total PoP ]]</f>
        <v>46</v>
      </c>
      <c r="BK42" s="235">
        <f>IF(WWWW[[#This Row],[Location Type 1]]="camp",WWWW[[#This Row],['# potential required new latrines]]/(WWWW[[#This Row],[Total PoP ]]/20),WWWW[[#This Row],['# potential required new latrines]]/(WWWW[[#This Row],[Total PoP ]]/6))</f>
        <v>0</v>
      </c>
      <c r="BL42" s="414">
        <f>IF(WWWW[[#This Row],[Total required Latrines]]-WWWW[[#This Row],[Total '# of latrine]]&lt;0,0,WWWW[[#This Row],[Total required Latrines]]-WWWW[[#This Row],[Total '# of latrine]])</f>
        <v>0</v>
      </c>
      <c r="BM42" s="238">
        <f>ROUND(IF(WWWW[[#This Row],[Location Type 1]]="camp",WWWW[[#This Row],[Total PoP ]]/20,WWWW[[#This Row],[Total PoP ]]/6),0)</f>
        <v>2</v>
      </c>
      <c r="BN42" s="239">
        <f>IF(OR(WWWW[[#This Row],['# Existing latrines dysfunctional]]="",WWWW[[#This Row],['# Existing latrines dysfunctional]]=0),0,WWWW[[#This Row],['# Existing latrines dysfunctional]]/WWWW[[#This Row],[Total '# of latrine]])</f>
        <v>0</v>
      </c>
      <c r="BO42" s="675">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P42" s="235">
        <f>WWWW[[#This Row],[People adopt basic personal and community hygiene practices]]/WWWW[[#This Row],[Total PoP ]]</f>
        <v>0</v>
      </c>
      <c r="BQ42" s="239">
        <f>1-WWWW[[#This Row],[Hygiene Coverage%]]</f>
        <v>1</v>
      </c>
      <c r="BR42" s="414">
        <f>IF(500*WWWW[[#This Row],['# Hygiene Promoters ]]&gt;WWWW[[#This Row],[Total PoP ]],WWWW[[#This Row],[Total PoP ]],500*WWWW[[#This Row],['# Hygiene Promoters ]])</f>
        <v>46</v>
      </c>
      <c r="BS42" s="414">
        <f>IF(WWWW[[#This Row],[% of HH with access to Sanitary Pad]]&gt;=100%,1,0)</f>
        <v>0</v>
      </c>
      <c r="BT42" s="414">
        <f>IF(WWWW[[#This Row],[Total PoP ]]=0,0,IF(WWWW[[#This Row],['# Hygiene Promoters ]]=0,0,IF(WWWW[[#This Row],[Location Type 1]]="Village",IF(WWWW[[#This Row],[Total PoP ]]/WWWW[[#This Row],['# Hygiene Promoters ]]&lt;1000,1,0),IF(WWWW[[#This Row],[Total PoP ]]/WWWW[[#This Row],['# Hygiene Promoters ]]&lt;600,1,0))))</f>
        <v>1</v>
      </c>
      <c r="BU42" s="414">
        <f>IF(WWWW[[#This Row],[%HH with access to soap]]&gt;=100%,1,0)</f>
        <v>0</v>
      </c>
      <c r="BV42" s="414">
        <f>IF(WWWW[[#This Row],[% of HHs with access to Sanitary pad more than '#%]]+WWWW[[#This Row],[Ratio of Hyiene promoters to people less than '#]]+WWWW[[#This Row],[% of HHs with access to soap more than '#%]]&gt;=2,WWWW[[#This Row],[Total PoP ]],0)</f>
        <v>0</v>
      </c>
      <c r="BW42" s="346">
        <f>WWWW[[#This Row],['# people reached by regular dedicated hygiene promotion_5]]/WWWW[[#This Row],[Total PoP ]]</f>
        <v>1</v>
      </c>
      <c r="BX42" s="346">
        <f>IF(WWWW[[#This Row],['# HH received soaps]]/WWWW[[#This Row],[Total HH]]&gt;1,1,WWWW[[#This Row],['# HH received soaps]]/WWWW[[#This Row],[Total HH]])</f>
        <v>0</v>
      </c>
      <c r="BY42" s="346">
        <f>IF(WWWW[[#This Row],['# HH received Sanitary Pads]]/WWWW[[#This Row],[Total HH]]&gt;1,1,WWWW[[#This Row],['# HH received Sanitary Pads]]/WWWW[[#This Row],[Total HH]])</f>
        <v>0</v>
      </c>
      <c r="BZ42" s="720">
        <f>WWWW[[#This Row],['# HH received soaps]]*5</f>
        <v>0</v>
      </c>
      <c r="CA42" s="720">
        <f>WWWW[[#This Row],['# HH received Sanitary Pads]]*5</f>
        <v>0</v>
      </c>
      <c r="CB42" s="238">
        <f>IF(WWWW[[#This Row],['# People with access to soap]]&gt;WWWW[[#This Row],['# People with access to Sanity Pads]],WWWW[[#This Row],['# People with access to soap]],WWWW[[#This Row],['# People with access to Sanity Pads]])</f>
        <v>0</v>
      </c>
      <c r="CC42" s="414">
        <f>WWWW[[#This Row],[Total HH]]*WWWW[[#This Row],[%HHs with access to functional hand washing stations]]</f>
        <v>13</v>
      </c>
      <c r="CD42" s="240" t="str">
        <f>VLOOKUP(WWWW[[#This Row],[Site Name]],SiteDB6[],8,FALSE)</f>
        <v>Yes</v>
      </c>
      <c r="CE42" s="240" t="str">
        <f>VLOOKUP(WWWW[[#This Row],[Site Name]],SiteDB6[],9,FALSE)</f>
        <v>KBC</v>
      </c>
      <c r="CF42" s="240" t="str">
        <f>VLOOKUP(WWWW[[#This Row],[Site Name]],SiteDB6[],10,FALSE)</f>
        <v>Camp</v>
      </c>
      <c r="CG42" s="240" t="str">
        <f>VLOOKUP(WWWW[[#This Row],[Site Name]],SiteDB6[],11,FALSE)</f>
        <v>Camp</v>
      </c>
      <c r="CH42" s="240" t="str">
        <f>VLOOKUP(WWWW[[#This Row],[Site Name]],SiteDB6[],12,FALSE)</f>
        <v>Camp</v>
      </c>
      <c r="CI42" s="240" t="str">
        <f>VLOOKUP(WWWW[[#This Row],[Site Name]],SiteDB6[],13,FALSE)</f>
        <v>GCA</v>
      </c>
      <c r="CJ42" s="240">
        <f>VLOOKUP(WWWW[[#This Row],[Site Name]],SiteDB6[],14,FALSE)</f>
        <v>25.51352</v>
      </c>
      <c r="CK42" s="240">
        <f>VLOOKUP(WWWW[[#This Row],[Site Name]],SiteDB6[],15,FALSE)</f>
        <v>96.705960000000005</v>
      </c>
      <c r="CL42" s="240" t="str">
        <f>VLOOKUP(WWWW[[#This Row],[Site Name]],SiteDB6[],4,FALSE)</f>
        <v>MMR001CMP148</v>
      </c>
      <c r="CM42" s="235" t="str">
        <f t="shared" si="0"/>
        <v>Covered</v>
      </c>
      <c r="CN42" s="235"/>
    </row>
    <row r="43" spans="1:92" ht="15.75" customHeight="1" x14ac:dyDescent="0.25">
      <c r="A43" s="532" t="s">
        <v>1409</v>
      </c>
      <c r="B43" s="533" t="s">
        <v>399</v>
      </c>
      <c r="C43" s="533" t="s">
        <v>44</v>
      </c>
      <c r="D43" s="533" t="s">
        <v>304</v>
      </c>
      <c r="E43" s="533" t="s">
        <v>413</v>
      </c>
      <c r="F43" s="233">
        <v>4</v>
      </c>
      <c r="G43" s="414">
        <v>27</v>
      </c>
      <c r="H43" s="233"/>
      <c r="I43" s="233" t="s">
        <v>401</v>
      </c>
      <c r="J43" s="234">
        <v>42947</v>
      </c>
      <c r="K43" s="233">
        <v>0</v>
      </c>
      <c r="L43" s="233" t="s">
        <v>48</v>
      </c>
      <c r="M43" s="235">
        <v>1</v>
      </c>
      <c r="N43" s="235">
        <v>0</v>
      </c>
      <c r="O43" s="609">
        <v>1</v>
      </c>
      <c r="P43" s="615">
        <v>0</v>
      </c>
      <c r="Q43" s="615">
        <v>1000</v>
      </c>
      <c r="R43" s="604">
        <v>0</v>
      </c>
      <c r="S43" s="604">
        <v>1</v>
      </c>
      <c r="T43" s="604">
        <v>0</v>
      </c>
      <c r="U43" s="604">
        <v>0</v>
      </c>
      <c r="V43" s="604">
        <v>0</v>
      </c>
      <c r="W43" s="604">
        <v>0</v>
      </c>
      <c r="X43" s="604">
        <v>0</v>
      </c>
      <c r="Y43" s="604"/>
      <c r="Z43" s="628">
        <v>0</v>
      </c>
      <c r="AA43" s="628">
        <v>0</v>
      </c>
      <c r="AB43" s="629">
        <v>0</v>
      </c>
      <c r="AC43" s="628">
        <v>0</v>
      </c>
      <c r="AD43" s="628" t="s">
        <v>293</v>
      </c>
      <c r="AE43" s="631" t="s">
        <v>1379</v>
      </c>
      <c r="AF43" s="631">
        <v>0</v>
      </c>
      <c r="AG43" s="628">
        <v>0</v>
      </c>
      <c r="AH43" s="628"/>
      <c r="AI43" s="659">
        <v>0.6</v>
      </c>
      <c r="AJ43" s="650" t="s">
        <v>386</v>
      </c>
      <c r="AK43" s="644">
        <v>0</v>
      </c>
      <c r="AL43" s="645">
        <v>0</v>
      </c>
      <c r="AM43" s="645">
        <v>0</v>
      </c>
      <c r="AN43" s="646">
        <v>0</v>
      </c>
      <c r="AO43" s="647">
        <v>0</v>
      </c>
      <c r="AP43" s="647"/>
      <c r="AQ43" s="658"/>
      <c r="AR43" s="235" t="str">
        <f>IFERROR(WWWW[[#This Row],['# of Water passed at source]]/WWWW[[#This Row],['# of Water tested at source]],"no test")</f>
        <v>no test</v>
      </c>
      <c r="AS43" s="237" t="str">
        <f>IFERROR(WWWW[[#This Row],['# of Water passed at HH]]/WWWW[[#This Row],['# of Water tested at HH]],"no test")</f>
        <v>no test</v>
      </c>
      <c r="AT43" s="237">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U43" s="237">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AV43" s="237">
        <f>IF(WWWW[[#This Row],[Location Type 1]]="Village",WWWW[[#This Row],[Access to safe drinking water for Village]],WWWW[[#This Row],[Access to safe drinking water for Camp]])</f>
        <v>1</v>
      </c>
      <c r="AW43" s="414">
        <f>WWWW[[#This Row],[%Equitable and continuous access to sufficient quantity of safe drinking water]]*WWWW[[#This Row],[Total PoP ]]</f>
        <v>27</v>
      </c>
      <c r="AX43" s="237">
        <f>IF((WWWW[[#This Row],['# Existing protected/fenced ponds ]]*250)/WWWW[[#This Row],[Total PoP ]]&gt;1,1,WWWW[[#This Row],['# Existing protected/fenced ponds ]]*250/WWWW[[#This Row],[Total PoP ]])</f>
        <v>0</v>
      </c>
      <c r="AY43" s="414">
        <f>WWWW[[#This Row],[Access to unimproved water points]]*WWWW[[#This Row],[Total PoP ]]</f>
        <v>0</v>
      </c>
      <c r="AZ43" s="237">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A43" s="414">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27</v>
      </c>
      <c r="BB43" s="414">
        <f>WWWW[[#This Row],['#people Equitable and continuous access to sufficient quantity of domestic water borehole n ponds_2]]/500</f>
        <v>5.3999999999999999E-2</v>
      </c>
      <c r="BC43" s="235">
        <f>1-WWWW[[#This Row],[%Equitable and continuous access to sufficient quantity of domestic water borehole n ponds]]</f>
        <v>0</v>
      </c>
      <c r="BD43" s="414">
        <f>WWWW[[#This Row],[%equitable and continuous access to sufficient quantity of safe drinking and domestic water''s GAP]]*WWWW[[#This Row],[Total PoP ]]</f>
        <v>0</v>
      </c>
      <c r="BE43" s="238">
        <f>IF(WWWW[[#This Row],[Total required water points]]-WWWW[[#This Row],['#Water points coverage]]&lt;0,0,WWWW[[#This Row],[Total required water points]]-WWWW[[#This Row],['#Water points coverage]])</f>
        <v>0.94599999999999995</v>
      </c>
      <c r="BF43" s="238">
        <f>ROUND(IF(WWWW[[#This Row],[Total PoP ]]&lt;500,1,WWWW[[#This Row],[Total PoP ]]/500),0)</f>
        <v>1</v>
      </c>
      <c r="BG43" s="238" t="str">
        <f>IF(AND(WWWW[[#This Row],[%of Water samples which passed at water source]]="no test",WWWW[[#This Row],[%Water samples which passed at HH]]="no test"),"No Test","Tested")</f>
        <v>No Test</v>
      </c>
      <c r="BH43" s="238">
        <f>WWWW[[#This Row],['# Existing functional latrines]]+WWWW[[#This Row],['# Existing latrines dysfunctional]]</f>
        <v>0</v>
      </c>
      <c r="BI43" s="235">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J43" s="675">
        <f>WWWW[[#This Row],[% people access to functioning Latrine]]*WWWW[[#This Row],[Total PoP ]]</f>
        <v>0</v>
      </c>
      <c r="BK43" s="235">
        <f>IF(WWWW[[#This Row],[Location Type 1]]="camp",WWWW[[#This Row],['# potential required new latrines]]/(WWWW[[#This Row],[Total PoP ]]/20),WWWW[[#This Row],['# potential required new latrines]]/(WWWW[[#This Row],[Total PoP ]]/6))</f>
        <v>0.7407407407407407</v>
      </c>
      <c r="BL43" s="414">
        <f>IF(WWWW[[#This Row],[Total required Latrines]]-WWWW[[#This Row],[Total '# of latrine]]&lt;0,0,WWWW[[#This Row],[Total required Latrines]]-WWWW[[#This Row],[Total '# of latrine]])</f>
        <v>1</v>
      </c>
      <c r="BM43" s="238">
        <f>ROUND(IF(WWWW[[#This Row],[Location Type 1]]="camp",WWWW[[#This Row],[Total PoP ]]/20,WWWW[[#This Row],[Total PoP ]]/6),0)</f>
        <v>1</v>
      </c>
      <c r="BN43" s="239">
        <f>IF(OR(WWWW[[#This Row],['# Existing latrines dysfunctional]]="",WWWW[[#This Row],['# Existing latrines dysfunctional]]=0),0,WWWW[[#This Row],['# Existing latrines dysfunctional]]/WWWW[[#This Row],[Total '# of latrine]])</f>
        <v>0</v>
      </c>
      <c r="BO43" s="675">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P43" s="235">
        <f>WWWW[[#This Row],[People adopt basic personal and community hygiene practices]]/WWWW[[#This Row],[Total PoP ]]</f>
        <v>0</v>
      </c>
      <c r="BQ43" s="239">
        <f>1-WWWW[[#This Row],[Hygiene Coverage%]]</f>
        <v>1</v>
      </c>
      <c r="BR43" s="414">
        <f>IF(500*WWWW[[#This Row],['# Hygiene Promoters ]]&gt;WWWW[[#This Row],[Total PoP ]],WWWW[[#This Row],[Total PoP ]],500*WWWW[[#This Row],['# Hygiene Promoters ]])</f>
        <v>0</v>
      </c>
      <c r="BS43" s="414">
        <f>IF(WWWW[[#This Row],[% of HH with access to Sanitary Pad]]&gt;=100%,1,0)</f>
        <v>0</v>
      </c>
      <c r="BT43" s="414">
        <f>IF(WWWW[[#This Row],[Total PoP ]]=0,0,IF(WWWW[[#This Row],['# Hygiene Promoters ]]=0,0,IF(WWWW[[#This Row],[Location Type 1]]="Village",IF(WWWW[[#This Row],[Total PoP ]]/WWWW[[#This Row],['# Hygiene Promoters ]]&lt;1000,1,0),IF(WWWW[[#This Row],[Total PoP ]]/WWWW[[#This Row],['# Hygiene Promoters ]]&lt;600,1,0))))</f>
        <v>0</v>
      </c>
      <c r="BU43" s="414">
        <f>IF(WWWW[[#This Row],[%HH with access to soap]]&gt;=100%,1,0)</f>
        <v>0</v>
      </c>
      <c r="BV43" s="414">
        <f>IF(WWWW[[#This Row],[% of HHs with access to Sanitary pad more than '#%]]+WWWW[[#This Row],[Ratio of Hyiene promoters to people less than '#]]+WWWW[[#This Row],[% of HHs with access to soap more than '#%]]&gt;=2,WWWW[[#This Row],[Total PoP ]],0)</f>
        <v>0</v>
      </c>
      <c r="BW43" s="346">
        <f>WWWW[[#This Row],['# people reached by regular dedicated hygiene promotion_5]]/WWWW[[#This Row],[Total PoP ]]</f>
        <v>0</v>
      </c>
      <c r="BX43" s="346">
        <f>IF(WWWW[[#This Row],['# HH received soaps]]/WWWW[[#This Row],[Total HH]]&gt;1,1,WWWW[[#This Row],['# HH received soaps]]/WWWW[[#This Row],[Total HH]])</f>
        <v>0</v>
      </c>
      <c r="BY43" s="346">
        <f>IF(WWWW[[#This Row],['# HH received Sanitary Pads]]/WWWW[[#This Row],[Total HH]]&gt;1,1,WWWW[[#This Row],['# HH received Sanitary Pads]]/WWWW[[#This Row],[Total HH]])</f>
        <v>0</v>
      </c>
      <c r="BZ43" s="720">
        <f>WWWW[[#This Row],['# HH received soaps]]*5</f>
        <v>0</v>
      </c>
      <c r="CA43" s="720">
        <f>WWWW[[#This Row],['# HH received Sanitary Pads]]*5</f>
        <v>0</v>
      </c>
      <c r="CB43" s="238">
        <f>IF(WWWW[[#This Row],['# People with access to soap]]&gt;WWWW[[#This Row],['# People with access to Sanity Pads]],WWWW[[#This Row],['# People with access to soap]],WWWW[[#This Row],['# People with access to Sanity Pads]])</f>
        <v>0</v>
      </c>
      <c r="CC43" s="414">
        <f>WWWW[[#This Row],[Total HH]]*WWWW[[#This Row],[%HHs with access to functional hand washing stations]]</f>
        <v>2.4</v>
      </c>
      <c r="CD43" s="240" t="str">
        <f>VLOOKUP(WWWW[[#This Row],[Site Name]],SiteDB6[],8,FALSE)</f>
        <v>Yes</v>
      </c>
      <c r="CE43" s="240" t="str">
        <f>VLOOKUP(WWWW[[#This Row],[Site Name]],SiteDB6[],9,FALSE)</f>
        <v>Shalom</v>
      </c>
      <c r="CF43" s="240" t="str">
        <f>VLOOKUP(WWWW[[#This Row],[Site Name]],SiteDB6[],10,FALSE)</f>
        <v>Camp</v>
      </c>
      <c r="CG43" s="240" t="str">
        <f>VLOOKUP(WWWW[[#This Row],[Site Name]],SiteDB6[],11,FALSE)</f>
        <v>Camp</v>
      </c>
      <c r="CH43" s="240" t="str">
        <f>VLOOKUP(WWWW[[#This Row],[Site Name]],SiteDB6[],12,FALSE)</f>
        <v>Camp</v>
      </c>
      <c r="CI43" s="240" t="str">
        <f>VLOOKUP(WWWW[[#This Row],[Site Name]],SiteDB6[],13,FALSE)</f>
        <v>GCA</v>
      </c>
      <c r="CJ43" s="240">
        <f>VLOOKUP(WWWW[[#This Row],[Site Name]],SiteDB6[],14,FALSE)</f>
        <v>25.615960999999999</v>
      </c>
      <c r="CK43" s="240">
        <f>VLOOKUP(WWWW[[#This Row],[Site Name]],SiteDB6[],15,FALSE)</f>
        <v>96.316564</v>
      </c>
      <c r="CL43" s="240" t="str">
        <f>VLOOKUP(WWWW[[#This Row],[Site Name]],SiteDB6[],4,FALSE)</f>
        <v>MMR001CMP191</v>
      </c>
      <c r="CM43" s="235" t="str">
        <f t="shared" si="0"/>
        <v>Covered</v>
      </c>
      <c r="CN43" s="235"/>
    </row>
    <row r="44" spans="1:92" ht="15.75" customHeight="1" x14ac:dyDescent="0.25">
      <c r="A44" s="532" t="s">
        <v>1409</v>
      </c>
      <c r="B44" s="533" t="s">
        <v>399</v>
      </c>
      <c r="C44" s="533" t="s">
        <v>44</v>
      </c>
      <c r="D44" s="533" t="s">
        <v>304</v>
      </c>
      <c r="E44" s="533" t="s">
        <v>414</v>
      </c>
      <c r="F44" s="233">
        <v>103</v>
      </c>
      <c r="G44" s="414">
        <v>504</v>
      </c>
      <c r="H44" s="233"/>
      <c r="I44" s="233" t="s">
        <v>401</v>
      </c>
      <c r="J44" s="234">
        <v>42947</v>
      </c>
      <c r="K44" s="233">
        <v>0</v>
      </c>
      <c r="L44" s="233" t="s">
        <v>48</v>
      </c>
      <c r="M44" s="235">
        <v>0.56999999999999995</v>
      </c>
      <c r="N44" s="235">
        <v>0</v>
      </c>
      <c r="O44" s="609">
        <v>0</v>
      </c>
      <c r="P44" s="615">
        <v>1</v>
      </c>
      <c r="Q44" s="615">
        <v>4000</v>
      </c>
      <c r="R44" s="604">
        <v>0</v>
      </c>
      <c r="S44" s="604">
        <v>1</v>
      </c>
      <c r="T44" s="604">
        <v>0</v>
      </c>
      <c r="U44" s="604">
        <v>0</v>
      </c>
      <c r="V44" s="604">
        <v>0</v>
      </c>
      <c r="W44" s="604">
        <v>0</v>
      </c>
      <c r="X44" s="604">
        <v>0</v>
      </c>
      <c r="Y44" s="604"/>
      <c r="Z44" s="628">
        <v>30</v>
      </c>
      <c r="AA44" s="628">
        <v>2</v>
      </c>
      <c r="AB44" s="629">
        <v>0</v>
      </c>
      <c r="AC44" s="628">
        <v>30</v>
      </c>
      <c r="AD44" s="628" t="s">
        <v>293</v>
      </c>
      <c r="AE44" s="631" t="s">
        <v>293</v>
      </c>
      <c r="AF44" s="631">
        <v>0</v>
      </c>
      <c r="AG44" s="628">
        <v>0</v>
      </c>
      <c r="AH44" s="628"/>
      <c r="AI44" s="659">
        <v>0.5</v>
      </c>
      <c r="AJ44" s="650" t="s">
        <v>386</v>
      </c>
      <c r="AK44" s="644">
        <v>0</v>
      </c>
      <c r="AL44" s="645">
        <v>4</v>
      </c>
      <c r="AM44" s="645">
        <v>0</v>
      </c>
      <c r="AN44" s="646">
        <v>0</v>
      </c>
      <c r="AO44" s="647">
        <v>0</v>
      </c>
      <c r="AP44" s="647"/>
      <c r="AQ44" s="658"/>
      <c r="AR44" s="235" t="str">
        <f>IFERROR(WWWW[[#This Row],['# of Water passed at source]]/WWWW[[#This Row],['# of Water tested at source]],"no test")</f>
        <v>no test</v>
      </c>
      <c r="AS44" s="237" t="str">
        <f>IFERROR(WWWW[[#This Row],['# of Water passed at HH]]/WWWW[[#This Row],['# of Water tested at HH]],"no test")</f>
        <v>no test</v>
      </c>
      <c r="AT44" s="237">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U44" s="237">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AV44" s="237">
        <f>IF(WWWW[[#This Row],[Location Type 1]]="Village",WWWW[[#This Row],[Access to safe drinking water for Village]],WWWW[[#This Row],[Access to safe drinking water for Camp]])</f>
        <v>1</v>
      </c>
      <c r="AW44" s="414">
        <f>WWWW[[#This Row],[%Equitable and continuous access to sufficient quantity of safe drinking water]]*WWWW[[#This Row],[Total PoP ]]</f>
        <v>504</v>
      </c>
      <c r="AX44" s="237">
        <f>IF((WWWW[[#This Row],['# Existing protected/fenced ponds ]]*250)/WWWW[[#This Row],[Total PoP ]]&gt;1,1,WWWW[[#This Row],['# Existing protected/fenced ponds ]]*250/WWWW[[#This Row],[Total PoP ]])</f>
        <v>0</v>
      </c>
      <c r="AY44" s="414">
        <f>WWWW[[#This Row],[Access to unimproved water points]]*WWWW[[#This Row],[Total PoP ]]</f>
        <v>0</v>
      </c>
      <c r="AZ44" s="237">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A44" s="414">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504</v>
      </c>
      <c r="BB44" s="414">
        <f>WWWW[[#This Row],['#people Equitable and continuous access to sufficient quantity of domestic water borehole n ponds_2]]/500</f>
        <v>1.008</v>
      </c>
      <c r="BC44" s="235">
        <f>1-WWWW[[#This Row],[%Equitable and continuous access to sufficient quantity of domestic water borehole n ponds]]</f>
        <v>0</v>
      </c>
      <c r="BD44" s="414">
        <f>WWWW[[#This Row],[%equitable and continuous access to sufficient quantity of safe drinking and domestic water''s GAP]]*WWWW[[#This Row],[Total PoP ]]</f>
        <v>0</v>
      </c>
      <c r="BE44" s="238">
        <f>IF(WWWW[[#This Row],[Total required water points]]-WWWW[[#This Row],['#Water points coverage]]&lt;0,0,WWWW[[#This Row],[Total required water points]]-WWWW[[#This Row],['#Water points coverage]])</f>
        <v>0</v>
      </c>
      <c r="BF44" s="238">
        <f>ROUND(IF(WWWW[[#This Row],[Total PoP ]]&lt;500,1,WWWW[[#This Row],[Total PoP ]]/500),0)</f>
        <v>1</v>
      </c>
      <c r="BG44" s="238" t="str">
        <f>IF(AND(WWWW[[#This Row],[%of Water samples which passed at water source]]="no test",WWWW[[#This Row],[%Water samples which passed at HH]]="no test"),"No Test","Tested")</f>
        <v>No Test</v>
      </c>
      <c r="BH44" s="238">
        <f>WWWW[[#This Row],['# Existing functional latrines]]+WWWW[[#This Row],['# Existing latrines dysfunctional]]</f>
        <v>32</v>
      </c>
      <c r="BI44" s="235">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1</v>
      </c>
      <c r="BJ44" s="675">
        <f>WWWW[[#This Row],[% people access to functioning Latrine]]*WWWW[[#This Row],[Total PoP ]]</f>
        <v>504</v>
      </c>
      <c r="BK44" s="235">
        <f>IF(WWWW[[#This Row],[Location Type 1]]="camp",WWWW[[#This Row],['# potential required new latrines]]/(WWWW[[#This Row],[Total PoP ]]/20),WWWW[[#This Row],['# potential required new latrines]]/(WWWW[[#This Row],[Total PoP ]]/6))</f>
        <v>0</v>
      </c>
      <c r="BL44" s="414">
        <f>IF(WWWW[[#This Row],[Total required Latrines]]-WWWW[[#This Row],[Total '# of latrine]]&lt;0,0,WWWW[[#This Row],[Total required Latrines]]-WWWW[[#This Row],[Total '# of latrine]])</f>
        <v>0</v>
      </c>
      <c r="BM44" s="238">
        <f>ROUND(IF(WWWW[[#This Row],[Location Type 1]]="camp",WWWW[[#This Row],[Total PoP ]]/20,WWWW[[#This Row],[Total PoP ]]/6),0)</f>
        <v>25</v>
      </c>
      <c r="BN44" s="239">
        <f>IF(OR(WWWW[[#This Row],['# Existing latrines dysfunctional]]="",WWWW[[#This Row],['# Existing latrines dysfunctional]]=0),0,WWWW[[#This Row],['# Existing latrines dysfunctional]]/WWWW[[#This Row],[Total '# of latrine]])</f>
        <v>6.25E-2</v>
      </c>
      <c r="BO44" s="675">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P44" s="235">
        <f>WWWW[[#This Row],[People adopt basic personal and community hygiene practices]]/WWWW[[#This Row],[Total PoP ]]</f>
        <v>0</v>
      </c>
      <c r="BQ44" s="239">
        <f>1-WWWW[[#This Row],[Hygiene Coverage%]]</f>
        <v>1</v>
      </c>
      <c r="BR44" s="414">
        <f>IF(500*WWWW[[#This Row],['# Hygiene Promoters ]]&gt;WWWW[[#This Row],[Total PoP ]],WWWW[[#This Row],[Total PoP ]],500*WWWW[[#This Row],['# Hygiene Promoters ]])</f>
        <v>0</v>
      </c>
      <c r="BS44" s="414">
        <f>IF(WWWW[[#This Row],[% of HH with access to Sanitary Pad]]&gt;=100%,1,0)</f>
        <v>0</v>
      </c>
      <c r="BT44" s="414">
        <f>IF(WWWW[[#This Row],[Total PoP ]]=0,0,IF(WWWW[[#This Row],['# Hygiene Promoters ]]=0,0,IF(WWWW[[#This Row],[Location Type 1]]="Village",IF(WWWW[[#This Row],[Total PoP ]]/WWWW[[#This Row],['# Hygiene Promoters ]]&lt;1000,1,0),IF(WWWW[[#This Row],[Total PoP ]]/WWWW[[#This Row],['# Hygiene Promoters ]]&lt;600,1,0))))</f>
        <v>0</v>
      </c>
      <c r="BU44" s="414">
        <f>IF(WWWW[[#This Row],[%HH with access to soap]]&gt;=100%,1,0)</f>
        <v>0</v>
      </c>
      <c r="BV44" s="414">
        <f>IF(WWWW[[#This Row],[% of HHs with access to Sanitary pad more than '#%]]+WWWW[[#This Row],[Ratio of Hyiene promoters to people less than '#]]+WWWW[[#This Row],[% of HHs with access to soap more than '#%]]&gt;=2,WWWW[[#This Row],[Total PoP ]],0)</f>
        <v>0</v>
      </c>
      <c r="BW44" s="346">
        <f>WWWW[[#This Row],['# people reached by regular dedicated hygiene promotion_5]]/WWWW[[#This Row],[Total PoP ]]</f>
        <v>0</v>
      </c>
      <c r="BX44" s="346">
        <f>IF(WWWW[[#This Row],['# HH received soaps]]/WWWW[[#This Row],[Total HH]]&gt;1,1,WWWW[[#This Row],['# HH received soaps]]/WWWW[[#This Row],[Total HH]])</f>
        <v>0</v>
      </c>
      <c r="BY44" s="346">
        <f>IF(WWWW[[#This Row],['# HH received Sanitary Pads]]/WWWW[[#This Row],[Total HH]]&gt;1,1,WWWW[[#This Row],['# HH received Sanitary Pads]]/WWWW[[#This Row],[Total HH]])</f>
        <v>0</v>
      </c>
      <c r="BZ44" s="720">
        <f>WWWW[[#This Row],['# HH received soaps]]*5</f>
        <v>0</v>
      </c>
      <c r="CA44" s="720">
        <f>WWWW[[#This Row],['# HH received Sanitary Pads]]*5</f>
        <v>0</v>
      </c>
      <c r="CB44" s="238">
        <f>IF(WWWW[[#This Row],['# People with access to soap]]&gt;WWWW[[#This Row],['# People with access to Sanity Pads]],WWWW[[#This Row],['# People with access to soap]],WWWW[[#This Row],['# People with access to Sanity Pads]])</f>
        <v>0</v>
      </c>
      <c r="CC44" s="414">
        <f>WWWW[[#This Row],[Total HH]]*WWWW[[#This Row],[%HHs with access to functional hand washing stations]]</f>
        <v>51.5</v>
      </c>
      <c r="CD44" s="240" t="str">
        <f>VLOOKUP(WWWW[[#This Row],[Site Name]],SiteDB6[],8,FALSE)</f>
        <v>Yes</v>
      </c>
      <c r="CE44" s="240" t="str">
        <f>VLOOKUP(WWWW[[#This Row],[Site Name]],SiteDB6[],9,FALSE)</f>
        <v>KBC</v>
      </c>
      <c r="CF44" s="240" t="str">
        <f>VLOOKUP(WWWW[[#This Row],[Site Name]],SiteDB6[],10,FALSE)</f>
        <v>Camp</v>
      </c>
      <c r="CG44" s="240" t="str">
        <f>VLOOKUP(WWWW[[#This Row],[Site Name]],SiteDB6[],11,FALSE)</f>
        <v>Camp</v>
      </c>
      <c r="CH44" s="240" t="str">
        <f>VLOOKUP(WWWW[[#This Row],[Site Name]],SiteDB6[],12,FALSE)</f>
        <v>Camp</v>
      </c>
      <c r="CI44" s="240" t="str">
        <f>VLOOKUP(WWWW[[#This Row],[Site Name]],SiteDB6[],13,FALSE)</f>
        <v>GCA</v>
      </c>
      <c r="CJ44" s="240">
        <f>VLOOKUP(WWWW[[#This Row],[Site Name]],SiteDB6[],14,FALSE)</f>
        <v>25.611160000000002</v>
      </c>
      <c r="CK44" s="240">
        <f>VLOOKUP(WWWW[[#This Row],[Site Name]],SiteDB6[],15,FALSE)</f>
        <v>96.312790000000007</v>
      </c>
      <c r="CL44" s="240" t="str">
        <f>VLOOKUP(WWWW[[#This Row],[Site Name]],SiteDB6[],4,FALSE)</f>
        <v>MMR001CMP229</v>
      </c>
      <c r="CM44" s="235" t="str">
        <f t="shared" si="0"/>
        <v>Covered</v>
      </c>
      <c r="CN44" s="235"/>
    </row>
    <row r="45" spans="1:92" ht="15.75" customHeight="1" x14ac:dyDescent="0.25">
      <c r="A45" s="532" t="s">
        <v>1409</v>
      </c>
      <c r="B45" s="533" t="s">
        <v>297</v>
      </c>
      <c r="C45" s="533" t="s">
        <v>44</v>
      </c>
      <c r="D45" s="533" t="s">
        <v>302</v>
      </c>
      <c r="E45" s="533" t="s">
        <v>303</v>
      </c>
      <c r="F45" s="233">
        <v>160</v>
      </c>
      <c r="G45" s="414">
        <v>823</v>
      </c>
      <c r="H45" s="233"/>
      <c r="I45" s="233" t="s">
        <v>300</v>
      </c>
      <c r="J45" s="234">
        <v>43555</v>
      </c>
      <c r="K45" s="233">
        <v>0</v>
      </c>
      <c r="L45" s="233" t="s">
        <v>48</v>
      </c>
      <c r="M45" s="235">
        <v>0.6</v>
      </c>
      <c r="N45" s="235">
        <v>0.5</v>
      </c>
      <c r="O45" s="609">
        <v>0</v>
      </c>
      <c r="P45" s="615">
        <v>0</v>
      </c>
      <c r="Q45" s="615">
        <v>349920</v>
      </c>
      <c r="R45" s="604">
        <v>0</v>
      </c>
      <c r="S45" s="604">
        <v>0</v>
      </c>
      <c r="T45" s="604">
        <v>0</v>
      </c>
      <c r="U45" s="604">
        <v>0</v>
      </c>
      <c r="V45" s="604">
        <v>0</v>
      </c>
      <c r="W45" s="604">
        <v>0</v>
      </c>
      <c r="X45" s="604">
        <v>0</v>
      </c>
      <c r="Y45" s="604"/>
      <c r="Z45" s="628">
        <v>27</v>
      </c>
      <c r="AA45" s="628">
        <v>0</v>
      </c>
      <c r="AB45" s="629">
        <v>0</v>
      </c>
      <c r="AC45" s="628">
        <v>0</v>
      </c>
      <c r="AD45" s="628" t="s">
        <v>293</v>
      </c>
      <c r="AE45" s="631" t="s">
        <v>293</v>
      </c>
      <c r="AF45" s="631"/>
      <c r="AG45" s="628">
        <v>5</v>
      </c>
      <c r="AH45" s="628"/>
      <c r="AI45" s="659">
        <v>0.6</v>
      </c>
      <c r="AJ45" s="644" t="s">
        <v>301</v>
      </c>
      <c r="AK45" s="644">
        <v>0</v>
      </c>
      <c r="AL45" s="645">
        <v>4</v>
      </c>
      <c r="AM45" s="645">
        <v>3</v>
      </c>
      <c r="AN45" s="646">
        <v>0</v>
      </c>
      <c r="AO45" s="647">
        <v>0</v>
      </c>
      <c r="AP45" s="647"/>
      <c r="AQ45" s="658"/>
      <c r="AR45" s="235" t="str">
        <f>IFERROR(WWWW[[#This Row],['# of Water passed at source]]/WWWW[[#This Row],['# of Water tested at source]],"no test")</f>
        <v>no test</v>
      </c>
      <c r="AS45" s="237" t="str">
        <f>IFERROR(WWWW[[#This Row],['# of Water passed at HH]]/WWWW[[#This Row],['# of Water tested at HH]],"no test")</f>
        <v>no test</v>
      </c>
      <c r="AT45" s="237">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U45" s="237">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AV45" s="237">
        <f>IF(WWWW[[#This Row],[Location Type 1]]="Village",WWWW[[#This Row],[Access to safe drinking water for Village]],WWWW[[#This Row],[Access to safe drinking water for Camp]])</f>
        <v>1</v>
      </c>
      <c r="AW45" s="414">
        <f>WWWW[[#This Row],[%Equitable and continuous access to sufficient quantity of safe drinking water]]*WWWW[[#This Row],[Total PoP ]]</f>
        <v>823</v>
      </c>
      <c r="AX45" s="237">
        <f>IF((WWWW[[#This Row],['# Existing protected/fenced ponds ]]*250)/WWWW[[#This Row],[Total PoP ]]&gt;1,1,WWWW[[#This Row],['# Existing protected/fenced ponds ]]*250/WWWW[[#This Row],[Total PoP ]])</f>
        <v>0</v>
      </c>
      <c r="AY45" s="414">
        <f>WWWW[[#This Row],[Access to unimproved water points]]*WWWW[[#This Row],[Total PoP ]]</f>
        <v>0</v>
      </c>
      <c r="AZ45" s="237">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A45" s="414">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823</v>
      </c>
      <c r="BB45" s="414">
        <f>WWWW[[#This Row],['#people Equitable and continuous access to sufficient quantity of domestic water borehole n ponds_2]]/500</f>
        <v>1.6459999999999999</v>
      </c>
      <c r="BC45" s="235">
        <f>1-WWWW[[#This Row],[%Equitable and continuous access to sufficient quantity of domestic water borehole n ponds]]</f>
        <v>0</v>
      </c>
      <c r="BD45" s="414">
        <f>WWWW[[#This Row],[%equitable and continuous access to sufficient quantity of safe drinking and domestic water''s GAP]]*WWWW[[#This Row],[Total PoP ]]</f>
        <v>0</v>
      </c>
      <c r="BE45" s="238">
        <f>IF(WWWW[[#This Row],[Total required water points]]-WWWW[[#This Row],['#Water points coverage]]&lt;0,0,WWWW[[#This Row],[Total required water points]]-WWWW[[#This Row],['#Water points coverage]])</f>
        <v>0.35400000000000009</v>
      </c>
      <c r="BF45" s="238">
        <f>ROUND(IF(WWWW[[#This Row],[Total PoP ]]&lt;500,1,WWWW[[#This Row],[Total PoP ]]/500),0)</f>
        <v>2</v>
      </c>
      <c r="BG45" s="238" t="str">
        <f>IF(AND(WWWW[[#This Row],[%of Water samples which passed at water source]]="no test",WWWW[[#This Row],[%Water samples which passed at HH]]="no test"),"No Test","Tested")</f>
        <v>No Test</v>
      </c>
      <c r="BH45" s="238">
        <f>WWWW[[#This Row],['# Existing functional latrines]]+WWWW[[#This Row],['# Existing latrines dysfunctional]]</f>
        <v>27</v>
      </c>
      <c r="BI45" s="235">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0.65613608748481167</v>
      </c>
      <c r="BJ45" s="675">
        <f>WWWW[[#This Row],[% people access to functioning Latrine]]*WWWW[[#This Row],[Total PoP ]]</f>
        <v>540</v>
      </c>
      <c r="BK45" s="235">
        <f>IF(WWWW[[#This Row],[Location Type 1]]="camp",WWWW[[#This Row],['# potential required new latrines]]/(WWWW[[#This Row],[Total PoP ]]/20),WWWW[[#This Row],['# potential required new latrines]]/(WWWW[[#This Row],[Total PoP ]]/6))</f>
        <v>0.3402187120291616</v>
      </c>
      <c r="BL45" s="414">
        <f>IF(WWWW[[#This Row],[Total required Latrines]]-WWWW[[#This Row],[Total '# of latrine]]&lt;0,0,WWWW[[#This Row],[Total required Latrines]]-WWWW[[#This Row],[Total '# of latrine]])</f>
        <v>14</v>
      </c>
      <c r="BM45" s="238">
        <f>ROUND(IF(WWWW[[#This Row],[Location Type 1]]="camp",WWWW[[#This Row],[Total PoP ]]/20,WWWW[[#This Row],[Total PoP ]]/6),0)</f>
        <v>41</v>
      </c>
      <c r="BN45" s="239">
        <f>IF(OR(WWWW[[#This Row],['# Existing latrines dysfunctional]]="",WWWW[[#This Row],['# Existing latrines dysfunctional]]=0),0,WWWW[[#This Row],['# Existing latrines dysfunctional]]/WWWW[[#This Row],[Total '# of latrine]])</f>
        <v>0</v>
      </c>
      <c r="BO45" s="675">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P45" s="235">
        <f>WWWW[[#This Row],[People adopt basic personal and community hygiene practices]]/WWWW[[#This Row],[Total PoP ]]</f>
        <v>0</v>
      </c>
      <c r="BQ45" s="239">
        <f>1-WWWW[[#This Row],[Hygiene Coverage%]]</f>
        <v>1</v>
      </c>
      <c r="BR45" s="414">
        <f>IF(500*WWWW[[#This Row],['# Hygiene Promoters ]]&gt;WWWW[[#This Row],[Total PoP ]],WWWW[[#This Row],[Total PoP ]],500*WWWW[[#This Row],['# Hygiene Promoters ]])</f>
        <v>823</v>
      </c>
      <c r="BS45" s="414">
        <f>IF(WWWW[[#This Row],[% of HH with access to Sanitary Pad]]&gt;=100%,1,0)</f>
        <v>0</v>
      </c>
      <c r="BT45" s="414">
        <f>IF(WWWW[[#This Row],[Total PoP ]]=0,0,IF(WWWW[[#This Row],['# Hygiene Promoters ]]=0,0,IF(WWWW[[#This Row],[Location Type 1]]="Village",IF(WWWW[[#This Row],[Total PoP ]]/WWWW[[#This Row],['# Hygiene Promoters ]]&lt;1000,1,0),IF(WWWW[[#This Row],[Total PoP ]]/WWWW[[#This Row],['# Hygiene Promoters ]]&lt;600,1,0))))</f>
        <v>1</v>
      </c>
      <c r="BU45" s="414">
        <f>IF(WWWW[[#This Row],[%HH with access to soap]]&gt;=100%,1,0)</f>
        <v>0</v>
      </c>
      <c r="BV45" s="414">
        <f>IF(WWWW[[#This Row],[% of HHs with access to Sanitary pad more than '#%]]+WWWW[[#This Row],[Ratio of Hyiene promoters to people less than '#]]+WWWW[[#This Row],[% of HHs with access to soap more than '#%]]&gt;=2,WWWW[[#This Row],[Total PoP ]],0)</f>
        <v>0</v>
      </c>
      <c r="BW45" s="346">
        <f>WWWW[[#This Row],['# people reached by regular dedicated hygiene promotion_5]]/WWWW[[#This Row],[Total PoP ]]</f>
        <v>1</v>
      </c>
      <c r="BX45" s="346">
        <f>IF(WWWW[[#This Row],['# HH received soaps]]/WWWW[[#This Row],[Total HH]]&gt;1,1,WWWW[[#This Row],['# HH received soaps]]/WWWW[[#This Row],[Total HH]])</f>
        <v>0</v>
      </c>
      <c r="BY45" s="346">
        <f>IF(WWWW[[#This Row],['# HH received Sanitary Pads]]/WWWW[[#This Row],[Total HH]]&gt;1,1,WWWW[[#This Row],['# HH received Sanitary Pads]]/WWWW[[#This Row],[Total HH]])</f>
        <v>0</v>
      </c>
      <c r="BZ45" s="720">
        <f>WWWW[[#This Row],['# HH received soaps]]*5</f>
        <v>0</v>
      </c>
      <c r="CA45" s="720">
        <f>WWWW[[#This Row],['# HH received Sanitary Pads]]*5</f>
        <v>0</v>
      </c>
      <c r="CB45" s="238">
        <f>IF(WWWW[[#This Row],['# People with access to soap]]&gt;WWWW[[#This Row],['# People with access to Sanity Pads]],WWWW[[#This Row],['# People with access to soap]],WWWW[[#This Row],['# People with access to Sanity Pads]])</f>
        <v>0</v>
      </c>
      <c r="CC45" s="414">
        <f>WWWW[[#This Row],[Total HH]]*WWWW[[#This Row],[%HHs with access to functional hand washing stations]]</f>
        <v>96</v>
      </c>
      <c r="CD45" s="240" t="str">
        <f>VLOOKUP(WWWW[[#This Row],[Site Name]],SiteDB6[],8,FALSE)</f>
        <v>Yes</v>
      </c>
      <c r="CE45" s="240" t="str">
        <f>VLOOKUP(WWWW[[#This Row],[Site Name]],SiteDB6[],9,FALSE)</f>
        <v>KBC</v>
      </c>
      <c r="CF45" s="240" t="str">
        <f>VLOOKUP(WWWW[[#This Row],[Site Name]],SiteDB6[],10,FALSE)</f>
        <v>Camp</v>
      </c>
      <c r="CG45" s="240" t="str">
        <f>VLOOKUP(WWWW[[#This Row],[Site Name]],SiteDB6[],11,FALSE)</f>
        <v>Camp</v>
      </c>
      <c r="CH45" s="240" t="str">
        <f>VLOOKUP(WWWW[[#This Row],[Site Name]],SiteDB6[],12,FALSE)</f>
        <v>Camp</v>
      </c>
      <c r="CI45" s="240" t="str">
        <f>VLOOKUP(WWWW[[#This Row],[Site Name]],SiteDB6[],13,FALSE)</f>
        <v>NGCA</v>
      </c>
      <c r="CJ45" s="240">
        <f>VLOOKUP(WWWW[[#This Row],[Site Name]],SiteDB6[],14,FALSE)</f>
        <v>25.754110000000001</v>
      </c>
      <c r="CK45" s="240">
        <f>VLOOKUP(WWWW[[#This Row],[Site Name]],SiteDB6[],15,FALSE)</f>
        <v>98.475719999999995</v>
      </c>
      <c r="CL45" s="240" t="str">
        <f>VLOOKUP(WWWW[[#This Row],[Site Name]],SiteDB6[],4,FALSE)</f>
        <v>MMR001CMP043</v>
      </c>
      <c r="CM45" s="235" t="str">
        <f t="shared" si="0"/>
        <v>Covered</v>
      </c>
      <c r="CN45" s="235"/>
    </row>
    <row r="46" spans="1:92" ht="15.75" customHeight="1" x14ac:dyDescent="0.25">
      <c r="A46" s="532" t="s">
        <v>1409</v>
      </c>
      <c r="B46" s="533" t="s">
        <v>348</v>
      </c>
      <c r="C46" s="533" t="s">
        <v>44</v>
      </c>
      <c r="D46" s="533" t="s">
        <v>351</v>
      </c>
      <c r="E46" s="533" t="s">
        <v>354</v>
      </c>
      <c r="F46" s="233">
        <v>39</v>
      </c>
      <c r="G46" s="414">
        <v>232</v>
      </c>
      <c r="H46" s="233"/>
      <c r="I46" s="233" t="s">
        <v>355</v>
      </c>
      <c r="J46" s="234" t="s">
        <v>2600</v>
      </c>
      <c r="K46" s="233">
        <v>0</v>
      </c>
      <c r="L46" s="233" t="s">
        <v>48</v>
      </c>
      <c r="M46" s="235">
        <v>0.4</v>
      </c>
      <c r="N46" s="235">
        <v>0.2</v>
      </c>
      <c r="O46" s="609">
        <v>0</v>
      </c>
      <c r="P46" s="615">
        <v>2</v>
      </c>
      <c r="Q46" s="615">
        <v>0</v>
      </c>
      <c r="R46" s="604">
        <v>0</v>
      </c>
      <c r="S46" s="604">
        <v>0</v>
      </c>
      <c r="T46" s="604"/>
      <c r="U46" s="604"/>
      <c r="V46" s="604"/>
      <c r="W46" s="604"/>
      <c r="X46" s="604"/>
      <c r="Y46" s="604"/>
      <c r="Z46" s="628">
        <v>7</v>
      </c>
      <c r="AA46" s="628">
        <v>0</v>
      </c>
      <c r="AB46" s="629"/>
      <c r="AC46" s="628">
        <v>0</v>
      </c>
      <c r="AD46" s="628" t="s">
        <v>293</v>
      </c>
      <c r="AE46" s="631" t="s">
        <v>1379</v>
      </c>
      <c r="AF46" s="631"/>
      <c r="AG46" s="628"/>
      <c r="AH46" s="628"/>
      <c r="AI46" s="659">
        <v>1</v>
      </c>
      <c r="AJ46" s="644" t="s">
        <v>301</v>
      </c>
      <c r="AK46" s="644">
        <v>0</v>
      </c>
      <c r="AL46" s="645">
        <v>2</v>
      </c>
      <c r="AM46" s="645">
        <v>2</v>
      </c>
      <c r="AN46" s="646">
        <v>39</v>
      </c>
      <c r="AO46" s="647">
        <v>39</v>
      </c>
      <c r="AP46" s="647"/>
      <c r="AQ46" s="658"/>
      <c r="AR46" s="235" t="str">
        <f>IFERROR(WWWW[[#This Row],['# of Water passed at source]]/WWWW[[#This Row],['# of Water tested at source]],"no test")</f>
        <v>no test</v>
      </c>
      <c r="AS46" s="237" t="str">
        <f>IFERROR(WWWW[[#This Row],['# of Water passed at HH]]/WWWW[[#This Row],['# of Water tested at HH]],"no test")</f>
        <v>no test</v>
      </c>
      <c r="AT46" s="237">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U46" s="237">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AV46" s="237">
        <f>IF(WWWW[[#This Row],[Location Type 1]]="Village",WWWW[[#This Row],[Access to safe drinking water for Village]],WWWW[[#This Row],[Access to safe drinking water for Camp]])</f>
        <v>1</v>
      </c>
      <c r="AW46" s="414">
        <f>WWWW[[#This Row],[%Equitable and continuous access to sufficient quantity of safe drinking water]]*WWWW[[#This Row],[Total PoP ]]</f>
        <v>232</v>
      </c>
      <c r="AX46" s="237">
        <f>IF((WWWW[[#This Row],['# Existing protected/fenced ponds ]]*250)/WWWW[[#This Row],[Total PoP ]]&gt;1,1,WWWW[[#This Row],['# Existing protected/fenced ponds ]]*250/WWWW[[#This Row],[Total PoP ]])</f>
        <v>0</v>
      </c>
      <c r="AY46" s="414">
        <f>WWWW[[#This Row],[Access to unimproved water points]]*WWWW[[#This Row],[Total PoP ]]</f>
        <v>0</v>
      </c>
      <c r="AZ46" s="237">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A46" s="414">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232</v>
      </c>
      <c r="BB46" s="414">
        <f>WWWW[[#This Row],['#people Equitable and continuous access to sufficient quantity of domestic water borehole n ponds_2]]/500</f>
        <v>0.46400000000000002</v>
      </c>
      <c r="BC46" s="235">
        <f>1-WWWW[[#This Row],[%Equitable and continuous access to sufficient quantity of domestic water borehole n ponds]]</f>
        <v>0</v>
      </c>
      <c r="BD46" s="414">
        <f>WWWW[[#This Row],[%equitable and continuous access to sufficient quantity of safe drinking and domestic water''s GAP]]*WWWW[[#This Row],[Total PoP ]]</f>
        <v>0</v>
      </c>
      <c r="BE46" s="238">
        <f>IF(WWWW[[#This Row],[Total required water points]]-WWWW[[#This Row],['#Water points coverage]]&lt;0,0,WWWW[[#This Row],[Total required water points]]-WWWW[[#This Row],['#Water points coverage]])</f>
        <v>0.53600000000000003</v>
      </c>
      <c r="BF46" s="238">
        <f>ROUND(IF(WWWW[[#This Row],[Total PoP ]]&lt;500,1,WWWW[[#This Row],[Total PoP ]]/500),0)</f>
        <v>1</v>
      </c>
      <c r="BG46" s="238" t="str">
        <f>IF(AND(WWWW[[#This Row],[%of Water samples which passed at water source]]="no test",WWWW[[#This Row],[%Water samples which passed at HH]]="no test"),"No Test","Tested")</f>
        <v>No Test</v>
      </c>
      <c r="BH46" s="238">
        <f>WWWW[[#This Row],['# Existing functional latrines]]+WWWW[[#This Row],['# Existing latrines dysfunctional]]</f>
        <v>7</v>
      </c>
      <c r="BI46" s="235">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0.60344827586206895</v>
      </c>
      <c r="BJ46" s="675">
        <f>WWWW[[#This Row],[% people access to functioning Latrine]]*WWWW[[#This Row],[Total PoP ]]</f>
        <v>140</v>
      </c>
      <c r="BK46" s="235">
        <f>IF(WWWW[[#This Row],[Location Type 1]]="camp",WWWW[[#This Row],['# potential required new latrines]]/(WWWW[[#This Row],[Total PoP ]]/20),WWWW[[#This Row],['# potential required new latrines]]/(WWWW[[#This Row],[Total PoP ]]/6))</f>
        <v>0.43103448275862072</v>
      </c>
      <c r="BL46" s="414">
        <f>IF(WWWW[[#This Row],[Total required Latrines]]-WWWW[[#This Row],[Total '# of latrine]]&lt;0,0,WWWW[[#This Row],[Total required Latrines]]-WWWW[[#This Row],[Total '# of latrine]])</f>
        <v>5</v>
      </c>
      <c r="BM46" s="238">
        <f>ROUND(IF(WWWW[[#This Row],[Location Type 1]]="camp",WWWW[[#This Row],[Total PoP ]]/20,WWWW[[#This Row],[Total PoP ]]/6),0)</f>
        <v>12</v>
      </c>
      <c r="BN46" s="239">
        <f>IF(OR(WWWW[[#This Row],['# Existing latrines dysfunctional]]="",WWWW[[#This Row],['# Existing latrines dysfunctional]]=0),0,WWWW[[#This Row],['# Existing latrines dysfunctional]]/WWWW[[#This Row],[Total '# of latrine]])</f>
        <v>0</v>
      </c>
      <c r="BO46" s="675">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P46" s="235">
        <f>WWWW[[#This Row],[People adopt basic personal and community hygiene practices]]/WWWW[[#This Row],[Total PoP ]]</f>
        <v>1</v>
      </c>
      <c r="BQ46" s="239">
        <f>1-WWWW[[#This Row],[Hygiene Coverage%]]</f>
        <v>0</v>
      </c>
      <c r="BR46" s="414">
        <f>IF(500*WWWW[[#This Row],['# Hygiene Promoters ]]&gt;WWWW[[#This Row],[Total PoP ]],WWWW[[#This Row],[Total PoP ]],500*WWWW[[#This Row],['# Hygiene Promoters ]])</f>
        <v>232</v>
      </c>
      <c r="BS46" s="414">
        <f>IF(WWWW[[#This Row],[% of HH with access to Sanitary Pad]]&gt;=100%,1,0)</f>
        <v>1</v>
      </c>
      <c r="BT46" s="414">
        <f>IF(WWWW[[#This Row],[Total PoP ]]=0,0,IF(WWWW[[#This Row],['# Hygiene Promoters ]]=0,0,IF(WWWW[[#This Row],[Location Type 1]]="Village",IF(WWWW[[#This Row],[Total PoP ]]/WWWW[[#This Row],['# Hygiene Promoters ]]&lt;1000,1,0),IF(WWWW[[#This Row],[Total PoP ]]/WWWW[[#This Row],['# Hygiene Promoters ]]&lt;600,1,0))))</f>
        <v>1</v>
      </c>
      <c r="BU46" s="414">
        <f>IF(WWWW[[#This Row],[%HH with access to soap]]&gt;=100%,1,0)</f>
        <v>1</v>
      </c>
      <c r="BV46" s="414">
        <f>IF(WWWW[[#This Row],[% of HHs with access to Sanitary pad more than '#%]]+WWWW[[#This Row],[Ratio of Hyiene promoters to people less than '#]]+WWWW[[#This Row],[% of HHs with access to soap more than '#%]]&gt;=2,WWWW[[#This Row],[Total PoP ]],0)</f>
        <v>232</v>
      </c>
      <c r="BW46" s="346">
        <f>WWWW[[#This Row],['# people reached by regular dedicated hygiene promotion_5]]/WWWW[[#This Row],[Total PoP ]]</f>
        <v>1</v>
      </c>
      <c r="BX46" s="346">
        <f>IF(WWWW[[#This Row],['# HH received soaps]]/WWWW[[#This Row],[Total HH]]&gt;1,1,WWWW[[#This Row],['# HH received soaps]]/WWWW[[#This Row],[Total HH]])</f>
        <v>1</v>
      </c>
      <c r="BY46" s="346">
        <f>IF(WWWW[[#This Row],['# HH received Sanitary Pads]]/WWWW[[#This Row],[Total HH]]&gt;1,1,WWWW[[#This Row],['# HH received Sanitary Pads]]/WWWW[[#This Row],[Total HH]])</f>
        <v>1</v>
      </c>
      <c r="BZ46" s="720">
        <f>WWWW[[#This Row],['# HH received soaps]]*5</f>
        <v>195</v>
      </c>
      <c r="CA46" s="720">
        <f>WWWW[[#This Row],['# HH received Sanitary Pads]]*5</f>
        <v>195</v>
      </c>
      <c r="CB46" s="238">
        <f>IF(WWWW[[#This Row],['# People with access to soap]]&gt;WWWW[[#This Row],['# People with access to Sanity Pads]],WWWW[[#This Row],['# People with access to soap]],WWWW[[#This Row],['# People with access to Sanity Pads]])</f>
        <v>195</v>
      </c>
      <c r="CC46" s="414">
        <f>WWWW[[#This Row],[Total HH]]*WWWW[[#This Row],[%HHs with access to functional hand washing stations]]</f>
        <v>39</v>
      </c>
      <c r="CD46" s="240" t="str">
        <f>VLOOKUP(WWWW[[#This Row],[Site Name]],SiteDB6[],8,FALSE)</f>
        <v>Yes</v>
      </c>
      <c r="CE46" s="240" t="str">
        <f>VLOOKUP(WWWW[[#This Row],[Site Name]],SiteDB6[],9,FALSE)</f>
        <v>KBC</v>
      </c>
      <c r="CF46" s="240" t="str">
        <f>VLOOKUP(WWWW[[#This Row],[Site Name]],SiteDB6[],10,FALSE)</f>
        <v>Camp</v>
      </c>
      <c r="CG46" s="240" t="str">
        <f>VLOOKUP(WWWW[[#This Row],[Site Name]],SiteDB6[],11,FALSE)</f>
        <v>Camp</v>
      </c>
      <c r="CH46" s="240" t="str">
        <f>VLOOKUP(WWWW[[#This Row],[Site Name]],SiteDB6[],12,FALSE)</f>
        <v>Camp</v>
      </c>
      <c r="CI46" s="240" t="str">
        <f>VLOOKUP(WWWW[[#This Row],[Site Name]],SiteDB6[],13,FALSE)</f>
        <v>GCA</v>
      </c>
      <c r="CJ46" s="240">
        <f>VLOOKUP(WWWW[[#This Row],[Site Name]],SiteDB6[],14,FALSE)</f>
        <v>24.24766</v>
      </c>
      <c r="CK46" s="240">
        <f>VLOOKUP(WWWW[[#This Row],[Site Name]],SiteDB6[],15,FALSE)</f>
        <v>97.236919999999998</v>
      </c>
      <c r="CL46" s="240" t="str">
        <f>VLOOKUP(WWWW[[#This Row],[Site Name]],SiteDB6[],4,FALSE)</f>
        <v>MMR001CMP052</v>
      </c>
      <c r="CM46" s="235" t="str">
        <f t="shared" si="0"/>
        <v>Covered</v>
      </c>
      <c r="CN46" s="235"/>
    </row>
    <row r="47" spans="1:92" ht="15.75" customHeight="1" x14ac:dyDescent="0.25">
      <c r="A47" s="532" t="s">
        <v>1409</v>
      </c>
      <c r="B47" s="533" t="s">
        <v>297</v>
      </c>
      <c r="C47" s="533" t="s">
        <v>44</v>
      </c>
      <c r="D47" s="533" t="s">
        <v>315</v>
      </c>
      <c r="E47" s="533" t="s">
        <v>317</v>
      </c>
      <c r="F47" s="233">
        <v>198</v>
      </c>
      <c r="G47" s="414">
        <v>1114</v>
      </c>
      <c r="H47" s="233"/>
      <c r="I47" s="233" t="s">
        <v>300</v>
      </c>
      <c r="J47" s="234">
        <v>43555</v>
      </c>
      <c r="K47" s="233">
        <v>0</v>
      </c>
      <c r="L47" s="233" t="s">
        <v>48</v>
      </c>
      <c r="M47" s="235">
        <v>0.6</v>
      </c>
      <c r="N47" s="235">
        <v>0.5</v>
      </c>
      <c r="O47" s="609">
        <v>1</v>
      </c>
      <c r="P47" s="615">
        <v>4</v>
      </c>
      <c r="Q47" s="615">
        <v>3000</v>
      </c>
      <c r="R47" s="604">
        <v>0</v>
      </c>
      <c r="S47" s="604">
        <v>0</v>
      </c>
      <c r="T47" s="604">
        <v>0</v>
      </c>
      <c r="U47" s="604">
        <v>0</v>
      </c>
      <c r="V47" s="604">
        <v>0</v>
      </c>
      <c r="W47" s="604">
        <v>0</v>
      </c>
      <c r="X47" s="604">
        <v>0</v>
      </c>
      <c r="Y47" s="604"/>
      <c r="Z47" s="628">
        <v>43</v>
      </c>
      <c r="AA47" s="628">
        <v>0</v>
      </c>
      <c r="AB47" s="629">
        <v>0</v>
      </c>
      <c r="AC47" s="628">
        <v>0</v>
      </c>
      <c r="AD47" s="628" t="s">
        <v>293</v>
      </c>
      <c r="AE47" s="631" t="s">
        <v>293</v>
      </c>
      <c r="AF47" s="631"/>
      <c r="AG47" s="628"/>
      <c r="AH47" s="628"/>
      <c r="AI47" s="659">
        <v>0.6</v>
      </c>
      <c r="AJ47" s="650" t="s">
        <v>386</v>
      </c>
      <c r="AK47" s="644">
        <v>0</v>
      </c>
      <c r="AL47" s="645">
        <v>3</v>
      </c>
      <c r="AM47" s="645">
        <v>4</v>
      </c>
      <c r="AN47" s="646">
        <v>0</v>
      </c>
      <c r="AO47" s="647">
        <v>0</v>
      </c>
      <c r="AP47" s="647"/>
      <c r="AQ47" s="658"/>
      <c r="AR47" s="235" t="str">
        <f>IFERROR(WWWW[[#This Row],['# of Water passed at source]]/WWWW[[#This Row],['# of Water tested at source]],"no test")</f>
        <v>no test</v>
      </c>
      <c r="AS47" s="237" t="str">
        <f>IFERROR(WWWW[[#This Row],['# of Water passed at HH]]/WWWW[[#This Row],['# of Water tested at HH]],"no test")</f>
        <v>no test</v>
      </c>
      <c r="AT47" s="237">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U47" s="237">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AV47" s="237">
        <f>IF(WWWW[[#This Row],[Location Type 1]]="Village",WWWW[[#This Row],[Access to safe drinking water for Village]],WWWW[[#This Row],[Access to safe drinking water for Camp]])</f>
        <v>1</v>
      </c>
      <c r="AW47" s="414">
        <f>WWWW[[#This Row],[%Equitable and continuous access to sufficient quantity of safe drinking water]]*WWWW[[#This Row],[Total PoP ]]</f>
        <v>1114</v>
      </c>
      <c r="AX47" s="237">
        <f>IF((WWWW[[#This Row],['# Existing protected/fenced ponds ]]*250)/WWWW[[#This Row],[Total PoP ]]&gt;1,1,WWWW[[#This Row],['# Existing protected/fenced ponds ]]*250/WWWW[[#This Row],[Total PoP ]])</f>
        <v>0</v>
      </c>
      <c r="AY47" s="414">
        <f>WWWW[[#This Row],[Access to unimproved water points]]*WWWW[[#This Row],[Total PoP ]]</f>
        <v>0</v>
      </c>
      <c r="AZ47" s="237">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A47" s="414">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1114</v>
      </c>
      <c r="BB47" s="414">
        <f>WWWW[[#This Row],['#people Equitable and continuous access to sufficient quantity of domestic water borehole n ponds_2]]/500</f>
        <v>2.2280000000000002</v>
      </c>
      <c r="BC47" s="235">
        <f>1-WWWW[[#This Row],[%Equitable and continuous access to sufficient quantity of domestic water borehole n ponds]]</f>
        <v>0</v>
      </c>
      <c r="BD47" s="414">
        <f>WWWW[[#This Row],[%equitable and continuous access to sufficient quantity of safe drinking and domestic water''s GAP]]*WWWW[[#This Row],[Total PoP ]]</f>
        <v>0</v>
      </c>
      <c r="BE47" s="238">
        <f>IF(WWWW[[#This Row],[Total required water points]]-WWWW[[#This Row],['#Water points coverage]]&lt;0,0,WWWW[[#This Row],[Total required water points]]-WWWW[[#This Row],['#Water points coverage]])</f>
        <v>0</v>
      </c>
      <c r="BF47" s="238">
        <f>ROUND(IF(WWWW[[#This Row],[Total PoP ]]&lt;500,1,WWWW[[#This Row],[Total PoP ]]/500),0)</f>
        <v>2</v>
      </c>
      <c r="BG47" s="238" t="str">
        <f>IF(AND(WWWW[[#This Row],[%of Water samples which passed at water source]]="no test",WWWW[[#This Row],[%Water samples which passed at HH]]="no test"),"No Test","Tested")</f>
        <v>No Test</v>
      </c>
      <c r="BH47" s="238">
        <f>WWWW[[#This Row],['# Existing functional latrines]]+WWWW[[#This Row],['# Existing latrines dysfunctional]]</f>
        <v>43</v>
      </c>
      <c r="BI47" s="235">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0.7719928186714542</v>
      </c>
      <c r="BJ47" s="675">
        <f>WWWW[[#This Row],[% people access to functioning Latrine]]*WWWW[[#This Row],[Total PoP ]]</f>
        <v>860</v>
      </c>
      <c r="BK47" s="235">
        <f>IF(WWWW[[#This Row],[Location Type 1]]="camp",WWWW[[#This Row],['# potential required new latrines]]/(WWWW[[#This Row],[Total PoP ]]/20),WWWW[[#This Row],['# potential required new latrines]]/(WWWW[[#This Row],[Total PoP ]]/6))</f>
        <v>0.23339317773788149</v>
      </c>
      <c r="BL47" s="414">
        <f>IF(WWWW[[#This Row],[Total required Latrines]]-WWWW[[#This Row],[Total '# of latrine]]&lt;0,0,WWWW[[#This Row],[Total required Latrines]]-WWWW[[#This Row],[Total '# of latrine]])</f>
        <v>13</v>
      </c>
      <c r="BM47" s="238">
        <f>ROUND(IF(WWWW[[#This Row],[Location Type 1]]="camp",WWWW[[#This Row],[Total PoP ]]/20,WWWW[[#This Row],[Total PoP ]]/6),0)</f>
        <v>56</v>
      </c>
      <c r="BN47" s="239">
        <f>IF(OR(WWWW[[#This Row],['# Existing latrines dysfunctional]]="",WWWW[[#This Row],['# Existing latrines dysfunctional]]=0),0,WWWW[[#This Row],['# Existing latrines dysfunctional]]/WWWW[[#This Row],[Total '# of latrine]])</f>
        <v>0</v>
      </c>
      <c r="BO47" s="675">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P47" s="235">
        <f>WWWW[[#This Row],[People adopt basic personal and community hygiene practices]]/WWWW[[#This Row],[Total PoP ]]</f>
        <v>0</v>
      </c>
      <c r="BQ47" s="239">
        <f>1-WWWW[[#This Row],[Hygiene Coverage%]]</f>
        <v>1</v>
      </c>
      <c r="BR47" s="414">
        <f>IF(500*WWWW[[#This Row],['# Hygiene Promoters ]]&gt;WWWW[[#This Row],[Total PoP ]],WWWW[[#This Row],[Total PoP ]],500*WWWW[[#This Row],['# Hygiene Promoters ]])</f>
        <v>1114</v>
      </c>
      <c r="BS47" s="414">
        <f>IF(WWWW[[#This Row],[% of HH with access to Sanitary Pad]]&gt;=100%,1,0)</f>
        <v>0</v>
      </c>
      <c r="BT47" s="414">
        <f>IF(WWWW[[#This Row],[Total PoP ]]=0,0,IF(WWWW[[#This Row],['# Hygiene Promoters ]]=0,0,IF(WWWW[[#This Row],[Location Type 1]]="Village",IF(WWWW[[#This Row],[Total PoP ]]/WWWW[[#This Row],['# Hygiene Promoters ]]&lt;1000,1,0),IF(WWWW[[#This Row],[Total PoP ]]/WWWW[[#This Row],['# Hygiene Promoters ]]&lt;600,1,0))))</f>
        <v>1</v>
      </c>
      <c r="BU47" s="414">
        <f>IF(WWWW[[#This Row],[%HH with access to soap]]&gt;=100%,1,0)</f>
        <v>0</v>
      </c>
      <c r="BV47" s="414">
        <f>IF(WWWW[[#This Row],[% of HHs with access to Sanitary pad more than '#%]]+WWWW[[#This Row],[Ratio of Hyiene promoters to people less than '#]]+WWWW[[#This Row],[% of HHs with access to soap more than '#%]]&gt;=2,WWWW[[#This Row],[Total PoP ]],0)</f>
        <v>0</v>
      </c>
      <c r="BW47" s="346">
        <f>WWWW[[#This Row],['# people reached by regular dedicated hygiene promotion_5]]/WWWW[[#This Row],[Total PoP ]]</f>
        <v>1</v>
      </c>
      <c r="BX47" s="346">
        <f>IF(WWWW[[#This Row],['# HH received soaps]]/WWWW[[#This Row],[Total HH]]&gt;1,1,WWWW[[#This Row],['# HH received soaps]]/WWWW[[#This Row],[Total HH]])</f>
        <v>0</v>
      </c>
      <c r="BY47" s="346">
        <f>IF(WWWW[[#This Row],['# HH received Sanitary Pads]]/WWWW[[#This Row],[Total HH]]&gt;1,1,WWWW[[#This Row],['# HH received Sanitary Pads]]/WWWW[[#This Row],[Total HH]])</f>
        <v>0</v>
      </c>
      <c r="BZ47" s="720">
        <f>WWWW[[#This Row],['# HH received soaps]]*5</f>
        <v>0</v>
      </c>
      <c r="CA47" s="720">
        <f>WWWW[[#This Row],['# HH received Sanitary Pads]]*5</f>
        <v>0</v>
      </c>
      <c r="CB47" s="238">
        <f>IF(WWWW[[#This Row],['# People with access to soap]]&gt;WWWW[[#This Row],['# People with access to Sanity Pads]],WWWW[[#This Row],['# People with access to soap]],WWWW[[#This Row],['# People with access to Sanity Pads]])</f>
        <v>0</v>
      </c>
      <c r="CC47" s="414">
        <f>WWWW[[#This Row],[Total HH]]*WWWW[[#This Row],[%HHs with access to functional hand washing stations]]</f>
        <v>118.8</v>
      </c>
      <c r="CD47" s="240" t="str">
        <f>VLOOKUP(WWWW[[#This Row],[Site Name]],SiteDB6[],8,FALSE)</f>
        <v>Yes</v>
      </c>
      <c r="CE47" s="240" t="str">
        <f>VLOOKUP(WWWW[[#This Row],[Site Name]],SiteDB6[],9,FALSE)</f>
        <v>KBC</v>
      </c>
      <c r="CF47" s="240" t="str">
        <f>VLOOKUP(WWWW[[#This Row],[Site Name]],SiteDB6[],10,FALSE)</f>
        <v>Camp</v>
      </c>
      <c r="CG47" s="240" t="str">
        <f>VLOOKUP(WWWW[[#This Row],[Site Name]],SiteDB6[],11,FALSE)</f>
        <v>Camp</v>
      </c>
      <c r="CH47" s="240" t="str">
        <f>VLOOKUP(WWWW[[#This Row],[Site Name]],SiteDB6[],12,FALSE)</f>
        <v>Camp</v>
      </c>
      <c r="CI47" s="240" t="str">
        <f>VLOOKUP(WWWW[[#This Row],[Site Name]],SiteDB6[],13,FALSE)</f>
        <v>GCA</v>
      </c>
      <c r="CJ47" s="240">
        <f>VLOOKUP(WWWW[[#This Row],[Site Name]],SiteDB6[],14,FALSE)</f>
        <v>25.403476999999999</v>
      </c>
      <c r="CK47" s="240">
        <f>VLOOKUP(WWWW[[#This Row],[Site Name]],SiteDB6[],15,FALSE)</f>
        <v>97.373361000000003</v>
      </c>
      <c r="CL47" s="240" t="str">
        <f>VLOOKUP(WWWW[[#This Row],[Site Name]],SiteDB6[],4,FALSE)</f>
        <v>MMR001CMP018</v>
      </c>
      <c r="CM47" s="235" t="str">
        <f t="shared" si="0"/>
        <v>Covered</v>
      </c>
      <c r="CN47" s="235"/>
    </row>
    <row r="48" spans="1:92" ht="15.75" customHeight="1" x14ac:dyDescent="0.25">
      <c r="A48" s="532" t="s">
        <v>1409</v>
      </c>
      <c r="B48" s="533" t="s">
        <v>43</v>
      </c>
      <c r="C48" s="533" t="s">
        <v>44</v>
      </c>
      <c r="D48" s="533" t="s">
        <v>315</v>
      </c>
      <c r="E48" s="533" t="s">
        <v>390</v>
      </c>
      <c r="F48" s="233">
        <v>88</v>
      </c>
      <c r="G48" s="414">
        <v>430</v>
      </c>
      <c r="H48" s="233"/>
      <c r="I48" s="233" t="s">
        <v>382</v>
      </c>
      <c r="J48" s="234">
        <v>43465</v>
      </c>
      <c r="K48" s="233">
        <v>0</v>
      </c>
      <c r="L48" s="233" t="s">
        <v>2578</v>
      </c>
      <c r="M48" s="235">
        <v>0.5</v>
      </c>
      <c r="N48" s="235">
        <v>0.5</v>
      </c>
      <c r="O48" s="609">
        <v>1</v>
      </c>
      <c r="P48" s="615">
        <v>3</v>
      </c>
      <c r="Q48" s="615">
        <v>5000</v>
      </c>
      <c r="R48" s="604">
        <v>0</v>
      </c>
      <c r="S48" s="604">
        <v>4</v>
      </c>
      <c r="T48" s="604">
        <v>3</v>
      </c>
      <c r="U48" s="604">
        <v>1</v>
      </c>
      <c r="V48" s="604">
        <v>12</v>
      </c>
      <c r="W48" s="604">
        <v>0</v>
      </c>
      <c r="X48" s="604">
        <v>0</v>
      </c>
      <c r="Y48" s="604"/>
      <c r="Z48" s="628">
        <v>22</v>
      </c>
      <c r="AA48" s="628">
        <v>0</v>
      </c>
      <c r="AB48" s="629">
        <v>0</v>
      </c>
      <c r="AC48" s="628">
        <v>10</v>
      </c>
      <c r="AD48" s="628" t="s">
        <v>293</v>
      </c>
      <c r="AE48" s="631" t="s">
        <v>293</v>
      </c>
      <c r="AF48" s="631">
        <v>0</v>
      </c>
      <c r="AG48" s="628">
        <v>0</v>
      </c>
      <c r="AH48" s="628"/>
      <c r="AI48" s="659">
        <v>0</v>
      </c>
      <c r="AJ48" s="650" t="s">
        <v>386</v>
      </c>
      <c r="AK48" s="644">
        <v>0</v>
      </c>
      <c r="AL48" s="645">
        <v>3</v>
      </c>
      <c r="AM48" s="645">
        <v>2</v>
      </c>
      <c r="AN48" s="646">
        <v>0</v>
      </c>
      <c r="AO48" s="647">
        <v>0</v>
      </c>
      <c r="AP48" s="647" t="s">
        <v>292</v>
      </c>
      <c r="AQ48" s="658"/>
      <c r="AR48" s="235">
        <f>IFERROR(WWWW[[#This Row],['# of Water passed at source]]/WWWW[[#This Row],['# of Water tested at source]],"no test")</f>
        <v>0.33333333333333331</v>
      </c>
      <c r="AS48" s="237">
        <f>IFERROR(WWWW[[#This Row],['# of Water passed at HH]]/WWWW[[#This Row],['# of Water tested at HH]],"no test")</f>
        <v>0</v>
      </c>
      <c r="AT48" s="237">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U48" s="237">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AV48" s="237">
        <f>IF(WWWW[[#This Row],[Location Type 1]]="Village",WWWW[[#This Row],[Access to safe drinking water for Village]],WWWW[[#This Row],[Access to safe drinking water for Camp]])</f>
        <v>1</v>
      </c>
      <c r="AW48" s="414">
        <f>WWWW[[#This Row],[%Equitable and continuous access to sufficient quantity of safe drinking water]]*WWWW[[#This Row],[Total PoP ]]</f>
        <v>430</v>
      </c>
      <c r="AX48" s="237">
        <f>IF((WWWW[[#This Row],['# Existing protected/fenced ponds ]]*250)/WWWW[[#This Row],[Total PoP ]]&gt;1,1,WWWW[[#This Row],['# Existing protected/fenced ponds ]]*250/WWWW[[#This Row],[Total PoP ]])</f>
        <v>0</v>
      </c>
      <c r="AY48" s="414">
        <f>WWWW[[#This Row],[Access to unimproved water points]]*WWWW[[#This Row],[Total PoP ]]</f>
        <v>0</v>
      </c>
      <c r="AZ48" s="237">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A48" s="414">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430</v>
      </c>
      <c r="BB48" s="414">
        <f>WWWW[[#This Row],['#people Equitable and continuous access to sufficient quantity of domestic water borehole n ponds_2]]/500</f>
        <v>0.86</v>
      </c>
      <c r="BC48" s="235">
        <f>1-WWWW[[#This Row],[%Equitable and continuous access to sufficient quantity of domestic water borehole n ponds]]</f>
        <v>0</v>
      </c>
      <c r="BD48" s="414">
        <f>WWWW[[#This Row],[%equitable and continuous access to sufficient quantity of safe drinking and domestic water''s GAP]]*WWWW[[#This Row],[Total PoP ]]</f>
        <v>0</v>
      </c>
      <c r="BE48" s="238">
        <f>IF(WWWW[[#This Row],[Total required water points]]-WWWW[[#This Row],['#Water points coverage]]&lt;0,0,WWWW[[#This Row],[Total required water points]]-WWWW[[#This Row],['#Water points coverage]])</f>
        <v>0.14000000000000001</v>
      </c>
      <c r="BF48" s="238">
        <f>ROUND(IF(WWWW[[#This Row],[Total PoP ]]&lt;500,1,WWWW[[#This Row],[Total PoP ]]/500),0)</f>
        <v>1</v>
      </c>
      <c r="BG48" s="238" t="str">
        <f>IF(AND(WWWW[[#This Row],[%of Water samples which passed at water source]]="no test",WWWW[[#This Row],[%Water samples which passed at HH]]="no test"),"No Test","Tested")</f>
        <v>Tested</v>
      </c>
      <c r="BH48" s="238">
        <f>WWWW[[#This Row],['# Existing functional latrines]]+WWWW[[#This Row],['# Existing latrines dysfunctional]]</f>
        <v>22</v>
      </c>
      <c r="BI48" s="235">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1</v>
      </c>
      <c r="BJ48" s="675">
        <f>WWWW[[#This Row],[% people access to functioning Latrine]]*WWWW[[#This Row],[Total PoP ]]</f>
        <v>430</v>
      </c>
      <c r="BK48" s="235">
        <f>IF(WWWW[[#This Row],[Location Type 1]]="camp",WWWW[[#This Row],['# potential required new latrines]]/(WWWW[[#This Row],[Total PoP ]]/20),WWWW[[#This Row],['# potential required new latrines]]/(WWWW[[#This Row],[Total PoP ]]/6))</f>
        <v>0</v>
      </c>
      <c r="BL48" s="414">
        <f>IF(WWWW[[#This Row],[Total required Latrines]]-WWWW[[#This Row],[Total '# of latrine]]&lt;0,0,WWWW[[#This Row],[Total required Latrines]]-WWWW[[#This Row],[Total '# of latrine]])</f>
        <v>0</v>
      </c>
      <c r="BM48" s="238">
        <f>ROUND(IF(WWWW[[#This Row],[Location Type 1]]="camp",WWWW[[#This Row],[Total PoP ]]/20,WWWW[[#This Row],[Total PoP ]]/6),0)</f>
        <v>22</v>
      </c>
      <c r="BN48" s="239">
        <f>IF(OR(WWWW[[#This Row],['# Existing latrines dysfunctional]]="",WWWW[[#This Row],['# Existing latrines dysfunctional]]=0),0,WWWW[[#This Row],['# Existing latrines dysfunctional]]/WWWW[[#This Row],[Total '# of latrine]])</f>
        <v>0</v>
      </c>
      <c r="BO48" s="675">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P48" s="235">
        <f>WWWW[[#This Row],[People adopt basic personal and community hygiene practices]]/WWWW[[#This Row],[Total PoP ]]</f>
        <v>0</v>
      </c>
      <c r="BQ48" s="239">
        <f>1-WWWW[[#This Row],[Hygiene Coverage%]]</f>
        <v>1</v>
      </c>
      <c r="BR48" s="414">
        <f>IF(500*WWWW[[#This Row],['# Hygiene Promoters ]]&gt;WWWW[[#This Row],[Total PoP ]],WWWW[[#This Row],[Total PoP ]],500*WWWW[[#This Row],['# Hygiene Promoters ]])</f>
        <v>430</v>
      </c>
      <c r="BS48" s="414">
        <f>IF(WWWW[[#This Row],[% of HH with access to Sanitary Pad]]&gt;=100%,1,0)</f>
        <v>0</v>
      </c>
      <c r="BT48" s="414">
        <f>IF(WWWW[[#This Row],[Total PoP ]]=0,0,IF(WWWW[[#This Row],['# Hygiene Promoters ]]=0,0,IF(WWWW[[#This Row],[Location Type 1]]="Village",IF(WWWW[[#This Row],[Total PoP ]]/WWWW[[#This Row],['# Hygiene Promoters ]]&lt;1000,1,0),IF(WWWW[[#This Row],[Total PoP ]]/WWWW[[#This Row],['# Hygiene Promoters ]]&lt;600,1,0))))</f>
        <v>1</v>
      </c>
      <c r="BU48" s="414">
        <f>IF(WWWW[[#This Row],[%HH with access to soap]]&gt;=100%,1,0)</f>
        <v>0</v>
      </c>
      <c r="BV48" s="414">
        <f>IF(WWWW[[#This Row],[% of HHs with access to Sanitary pad more than '#%]]+WWWW[[#This Row],[Ratio of Hyiene promoters to people less than '#]]+WWWW[[#This Row],[% of HHs with access to soap more than '#%]]&gt;=2,WWWW[[#This Row],[Total PoP ]],0)</f>
        <v>0</v>
      </c>
      <c r="BW48" s="346">
        <f>WWWW[[#This Row],['# people reached by regular dedicated hygiene promotion_5]]/WWWW[[#This Row],[Total PoP ]]</f>
        <v>1</v>
      </c>
      <c r="BX48" s="346">
        <f>IF(WWWW[[#This Row],['# HH received soaps]]/WWWW[[#This Row],[Total HH]]&gt;1,1,WWWW[[#This Row],['# HH received soaps]]/WWWW[[#This Row],[Total HH]])</f>
        <v>0</v>
      </c>
      <c r="BY48" s="346">
        <f>IF(WWWW[[#This Row],['# HH received Sanitary Pads]]/WWWW[[#This Row],[Total HH]]&gt;1,1,WWWW[[#This Row],['# HH received Sanitary Pads]]/WWWW[[#This Row],[Total HH]])</f>
        <v>0</v>
      </c>
      <c r="BZ48" s="720">
        <f>WWWW[[#This Row],['# HH received soaps]]*5</f>
        <v>0</v>
      </c>
      <c r="CA48" s="720">
        <f>WWWW[[#This Row],['# HH received Sanitary Pads]]*5</f>
        <v>0</v>
      </c>
      <c r="CB48" s="238">
        <f>IF(WWWW[[#This Row],['# People with access to soap]]&gt;WWWW[[#This Row],['# People with access to Sanity Pads]],WWWW[[#This Row],['# People with access to soap]],WWWW[[#This Row],['# People with access to Sanity Pads]])</f>
        <v>0</v>
      </c>
      <c r="CC48" s="414">
        <f>WWWW[[#This Row],[Total HH]]*WWWW[[#This Row],[%HHs with access to functional hand washing stations]]</f>
        <v>0</v>
      </c>
      <c r="CD48" s="240" t="str">
        <f>VLOOKUP(WWWW[[#This Row],[Site Name]],SiteDB6[],8,FALSE)</f>
        <v>Yes</v>
      </c>
      <c r="CE48" s="240" t="str">
        <f>VLOOKUP(WWWW[[#This Row],[Site Name]],SiteDB6[],9,FALSE)</f>
        <v>KMSS-MYT</v>
      </c>
      <c r="CF48" s="240" t="str">
        <f>VLOOKUP(WWWW[[#This Row],[Site Name]],SiteDB6[],10,FALSE)</f>
        <v>Camp</v>
      </c>
      <c r="CG48" s="240" t="str">
        <f>VLOOKUP(WWWW[[#This Row],[Site Name]],SiteDB6[],11,FALSE)</f>
        <v>Camp</v>
      </c>
      <c r="CH48" s="240" t="str">
        <f>VLOOKUP(WWWW[[#This Row],[Site Name]],SiteDB6[],12,FALSE)</f>
        <v>Camp</v>
      </c>
      <c r="CI48" s="240" t="str">
        <f>VLOOKUP(WWWW[[#This Row],[Site Name]],SiteDB6[],13,FALSE)</f>
        <v>GCA</v>
      </c>
      <c r="CJ48" s="240">
        <f>VLOOKUP(WWWW[[#This Row],[Site Name]],SiteDB6[],14,FALSE)</f>
        <v>25.401061110000001</v>
      </c>
      <c r="CK48" s="240">
        <f>VLOOKUP(WWWW[[#This Row],[Site Name]],SiteDB6[],15,FALSE)</f>
        <v>97.379594999999995</v>
      </c>
      <c r="CL48" s="240" t="str">
        <f>VLOOKUP(WWWW[[#This Row],[Site Name]],SiteDB6[],4,FALSE)</f>
        <v>MMR001CMP019</v>
      </c>
      <c r="CM48" s="235" t="str">
        <f t="shared" si="0"/>
        <v>Covered</v>
      </c>
      <c r="CN48" s="235"/>
    </row>
    <row r="49" spans="1:92" ht="15.75" customHeight="1" thickBot="1" x14ac:dyDescent="0.3">
      <c r="A49" s="532" t="s">
        <v>1409</v>
      </c>
      <c r="B49" s="533" t="s">
        <v>1449</v>
      </c>
      <c r="C49" s="533" t="s">
        <v>44</v>
      </c>
      <c r="D49" s="533" t="s">
        <v>361</v>
      </c>
      <c r="E49" s="533" t="s">
        <v>450</v>
      </c>
      <c r="F49" s="233">
        <v>1557</v>
      </c>
      <c r="G49" s="414">
        <v>8554</v>
      </c>
      <c r="H49" s="233"/>
      <c r="I49" s="233" t="s">
        <v>401</v>
      </c>
      <c r="J49" s="234">
        <v>43220</v>
      </c>
      <c r="K49" s="233">
        <v>0</v>
      </c>
      <c r="L49" s="233" t="s">
        <v>48</v>
      </c>
      <c r="M49" s="235">
        <v>0.52</v>
      </c>
      <c r="N49" s="235">
        <v>0</v>
      </c>
      <c r="O49" s="609">
        <v>0</v>
      </c>
      <c r="P49" s="615">
        <v>3</v>
      </c>
      <c r="Q49" s="615">
        <v>9331200</v>
      </c>
      <c r="R49" s="604">
        <v>0</v>
      </c>
      <c r="S49" s="604">
        <v>0</v>
      </c>
      <c r="T49" s="604"/>
      <c r="U49" s="604"/>
      <c r="V49" s="604">
        <v>42</v>
      </c>
      <c r="W49" s="604">
        <v>38</v>
      </c>
      <c r="X49" s="604"/>
      <c r="Y49" s="604"/>
      <c r="Z49" s="628">
        <v>503</v>
      </c>
      <c r="AA49" s="628">
        <v>26</v>
      </c>
      <c r="AB49" s="629">
        <v>118</v>
      </c>
      <c r="AC49" s="628">
        <v>0</v>
      </c>
      <c r="AD49" s="628" t="s">
        <v>293</v>
      </c>
      <c r="AE49" s="631" t="s">
        <v>293</v>
      </c>
      <c r="AF49" s="631">
        <v>0</v>
      </c>
      <c r="AG49" s="628">
        <v>0</v>
      </c>
      <c r="AH49" s="628"/>
      <c r="AI49" s="659">
        <v>1</v>
      </c>
      <c r="AJ49" s="644" t="s">
        <v>301</v>
      </c>
      <c r="AK49" s="644">
        <v>0</v>
      </c>
      <c r="AL49" s="645">
        <v>49</v>
      </c>
      <c r="AM49" s="645">
        <v>1167</v>
      </c>
      <c r="AN49" s="646">
        <v>0</v>
      </c>
      <c r="AO49" s="647"/>
      <c r="AP49" s="647"/>
      <c r="AQ49" s="658"/>
      <c r="AR49" s="235" t="str">
        <f>IFERROR(WWWW[[#This Row],['# of Water passed at source]]/WWWW[[#This Row],['# of Water tested at source]],"no test")</f>
        <v>no test</v>
      </c>
      <c r="AS49" s="237">
        <f>IFERROR(WWWW[[#This Row],['# of Water passed at HH]]/WWWW[[#This Row],['# of Water tested at HH]],"no test")</f>
        <v>0.90476190476190477</v>
      </c>
      <c r="AT49" s="237">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U49" s="237">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AV49" s="237">
        <f>IF(WWWW[[#This Row],[Location Type 1]]="Village",WWWW[[#This Row],[Access to safe drinking water for Village]],WWWW[[#This Row],[Access to safe drinking water for Camp]])</f>
        <v>1</v>
      </c>
      <c r="AW49" s="414">
        <f>WWWW[[#This Row],[%Equitable and continuous access to sufficient quantity of safe drinking water]]*WWWW[[#This Row],[Total PoP ]]</f>
        <v>8554</v>
      </c>
      <c r="AX49" s="237">
        <f>IF((WWWW[[#This Row],['# Existing protected/fenced ponds ]]*250)/WWWW[[#This Row],[Total PoP ]]&gt;1,1,WWWW[[#This Row],['# Existing protected/fenced ponds ]]*250/WWWW[[#This Row],[Total PoP ]])</f>
        <v>0</v>
      </c>
      <c r="AY49" s="414">
        <f>WWWW[[#This Row],[Access to unimproved water points]]*WWWW[[#This Row],[Total PoP ]]</f>
        <v>0</v>
      </c>
      <c r="AZ49" s="237">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A49" s="414">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8554</v>
      </c>
      <c r="BB49" s="414">
        <f>WWWW[[#This Row],['#people Equitable and continuous access to sufficient quantity of domestic water borehole n ponds_2]]/500</f>
        <v>17.108000000000001</v>
      </c>
      <c r="BC49" s="235">
        <f>1-WWWW[[#This Row],[%Equitable and continuous access to sufficient quantity of domestic water borehole n ponds]]</f>
        <v>0</v>
      </c>
      <c r="BD49" s="414">
        <f>WWWW[[#This Row],[%equitable and continuous access to sufficient quantity of safe drinking and domestic water''s GAP]]*WWWW[[#This Row],[Total PoP ]]</f>
        <v>0</v>
      </c>
      <c r="BE49" s="238">
        <f>IF(WWWW[[#This Row],[Total required water points]]-WWWW[[#This Row],['#Water points coverage]]&lt;0,0,WWWW[[#This Row],[Total required water points]]-WWWW[[#This Row],['#Water points coverage]])</f>
        <v>0</v>
      </c>
      <c r="BF49" s="238">
        <f>ROUND(IF(WWWW[[#This Row],[Total PoP ]]&lt;500,1,WWWW[[#This Row],[Total PoP ]]/500),0)</f>
        <v>17</v>
      </c>
      <c r="BG49" s="238" t="str">
        <f>IF(AND(WWWW[[#This Row],[%of Water samples which passed at water source]]="no test",WWWW[[#This Row],[%Water samples which passed at HH]]="no test"),"No Test","Tested")</f>
        <v>Tested</v>
      </c>
      <c r="BH49" s="238">
        <f>WWWW[[#This Row],['# Existing functional latrines]]+WWWW[[#This Row],['# Existing latrines dysfunctional]]</f>
        <v>529</v>
      </c>
      <c r="BI49" s="235">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1</v>
      </c>
      <c r="BJ49" s="675">
        <f>WWWW[[#This Row],[% people access to functioning Latrine]]*WWWW[[#This Row],[Total PoP ]]</f>
        <v>8554</v>
      </c>
      <c r="BK49" s="235">
        <f>IF(WWWW[[#This Row],[Location Type 1]]="camp",WWWW[[#This Row],['# potential required new latrines]]/(WWWW[[#This Row],[Total PoP ]]/20),WWWW[[#This Row],['# potential required new latrines]]/(WWWW[[#This Row],[Total PoP ]]/6))</f>
        <v>0</v>
      </c>
      <c r="BL49" s="414">
        <f>IF(WWWW[[#This Row],[Total required Latrines]]-WWWW[[#This Row],[Total '# of latrine]]&lt;0,0,WWWW[[#This Row],[Total required Latrines]]-WWWW[[#This Row],[Total '# of latrine]])</f>
        <v>0</v>
      </c>
      <c r="BM49" s="238">
        <f>ROUND(IF(WWWW[[#This Row],[Location Type 1]]="camp",WWWW[[#This Row],[Total PoP ]]/20,WWWW[[#This Row],[Total PoP ]]/6),0)</f>
        <v>428</v>
      </c>
      <c r="BN49" s="239">
        <f>IF(OR(WWWW[[#This Row],['# Existing latrines dysfunctional]]="",WWWW[[#This Row],['# Existing latrines dysfunctional]]=0),0,WWWW[[#This Row],['# Existing latrines dysfunctional]]/WWWW[[#This Row],[Total '# of latrine]])</f>
        <v>4.9149338374291113E-2</v>
      </c>
      <c r="BO49" s="675">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2360</v>
      </c>
      <c r="BP49" s="235">
        <f>WWWW[[#This Row],[People adopt basic personal and community hygiene practices]]/WWWW[[#This Row],[Total PoP ]]</f>
        <v>0</v>
      </c>
      <c r="BQ49" s="239">
        <f>1-WWWW[[#This Row],[Hygiene Coverage%]]</f>
        <v>1</v>
      </c>
      <c r="BR49" s="414">
        <f>IF(500*WWWW[[#This Row],['# Hygiene Promoters ]]&gt;WWWW[[#This Row],[Total PoP ]],WWWW[[#This Row],[Total PoP ]],500*WWWW[[#This Row],['# Hygiene Promoters ]])</f>
        <v>8554</v>
      </c>
      <c r="BS49" s="414">
        <f>IF(WWWW[[#This Row],[% of HH with access to Sanitary Pad]]&gt;=100%,1,0)</f>
        <v>0</v>
      </c>
      <c r="BT49" s="414">
        <f>IF(WWWW[[#This Row],[Total PoP ]]=0,0,IF(WWWW[[#This Row],['# Hygiene Promoters ]]=0,0,IF(WWWW[[#This Row],[Location Type 1]]="Village",IF(WWWW[[#This Row],[Total PoP ]]/WWWW[[#This Row],['# Hygiene Promoters ]]&lt;1000,1,0),IF(WWWW[[#This Row],[Total PoP ]]/WWWW[[#This Row],['# Hygiene Promoters ]]&lt;600,1,0))))</f>
        <v>1</v>
      </c>
      <c r="BU49" s="414">
        <f>IF(WWWW[[#This Row],[%HH with access to soap]]&gt;=100%,1,0)</f>
        <v>0</v>
      </c>
      <c r="BV49" s="414">
        <f>IF(WWWW[[#This Row],[% of HHs with access to Sanitary pad more than '#%]]+WWWW[[#This Row],[Ratio of Hyiene promoters to people less than '#]]+WWWW[[#This Row],[% of HHs with access to soap more than '#%]]&gt;=2,WWWW[[#This Row],[Total PoP ]],0)</f>
        <v>0</v>
      </c>
      <c r="BW49" s="346">
        <f>WWWW[[#This Row],['# people reached by regular dedicated hygiene promotion_5]]/WWWW[[#This Row],[Total PoP ]]</f>
        <v>1</v>
      </c>
      <c r="BX49" s="346">
        <f>IF(WWWW[[#This Row],['# HH received soaps]]/WWWW[[#This Row],[Total HH]]&gt;1,1,WWWW[[#This Row],['# HH received soaps]]/WWWW[[#This Row],[Total HH]])</f>
        <v>0</v>
      </c>
      <c r="BY49" s="346">
        <f>IF(WWWW[[#This Row],['# HH received Sanitary Pads]]/WWWW[[#This Row],[Total HH]]&gt;1,1,WWWW[[#This Row],['# HH received Sanitary Pads]]/WWWW[[#This Row],[Total HH]])</f>
        <v>0</v>
      </c>
      <c r="BZ49" s="720">
        <f>WWWW[[#This Row],['# HH received soaps]]*5</f>
        <v>0</v>
      </c>
      <c r="CA49" s="720">
        <f>WWWW[[#This Row],['# HH received Sanitary Pads]]*5</f>
        <v>0</v>
      </c>
      <c r="CB49" s="238">
        <f>IF(WWWW[[#This Row],['# People with access to soap]]&gt;WWWW[[#This Row],['# People with access to Sanity Pads]],WWWW[[#This Row],['# People with access to soap]],WWWW[[#This Row],['# People with access to Sanity Pads]])</f>
        <v>0</v>
      </c>
      <c r="CC49" s="414">
        <f>WWWW[[#This Row],[Total HH]]*WWWW[[#This Row],[%HHs with access to functional hand washing stations]]</f>
        <v>1557</v>
      </c>
      <c r="CD49" s="240" t="str">
        <f>VLOOKUP(WWWW[[#This Row],[Site Name]],SiteDB6[],8,FALSE)</f>
        <v>Yes</v>
      </c>
      <c r="CE49" s="240" t="str">
        <f>VLOOKUP(WWWW[[#This Row],[Site Name]],SiteDB6[],9,FALSE)</f>
        <v>KMSS-MYT</v>
      </c>
      <c r="CF49" s="240" t="str">
        <f>VLOOKUP(WWWW[[#This Row],[Site Name]],SiteDB6[],10,FALSE)</f>
        <v>Camp</v>
      </c>
      <c r="CG49" s="240" t="str">
        <f>VLOOKUP(WWWW[[#This Row],[Site Name]],SiteDB6[],11,FALSE)</f>
        <v>Camp</v>
      </c>
      <c r="CH49" s="240" t="str">
        <f>VLOOKUP(WWWW[[#This Row],[Site Name]],SiteDB6[],12,FALSE)</f>
        <v>Camp</v>
      </c>
      <c r="CI49" s="240" t="str">
        <f>VLOOKUP(WWWW[[#This Row],[Site Name]],SiteDB6[],13,FALSE)</f>
        <v>NGCA</v>
      </c>
      <c r="CJ49" s="240">
        <f>VLOOKUP(WWWW[[#This Row],[Site Name]],SiteDB6[],14,FALSE)</f>
        <v>24.688338999999999</v>
      </c>
      <c r="CK49" s="240">
        <f>VLOOKUP(WWWW[[#This Row],[Site Name]],SiteDB6[],15,FALSE)</f>
        <v>97.568331999999998</v>
      </c>
      <c r="CL49" s="240" t="str">
        <f>VLOOKUP(WWWW[[#This Row],[Site Name]],SiteDB6[],4,FALSE)</f>
        <v>MMR001CMP121</v>
      </c>
      <c r="CM49" s="235" t="str">
        <f t="shared" si="0"/>
        <v>Covered</v>
      </c>
      <c r="CN49" s="235"/>
    </row>
    <row r="50" spans="1:92" ht="16.5" customHeight="1" thickBot="1" x14ac:dyDescent="0.3">
      <c r="A50" s="594" t="s">
        <v>1409</v>
      </c>
      <c r="B50" s="533" t="s">
        <v>297</v>
      </c>
      <c r="C50" s="533" t="s">
        <v>44</v>
      </c>
      <c r="D50" s="533" t="s">
        <v>315</v>
      </c>
      <c r="E50" s="533" t="s">
        <v>318</v>
      </c>
      <c r="F50" s="233">
        <v>44</v>
      </c>
      <c r="G50" s="734">
        <v>195</v>
      </c>
      <c r="H50" s="233"/>
      <c r="I50" s="233" t="s">
        <v>300</v>
      </c>
      <c r="J50" s="234">
        <v>43555</v>
      </c>
      <c r="K50" s="233">
        <v>0</v>
      </c>
      <c r="L50" s="233" t="s">
        <v>48</v>
      </c>
      <c r="M50" s="235">
        <v>0.6</v>
      </c>
      <c r="N50" s="235">
        <v>0.5</v>
      </c>
      <c r="O50" s="609">
        <v>1</v>
      </c>
      <c r="P50" s="615">
        <v>1</v>
      </c>
      <c r="Q50" s="615">
        <v>3000</v>
      </c>
      <c r="R50" s="604">
        <v>0</v>
      </c>
      <c r="S50" s="604">
        <v>0</v>
      </c>
      <c r="T50" s="604">
        <v>0</v>
      </c>
      <c r="U50" s="604">
        <v>0</v>
      </c>
      <c r="V50" s="604">
        <v>0</v>
      </c>
      <c r="W50" s="604">
        <v>0</v>
      </c>
      <c r="X50" s="604">
        <v>0</v>
      </c>
      <c r="Y50" s="604"/>
      <c r="Z50" s="628">
        <v>8</v>
      </c>
      <c r="AA50" s="628">
        <v>0</v>
      </c>
      <c r="AB50" s="629">
        <v>0</v>
      </c>
      <c r="AC50" s="628">
        <v>0</v>
      </c>
      <c r="AD50" s="628" t="s">
        <v>293</v>
      </c>
      <c r="AE50" s="631" t="s">
        <v>293</v>
      </c>
      <c r="AF50" s="631"/>
      <c r="AG50" s="628"/>
      <c r="AH50" s="628"/>
      <c r="AI50" s="659">
        <v>0.6</v>
      </c>
      <c r="AJ50" s="650" t="s">
        <v>386</v>
      </c>
      <c r="AK50" s="644">
        <v>0</v>
      </c>
      <c r="AL50" s="645">
        <v>1</v>
      </c>
      <c r="AM50" s="645">
        <v>1</v>
      </c>
      <c r="AN50" s="647">
        <v>0</v>
      </c>
      <c r="AO50" s="647">
        <v>0</v>
      </c>
      <c r="AP50" s="647"/>
      <c r="AQ50" s="658"/>
      <c r="AR50" s="235" t="str">
        <f>IFERROR(WWWW[[#This Row],['# of Water passed at source]]/WWWW[[#This Row],['# of Water tested at source]],"no test")</f>
        <v>no test</v>
      </c>
      <c r="AS50" s="237" t="str">
        <f>IFERROR(WWWW[[#This Row],['# of Water passed at HH]]/WWWW[[#This Row],['# of Water tested at HH]],"no test")</f>
        <v>no test</v>
      </c>
      <c r="AT50" s="237">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U50" s="237">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AV50" s="237">
        <f>IF(WWWW[[#This Row],[Location Type 1]]="Village",WWWW[[#This Row],[Access to safe drinking water for Village]],WWWW[[#This Row],[Access to safe drinking water for Camp]])</f>
        <v>1</v>
      </c>
      <c r="AW50" s="414">
        <f>WWWW[[#This Row],[%Equitable and continuous access to sufficient quantity of safe drinking water]]*WWWW[[#This Row],[Total PoP ]]</f>
        <v>195</v>
      </c>
      <c r="AX50" s="237">
        <f>IF((WWWW[[#This Row],['# Existing protected/fenced ponds ]]*250)/WWWW[[#This Row],[Total PoP ]]&gt;1,1,WWWW[[#This Row],['# Existing protected/fenced ponds ]]*250/WWWW[[#This Row],[Total PoP ]])</f>
        <v>0</v>
      </c>
      <c r="AY50" s="414">
        <f>WWWW[[#This Row],[Access to unimproved water points]]*WWWW[[#This Row],[Total PoP ]]</f>
        <v>0</v>
      </c>
      <c r="AZ50" s="237">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A50" s="414">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195</v>
      </c>
      <c r="BB50" s="414">
        <f>WWWW[[#This Row],['#people Equitable and continuous access to sufficient quantity of domestic water borehole n ponds_2]]/500</f>
        <v>0.39</v>
      </c>
      <c r="BC50" s="235">
        <f>1-WWWW[[#This Row],[%Equitable and continuous access to sufficient quantity of domestic water borehole n ponds]]</f>
        <v>0</v>
      </c>
      <c r="BD50" s="414">
        <f>WWWW[[#This Row],[%equitable and continuous access to sufficient quantity of safe drinking and domestic water''s GAP]]*WWWW[[#This Row],[Total PoP ]]</f>
        <v>0</v>
      </c>
      <c r="BE50" s="238">
        <f>IF(WWWW[[#This Row],[Total required water points]]-WWWW[[#This Row],['#Water points coverage]]&lt;0,0,WWWW[[#This Row],[Total required water points]]-WWWW[[#This Row],['#Water points coverage]])</f>
        <v>0.61</v>
      </c>
      <c r="BF50" s="238">
        <f>ROUND(IF(WWWW[[#This Row],[Total PoP ]]&lt;500,1,WWWW[[#This Row],[Total PoP ]]/500),0)</f>
        <v>1</v>
      </c>
      <c r="BG50" s="238" t="str">
        <f>IF(AND(WWWW[[#This Row],[%of Water samples which passed at water source]]="no test",WWWW[[#This Row],[%Water samples which passed at HH]]="no test"),"No Test","Tested")</f>
        <v>No Test</v>
      </c>
      <c r="BH50" s="238">
        <f>WWWW[[#This Row],['# Existing functional latrines]]+WWWW[[#This Row],['# Existing latrines dysfunctional]]</f>
        <v>8</v>
      </c>
      <c r="BI50" s="235">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0.82051282051282048</v>
      </c>
      <c r="BJ50" s="675">
        <f>WWWW[[#This Row],[% people access to functioning Latrine]]*WWWW[[#This Row],[Total PoP ]]</f>
        <v>160</v>
      </c>
      <c r="BK50" s="235">
        <f>IF(WWWW[[#This Row],[Location Type 1]]="camp",WWWW[[#This Row],['# potential required new latrines]]/(WWWW[[#This Row],[Total PoP ]]/20),WWWW[[#This Row],['# potential required new latrines]]/(WWWW[[#This Row],[Total PoP ]]/6))</f>
        <v>0.20512820512820512</v>
      </c>
      <c r="BL50" s="414">
        <f>IF(WWWW[[#This Row],[Total required Latrines]]-WWWW[[#This Row],[Total '# of latrine]]&lt;0,0,WWWW[[#This Row],[Total required Latrines]]-WWWW[[#This Row],[Total '# of latrine]])</f>
        <v>2</v>
      </c>
      <c r="BM50" s="238">
        <f>ROUND(IF(WWWW[[#This Row],[Location Type 1]]="camp",WWWW[[#This Row],[Total PoP ]]/20,WWWW[[#This Row],[Total PoP ]]/6),0)</f>
        <v>10</v>
      </c>
      <c r="BN50" s="239">
        <f>IF(OR(WWWW[[#This Row],['# Existing latrines dysfunctional]]="",WWWW[[#This Row],['# Existing latrines dysfunctional]]=0),0,WWWW[[#This Row],['# Existing latrines dysfunctional]]/WWWW[[#This Row],[Total '# of latrine]])</f>
        <v>0</v>
      </c>
      <c r="BO50" s="675">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P50" s="235">
        <f>WWWW[[#This Row],[People adopt basic personal and community hygiene practices]]/WWWW[[#This Row],[Total PoP ]]</f>
        <v>0</v>
      </c>
      <c r="BQ50" s="239">
        <f>1-WWWW[[#This Row],[Hygiene Coverage%]]</f>
        <v>1</v>
      </c>
      <c r="BR50" s="414">
        <f>IF(500*WWWW[[#This Row],['# Hygiene Promoters ]]&gt;WWWW[[#This Row],[Total PoP ]],WWWW[[#This Row],[Total PoP ]],500*WWWW[[#This Row],['# Hygiene Promoters ]])</f>
        <v>195</v>
      </c>
      <c r="BS50" s="414">
        <f>IF(WWWW[[#This Row],[% of HH with access to Sanitary Pad]]&gt;=100%,1,0)</f>
        <v>0</v>
      </c>
      <c r="BT50" s="414">
        <f>IF(WWWW[[#This Row],[Total PoP ]]=0,0,IF(WWWW[[#This Row],['# Hygiene Promoters ]]=0,0,IF(WWWW[[#This Row],[Location Type 1]]="Village",IF(WWWW[[#This Row],[Total PoP ]]/WWWW[[#This Row],['# Hygiene Promoters ]]&lt;1000,1,0),IF(WWWW[[#This Row],[Total PoP ]]/WWWW[[#This Row],['# Hygiene Promoters ]]&lt;600,1,0))))</f>
        <v>1</v>
      </c>
      <c r="BU50" s="414">
        <f>IF(WWWW[[#This Row],[%HH with access to soap]]&gt;=100%,1,0)</f>
        <v>0</v>
      </c>
      <c r="BV50" s="414">
        <f>IF(WWWW[[#This Row],[% of HHs with access to Sanitary pad more than '#%]]+WWWW[[#This Row],[Ratio of Hyiene promoters to people less than '#]]+WWWW[[#This Row],[% of HHs with access to soap more than '#%]]&gt;=2,WWWW[[#This Row],[Total PoP ]],0)</f>
        <v>0</v>
      </c>
      <c r="BW50" s="346">
        <f>WWWW[[#This Row],['# people reached by regular dedicated hygiene promotion_5]]/WWWW[[#This Row],[Total PoP ]]</f>
        <v>1</v>
      </c>
      <c r="BX50" s="346">
        <f>IF(WWWW[[#This Row],['# HH received soaps]]/WWWW[[#This Row],[Total HH]]&gt;1,1,WWWW[[#This Row],['# HH received soaps]]/WWWW[[#This Row],[Total HH]])</f>
        <v>0</v>
      </c>
      <c r="BY50" s="346">
        <f>IF(WWWW[[#This Row],['# HH received Sanitary Pads]]/WWWW[[#This Row],[Total HH]]&gt;1,1,WWWW[[#This Row],['# HH received Sanitary Pads]]/WWWW[[#This Row],[Total HH]])</f>
        <v>0</v>
      </c>
      <c r="BZ50" s="720">
        <f>WWWW[[#This Row],['# HH received soaps]]*5</f>
        <v>0</v>
      </c>
      <c r="CA50" s="720">
        <f>WWWW[[#This Row],['# HH received Sanitary Pads]]*5</f>
        <v>0</v>
      </c>
      <c r="CB50" s="238">
        <f>IF(WWWW[[#This Row],['# People with access to soap]]&gt;WWWW[[#This Row],['# People with access to Sanity Pads]],WWWW[[#This Row],['# People with access to soap]],WWWW[[#This Row],['# People with access to Sanity Pads]])</f>
        <v>0</v>
      </c>
      <c r="CC50" s="414">
        <f>WWWW[[#This Row],[Total HH]]*WWWW[[#This Row],[%HHs with access to functional hand washing stations]]</f>
        <v>26.4</v>
      </c>
      <c r="CD50" s="240" t="str">
        <f>VLOOKUP(WWWW[[#This Row],[Site Name]],SiteDB6[],8,FALSE)</f>
        <v>Yes</v>
      </c>
      <c r="CE50" s="240" t="str">
        <f>VLOOKUP(WWWW[[#This Row],[Site Name]],SiteDB6[],9,FALSE)</f>
        <v>KBC</v>
      </c>
      <c r="CF50" s="240" t="str">
        <f>VLOOKUP(WWWW[[#This Row],[Site Name]],SiteDB6[],10,FALSE)</f>
        <v>Camp</v>
      </c>
      <c r="CG50" s="240" t="str">
        <f>VLOOKUP(WWWW[[#This Row],[Site Name]],SiteDB6[],11,FALSE)</f>
        <v>Camp</v>
      </c>
      <c r="CH50" s="240" t="str">
        <f>VLOOKUP(WWWW[[#This Row],[Site Name]],SiteDB6[],12,FALSE)</f>
        <v>Camp</v>
      </c>
      <c r="CI50" s="240" t="str">
        <f>VLOOKUP(WWWW[[#This Row],[Site Name]],SiteDB6[],13,FALSE)</f>
        <v>GCA</v>
      </c>
      <c r="CJ50" s="240">
        <f>VLOOKUP(WWWW[[#This Row],[Site Name]],SiteDB6[],14,FALSE)</f>
        <v>25.3660036111111</v>
      </c>
      <c r="CK50" s="240">
        <f>VLOOKUP(WWWW[[#This Row],[Site Name]],SiteDB6[],15,FALSE)</f>
        <v>97.405202777777802</v>
      </c>
      <c r="CL50" s="240" t="str">
        <f>VLOOKUP(WWWW[[#This Row],[Site Name]],SiteDB6[],4,FALSE)</f>
        <v>MMR001CMP013</v>
      </c>
      <c r="CM50" s="235" t="str">
        <f t="shared" si="0"/>
        <v>Covered</v>
      </c>
      <c r="CN50" s="235"/>
    </row>
    <row r="51" spans="1:92" ht="15.75" customHeight="1" x14ac:dyDescent="0.25">
      <c r="A51" s="532" t="s">
        <v>1409</v>
      </c>
      <c r="B51" s="533" t="s">
        <v>297</v>
      </c>
      <c r="C51" s="533" t="s">
        <v>44</v>
      </c>
      <c r="D51" s="533" t="s">
        <v>308</v>
      </c>
      <c r="E51" s="533" t="s">
        <v>309</v>
      </c>
      <c r="F51" s="233">
        <v>13</v>
      </c>
      <c r="G51" s="414">
        <v>66</v>
      </c>
      <c r="H51" s="233"/>
      <c r="I51" s="233" t="s">
        <v>306</v>
      </c>
      <c r="J51" s="234">
        <v>43131</v>
      </c>
      <c r="K51" s="233">
        <v>0</v>
      </c>
      <c r="L51" s="233" t="s">
        <v>48</v>
      </c>
      <c r="M51" s="235">
        <v>0.8</v>
      </c>
      <c r="N51" s="235">
        <v>0.8</v>
      </c>
      <c r="O51" s="609">
        <v>0</v>
      </c>
      <c r="P51" s="615">
        <v>2</v>
      </c>
      <c r="Q51" s="615">
        <v>2000</v>
      </c>
      <c r="R51" s="604">
        <v>0</v>
      </c>
      <c r="S51" s="604">
        <v>0</v>
      </c>
      <c r="T51" s="604">
        <v>0</v>
      </c>
      <c r="U51" s="604">
        <v>0</v>
      </c>
      <c r="V51" s="604">
        <v>0</v>
      </c>
      <c r="W51" s="604">
        <v>0</v>
      </c>
      <c r="X51" s="604">
        <v>0</v>
      </c>
      <c r="Y51" s="604"/>
      <c r="Z51" s="628">
        <v>6</v>
      </c>
      <c r="AA51" s="628">
        <v>0</v>
      </c>
      <c r="AB51" s="629">
        <v>4</v>
      </c>
      <c r="AC51" s="628">
        <v>0</v>
      </c>
      <c r="AD51" s="628" t="s">
        <v>293</v>
      </c>
      <c r="AE51" s="631" t="s">
        <v>1379</v>
      </c>
      <c r="AF51" s="631"/>
      <c r="AG51" s="628"/>
      <c r="AH51" s="628"/>
      <c r="AI51" s="659">
        <v>0.6</v>
      </c>
      <c r="AJ51" s="650" t="s">
        <v>386</v>
      </c>
      <c r="AK51" s="644">
        <v>0</v>
      </c>
      <c r="AL51" s="645">
        <v>2</v>
      </c>
      <c r="AM51" s="645">
        <v>1</v>
      </c>
      <c r="AN51" s="646">
        <v>0</v>
      </c>
      <c r="AO51" s="647">
        <v>0</v>
      </c>
      <c r="AP51" s="647"/>
      <c r="AQ51" s="658"/>
      <c r="AR51" s="235" t="str">
        <f>IFERROR(WWWW[[#This Row],['# of Water passed at source]]/WWWW[[#This Row],['# of Water tested at source]],"no test")</f>
        <v>no test</v>
      </c>
      <c r="AS51" s="237" t="str">
        <f>IFERROR(WWWW[[#This Row],['# of Water passed at HH]]/WWWW[[#This Row],['# of Water tested at HH]],"no test")</f>
        <v>no test</v>
      </c>
      <c r="AT51" s="237">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U51" s="237">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AV51" s="237">
        <f>IF(WWWW[[#This Row],[Location Type 1]]="Village",WWWW[[#This Row],[Access to safe drinking water for Village]],WWWW[[#This Row],[Access to safe drinking water for Camp]])</f>
        <v>1</v>
      </c>
      <c r="AW51" s="414">
        <f>WWWW[[#This Row],[%Equitable and continuous access to sufficient quantity of safe drinking water]]*WWWW[[#This Row],[Total PoP ]]</f>
        <v>66</v>
      </c>
      <c r="AX51" s="237">
        <f>IF((WWWW[[#This Row],['# Existing protected/fenced ponds ]]*250)/WWWW[[#This Row],[Total PoP ]]&gt;1,1,WWWW[[#This Row],['# Existing protected/fenced ponds ]]*250/WWWW[[#This Row],[Total PoP ]])</f>
        <v>0</v>
      </c>
      <c r="AY51" s="414">
        <f>WWWW[[#This Row],[Access to unimproved water points]]*WWWW[[#This Row],[Total PoP ]]</f>
        <v>0</v>
      </c>
      <c r="AZ51" s="237">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A51" s="414">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66</v>
      </c>
      <c r="BB51" s="414">
        <f>WWWW[[#This Row],['#people Equitable and continuous access to sufficient quantity of domestic water borehole n ponds_2]]/500</f>
        <v>0.13200000000000001</v>
      </c>
      <c r="BC51" s="235">
        <f>1-WWWW[[#This Row],[%Equitable and continuous access to sufficient quantity of domestic water borehole n ponds]]</f>
        <v>0</v>
      </c>
      <c r="BD51" s="414">
        <f>WWWW[[#This Row],[%equitable and continuous access to sufficient quantity of safe drinking and domestic water''s GAP]]*WWWW[[#This Row],[Total PoP ]]</f>
        <v>0</v>
      </c>
      <c r="BE51" s="238">
        <f>IF(WWWW[[#This Row],[Total required water points]]-WWWW[[#This Row],['#Water points coverage]]&lt;0,0,WWWW[[#This Row],[Total required water points]]-WWWW[[#This Row],['#Water points coverage]])</f>
        <v>0.86799999999999999</v>
      </c>
      <c r="BF51" s="238">
        <f>ROUND(IF(WWWW[[#This Row],[Total PoP ]]&lt;500,1,WWWW[[#This Row],[Total PoP ]]/500),0)</f>
        <v>1</v>
      </c>
      <c r="BG51" s="238" t="str">
        <f>IF(AND(WWWW[[#This Row],[%of Water samples which passed at water source]]="no test",WWWW[[#This Row],[%Water samples which passed at HH]]="no test"),"No Test","Tested")</f>
        <v>No Test</v>
      </c>
      <c r="BH51" s="238">
        <f>WWWW[[#This Row],['# Existing functional latrines]]+WWWW[[#This Row],['# Existing latrines dysfunctional]]</f>
        <v>6</v>
      </c>
      <c r="BI51" s="235">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1</v>
      </c>
      <c r="BJ51" s="675">
        <f>WWWW[[#This Row],[% people access to functioning Latrine]]*WWWW[[#This Row],[Total PoP ]]</f>
        <v>66</v>
      </c>
      <c r="BK51" s="235">
        <f>IF(WWWW[[#This Row],[Location Type 1]]="camp",WWWW[[#This Row],['# potential required new latrines]]/(WWWW[[#This Row],[Total PoP ]]/20),WWWW[[#This Row],['# potential required new latrines]]/(WWWW[[#This Row],[Total PoP ]]/6))</f>
        <v>0</v>
      </c>
      <c r="BL51" s="414">
        <f>IF(WWWW[[#This Row],[Total required Latrines]]-WWWW[[#This Row],[Total '# of latrine]]&lt;0,0,WWWW[[#This Row],[Total required Latrines]]-WWWW[[#This Row],[Total '# of latrine]])</f>
        <v>0</v>
      </c>
      <c r="BM51" s="238">
        <f>ROUND(IF(WWWW[[#This Row],[Location Type 1]]="camp",WWWW[[#This Row],[Total PoP ]]/20,WWWW[[#This Row],[Total PoP ]]/6),0)</f>
        <v>3</v>
      </c>
      <c r="BN51" s="239">
        <f>IF(OR(WWWW[[#This Row],['# Existing latrines dysfunctional]]="",WWWW[[#This Row],['# Existing latrines dysfunctional]]=0),0,WWWW[[#This Row],['# Existing latrines dysfunctional]]/WWWW[[#This Row],[Total '# of latrine]])</f>
        <v>0</v>
      </c>
      <c r="BO51" s="675">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66</v>
      </c>
      <c r="BP51" s="235">
        <f>WWWW[[#This Row],[People adopt basic personal and community hygiene practices]]/WWWW[[#This Row],[Total PoP ]]</f>
        <v>0</v>
      </c>
      <c r="BQ51" s="239">
        <f>1-WWWW[[#This Row],[Hygiene Coverage%]]</f>
        <v>1</v>
      </c>
      <c r="BR51" s="414">
        <f>IF(500*WWWW[[#This Row],['# Hygiene Promoters ]]&gt;WWWW[[#This Row],[Total PoP ]],WWWW[[#This Row],[Total PoP ]],500*WWWW[[#This Row],['# Hygiene Promoters ]])</f>
        <v>66</v>
      </c>
      <c r="BS51" s="414">
        <f>IF(WWWW[[#This Row],[% of HH with access to Sanitary Pad]]&gt;=100%,1,0)</f>
        <v>0</v>
      </c>
      <c r="BT51" s="414">
        <f>IF(WWWW[[#This Row],[Total PoP ]]=0,0,IF(WWWW[[#This Row],['# Hygiene Promoters ]]=0,0,IF(WWWW[[#This Row],[Location Type 1]]="Village",IF(WWWW[[#This Row],[Total PoP ]]/WWWW[[#This Row],['# Hygiene Promoters ]]&lt;1000,1,0),IF(WWWW[[#This Row],[Total PoP ]]/WWWW[[#This Row],['# Hygiene Promoters ]]&lt;600,1,0))))</f>
        <v>1</v>
      </c>
      <c r="BU51" s="414">
        <f>IF(WWWW[[#This Row],[%HH with access to soap]]&gt;=100%,1,0)</f>
        <v>0</v>
      </c>
      <c r="BV51" s="414">
        <f>IF(WWWW[[#This Row],[% of HHs with access to Sanitary pad more than '#%]]+WWWW[[#This Row],[Ratio of Hyiene promoters to people less than '#]]+WWWW[[#This Row],[% of HHs with access to soap more than '#%]]&gt;=2,WWWW[[#This Row],[Total PoP ]],0)</f>
        <v>0</v>
      </c>
      <c r="BW51" s="346">
        <f>WWWW[[#This Row],['# people reached by regular dedicated hygiene promotion_5]]/WWWW[[#This Row],[Total PoP ]]</f>
        <v>1</v>
      </c>
      <c r="BX51" s="346">
        <f>IF(WWWW[[#This Row],['# HH received soaps]]/WWWW[[#This Row],[Total HH]]&gt;1,1,WWWW[[#This Row],['# HH received soaps]]/WWWW[[#This Row],[Total HH]])</f>
        <v>0</v>
      </c>
      <c r="BY51" s="346">
        <f>IF(WWWW[[#This Row],['# HH received Sanitary Pads]]/WWWW[[#This Row],[Total HH]]&gt;1,1,WWWW[[#This Row],['# HH received Sanitary Pads]]/WWWW[[#This Row],[Total HH]])</f>
        <v>0</v>
      </c>
      <c r="BZ51" s="720">
        <f>WWWW[[#This Row],['# HH received soaps]]*5</f>
        <v>0</v>
      </c>
      <c r="CA51" s="720">
        <f>WWWW[[#This Row],['# HH received Sanitary Pads]]*5</f>
        <v>0</v>
      </c>
      <c r="CB51" s="238">
        <f>IF(WWWW[[#This Row],['# People with access to soap]]&gt;WWWW[[#This Row],['# People with access to Sanity Pads]],WWWW[[#This Row],['# People with access to soap]],WWWW[[#This Row],['# People with access to Sanity Pads]])</f>
        <v>0</v>
      </c>
      <c r="CC51" s="414">
        <f>WWWW[[#This Row],[Total HH]]*WWWW[[#This Row],[%HHs with access to functional hand washing stations]]</f>
        <v>7.8</v>
      </c>
      <c r="CD51" s="240" t="str">
        <f>VLOOKUP(WWWW[[#This Row],[Site Name]],SiteDB6[],8,FALSE)</f>
        <v>Yes</v>
      </c>
      <c r="CE51" s="240" t="str">
        <f>VLOOKUP(WWWW[[#This Row],[Site Name]],SiteDB6[],9,FALSE)</f>
        <v>KBC</v>
      </c>
      <c r="CF51" s="240" t="str">
        <f>VLOOKUP(WWWW[[#This Row],[Site Name]],SiteDB6[],10,FALSE)</f>
        <v>Camp</v>
      </c>
      <c r="CG51" s="240" t="str">
        <f>VLOOKUP(WWWW[[#This Row],[Site Name]],SiteDB6[],11,FALSE)</f>
        <v>Camp</v>
      </c>
      <c r="CH51" s="240" t="str">
        <f>VLOOKUP(WWWW[[#This Row],[Site Name]],SiteDB6[],12,FALSE)</f>
        <v>Camp</v>
      </c>
      <c r="CI51" s="240" t="str">
        <f>VLOOKUP(WWWW[[#This Row],[Site Name]],SiteDB6[],13,FALSE)</f>
        <v>GCA</v>
      </c>
      <c r="CJ51" s="240">
        <f>VLOOKUP(WWWW[[#This Row],[Site Name]],SiteDB6[],14,FALSE)</f>
        <v>25.305669999999999</v>
      </c>
      <c r="CK51" s="240">
        <f>VLOOKUP(WWWW[[#This Row],[Site Name]],SiteDB6[],15,FALSE)</f>
        <v>96.922619999999995</v>
      </c>
      <c r="CL51" s="240" t="str">
        <f>VLOOKUP(WWWW[[#This Row],[Site Name]],SiteDB6[],4,FALSE)</f>
        <v>MMR001CMP078</v>
      </c>
      <c r="CM51" s="235" t="str">
        <f t="shared" si="0"/>
        <v>Covered</v>
      </c>
      <c r="CN51" s="235"/>
    </row>
    <row r="52" spans="1:92" ht="15.75" customHeight="1" x14ac:dyDescent="0.25">
      <c r="A52" s="532" t="s">
        <v>1409</v>
      </c>
      <c r="B52" s="533" t="s">
        <v>451</v>
      </c>
      <c r="C52" s="533" t="s">
        <v>44</v>
      </c>
      <c r="D52" s="533" t="s">
        <v>45</v>
      </c>
      <c r="E52" s="533" t="s">
        <v>454</v>
      </c>
      <c r="F52" s="233">
        <v>567</v>
      </c>
      <c r="G52" s="414">
        <v>2478</v>
      </c>
      <c r="H52" s="233"/>
      <c r="I52" s="233" t="s">
        <v>452</v>
      </c>
      <c r="J52" s="234">
        <v>43100</v>
      </c>
      <c r="K52" s="233">
        <v>0</v>
      </c>
      <c r="L52" s="233" t="s">
        <v>296</v>
      </c>
      <c r="M52" s="235">
        <v>0</v>
      </c>
      <c r="N52" s="235">
        <v>0</v>
      </c>
      <c r="O52" s="609">
        <v>2</v>
      </c>
      <c r="P52" s="615">
        <v>0</v>
      </c>
      <c r="Q52" s="615">
        <v>0</v>
      </c>
      <c r="R52" s="604">
        <v>0</v>
      </c>
      <c r="S52" s="604">
        <v>0</v>
      </c>
      <c r="T52" s="604">
        <v>0</v>
      </c>
      <c r="U52" s="604">
        <v>0</v>
      </c>
      <c r="V52" s="604">
        <v>0</v>
      </c>
      <c r="W52" s="604">
        <v>0</v>
      </c>
      <c r="X52" s="604">
        <v>0</v>
      </c>
      <c r="Y52" s="604"/>
      <c r="Z52" s="628">
        <v>131</v>
      </c>
      <c r="AA52" s="628">
        <v>15</v>
      </c>
      <c r="AB52" s="629">
        <v>0</v>
      </c>
      <c r="AC52" s="628">
        <v>0</v>
      </c>
      <c r="AD52" s="628" t="s">
        <v>342</v>
      </c>
      <c r="AE52" s="631" t="s">
        <v>293</v>
      </c>
      <c r="AF52" s="631">
        <v>0</v>
      </c>
      <c r="AG52" s="628">
        <v>0</v>
      </c>
      <c r="AH52" s="628"/>
      <c r="AI52" s="659">
        <v>0</v>
      </c>
      <c r="AJ52" s="644" t="s">
        <v>301</v>
      </c>
      <c r="AK52" s="644">
        <v>0</v>
      </c>
      <c r="AL52" s="645">
        <v>3</v>
      </c>
      <c r="AM52" s="645"/>
      <c r="AN52" s="646">
        <v>510</v>
      </c>
      <c r="AO52" s="647">
        <v>0</v>
      </c>
      <c r="AP52" s="647" t="s">
        <v>292</v>
      </c>
      <c r="AQ52" s="658"/>
      <c r="AR52" s="235" t="str">
        <f>IFERROR(WWWW[[#This Row],['# of Water passed at source]]/WWWW[[#This Row],['# of Water tested at source]],"no test")</f>
        <v>no test</v>
      </c>
      <c r="AS52" s="237" t="str">
        <f>IFERROR(WWWW[[#This Row],['# of Water passed at HH]]/WWWW[[#This Row],['# of Water tested at HH]],"no test")</f>
        <v>no test</v>
      </c>
      <c r="AT52" s="237">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U52" s="237">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0.20177562550443906</v>
      </c>
      <c r="AV52" s="237">
        <f>IF(WWWW[[#This Row],[Location Type 1]]="Village",WWWW[[#This Row],[Access to safe drinking water for Village]],WWWW[[#This Row],[Access to safe drinking water for Camp]])</f>
        <v>1</v>
      </c>
      <c r="AW52" s="414">
        <f>WWWW[[#This Row],[%Equitable and continuous access to sufficient quantity of safe drinking water]]*WWWW[[#This Row],[Total PoP ]]</f>
        <v>2478</v>
      </c>
      <c r="AX52" s="237">
        <f>IF((WWWW[[#This Row],['# Existing protected/fenced ponds ]]*250)/WWWW[[#This Row],[Total PoP ]]&gt;1,1,WWWW[[#This Row],['# Existing protected/fenced ponds ]]*250/WWWW[[#This Row],[Total PoP ]])</f>
        <v>0</v>
      </c>
      <c r="AY52" s="414">
        <f>WWWW[[#This Row],[Access to unimproved water points]]*WWWW[[#This Row],[Total PoP ]]</f>
        <v>0</v>
      </c>
      <c r="AZ52" s="237">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A52" s="414">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2478</v>
      </c>
      <c r="BB52" s="414">
        <f>WWWW[[#This Row],['#people Equitable and continuous access to sufficient quantity of domestic water borehole n ponds_2]]/500</f>
        <v>4.9560000000000004</v>
      </c>
      <c r="BC52" s="235">
        <f>1-WWWW[[#This Row],[%Equitable and continuous access to sufficient quantity of domestic water borehole n ponds]]</f>
        <v>0</v>
      </c>
      <c r="BD52" s="414">
        <f>WWWW[[#This Row],[%equitable and continuous access to sufficient quantity of safe drinking and domestic water''s GAP]]*WWWW[[#This Row],[Total PoP ]]</f>
        <v>0</v>
      </c>
      <c r="BE52" s="238">
        <f>IF(WWWW[[#This Row],[Total required water points]]-WWWW[[#This Row],['#Water points coverage]]&lt;0,0,WWWW[[#This Row],[Total required water points]]-WWWW[[#This Row],['#Water points coverage]])</f>
        <v>4.3999999999999595E-2</v>
      </c>
      <c r="BF52" s="238">
        <f>ROUND(IF(WWWW[[#This Row],[Total PoP ]]&lt;500,1,WWWW[[#This Row],[Total PoP ]]/500),0)</f>
        <v>5</v>
      </c>
      <c r="BG52" s="238" t="str">
        <f>IF(AND(WWWW[[#This Row],[%of Water samples which passed at water source]]="no test",WWWW[[#This Row],[%Water samples which passed at HH]]="no test"),"No Test","Tested")</f>
        <v>No Test</v>
      </c>
      <c r="BH52" s="238">
        <f>WWWW[[#This Row],['# Existing functional latrines]]+WWWW[[#This Row],['# Existing latrines dysfunctional]]</f>
        <v>146</v>
      </c>
      <c r="BI52" s="235">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1</v>
      </c>
      <c r="BJ52" s="675">
        <f>WWWW[[#This Row],[% people access to functioning Latrine]]*WWWW[[#This Row],[Total PoP ]]</f>
        <v>2478</v>
      </c>
      <c r="BK52" s="235">
        <f>IF(WWWW[[#This Row],[Location Type 1]]="camp",WWWW[[#This Row],['# potential required new latrines]]/(WWWW[[#This Row],[Total PoP ]]/20),WWWW[[#This Row],['# potential required new latrines]]/(WWWW[[#This Row],[Total PoP ]]/6))</f>
        <v>0</v>
      </c>
      <c r="BL52" s="414">
        <f>IF(WWWW[[#This Row],[Total required Latrines]]-WWWW[[#This Row],[Total '# of latrine]]&lt;0,0,WWWW[[#This Row],[Total required Latrines]]-WWWW[[#This Row],[Total '# of latrine]])</f>
        <v>0</v>
      </c>
      <c r="BM52" s="238">
        <f>ROUND(IF(WWWW[[#This Row],[Location Type 1]]="camp",WWWW[[#This Row],[Total PoP ]]/20,WWWW[[#This Row],[Total PoP ]]/6),0)</f>
        <v>124</v>
      </c>
      <c r="BN52" s="239">
        <f>IF(OR(WWWW[[#This Row],['# Existing latrines dysfunctional]]="",WWWW[[#This Row],['# Existing latrines dysfunctional]]=0),0,WWWW[[#This Row],['# Existing latrines dysfunctional]]/WWWW[[#This Row],[Total '# of latrine]])</f>
        <v>0.10273972602739725</v>
      </c>
      <c r="BO52" s="675">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P52" s="235">
        <f>WWWW[[#This Row],[People adopt basic personal and community hygiene practices]]/WWWW[[#This Row],[Total PoP ]]</f>
        <v>0</v>
      </c>
      <c r="BQ52" s="239">
        <f>1-WWWW[[#This Row],[Hygiene Coverage%]]</f>
        <v>1</v>
      </c>
      <c r="BR52" s="414">
        <f>IF(500*WWWW[[#This Row],['# Hygiene Promoters ]]&gt;WWWW[[#This Row],[Total PoP ]],WWWW[[#This Row],[Total PoP ]],500*WWWW[[#This Row],['# Hygiene Promoters ]])</f>
        <v>0</v>
      </c>
      <c r="BS52" s="414">
        <f>IF(WWWW[[#This Row],[% of HH with access to Sanitary Pad]]&gt;=100%,1,0)</f>
        <v>0</v>
      </c>
      <c r="BT52" s="414">
        <f>IF(WWWW[[#This Row],[Total PoP ]]=0,0,IF(WWWW[[#This Row],['# Hygiene Promoters ]]=0,0,IF(WWWW[[#This Row],[Location Type 1]]="Village",IF(WWWW[[#This Row],[Total PoP ]]/WWWW[[#This Row],['# Hygiene Promoters ]]&lt;1000,1,0),IF(WWWW[[#This Row],[Total PoP ]]/WWWW[[#This Row],['# Hygiene Promoters ]]&lt;600,1,0))))</f>
        <v>0</v>
      </c>
      <c r="BU52" s="414">
        <f>IF(WWWW[[#This Row],[%HH with access to soap]]&gt;=100%,1,0)</f>
        <v>0</v>
      </c>
      <c r="BV52" s="414">
        <f>IF(WWWW[[#This Row],[% of HHs with access to Sanitary pad more than '#%]]+WWWW[[#This Row],[Ratio of Hyiene promoters to people less than '#]]+WWWW[[#This Row],[% of HHs with access to soap more than '#%]]&gt;=2,WWWW[[#This Row],[Total PoP ]],0)</f>
        <v>0</v>
      </c>
      <c r="BW52" s="346">
        <f>WWWW[[#This Row],['# people reached by regular dedicated hygiene promotion_5]]/WWWW[[#This Row],[Total PoP ]]</f>
        <v>0</v>
      </c>
      <c r="BX52" s="346">
        <f>IF(WWWW[[#This Row],['# HH received soaps]]/WWWW[[#This Row],[Total HH]]&gt;1,1,WWWW[[#This Row],['# HH received soaps]]/WWWW[[#This Row],[Total HH]])</f>
        <v>0.89947089947089942</v>
      </c>
      <c r="BY52" s="346">
        <f>IF(WWWW[[#This Row],['# HH received Sanitary Pads]]/WWWW[[#This Row],[Total HH]]&gt;1,1,WWWW[[#This Row],['# HH received Sanitary Pads]]/WWWW[[#This Row],[Total HH]])</f>
        <v>0</v>
      </c>
      <c r="BZ52" s="720">
        <f>WWWW[[#This Row],['# HH received soaps]]*5</f>
        <v>2550</v>
      </c>
      <c r="CA52" s="720">
        <f>WWWW[[#This Row],['# HH received Sanitary Pads]]*5</f>
        <v>0</v>
      </c>
      <c r="CB52" s="238">
        <f>IF(WWWW[[#This Row],['# People with access to soap]]&gt;WWWW[[#This Row],['# People with access to Sanity Pads]],WWWW[[#This Row],['# People with access to soap]],WWWW[[#This Row],['# People with access to Sanity Pads]])</f>
        <v>2550</v>
      </c>
      <c r="CC52" s="414">
        <f>WWWW[[#This Row],[Total HH]]*WWWW[[#This Row],[%HHs with access to functional hand washing stations]]</f>
        <v>0</v>
      </c>
      <c r="CD52" s="240" t="str">
        <f>VLOOKUP(WWWW[[#This Row],[Site Name]],SiteDB6[],8,FALSE)</f>
        <v>Yes</v>
      </c>
      <c r="CE52" s="240" t="str">
        <f>VLOOKUP(WWWW[[#This Row],[Site Name]],SiteDB6[],9,FALSE)</f>
        <v>KMSS-BMO</v>
      </c>
      <c r="CF52" s="240" t="str">
        <f>VLOOKUP(WWWW[[#This Row],[Site Name]],SiteDB6[],10,FALSE)</f>
        <v>Camp</v>
      </c>
      <c r="CG52" s="240" t="str">
        <f>VLOOKUP(WWWW[[#This Row],[Site Name]],SiteDB6[],11,FALSE)</f>
        <v>Camp</v>
      </c>
      <c r="CH52" s="240" t="str">
        <f>VLOOKUP(WWWW[[#This Row],[Site Name]],SiteDB6[],12,FALSE)</f>
        <v>Camp</v>
      </c>
      <c r="CI52" s="240" t="str">
        <f>VLOOKUP(WWWW[[#This Row],[Site Name]],SiteDB6[],13,FALSE)</f>
        <v>NGCA</v>
      </c>
      <c r="CJ52" s="240">
        <f>VLOOKUP(WWWW[[#This Row],[Site Name]],SiteDB6[],14,FALSE)</f>
        <v>24.056132999999999</v>
      </c>
      <c r="CK52" s="240">
        <f>VLOOKUP(WWWW[[#This Row],[Site Name]],SiteDB6[],15,FALSE)</f>
        <v>97.625617000000005</v>
      </c>
      <c r="CL52" s="240" t="str">
        <f>VLOOKUP(WWWW[[#This Row],[Site Name]],SiteDB6[],4,FALSE)</f>
        <v>MMR001CMP128</v>
      </c>
      <c r="CM52" s="235" t="str">
        <f t="shared" si="0"/>
        <v>Covered</v>
      </c>
      <c r="CN52" s="235"/>
    </row>
    <row r="53" spans="1:92" ht="15.75" customHeight="1" x14ac:dyDescent="0.25">
      <c r="A53" s="232" t="s">
        <v>1409</v>
      </c>
      <c r="B53" s="533" t="s">
        <v>399</v>
      </c>
      <c r="C53" s="533" t="s">
        <v>44</v>
      </c>
      <c r="D53" s="533" t="s">
        <v>304</v>
      </c>
      <c r="E53" s="530" t="s">
        <v>400</v>
      </c>
      <c r="F53" s="233">
        <v>123</v>
      </c>
      <c r="G53" s="414">
        <v>656</v>
      </c>
      <c r="H53" s="233"/>
      <c r="I53" s="233" t="s">
        <v>401</v>
      </c>
      <c r="J53" s="234">
        <v>42947</v>
      </c>
      <c r="K53" s="233">
        <v>0</v>
      </c>
      <c r="L53" s="233" t="s">
        <v>48</v>
      </c>
      <c r="M53" s="235">
        <v>0.4</v>
      </c>
      <c r="N53" s="235">
        <v>0</v>
      </c>
      <c r="O53" s="609">
        <v>1</v>
      </c>
      <c r="P53" s="615">
        <v>1</v>
      </c>
      <c r="Q53" s="615">
        <v>1500</v>
      </c>
      <c r="R53" s="604"/>
      <c r="S53" s="604">
        <v>2</v>
      </c>
      <c r="T53" s="604">
        <v>0</v>
      </c>
      <c r="U53" s="604">
        <v>0</v>
      </c>
      <c r="V53" s="604">
        <v>0</v>
      </c>
      <c r="W53" s="604">
        <v>0</v>
      </c>
      <c r="X53" s="604">
        <v>0</v>
      </c>
      <c r="Y53" s="604"/>
      <c r="Z53" s="628">
        <v>28</v>
      </c>
      <c r="AA53" s="628">
        <v>10</v>
      </c>
      <c r="AB53" s="629">
        <v>10</v>
      </c>
      <c r="AC53" s="628">
        <v>28</v>
      </c>
      <c r="AD53" s="628" t="s">
        <v>293</v>
      </c>
      <c r="AE53" s="631" t="s">
        <v>293</v>
      </c>
      <c r="AF53" s="631">
        <v>0</v>
      </c>
      <c r="AG53" s="628">
        <v>0</v>
      </c>
      <c r="AH53" s="628"/>
      <c r="AI53" s="659">
        <v>0.4</v>
      </c>
      <c r="AJ53" s="650" t="s">
        <v>386</v>
      </c>
      <c r="AK53" s="644">
        <v>0</v>
      </c>
      <c r="AL53" s="645">
        <v>4</v>
      </c>
      <c r="AM53" s="645">
        <v>0</v>
      </c>
      <c r="AN53" s="647">
        <v>0</v>
      </c>
      <c r="AO53" s="647">
        <v>0</v>
      </c>
      <c r="AP53" s="647"/>
      <c r="AQ53" s="658"/>
      <c r="AR53" s="235" t="str">
        <f>IFERROR(WWWW[[#This Row],['# of Water passed at source]]/WWWW[[#This Row],['# of Water tested at source]],"no test")</f>
        <v>no test</v>
      </c>
      <c r="AS53" s="237" t="str">
        <f>IFERROR(WWWW[[#This Row],['# of Water passed at HH]]/WWWW[[#This Row],['# of Water tested at HH]],"no test")</f>
        <v>no test</v>
      </c>
      <c r="AT53" s="237">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U53" s="237">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0.91463414634146345</v>
      </c>
      <c r="AV53" s="237">
        <f>IF(WWWW[[#This Row],[Location Type 1]]="Village",WWWW[[#This Row],[Access to safe drinking water for Village]],WWWW[[#This Row],[Access to safe drinking water for Camp]])</f>
        <v>1</v>
      </c>
      <c r="AW53" s="414">
        <f>WWWW[[#This Row],[%Equitable and continuous access to sufficient quantity of safe drinking water]]*WWWW[[#This Row],[Total PoP ]]</f>
        <v>656</v>
      </c>
      <c r="AX53" s="237">
        <f>IF((WWWW[[#This Row],['# Existing protected/fenced ponds ]]*250)/WWWW[[#This Row],[Total PoP ]]&gt;1,1,WWWW[[#This Row],['# Existing protected/fenced ponds ]]*250/WWWW[[#This Row],[Total PoP ]])</f>
        <v>0</v>
      </c>
      <c r="AY53" s="414">
        <f>WWWW[[#This Row],[Access to unimproved water points]]*WWWW[[#This Row],[Total PoP ]]</f>
        <v>0</v>
      </c>
      <c r="AZ53" s="237">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A53" s="414">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656</v>
      </c>
      <c r="BB53" s="414">
        <f>WWWW[[#This Row],['#people Equitable and continuous access to sufficient quantity of domestic water borehole n ponds_2]]/500</f>
        <v>1.3120000000000001</v>
      </c>
      <c r="BC53" s="235">
        <f>1-WWWW[[#This Row],[%Equitable and continuous access to sufficient quantity of domestic water borehole n ponds]]</f>
        <v>0</v>
      </c>
      <c r="BD53" s="414">
        <f>WWWW[[#This Row],[%equitable and continuous access to sufficient quantity of safe drinking and domestic water''s GAP]]*WWWW[[#This Row],[Total PoP ]]</f>
        <v>0</v>
      </c>
      <c r="BE53" s="238">
        <f>IF(WWWW[[#This Row],[Total required water points]]-WWWW[[#This Row],['#Water points coverage]]&lt;0,0,WWWW[[#This Row],[Total required water points]]-WWWW[[#This Row],['#Water points coverage]])</f>
        <v>0</v>
      </c>
      <c r="BF53" s="238">
        <f>ROUND(IF(WWWW[[#This Row],[Total PoP ]]&lt;500,1,WWWW[[#This Row],[Total PoP ]]/500),0)</f>
        <v>1</v>
      </c>
      <c r="BG53" s="238" t="str">
        <f>IF(AND(WWWW[[#This Row],[%of Water samples which passed at water source]]="no test",WWWW[[#This Row],[%Water samples which passed at HH]]="no test"),"No Test","Tested")</f>
        <v>No Test</v>
      </c>
      <c r="BH53" s="238">
        <f>WWWW[[#This Row],['# Existing functional latrines]]+WWWW[[#This Row],['# Existing latrines dysfunctional]]</f>
        <v>38</v>
      </c>
      <c r="BI53" s="235">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0.85365853658536583</v>
      </c>
      <c r="BJ53" s="675">
        <f>WWWW[[#This Row],[% people access to functioning Latrine]]*WWWW[[#This Row],[Total PoP ]]</f>
        <v>560</v>
      </c>
      <c r="BK53" s="235">
        <f>IF(WWWW[[#This Row],[Location Type 1]]="camp",WWWW[[#This Row],['# potential required new latrines]]/(WWWW[[#This Row],[Total PoP ]]/20),WWWW[[#This Row],['# potential required new latrines]]/(WWWW[[#This Row],[Total PoP ]]/6))</f>
        <v>0</v>
      </c>
      <c r="BL53" s="414">
        <f>IF(WWWW[[#This Row],[Total required Latrines]]-WWWW[[#This Row],[Total '# of latrine]]&lt;0,0,WWWW[[#This Row],[Total required Latrines]]-WWWW[[#This Row],[Total '# of latrine]])</f>
        <v>0</v>
      </c>
      <c r="BM53" s="238">
        <f>ROUND(IF(WWWW[[#This Row],[Location Type 1]]="camp",WWWW[[#This Row],[Total PoP ]]/20,WWWW[[#This Row],[Total PoP ]]/6),0)</f>
        <v>33</v>
      </c>
      <c r="BN53" s="239">
        <f>IF(OR(WWWW[[#This Row],['# Existing latrines dysfunctional]]="",WWWW[[#This Row],['# Existing latrines dysfunctional]]=0),0,WWWW[[#This Row],['# Existing latrines dysfunctional]]/WWWW[[#This Row],[Total '# of latrine]])</f>
        <v>0.26315789473684209</v>
      </c>
      <c r="BO53" s="675">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200</v>
      </c>
      <c r="BP53" s="235">
        <f>WWWW[[#This Row],[People adopt basic personal and community hygiene practices]]/WWWW[[#This Row],[Total PoP ]]</f>
        <v>0</v>
      </c>
      <c r="BQ53" s="239">
        <f>1-WWWW[[#This Row],[Hygiene Coverage%]]</f>
        <v>1</v>
      </c>
      <c r="BR53" s="414">
        <f>IF(500*WWWW[[#This Row],['# Hygiene Promoters ]]&gt;WWWW[[#This Row],[Total PoP ]],WWWW[[#This Row],[Total PoP ]],500*WWWW[[#This Row],['# Hygiene Promoters ]])</f>
        <v>0</v>
      </c>
      <c r="BS53" s="414">
        <f>IF(WWWW[[#This Row],[% of HH with access to Sanitary Pad]]&gt;=100%,1,0)</f>
        <v>0</v>
      </c>
      <c r="BT53" s="414">
        <f>IF(WWWW[[#This Row],[Total PoP ]]=0,0,IF(WWWW[[#This Row],['# Hygiene Promoters ]]=0,0,IF(WWWW[[#This Row],[Location Type 1]]="Village",IF(WWWW[[#This Row],[Total PoP ]]/WWWW[[#This Row],['# Hygiene Promoters ]]&lt;1000,1,0),IF(WWWW[[#This Row],[Total PoP ]]/WWWW[[#This Row],['# Hygiene Promoters ]]&lt;600,1,0))))</f>
        <v>0</v>
      </c>
      <c r="BU53" s="414">
        <f>IF(WWWW[[#This Row],[%HH with access to soap]]&gt;=100%,1,0)</f>
        <v>0</v>
      </c>
      <c r="BV53" s="414">
        <f>IF(WWWW[[#This Row],[% of HHs with access to Sanitary pad more than '#%]]+WWWW[[#This Row],[Ratio of Hyiene promoters to people less than '#]]+WWWW[[#This Row],[% of HHs with access to soap more than '#%]]&gt;=2,WWWW[[#This Row],[Total PoP ]],0)</f>
        <v>0</v>
      </c>
      <c r="BW53" s="346">
        <f>WWWW[[#This Row],['# people reached by regular dedicated hygiene promotion_5]]/WWWW[[#This Row],[Total PoP ]]</f>
        <v>0</v>
      </c>
      <c r="BX53" s="346">
        <f>IF(WWWW[[#This Row],['# HH received soaps]]/WWWW[[#This Row],[Total HH]]&gt;1,1,WWWW[[#This Row],['# HH received soaps]]/WWWW[[#This Row],[Total HH]])</f>
        <v>0</v>
      </c>
      <c r="BY53" s="346">
        <f>IF(WWWW[[#This Row],['# HH received Sanitary Pads]]/WWWW[[#This Row],[Total HH]]&gt;1,1,WWWW[[#This Row],['# HH received Sanitary Pads]]/WWWW[[#This Row],[Total HH]])</f>
        <v>0</v>
      </c>
      <c r="BZ53" s="720">
        <f>WWWW[[#This Row],['# HH received soaps]]*5</f>
        <v>0</v>
      </c>
      <c r="CA53" s="720">
        <f>WWWW[[#This Row],['# HH received Sanitary Pads]]*5</f>
        <v>0</v>
      </c>
      <c r="CB53" s="238">
        <f>IF(WWWW[[#This Row],['# People with access to soap]]&gt;WWWW[[#This Row],['# People with access to Sanity Pads]],WWWW[[#This Row],['# People with access to soap]],WWWW[[#This Row],['# People with access to Sanity Pads]])</f>
        <v>0</v>
      </c>
      <c r="CC53" s="414">
        <f>WWWW[[#This Row],[Total HH]]*WWWW[[#This Row],[%HHs with access to functional hand washing stations]]</f>
        <v>49.2</v>
      </c>
      <c r="CD53" s="240" t="str">
        <f>VLOOKUP(WWWW[[#This Row],[Site Name]],SiteDB6[],8,FALSE)</f>
        <v>Yes</v>
      </c>
      <c r="CE53" s="240" t="str">
        <f>VLOOKUP(WWWW[[#This Row],[Site Name]],SiteDB6[],9,FALSE)</f>
        <v>KBC</v>
      </c>
      <c r="CF53" s="240" t="str">
        <f>VLOOKUP(WWWW[[#This Row],[Site Name]],SiteDB6[],10,FALSE)</f>
        <v>Camp</v>
      </c>
      <c r="CG53" s="240" t="str">
        <f>VLOOKUP(WWWW[[#This Row],[Site Name]],SiteDB6[],11,FALSE)</f>
        <v>Camp</v>
      </c>
      <c r="CH53" s="240" t="str">
        <f>VLOOKUP(WWWW[[#This Row],[Site Name]],SiteDB6[],12,FALSE)</f>
        <v>camp</v>
      </c>
      <c r="CI53" s="240" t="str">
        <f>VLOOKUP(WWWW[[#This Row],[Site Name]],SiteDB6[],13,FALSE)</f>
        <v>GCA</v>
      </c>
      <c r="CJ53" s="240">
        <f>VLOOKUP(WWWW[[#This Row],[Site Name]],SiteDB6[],14,FALSE)</f>
        <v>0</v>
      </c>
      <c r="CK53" s="240">
        <f>VLOOKUP(WWWW[[#This Row],[Site Name]],SiteDB6[],15,FALSE)</f>
        <v>0</v>
      </c>
      <c r="CL53" s="240" t="str">
        <f>VLOOKUP(WWWW[[#This Row],[Site Name]],SiteDB6[],4,FALSE)</f>
        <v>MMR001CMP250</v>
      </c>
      <c r="CM53" s="235" t="str">
        <f t="shared" si="0"/>
        <v>Covered</v>
      </c>
      <c r="CN53" s="235"/>
    </row>
    <row r="54" spans="1:92" ht="15.75" customHeight="1" x14ac:dyDescent="0.25">
      <c r="A54" s="532" t="s">
        <v>1409</v>
      </c>
      <c r="B54" s="533" t="s">
        <v>297</v>
      </c>
      <c r="C54" s="533" t="s">
        <v>44</v>
      </c>
      <c r="D54" s="533" t="s">
        <v>315</v>
      </c>
      <c r="E54" s="533" t="s">
        <v>319</v>
      </c>
      <c r="F54" s="233">
        <v>105</v>
      </c>
      <c r="G54" s="414">
        <v>578</v>
      </c>
      <c r="H54" s="387"/>
      <c r="I54" s="233" t="s">
        <v>300</v>
      </c>
      <c r="J54" s="234">
        <v>43555</v>
      </c>
      <c r="K54" s="233">
        <v>0</v>
      </c>
      <c r="L54" s="233" t="s">
        <v>48</v>
      </c>
      <c r="M54" s="235">
        <v>0.6</v>
      </c>
      <c r="N54" s="235">
        <v>0.5</v>
      </c>
      <c r="O54" s="609">
        <v>1</v>
      </c>
      <c r="P54" s="615">
        <v>1</v>
      </c>
      <c r="Q54" s="615">
        <v>4000</v>
      </c>
      <c r="R54" s="604">
        <v>0</v>
      </c>
      <c r="S54" s="604">
        <v>0</v>
      </c>
      <c r="T54" s="604">
        <v>0</v>
      </c>
      <c r="U54" s="604">
        <v>0</v>
      </c>
      <c r="V54" s="604">
        <v>0</v>
      </c>
      <c r="W54" s="604">
        <v>0</v>
      </c>
      <c r="X54" s="604">
        <v>0</v>
      </c>
      <c r="Y54" s="604"/>
      <c r="Z54" s="628">
        <v>8</v>
      </c>
      <c r="AA54" s="628">
        <v>0</v>
      </c>
      <c r="AB54" s="629">
        <v>0</v>
      </c>
      <c r="AC54" s="628">
        <v>0</v>
      </c>
      <c r="AD54" s="628" t="s">
        <v>293</v>
      </c>
      <c r="AE54" s="631" t="s">
        <v>293</v>
      </c>
      <c r="AF54" s="631"/>
      <c r="AG54" s="628"/>
      <c r="AH54" s="628"/>
      <c r="AI54" s="659">
        <v>0.6</v>
      </c>
      <c r="AJ54" s="650" t="s">
        <v>386</v>
      </c>
      <c r="AK54" s="644">
        <v>0</v>
      </c>
      <c r="AL54" s="645">
        <v>2</v>
      </c>
      <c r="AM54" s="645">
        <v>1</v>
      </c>
      <c r="AN54" s="646">
        <v>0</v>
      </c>
      <c r="AO54" s="647">
        <v>0</v>
      </c>
      <c r="AP54" s="647"/>
      <c r="AQ54" s="658"/>
      <c r="AR54" s="235" t="str">
        <f>IFERROR(WWWW[[#This Row],['# of Water passed at source]]/WWWW[[#This Row],['# of Water tested at source]],"no test")</f>
        <v>no test</v>
      </c>
      <c r="AS54" s="237" t="str">
        <f>IFERROR(WWWW[[#This Row],['# of Water passed at HH]]/WWWW[[#This Row],['# of Water tested at HH]],"no test")</f>
        <v>no test</v>
      </c>
      <c r="AT54" s="237">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U54" s="237">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AV54" s="237">
        <f>IF(WWWW[[#This Row],[Location Type 1]]="Village",WWWW[[#This Row],[Access to safe drinking water for Village]],WWWW[[#This Row],[Access to safe drinking water for Camp]])</f>
        <v>1</v>
      </c>
      <c r="AW54" s="414">
        <f>WWWW[[#This Row],[%Equitable and continuous access to sufficient quantity of safe drinking water]]*WWWW[[#This Row],[Total PoP ]]</f>
        <v>578</v>
      </c>
      <c r="AX54" s="237">
        <f>IF((WWWW[[#This Row],['# Existing protected/fenced ponds ]]*250)/WWWW[[#This Row],[Total PoP ]]&gt;1,1,WWWW[[#This Row],['# Existing protected/fenced ponds ]]*250/WWWW[[#This Row],[Total PoP ]])</f>
        <v>0</v>
      </c>
      <c r="AY54" s="414">
        <f>WWWW[[#This Row],[Access to unimproved water points]]*WWWW[[#This Row],[Total PoP ]]</f>
        <v>0</v>
      </c>
      <c r="AZ54" s="237">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A54" s="414">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578</v>
      </c>
      <c r="BB54" s="414">
        <f>WWWW[[#This Row],['#people Equitable and continuous access to sufficient quantity of domestic water borehole n ponds_2]]/500</f>
        <v>1.1559999999999999</v>
      </c>
      <c r="BC54" s="235">
        <f>1-WWWW[[#This Row],[%Equitable and continuous access to sufficient quantity of domestic water borehole n ponds]]</f>
        <v>0</v>
      </c>
      <c r="BD54" s="414">
        <f>WWWW[[#This Row],[%equitable and continuous access to sufficient quantity of safe drinking and domestic water''s GAP]]*WWWW[[#This Row],[Total PoP ]]</f>
        <v>0</v>
      </c>
      <c r="BE54" s="238">
        <f>IF(WWWW[[#This Row],[Total required water points]]-WWWW[[#This Row],['#Water points coverage]]&lt;0,0,WWWW[[#This Row],[Total required water points]]-WWWW[[#This Row],['#Water points coverage]])</f>
        <v>0</v>
      </c>
      <c r="BF54" s="238">
        <f>ROUND(IF(WWWW[[#This Row],[Total PoP ]]&lt;500,1,WWWW[[#This Row],[Total PoP ]]/500),0)</f>
        <v>1</v>
      </c>
      <c r="BG54" s="238" t="str">
        <f>IF(AND(WWWW[[#This Row],[%of Water samples which passed at water source]]="no test",WWWW[[#This Row],[%Water samples which passed at HH]]="no test"),"No Test","Tested")</f>
        <v>No Test</v>
      </c>
      <c r="BH54" s="238">
        <f>WWWW[[#This Row],['# Existing functional latrines]]+WWWW[[#This Row],['# Existing latrines dysfunctional]]</f>
        <v>8</v>
      </c>
      <c r="BI54" s="235">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0.27681660899653981</v>
      </c>
      <c r="BJ54" s="675">
        <f>WWWW[[#This Row],[% people access to functioning Latrine]]*WWWW[[#This Row],[Total PoP ]]</f>
        <v>160</v>
      </c>
      <c r="BK54" s="235">
        <f>IF(WWWW[[#This Row],[Location Type 1]]="camp",WWWW[[#This Row],['# potential required new latrines]]/(WWWW[[#This Row],[Total PoP ]]/20),WWWW[[#This Row],['# potential required new latrines]]/(WWWW[[#This Row],[Total PoP ]]/6))</f>
        <v>0.72664359861591699</v>
      </c>
      <c r="BL54" s="414">
        <f>IF(WWWW[[#This Row],[Total required Latrines]]-WWWW[[#This Row],[Total '# of latrine]]&lt;0,0,WWWW[[#This Row],[Total required Latrines]]-WWWW[[#This Row],[Total '# of latrine]])</f>
        <v>21</v>
      </c>
      <c r="BM54" s="238">
        <f>ROUND(IF(WWWW[[#This Row],[Location Type 1]]="camp",WWWW[[#This Row],[Total PoP ]]/20,WWWW[[#This Row],[Total PoP ]]/6),0)</f>
        <v>29</v>
      </c>
      <c r="BN54" s="239">
        <f>IF(OR(WWWW[[#This Row],['# Existing latrines dysfunctional]]="",WWWW[[#This Row],['# Existing latrines dysfunctional]]=0),0,WWWW[[#This Row],['# Existing latrines dysfunctional]]/WWWW[[#This Row],[Total '# of latrine]])</f>
        <v>0</v>
      </c>
      <c r="BO54" s="675">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P54" s="235">
        <f>WWWW[[#This Row],[People adopt basic personal and community hygiene practices]]/WWWW[[#This Row],[Total PoP ]]</f>
        <v>0</v>
      </c>
      <c r="BQ54" s="239">
        <f>1-WWWW[[#This Row],[Hygiene Coverage%]]</f>
        <v>1</v>
      </c>
      <c r="BR54" s="414">
        <f>IF(500*WWWW[[#This Row],['# Hygiene Promoters ]]&gt;WWWW[[#This Row],[Total PoP ]],WWWW[[#This Row],[Total PoP ]],500*WWWW[[#This Row],['# Hygiene Promoters ]])</f>
        <v>500</v>
      </c>
      <c r="BS54" s="414">
        <f>IF(WWWW[[#This Row],[% of HH with access to Sanitary Pad]]&gt;=100%,1,0)</f>
        <v>0</v>
      </c>
      <c r="BT54" s="414">
        <f>IF(WWWW[[#This Row],[Total PoP ]]=0,0,IF(WWWW[[#This Row],['# Hygiene Promoters ]]=0,0,IF(WWWW[[#This Row],[Location Type 1]]="Village",IF(WWWW[[#This Row],[Total PoP ]]/WWWW[[#This Row],['# Hygiene Promoters ]]&lt;1000,1,0),IF(WWWW[[#This Row],[Total PoP ]]/WWWW[[#This Row],['# Hygiene Promoters ]]&lt;600,1,0))))</f>
        <v>1</v>
      </c>
      <c r="BU54" s="414">
        <f>IF(WWWW[[#This Row],[%HH with access to soap]]&gt;=100%,1,0)</f>
        <v>0</v>
      </c>
      <c r="BV54" s="414">
        <f>IF(WWWW[[#This Row],[% of HHs with access to Sanitary pad more than '#%]]+WWWW[[#This Row],[Ratio of Hyiene promoters to people less than '#]]+WWWW[[#This Row],[% of HHs with access to soap more than '#%]]&gt;=2,WWWW[[#This Row],[Total PoP ]],0)</f>
        <v>0</v>
      </c>
      <c r="BW54" s="346">
        <f>WWWW[[#This Row],['# people reached by regular dedicated hygiene promotion_5]]/WWWW[[#This Row],[Total PoP ]]</f>
        <v>0.86505190311418689</v>
      </c>
      <c r="BX54" s="346">
        <f>IF(WWWW[[#This Row],['# HH received soaps]]/WWWW[[#This Row],[Total HH]]&gt;1,1,WWWW[[#This Row],['# HH received soaps]]/WWWW[[#This Row],[Total HH]])</f>
        <v>0</v>
      </c>
      <c r="BY54" s="346">
        <f>IF(WWWW[[#This Row],['# HH received Sanitary Pads]]/WWWW[[#This Row],[Total HH]]&gt;1,1,WWWW[[#This Row],['# HH received Sanitary Pads]]/WWWW[[#This Row],[Total HH]])</f>
        <v>0</v>
      </c>
      <c r="BZ54" s="720">
        <f>WWWW[[#This Row],['# HH received soaps]]*5</f>
        <v>0</v>
      </c>
      <c r="CA54" s="720">
        <f>WWWW[[#This Row],['# HH received Sanitary Pads]]*5</f>
        <v>0</v>
      </c>
      <c r="CB54" s="238">
        <f>IF(WWWW[[#This Row],['# People with access to soap]]&gt;WWWW[[#This Row],['# People with access to Sanity Pads]],WWWW[[#This Row],['# People with access to soap]],WWWW[[#This Row],['# People with access to Sanity Pads]])</f>
        <v>0</v>
      </c>
      <c r="CC54" s="414">
        <f>WWWW[[#This Row],[Total HH]]*WWWW[[#This Row],[%HHs with access to functional hand washing stations]]</f>
        <v>63</v>
      </c>
      <c r="CD54" s="240" t="str">
        <f>VLOOKUP(WWWW[[#This Row],[Site Name]],SiteDB6[],8,FALSE)</f>
        <v>Yes</v>
      </c>
      <c r="CE54" s="240" t="str">
        <f>VLOOKUP(WWWW[[#This Row],[Site Name]],SiteDB6[],9,FALSE)</f>
        <v>KBC</v>
      </c>
      <c r="CF54" s="240" t="str">
        <f>VLOOKUP(WWWW[[#This Row],[Site Name]],SiteDB6[],10,FALSE)</f>
        <v>Camp</v>
      </c>
      <c r="CG54" s="240" t="str">
        <f>VLOOKUP(WWWW[[#This Row],[Site Name]],SiteDB6[],11,FALSE)</f>
        <v>Camp</v>
      </c>
      <c r="CH54" s="240" t="str">
        <f>VLOOKUP(WWWW[[#This Row],[Site Name]],SiteDB6[],12,FALSE)</f>
        <v>Camp</v>
      </c>
      <c r="CI54" s="240" t="str">
        <f>VLOOKUP(WWWW[[#This Row],[Site Name]],SiteDB6[],13,FALSE)</f>
        <v>GCA</v>
      </c>
      <c r="CJ54" s="240">
        <f>VLOOKUP(WWWW[[#This Row],[Site Name]],SiteDB6[],14,FALSE)</f>
        <v>25.362420757575801</v>
      </c>
      <c r="CK54" s="240">
        <f>VLOOKUP(WWWW[[#This Row],[Site Name]],SiteDB6[],15,FALSE)</f>
        <v>97.409035000000003</v>
      </c>
      <c r="CL54" s="240" t="str">
        <f>VLOOKUP(WWWW[[#This Row],[Site Name]],SiteDB6[],4,FALSE)</f>
        <v>MMR001CMP015</v>
      </c>
      <c r="CM54" s="235" t="str">
        <f t="shared" si="0"/>
        <v>Covered</v>
      </c>
      <c r="CN54" s="235"/>
    </row>
    <row r="55" spans="1:92" ht="15.75" customHeight="1" x14ac:dyDescent="0.25">
      <c r="A55" s="532" t="s">
        <v>1409</v>
      </c>
      <c r="B55" s="533" t="s">
        <v>297</v>
      </c>
      <c r="C55" s="533" t="s">
        <v>44</v>
      </c>
      <c r="D55" s="533" t="s">
        <v>315</v>
      </c>
      <c r="E55" s="533" t="s">
        <v>320</v>
      </c>
      <c r="F55" s="233">
        <v>138</v>
      </c>
      <c r="G55" s="414">
        <v>697</v>
      </c>
      <c r="H55" s="387"/>
      <c r="I55" s="387" t="s">
        <v>300</v>
      </c>
      <c r="J55" s="234">
        <v>43555</v>
      </c>
      <c r="K55" s="233">
        <v>0</v>
      </c>
      <c r="L55" s="233" t="s">
        <v>48</v>
      </c>
      <c r="M55" s="235">
        <v>0.6</v>
      </c>
      <c r="N55" s="235">
        <v>0.5</v>
      </c>
      <c r="O55" s="609">
        <v>0</v>
      </c>
      <c r="P55" s="615">
        <v>2</v>
      </c>
      <c r="Q55" s="615">
        <v>2000</v>
      </c>
      <c r="R55" s="604">
        <v>0</v>
      </c>
      <c r="S55" s="604">
        <v>0</v>
      </c>
      <c r="T55" s="604">
        <v>0</v>
      </c>
      <c r="U55" s="604">
        <v>0</v>
      </c>
      <c r="V55" s="604">
        <v>0</v>
      </c>
      <c r="W55" s="604">
        <v>0</v>
      </c>
      <c r="X55" s="604">
        <v>0</v>
      </c>
      <c r="Y55" s="604"/>
      <c r="Z55" s="628">
        <v>32</v>
      </c>
      <c r="AA55" s="628">
        <v>0</v>
      </c>
      <c r="AB55" s="629">
        <v>0</v>
      </c>
      <c r="AC55" s="628">
        <v>0</v>
      </c>
      <c r="AD55" s="628" t="s">
        <v>293</v>
      </c>
      <c r="AE55" s="631" t="s">
        <v>293</v>
      </c>
      <c r="AF55" s="631"/>
      <c r="AG55" s="628"/>
      <c r="AH55" s="628"/>
      <c r="AI55" s="659">
        <v>0.6</v>
      </c>
      <c r="AJ55" s="650" t="s">
        <v>386</v>
      </c>
      <c r="AK55" s="644">
        <v>0</v>
      </c>
      <c r="AL55" s="645">
        <v>2</v>
      </c>
      <c r="AM55" s="645">
        <v>1</v>
      </c>
      <c r="AN55" s="646">
        <v>0</v>
      </c>
      <c r="AO55" s="647">
        <v>0</v>
      </c>
      <c r="AP55" s="647"/>
      <c r="AQ55" s="658"/>
      <c r="AR55" s="235" t="str">
        <f>IFERROR(WWWW[[#This Row],['# of Water passed at source]]/WWWW[[#This Row],['# of Water tested at source]],"no test")</f>
        <v>no test</v>
      </c>
      <c r="AS55" s="237" t="str">
        <f>IFERROR(WWWW[[#This Row],['# of Water passed at HH]]/WWWW[[#This Row],['# of Water tested at HH]],"no test")</f>
        <v>no test</v>
      </c>
      <c r="AT55" s="237">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U55" s="237">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0.90865614538498329</v>
      </c>
      <c r="AV55" s="237">
        <f>IF(WWWW[[#This Row],[Location Type 1]]="Village",WWWW[[#This Row],[Access to safe drinking water for Village]],WWWW[[#This Row],[Access to safe drinking water for Camp]])</f>
        <v>1</v>
      </c>
      <c r="AW55" s="414">
        <f>WWWW[[#This Row],[%Equitable and continuous access to sufficient quantity of safe drinking water]]*WWWW[[#This Row],[Total PoP ]]</f>
        <v>697</v>
      </c>
      <c r="AX55" s="237">
        <f>IF((WWWW[[#This Row],['# Existing protected/fenced ponds ]]*250)/WWWW[[#This Row],[Total PoP ]]&gt;1,1,WWWW[[#This Row],['# Existing protected/fenced ponds ]]*250/WWWW[[#This Row],[Total PoP ]])</f>
        <v>0</v>
      </c>
      <c r="AY55" s="236">
        <f>WWWW[[#This Row],[Access to unimproved water points]]*WWWW[[#This Row],[Total PoP ]]</f>
        <v>0</v>
      </c>
      <c r="AZ55" s="237">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A55" s="414">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697</v>
      </c>
      <c r="BB55" s="414">
        <f>WWWW[[#This Row],['#people Equitable and continuous access to sufficient quantity of domestic water borehole n ponds_2]]/500</f>
        <v>1.3939999999999999</v>
      </c>
      <c r="BC55" s="235">
        <f>1-WWWW[[#This Row],[%Equitable and continuous access to sufficient quantity of domestic water borehole n ponds]]</f>
        <v>0</v>
      </c>
      <c r="BD55" s="236">
        <f>WWWW[[#This Row],[%equitable and continuous access to sufficient quantity of safe drinking and domestic water''s GAP]]*WWWW[[#This Row],[Total PoP ]]</f>
        <v>0</v>
      </c>
      <c r="BE55" s="238">
        <f>IF(WWWW[[#This Row],[Total required water points]]-WWWW[[#This Row],['#Water points coverage]]&lt;0,0,WWWW[[#This Row],[Total required water points]]-WWWW[[#This Row],['#Water points coverage]])</f>
        <v>0</v>
      </c>
      <c r="BF55" s="238">
        <f>ROUND(IF(WWWW[[#This Row],[Total PoP ]]&lt;500,1,WWWW[[#This Row],[Total PoP ]]/500),0)</f>
        <v>1</v>
      </c>
      <c r="BG55" s="238" t="str">
        <f>IF(AND(WWWW[[#This Row],[%of Water samples which passed at water source]]="no test",WWWW[[#This Row],[%Water samples which passed at HH]]="no test"),"No Test","Tested")</f>
        <v>No Test</v>
      </c>
      <c r="BH55" s="238">
        <f>WWWW[[#This Row],['# Existing functional latrines]]+WWWW[[#This Row],['# Existing latrines dysfunctional]]</f>
        <v>32</v>
      </c>
      <c r="BI55" s="235">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0.9182209469153515</v>
      </c>
      <c r="BJ55" s="675">
        <f>WWWW[[#This Row],[% people access to functioning Latrine]]*WWWW[[#This Row],[Total PoP ]]</f>
        <v>640</v>
      </c>
      <c r="BK55" s="235">
        <f>IF(WWWW[[#This Row],[Location Type 1]]="camp",WWWW[[#This Row],['# potential required new latrines]]/(WWWW[[#This Row],[Total PoP ]]/20),WWWW[[#This Row],['# potential required new latrines]]/(WWWW[[#This Row],[Total PoP ]]/6))</f>
        <v>8.6083213773314196E-2</v>
      </c>
      <c r="BL55" s="236">
        <f>IF(WWWW[[#This Row],[Total required Latrines]]-WWWW[[#This Row],[Total '# of latrine]]&lt;0,0,WWWW[[#This Row],[Total required Latrines]]-WWWW[[#This Row],[Total '# of latrine]])</f>
        <v>3</v>
      </c>
      <c r="BM55" s="238">
        <f>ROUND(IF(WWWW[[#This Row],[Location Type 1]]="camp",WWWW[[#This Row],[Total PoP ]]/20,WWWW[[#This Row],[Total PoP ]]/6),0)</f>
        <v>35</v>
      </c>
      <c r="BN55" s="239">
        <f>IF(OR(WWWW[[#This Row],['# Existing latrines dysfunctional]]="",WWWW[[#This Row],['# Existing latrines dysfunctional]]=0),0,WWWW[[#This Row],['# Existing latrines dysfunctional]]/WWWW[[#This Row],[Total '# of latrine]])</f>
        <v>0</v>
      </c>
      <c r="BO55" s="675">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P55" s="235">
        <f>WWWW[[#This Row],[People adopt basic personal and community hygiene practices]]/WWWW[[#This Row],[Total PoP ]]</f>
        <v>0</v>
      </c>
      <c r="BQ55" s="239">
        <f>1-WWWW[[#This Row],[Hygiene Coverage%]]</f>
        <v>1</v>
      </c>
      <c r="BR55" s="414">
        <f>IF(500*WWWW[[#This Row],['# Hygiene Promoters ]]&gt;WWWW[[#This Row],[Total PoP ]],WWWW[[#This Row],[Total PoP ]],500*WWWW[[#This Row],['# Hygiene Promoters ]])</f>
        <v>500</v>
      </c>
      <c r="BS55" s="414">
        <f>IF(WWWW[[#This Row],[% of HH with access to Sanitary Pad]]&gt;=100%,1,0)</f>
        <v>0</v>
      </c>
      <c r="BT55" s="414">
        <f>IF(WWWW[[#This Row],[Total PoP ]]=0,0,IF(WWWW[[#This Row],['# Hygiene Promoters ]]=0,0,IF(WWWW[[#This Row],[Location Type 1]]="Village",IF(WWWW[[#This Row],[Total PoP ]]/WWWW[[#This Row],['# Hygiene Promoters ]]&lt;1000,1,0),IF(WWWW[[#This Row],[Total PoP ]]/WWWW[[#This Row],['# Hygiene Promoters ]]&lt;600,1,0))))</f>
        <v>0</v>
      </c>
      <c r="BU55" s="414">
        <f>IF(WWWW[[#This Row],[%HH with access to soap]]&gt;=100%,1,0)</f>
        <v>0</v>
      </c>
      <c r="BV55" s="414">
        <f>IF(WWWW[[#This Row],[% of HHs with access to Sanitary pad more than '#%]]+WWWW[[#This Row],[Ratio of Hyiene promoters to people less than '#]]+WWWW[[#This Row],[% of HHs with access to soap more than '#%]]&gt;=2,WWWW[[#This Row],[Total PoP ]],0)</f>
        <v>0</v>
      </c>
      <c r="BW55" s="346">
        <f>WWWW[[#This Row],['# people reached by regular dedicated hygiene promotion_5]]/WWWW[[#This Row],[Total PoP ]]</f>
        <v>0.71736011477761841</v>
      </c>
      <c r="BX55" s="346">
        <f>IF(WWWW[[#This Row],['# HH received soaps]]/WWWW[[#This Row],[Total HH]]&gt;1,1,WWWW[[#This Row],['# HH received soaps]]/WWWW[[#This Row],[Total HH]])</f>
        <v>0</v>
      </c>
      <c r="BY55" s="346">
        <f>IF(WWWW[[#This Row],['# HH received Sanitary Pads]]/WWWW[[#This Row],[Total HH]]&gt;1,1,WWWW[[#This Row],['# HH received Sanitary Pads]]/WWWW[[#This Row],[Total HH]])</f>
        <v>0</v>
      </c>
      <c r="BZ55" s="720">
        <f>WWWW[[#This Row],['# HH received soaps]]*5</f>
        <v>0</v>
      </c>
      <c r="CA55" s="720">
        <f>WWWW[[#This Row],['# HH received Sanitary Pads]]*5</f>
        <v>0</v>
      </c>
      <c r="CB55" s="238">
        <f>IF(WWWW[[#This Row],['# People with access to soap]]&gt;WWWW[[#This Row],['# People with access to Sanity Pads]],WWWW[[#This Row],['# People with access to soap]],WWWW[[#This Row],['# People with access to Sanity Pads]])</f>
        <v>0</v>
      </c>
      <c r="CC55" s="236">
        <f>WWWW[[#This Row],[Total HH]]*WWWW[[#This Row],[%HHs with access to functional hand washing stations]]</f>
        <v>82.8</v>
      </c>
      <c r="CD55" s="240" t="str">
        <f>VLOOKUP(WWWW[[#This Row],[Site Name]],SiteDB6[],8,FALSE)</f>
        <v>Yes</v>
      </c>
      <c r="CE55" s="240" t="str">
        <f>VLOOKUP(WWWW[[#This Row],[Site Name]],SiteDB6[],9,FALSE)</f>
        <v>KBC</v>
      </c>
      <c r="CF55" s="240" t="str">
        <f>VLOOKUP(WWWW[[#This Row],[Site Name]],SiteDB6[],10,FALSE)</f>
        <v>Camp</v>
      </c>
      <c r="CG55" s="240" t="str">
        <f>VLOOKUP(WWWW[[#This Row],[Site Name]],SiteDB6[],11,FALSE)</f>
        <v>Camp</v>
      </c>
      <c r="CH55" s="240" t="str">
        <f>VLOOKUP(WWWW[[#This Row],[Site Name]],SiteDB6[],12,FALSE)</f>
        <v>Camp</v>
      </c>
      <c r="CI55" s="240" t="str">
        <f>VLOOKUP(WWWW[[#This Row],[Site Name]],SiteDB6[],13,FALSE)</f>
        <v>GCA</v>
      </c>
      <c r="CJ55" s="240">
        <f>VLOOKUP(WWWW[[#This Row],[Site Name]],SiteDB6[],14,FALSE)</f>
        <v>25.3510167948718</v>
      </c>
      <c r="CK55" s="240">
        <f>VLOOKUP(WWWW[[#This Row],[Site Name]],SiteDB6[],15,FALSE)</f>
        <v>97.403402307692303</v>
      </c>
      <c r="CL55" s="240" t="str">
        <f>VLOOKUP(WWWW[[#This Row],[Site Name]],SiteDB6[],4,FALSE)</f>
        <v>MMR001CMP014</v>
      </c>
      <c r="CM55" s="235" t="str">
        <f t="shared" si="0"/>
        <v>Covered</v>
      </c>
      <c r="CN55" s="235"/>
    </row>
    <row r="56" spans="1:92" ht="15.75" customHeight="1" x14ac:dyDescent="0.25">
      <c r="A56" s="532" t="s">
        <v>1409</v>
      </c>
      <c r="B56" s="533" t="s">
        <v>399</v>
      </c>
      <c r="C56" s="533" t="s">
        <v>44</v>
      </c>
      <c r="D56" s="533" t="s">
        <v>302</v>
      </c>
      <c r="E56" s="533" t="s">
        <v>405</v>
      </c>
      <c r="F56" s="233">
        <v>143</v>
      </c>
      <c r="G56" s="414">
        <v>640</v>
      </c>
      <c r="H56" s="387"/>
      <c r="I56" s="387" t="s">
        <v>401</v>
      </c>
      <c r="J56" s="234">
        <v>42947</v>
      </c>
      <c r="K56" s="233">
        <v>0</v>
      </c>
      <c r="L56" s="233" t="s">
        <v>48</v>
      </c>
      <c r="M56" s="235">
        <v>0.43</v>
      </c>
      <c r="N56" s="235">
        <v>0</v>
      </c>
      <c r="O56" s="609">
        <v>0</v>
      </c>
      <c r="P56" s="615">
        <v>0</v>
      </c>
      <c r="Q56" s="615">
        <v>0</v>
      </c>
      <c r="R56" s="604">
        <v>0</v>
      </c>
      <c r="S56" s="604">
        <v>2</v>
      </c>
      <c r="T56" s="604">
        <v>0</v>
      </c>
      <c r="U56" s="604">
        <v>0</v>
      </c>
      <c r="V56" s="604">
        <v>0</v>
      </c>
      <c r="W56" s="604">
        <v>0</v>
      </c>
      <c r="X56" s="604">
        <v>0</v>
      </c>
      <c r="Y56" s="604"/>
      <c r="Z56" s="628">
        <v>39</v>
      </c>
      <c r="AA56" s="628">
        <v>2</v>
      </c>
      <c r="AB56" s="629">
        <v>0</v>
      </c>
      <c r="AC56" s="628">
        <v>39</v>
      </c>
      <c r="AD56" s="628" t="s">
        <v>1379</v>
      </c>
      <c r="AE56" s="631" t="s">
        <v>1379</v>
      </c>
      <c r="AF56" s="631">
        <v>0</v>
      </c>
      <c r="AG56" s="628">
        <v>0</v>
      </c>
      <c r="AH56" s="628"/>
      <c r="AI56" s="659">
        <v>0.3</v>
      </c>
      <c r="AJ56" s="650" t="s">
        <v>386</v>
      </c>
      <c r="AK56" s="644">
        <v>0</v>
      </c>
      <c r="AL56" s="645">
        <v>9</v>
      </c>
      <c r="AM56" s="645">
        <v>0</v>
      </c>
      <c r="AN56" s="646">
        <v>0</v>
      </c>
      <c r="AO56" s="647">
        <v>0</v>
      </c>
      <c r="AP56" s="647"/>
      <c r="AQ56" s="658"/>
      <c r="AR56" s="235" t="str">
        <f>IFERROR(WWWW[[#This Row],['# of Water passed at source]]/WWWW[[#This Row],['# of Water tested at source]],"no test")</f>
        <v>no test</v>
      </c>
      <c r="AS56" s="237" t="str">
        <f>IFERROR(WWWW[[#This Row],['# of Water passed at HH]]/WWWW[[#This Row],['# of Water tested at HH]],"no test")</f>
        <v>no test</v>
      </c>
      <c r="AT56" s="237">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U56" s="237">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AV56" s="237">
        <f>IF(WWWW[[#This Row],[Location Type 1]]="Village",WWWW[[#This Row],[Access to safe drinking water for Village]],WWWW[[#This Row],[Access to safe drinking water for Camp]])</f>
        <v>0</v>
      </c>
      <c r="AW56" s="414">
        <f>WWWW[[#This Row],[%Equitable and continuous access to sufficient quantity of safe drinking water]]*WWWW[[#This Row],[Total PoP ]]</f>
        <v>0</v>
      </c>
      <c r="AX56" s="237">
        <f>IF((WWWW[[#This Row],['# Existing protected/fenced ponds ]]*250)/WWWW[[#This Row],[Total PoP ]]&gt;1,1,WWWW[[#This Row],['# Existing protected/fenced ponds ]]*250/WWWW[[#This Row],[Total PoP ]])</f>
        <v>0</v>
      </c>
      <c r="AY56" s="236">
        <f>WWWW[[#This Row],[Access to unimproved water points]]*WWWW[[#This Row],[Total PoP ]]</f>
        <v>0</v>
      </c>
      <c r="AZ56" s="237">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A56" s="414">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B56" s="414">
        <f>WWWW[[#This Row],['#people Equitable and continuous access to sufficient quantity of domestic water borehole n ponds_2]]/500</f>
        <v>0</v>
      </c>
      <c r="BC56" s="235">
        <f>1-WWWW[[#This Row],[%Equitable and continuous access to sufficient quantity of domestic water borehole n ponds]]</f>
        <v>1</v>
      </c>
      <c r="BD56" s="236">
        <f>WWWW[[#This Row],[%equitable and continuous access to sufficient quantity of safe drinking and domestic water''s GAP]]*WWWW[[#This Row],[Total PoP ]]</f>
        <v>640</v>
      </c>
      <c r="BE56" s="238">
        <f>IF(WWWW[[#This Row],[Total required water points]]-WWWW[[#This Row],['#Water points coverage]]&lt;0,0,WWWW[[#This Row],[Total required water points]]-WWWW[[#This Row],['#Water points coverage]])</f>
        <v>1</v>
      </c>
      <c r="BF56" s="238">
        <f>ROUND(IF(WWWW[[#This Row],[Total PoP ]]&lt;500,1,WWWW[[#This Row],[Total PoP ]]/500),0)</f>
        <v>1</v>
      </c>
      <c r="BG56" s="238" t="str">
        <f>IF(AND(WWWW[[#This Row],[%of Water samples which passed at water source]]="no test",WWWW[[#This Row],[%Water samples which passed at HH]]="no test"),"No Test","Tested")</f>
        <v>No Test</v>
      </c>
      <c r="BH56" s="238">
        <f>WWWW[[#This Row],['# Existing functional latrines]]+WWWW[[#This Row],['# Existing latrines dysfunctional]]</f>
        <v>41</v>
      </c>
      <c r="BI56" s="235">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1</v>
      </c>
      <c r="BJ56" s="675">
        <f>WWWW[[#This Row],[% people access to functioning Latrine]]*WWWW[[#This Row],[Total PoP ]]</f>
        <v>640</v>
      </c>
      <c r="BK56" s="235">
        <f>IF(WWWW[[#This Row],[Location Type 1]]="camp",WWWW[[#This Row],['# potential required new latrines]]/(WWWW[[#This Row],[Total PoP ]]/20),WWWW[[#This Row],['# potential required new latrines]]/(WWWW[[#This Row],[Total PoP ]]/6))</f>
        <v>0</v>
      </c>
      <c r="BL56" s="236">
        <f>IF(WWWW[[#This Row],[Total required Latrines]]-WWWW[[#This Row],[Total '# of latrine]]&lt;0,0,WWWW[[#This Row],[Total required Latrines]]-WWWW[[#This Row],[Total '# of latrine]])</f>
        <v>0</v>
      </c>
      <c r="BM56" s="238">
        <f>ROUND(IF(WWWW[[#This Row],[Location Type 1]]="camp",WWWW[[#This Row],[Total PoP ]]/20,WWWW[[#This Row],[Total PoP ]]/6),0)</f>
        <v>32</v>
      </c>
      <c r="BN56" s="239">
        <f>IF(OR(WWWW[[#This Row],['# Existing latrines dysfunctional]]="",WWWW[[#This Row],['# Existing latrines dysfunctional]]=0),0,WWWW[[#This Row],['# Existing latrines dysfunctional]]/WWWW[[#This Row],[Total '# of latrine]])</f>
        <v>4.878048780487805E-2</v>
      </c>
      <c r="BO56" s="675">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P56" s="235">
        <f>WWWW[[#This Row],[People adopt basic personal and community hygiene practices]]/WWWW[[#This Row],[Total PoP ]]</f>
        <v>0</v>
      </c>
      <c r="BQ56" s="239">
        <f>1-WWWW[[#This Row],[Hygiene Coverage%]]</f>
        <v>1</v>
      </c>
      <c r="BR56" s="414">
        <f>IF(500*WWWW[[#This Row],['# Hygiene Promoters ]]&gt;WWWW[[#This Row],[Total PoP ]],WWWW[[#This Row],[Total PoP ]],500*WWWW[[#This Row],['# Hygiene Promoters ]])</f>
        <v>0</v>
      </c>
      <c r="BS56" s="414">
        <f>IF(WWWW[[#This Row],[% of HH with access to Sanitary Pad]]&gt;=100%,1,0)</f>
        <v>0</v>
      </c>
      <c r="BT56" s="414">
        <f>IF(WWWW[[#This Row],[Total PoP ]]=0,0,IF(WWWW[[#This Row],['# Hygiene Promoters ]]=0,0,IF(WWWW[[#This Row],[Location Type 1]]="Village",IF(WWWW[[#This Row],[Total PoP ]]/WWWW[[#This Row],['# Hygiene Promoters ]]&lt;1000,1,0),IF(WWWW[[#This Row],[Total PoP ]]/WWWW[[#This Row],['# Hygiene Promoters ]]&lt;600,1,0))))</f>
        <v>0</v>
      </c>
      <c r="BU56" s="414">
        <f>IF(WWWW[[#This Row],[%HH with access to soap]]&gt;=100%,1,0)</f>
        <v>0</v>
      </c>
      <c r="BV56" s="414">
        <f>IF(WWWW[[#This Row],[% of HHs with access to Sanitary pad more than '#%]]+WWWW[[#This Row],[Ratio of Hyiene promoters to people less than '#]]+WWWW[[#This Row],[% of HHs with access to soap more than '#%]]&gt;=2,WWWW[[#This Row],[Total PoP ]],0)</f>
        <v>0</v>
      </c>
      <c r="BW56" s="346">
        <f>WWWW[[#This Row],['# people reached by regular dedicated hygiene promotion_5]]/WWWW[[#This Row],[Total PoP ]]</f>
        <v>0</v>
      </c>
      <c r="BX56" s="346">
        <f>IF(WWWW[[#This Row],['# HH received soaps]]/WWWW[[#This Row],[Total HH]]&gt;1,1,WWWW[[#This Row],['# HH received soaps]]/WWWW[[#This Row],[Total HH]])</f>
        <v>0</v>
      </c>
      <c r="BY56" s="346">
        <f>IF(WWWW[[#This Row],['# HH received Sanitary Pads]]/WWWW[[#This Row],[Total HH]]&gt;1,1,WWWW[[#This Row],['# HH received Sanitary Pads]]/WWWW[[#This Row],[Total HH]])</f>
        <v>0</v>
      </c>
      <c r="BZ56" s="720">
        <f>WWWW[[#This Row],['# HH received soaps]]*5</f>
        <v>0</v>
      </c>
      <c r="CA56" s="720">
        <f>WWWW[[#This Row],['# HH received Sanitary Pads]]*5</f>
        <v>0</v>
      </c>
      <c r="CB56" s="238">
        <f>IF(WWWW[[#This Row],['# People with access to soap]]&gt;WWWW[[#This Row],['# People with access to Sanity Pads]],WWWW[[#This Row],['# People with access to soap]],WWWW[[#This Row],['# People with access to Sanity Pads]])</f>
        <v>0</v>
      </c>
      <c r="CC56" s="236">
        <f>WWWW[[#This Row],[Total HH]]*WWWW[[#This Row],[%HHs with access to functional hand washing stations]]</f>
        <v>42.9</v>
      </c>
      <c r="CD56" s="240" t="str">
        <f>VLOOKUP(WWWW[[#This Row],[Site Name]],SiteDB6[],8,FALSE)</f>
        <v>Yes</v>
      </c>
      <c r="CE56" s="240" t="str">
        <f>VLOOKUP(WWWW[[#This Row],[Site Name]],SiteDB6[],9,FALSE)</f>
        <v>Shalom</v>
      </c>
      <c r="CF56" s="240" t="str">
        <f>VLOOKUP(WWWW[[#This Row],[Site Name]],SiteDB6[],10,FALSE)</f>
        <v>Camp</v>
      </c>
      <c r="CG56" s="240" t="str">
        <f>VLOOKUP(WWWW[[#This Row],[Site Name]],SiteDB6[],11,FALSE)</f>
        <v>Camp</v>
      </c>
      <c r="CH56" s="240" t="str">
        <f>VLOOKUP(WWWW[[#This Row],[Site Name]],SiteDB6[],12,FALSE)</f>
        <v>Camp</v>
      </c>
      <c r="CI56" s="240" t="str">
        <f>VLOOKUP(WWWW[[#This Row],[Site Name]],SiteDB6[],13,FALSE)</f>
        <v>GCA</v>
      </c>
      <c r="CJ56" s="240">
        <f>VLOOKUP(WWWW[[#This Row],[Site Name]],SiteDB6[],14,FALSE)</f>
        <v>25.887339999999998</v>
      </c>
      <c r="CK56" s="240">
        <f>VLOOKUP(WWWW[[#This Row],[Site Name]],SiteDB6[],15,FALSE)</f>
        <v>98.129990000000006</v>
      </c>
      <c r="CL56" s="240" t="str">
        <f>VLOOKUP(WWWW[[#This Row],[Site Name]],SiteDB6[],4,FALSE)</f>
        <v>MMR001CMP195</v>
      </c>
      <c r="CM56" s="235" t="str">
        <f t="shared" si="0"/>
        <v>Covered</v>
      </c>
      <c r="CN56" s="235"/>
    </row>
    <row r="57" spans="1:92" ht="15.75" customHeight="1" x14ac:dyDescent="0.25">
      <c r="A57" s="532" t="s">
        <v>1409</v>
      </c>
      <c r="B57" s="533" t="s">
        <v>399</v>
      </c>
      <c r="C57" s="533" t="s">
        <v>44</v>
      </c>
      <c r="D57" s="533" t="s">
        <v>304</v>
      </c>
      <c r="E57" s="533" t="s">
        <v>415</v>
      </c>
      <c r="F57" s="233">
        <v>19</v>
      </c>
      <c r="G57" s="414">
        <v>102</v>
      </c>
      <c r="H57" s="387"/>
      <c r="I57" s="387" t="s">
        <v>401</v>
      </c>
      <c r="J57" s="234">
        <v>42947</v>
      </c>
      <c r="K57" s="233">
        <v>0</v>
      </c>
      <c r="L57" s="233" t="s">
        <v>48</v>
      </c>
      <c r="M57" s="235">
        <v>0.67</v>
      </c>
      <c r="N57" s="235">
        <v>0</v>
      </c>
      <c r="O57" s="609">
        <v>1</v>
      </c>
      <c r="P57" s="615">
        <v>0</v>
      </c>
      <c r="Q57" s="615">
        <v>0</v>
      </c>
      <c r="R57" s="604">
        <v>0</v>
      </c>
      <c r="S57" s="604">
        <v>1</v>
      </c>
      <c r="T57" s="604">
        <v>0</v>
      </c>
      <c r="U57" s="604">
        <v>0</v>
      </c>
      <c r="V57" s="604">
        <v>0</v>
      </c>
      <c r="W57" s="604">
        <v>0</v>
      </c>
      <c r="X57" s="604">
        <v>0</v>
      </c>
      <c r="Y57" s="604"/>
      <c r="Z57" s="628">
        <v>8</v>
      </c>
      <c r="AA57" s="628">
        <v>0</v>
      </c>
      <c r="AB57" s="629">
        <v>0</v>
      </c>
      <c r="AC57" s="628">
        <v>8</v>
      </c>
      <c r="AD57" s="628" t="s">
        <v>293</v>
      </c>
      <c r="AE57" s="631" t="s">
        <v>293</v>
      </c>
      <c r="AF57" s="631">
        <v>0</v>
      </c>
      <c r="AG57" s="628">
        <v>0</v>
      </c>
      <c r="AH57" s="628"/>
      <c r="AI57" s="659">
        <v>0.5</v>
      </c>
      <c r="AJ57" s="650" t="s">
        <v>386</v>
      </c>
      <c r="AK57" s="644">
        <v>0</v>
      </c>
      <c r="AL57" s="645">
        <v>4</v>
      </c>
      <c r="AM57" s="645">
        <v>0</v>
      </c>
      <c r="AN57" s="646">
        <v>0</v>
      </c>
      <c r="AO57" s="647">
        <v>0</v>
      </c>
      <c r="AP57" s="647"/>
      <c r="AQ57" s="658"/>
      <c r="AR57" s="235" t="str">
        <f>IFERROR(WWWW[[#This Row],['# of Water passed at source]]/WWWW[[#This Row],['# of Water tested at source]],"no test")</f>
        <v>no test</v>
      </c>
      <c r="AS57" s="237" t="str">
        <f>IFERROR(WWWW[[#This Row],['# of Water passed at HH]]/WWWW[[#This Row],['# of Water tested at HH]],"no test")</f>
        <v>no test</v>
      </c>
      <c r="AT57" s="237">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U57" s="237">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AV57" s="237">
        <f>IF(WWWW[[#This Row],[Location Type 1]]="Village",WWWW[[#This Row],[Access to safe drinking water for Village]],WWWW[[#This Row],[Access to safe drinking water for Camp]])</f>
        <v>1</v>
      </c>
      <c r="AW57" s="414">
        <f>WWWW[[#This Row],[%Equitable and continuous access to sufficient quantity of safe drinking water]]*WWWW[[#This Row],[Total PoP ]]</f>
        <v>102</v>
      </c>
      <c r="AX57" s="237">
        <f>IF((WWWW[[#This Row],['# Existing protected/fenced ponds ]]*250)/WWWW[[#This Row],[Total PoP ]]&gt;1,1,WWWW[[#This Row],['# Existing protected/fenced ponds ]]*250/WWWW[[#This Row],[Total PoP ]])</f>
        <v>0</v>
      </c>
      <c r="AY57" s="236">
        <f>WWWW[[#This Row],[Access to unimproved water points]]*WWWW[[#This Row],[Total PoP ]]</f>
        <v>0</v>
      </c>
      <c r="AZ57" s="237">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A57" s="414">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102</v>
      </c>
      <c r="BB57" s="414">
        <f>WWWW[[#This Row],['#people Equitable and continuous access to sufficient quantity of domestic water borehole n ponds_2]]/500</f>
        <v>0.20399999999999999</v>
      </c>
      <c r="BC57" s="235">
        <f>1-WWWW[[#This Row],[%Equitable and continuous access to sufficient quantity of domestic water borehole n ponds]]</f>
        <v>0</v>
      </c>
      <c r="BD57" s="236">
        <f>WWWW[[#This Row],[%equitable and continuous access to sufficient quantity of safe drinking and domestic water''s GAP]]*WWWW[[#This Row],[Total PoP ]]</f>
        <v>0</v>
      </c>
      <c r="BE57" s="238">
        <f>IF(WWWW[[#This Row],[Total required water points]]-WWWW[[#This Row],['#Water points coverage]]&lt;0,0,WWWW[[#This Row],[Total required water points]]-WWWW[[#This Row],['#Water points coverage]])</f>
        <v>0.79600000000000004</v>
      </c>
      <c r="BF57" s="238">
        <f>ROUND(IF(WWWW[[#This Row],[Total PoP ]]&lt;500,1,WWWW[[#This Row],[Total PoP ]]/500),0)</f>
        <v>1</v>
      </c>
      <c r="BG57" s="238" t="str">
        <f>IF(AND(WWWW[[#This Row],[%of Water samples which passed at water source]]="no test",WWWW[[#This Row],[%Water samples which passed at HH]]="no test"),"No Test","Tested")</f>
        <v>No Test</v>
      </c>
      <c r="BH57" s="238">
        <f>WWWW[[#This Row],['# Existing functional latrines]]+WWWW[[#This Row],['# Existing latrines dysfunctional]]</f>
        <v>8</v>
      </c>
      <c r="BI57" s="235">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1</v>
      </c>
      <c r="BJ57" s="675">
        <f>WWWW[[#This Row],[% people access to functioning Latrine]]*WWWW[[#This Row],[Total PoP ]]</f>
        <v>102</v>
      </c>
      <c r="BK57" s="235">
        <f>IF(WWWW[[#This Row],[Location Type 1]]="camp",WWWW[[#This Row],['# potential required new latrines]]/(WWWW[[#This Row],[Total PoP ]]/20),WWWW[[#This Row],['# potential required new latrines]]/(WWWW[[#This Row],[Total PoP ]]/6))</f>
        <v>0</v>
      </c>
      <c r="BL57" s="236">
        <f>IF(WWWW[[#This Row],[Total required Latrines]]-WWWW[[#This Row],[Total '# of latrine]]&lt;0,0,WWWW[[#This Row],[Total required Latrines]]-WWWW[[#This Row],[Total '# of latrine]])</f>
        <v>0</v>
      </c>
      <c r="BM57" s="238">
        <f>ROUND(IF(WWWW[[#This Row],[Location Type 1]]="camp",WWWW[[#This Row],[Total PoP ]]/20,WWWW[[#This Row],[Total PoP ]]/6),0)</f>
        <v>5</v>
      </c>
      <c r="BN57" s="239">
        <f>IF(OR(WWWW[[#This Row],['# Existing latrines dysfunctional]]="",WWWW[[#This Row],['# Existing latrines dysfunctional]]=0),0,WWWW[[#This Row],['# Existing latrines dysfunctional]]/WWWW[[#This Row],[Total '# of latrine]])</f>
        <v>0</v>
      </c>
      <c r="BO57" s="675">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P57" s="235">
        <f>WWWW[[#This Row],[People adopt basic personal and community hygiene practices]]/WWWW[[#This Row],[Total PoP ]]</f>
        <v>0</v>
      </c>
      <c r="BQ57" s="239">
        <f>1-WWWW[[#This Row],[Hygiene Coverage%]]</f>
        <v>1</v>
      </c>
      <c r="BR57" s="414">
        <f>IF(500*WWWW[[#This Row],['# Hygiene Promoters ]]&gt;WWWW[[#This Row],[Total PoP ]],WWWW[[#This Row],[Total PoP ]],500*WWWW[[#This Row],['# Hygiene Promoters ]])</f>
        <v>0</v>
      </c>
      <c r="BS57" s="414">
        <f>IF(WWWW[[#This Row],[% of HH with access to Sanitary Pad]]&gt;=100%,1,0)</f>
        <v>0</v>
      </c>
      <c r="BT57" s="414">
        <f>IF(WWWW[[#This Row],[Total PoP ]]=0,0,IF(WWWW[[#This Row],['# Hygiene Promoters ]]=0,0,IF(WWWW[[#This Row],[Location Type 1]]="Village",IF(WWWW[[#This Row],[Total PoP ]]/WWWW[[#This Row],['# Hygiene Promoters ]]&lt;1000,1,0),IF(WWWW[[#This Row],[Total PoP ]]/WWWW[[#This Row],['# Hygiene Promoters ]]&lt;600,1,0))))</f>
        <v>0</v>
      </c>
      <c r="BU57" s="414">
        <f>IF(WWWW[[#This Row],[%HH with access to soap]]&gt;=100%,1,0)</f>
        <v>0</v>
      </c>
      <c r="BV57" s="414">
        <f>IF(WWWW[[#This Row],[% of HHs with access to Sanitary pad more than '#%]]+WWWW[[#This Row],[Ratio of Hyiene promoters to people less than '#]]+WWWW[[#This Row],[% of HHs with access to soap more than '#%]]&gt;=2,WWWW[[#This Row],[Total PoP ]],0)</f>
        <v>0</v>
      </c>
      <c r="BW57" s="346">
        <f>WWWW[[#This Row],['# people reached by regular dedicated hygiene promotion_5]]/WWWW[[#This Row],[Total PoP ]]</f>
        <v>0</v>
      </c>
      <c r="BX57" s="346">
        <f>IF(WWWW[[#This Row],['# HH received soaps]]/WWWW[[#This Row],[Total HH]]&gt;1,1,WWWW[[#This Row],['# HH received soaps]]/WWWW[[#This Row],[Total HH]])</f>
        <v>0</v>
      </c>
      <c r="BY57" s="346">
        <f>IF(WWWW[[#This Row],['# HH received Sanitary Pads]]/WWWW[[#This Row],[Total HH]]&gt;1,1,WWWW[[#This Row],['# HH received Sanitary Pads]]/WWWW[[#This Row],[Total HH]])</f>
        <v>0</v>
      </c>
      <c r="BZ57" s="720">
        <f>WWWW[[#This Row],['# HH received soaps]]*5</f>
        <v>0</v>
      </c>
      <c r="CA57" s="720">
        <f>WWWW[[#This Row],['# HH received Sanitary Pads]]*5</f>
        <v>0</v>
      </c>
      <c r="CB57" s="238">
        <f>IF(WWWW[[#This Row],['# People with access to soap]]&gt;WWWW[[#This Row],['# People with access to Sanity Pads]],WWWW[[#This Row],['# People with access to soap]],WWWW[[#This Row],['# People with access to Sanity Pads]])</f>
        <v>0</v>
      </c>
      <c r="CC57" s="236">
        <f>WWWW[[#This Row],[Total HH]]*WWWW[[#This Row],[%HHs with access to functional hand washing stations]]</f>
        <v>9.5</v>
      </c>
      <c r="CD57" s="240" t="str">
        <f>VLOOKUP(WWWW[[#This Row],[Site Name]],SiteDB6[],8,FALSE)</f>
        <v>Yes</v>
      </c>
      <c r="CE57" s="240" t="str">
        <f>VLOOKUP(WWWW[[#This Row],[Site Name]],SiteDB6[],9,FALSE)</f>
        <v>Shalom</v>
      </c>
      <c r="CF57" s="240" t="str">
        <f>VLOOKUP(WWWW[[#This Row],[Site Name]],SiteDB6[],10,FALSE)</f>
        <v>Camp</v>
      </c>
      <c r="CG57" s="240" t="str">
        <f>VLOOKUP(WWWW[[#This Row],[Site Name]],SiteDB6[],11,FALSE)</f>
        <v>Camp</v>
      </c>
      <c r="CH57" s="240" t="str">
        <f>VLOOKUP(WWWW[[#This Row],[Site Name]],SiteDB6[],12,FALSE)</f>
        <v>Camp</v>
      </c>
      <c r="CI57" s="240" t="str">
        <f>VLOOKUP(WWWW[[#This Row],[Site Name]],SiteDB6[],13,FALSE)</f>
        <v>GCA</v>
      </c>
      <c r="CJ57" s="240">
        <f>VLOOKUP(WWWW[[#This Row],[Site Name]],SiteDB6[],14,FALSE)</f>
        <v>25.566510000000001</v>
      </c>
      <c r="CK57" s="240">
        <f>VLOOKUP(WWWW[[#This Row],[Site Name]],SiteDB6[],15,FALSE)</f>
        <v>96.269199999999998</v>
      </c>
      <c r="CL57" s="240" t="str">
        <f>VLOOKUP(WWWW[[#This Row],[Site Name]],SiteDB6[],4,FALSE)</f>
        <v>MMR001CMP181</v>
      </c>
      <c r="CM57" s="235" t="str">
        <f t="shared" si="0"/>
        <v>Covered</v>
      </c>
      <c r="CN57" s="235"/>
    </row>
    <row r="58" spans="1:92" ht="15.75" customHeight="1" x14ac:dyDescent="0.25">
      <c r="A58" s="532" t="s">
        <v>1409</v>
      </c>
      <c r="B58" s="533" t="s">
        <v>399</v>
      </c>
      <c r="C58" s="533" t="s">
        <v>44</v>
      </c>
      <c r="D58" s="533" t="s">
        <v>304</v>
      </c>
      <c r="E58" s="533" t="s">
        <v>416</v>
      </c>
      <c r="F58" s="233">
        <v>12</v>
      </c>
      <c r="G58" s="414">
        <v>62</v>
      </c>
      <c r="H58" s="387"/>
      <c r="I58" s="387" t="s">
        <v>401</v>
      </c>
      <c r="J58" s="234">
        <v>42947</v>
      </c>
      <c r="K58" s="233">
        <v>0</v>
      </c>
      <c r="L58" s="233" t="s">
        <v>48</v>
      </c>
      <c r="M58" s="235">
        <v>0.56999999999999995</v>
      </c>
      <c r="N58" s="235">
        <v>1</v>
      </c>
      <c r="O58" s="609">
        <v>1</v>
      </c>
      <c r="P58" s="615">
        <v>0</v>
      </c>
      <c r="Q58" s="615">
        <v>0</v>
      </c>
      <c r="R58" s="604">
        <v>0</v>
      </c>
      <c r="S58" s="604">
        <v>1</v>
      </c>
      <c r="T58" s="604">
        <v>0</v>
      </c>
      <c r="U58" s="604">
        <v>0</v>
      </c>
      <c r="V58" s="604">
        <v>0</v>
      </c>
      <c r="W58" s="604">
        <v>0</v>
      </c>
      <c r="X58" s="604">
        <v>0</v>
      </c>
      <c r="Y58" s="604"/>
      <c r="Z58" s="628">
        <v>4</v>
      </c>
      <c r="AA58" s="628">
        <v>0</v>
      </c>
      <c r="AB58" s="629">
        <v>0</v>
      </c>
      <c r="AC58" s="628">
        <v>4</v>
      </c>
      <c r="AD58" s="628" t="s">
        <v>293</v>
      </c>
      <c r="AE58" s="631" t="s">
        <v>1379</v>
      </c>
      <c r="AF58" s="631">
        <v>0</v>
      </c>
      <c r="AG58" s="628">
        <v>0</v>
      </c>
      <c r="AH58" s="628"/>
      <c r="AI58" s="659">
        <v>0.6</v>
      </c>
      <c r="AJ58" s="650" t="s">
        <v>386</v>
      </c>
      <c r="AK58" s="644">
        <v>0</v>
      </c>
      <c r="AL58" s="645">
        <v>2</v>
      </c>
      <c r="AM58" s="645">
        <v>0</v>
      </c>
      <c r="AN58" s="646">
        <v>0</v>
      </c>
      <c r="AO58" s="647">
        <v>0</v>
      </c>
      <c r="AP58" s="647"/>
      <c r="AQ58" s="658"/>
      <c r="AR58" s="235" t="str">
        <f>IFERROR(WWWW[[#This Row],['# of Water passed at source]]/WWWW[[#This Row],['# of Water tested at source]],"no test")</f>
        <v>no test</v>
      </c>
      <c r="AS58" s="237" t="str">
        <f>IFERROR(WWWW[[#This Row],['# of Water passed at HH]]/WWWW[[#This Row],['# of Water tested at HH]],"no test")</f>
        <v>no test</v>
      </c>
      <c r="AT58" s="237">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U58" s="237">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AV58" s="237">
        <f>IF(WWWW[[#This Row],[Location Type 1]]="Village",WWWW[[#This Row],[Access to safe drinking water for Village]],WWWW[[#This Row],[Access to safe drinking water for Camp]])</f>
        <v>1</v>
      </c>
      <c r="AW58" s="414">
        <f>WWWW[[#This Row],[%Equitable and continuous access to sufficient quantity of safe drinking water]]*WWWW[[#This Row],[Total PoP ]]</f>
        <v>62</v>
      </c>
      <c r="AX58" s="237">
        <f>IF((WWWW[[#This Row],['# Existing protected/fenced ponds ]]*250)/WWWW[[#This Row],[Total PoP ]]&gt;1,1,WWWW[[#This Row],['# Existing protected/fenced ponds ]]*250/WWWW[[#This Row],[Total PoP ]])</f>
        <v>0</v>
      </c>
      <c r="AY58" s="236">
        <f>WWWW[[#This Row],[Access to unimproved water points]]*WWWW[[#This Row],[Total PoP ]]</f>
        <v>0</v>
      </c>
      <c r="AZ58" s="237">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A58" s="414">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62</v>
      </c>
      <c r="BB58" s="414">
        <f>WWWW[[#This Row],['#people Equitable and continuous access to sufficient quantity of domestic water borehole n ponds_2]]/500</f>
        <v>0.124</v>
      </c>
      <c r="BC58" s="235">
        <f>1-WWWW[[#This Row],[%Equitable and continuous access to sufficient quantity of domestic water borehole n ponds]]</f>
        <v>0</v>
      </c>
      <c r="BD58" s="236">
        <f>WWWW[[#This Row],[%equitable and continuous access to sufficient quantity of safe drinking and domestic water''s GAP]]*WWWW[[#This Row],[Total PoP ]]</f>
        <v>0</v>
      </c>
      <c r="BE58" s="238">
        <f>IF(WWWW[[#This Row],[Total required water points]]-WWWW[[#This Row],['#Water points coverage]]&lt;0,0,WWWW[[#This Row],[Total required water points]]-WWWW[[#This Row],['#Water points coverage]])</f>
        <v>0.876</v>
      </c>
      <c r="BF58" s="238">
        <f>ROUND(IF(WWWW[[#This Row],[Total PoP ]]&lt;500,1,WWWW[[#This Row],[Total PoP ]]/500),0)</f>
        <v>1</v>
      </c>
      <c r="BG58" s="238" t="str">
        <f>IF(AND(WWWW[[#This Row],[%of Water samples which passed at water source]]="no test",WWWW[[#This Row],[%Water samples which passed at HH]]="no test"),"No Test","Tested")</f>
        <v>No Test</v>
      </c>
      <c r="BH58" s="238">
        <f>WWWW[[#This Row],['# Existing functional latrines]]+WWWW[[#This Row],['# Existing latrines dysfunctional]]</f>
        <v>4</v>
      </c>
      <c r="BI58" s="235">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1</v>
      </c>
      <c r="BJ58" s="675">
        <f>WWWW[[#This Row],[% people access to functioning Latrine]]*WWWW[[#This Row],[Total PoP ]]</f>
        <v>62</v>
      </c>
      <c r="BK58" s="235">
        <f>IF(WWWW[[#This Row],[Location Type 1]]="camp",WWWW[[#This Row],['# potential required new latrines]]/(WWWW[[#This Row],[Total PoP ]]/20),WWWW[[#This Row],['# potential required new latrines]]/(WWWW[[#This Row],[Total PoP ]]/6))</f>
        <v>0</v>
      </c>
      <c r="BL58" s="236">
        <f>IF(WWWW[[#This Row],[Total required Latrines]]-WWWW[[#This Row],[Total '# of latrine]]&lt;0,0,WWWW[[#This Row],[Total required Latrines]]-WWWW[[#This Row],[Total '# of latrine]])</f>
        <v>0</v>
      </c>
      <c r="BM58" s="238">
        <f>ROUND(IF(WWWW[[#This Row],[Location Type 1]]="camp",WWWW[[#This Row],[Total PoP ]]/20,WWWW[[#This Row],[Total PoP ]]/6),0)</f>
        <v>3</v>
      </c>
      <c r="BN58" s="239">
        <f>IF(OR(WWWW[[#This Row],['# Existing latrines dysfunctional]]="",WWWW[[#This Row],['# Existing latrines dysfunctional]]=0),0,WWWW[[#This Row],['# Existing latrines dysfunctional]]/WWWW[[#This Row],[Total '# of latrine]])</f>
        <v>0</v>
      </c>
      <c r="BO58" s="675">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P58" s="235">
        <f>WWWW[[#This Row],[People adopt basic personal and community hygiene practices]]/WWWW[[#This Row],[Total PoP ]]</f>
        <v>0</v>
      </c>
      <c r="BQ58" s="239">
        <f>1-WWWW[[#This Row],[Hygiene Coverage%]]</f>
        <v>1</v>
      </c>
      <c r="BR58" s="414">
        <f>IF(500*WWWW[[#This Row],['# Hygiene Promoters ]]&gt;WWWW[[#This Row],[Total PoP ]],WWWW[[#This Row],[Total PoP ]],500*WWWW[[#This Row],['# Hygiene Promoters ]])</f>
        <v>0</v>
      </c>
      <c r="BS58" s="414">
        <f>IF(WWWW[[#This Row],[% of HH with access to Sanitary Pad]]&gt;=100%,1,0)</f>
        <v>0</v>
      </c>
      <c r="BT58" s="414">
        <f>IF(WWWW[[#This Row],[Total PoP ]]=0,0,IF(WWWW[[#This Row],['# Hygiene Promoters ]]=0,0,IF(WWWW[[#This Row],[Location Type 1]]="Village",IF(WWWW[[#This Row],[Total PoP ]]/WWWW[[#This Row],['# Hygiene Promoters ]]&lt;1000,1,0),IF(WWWW[[#This Row],[Total PoP ]]/WWWW[[#This Row],['# Hygiene Promoters ]]&lt;600,1,0))))</f>
        <v>0</v>
      </c>
      <c r="BU58" s="414">
        <f>IF(WWWW[[#This Row],[%HH with access to soap]]&gt;=100%,1,0)</f>
        <v>0</v>
      </c>
      <c r="BV58" s="414">
        <f>IF(WWWW[[#This Row],[% of HHs with access to Sanitary pad more than '#%]]+WWWW[[#This Row],[Ratio of Hyiene promoters to people less than '#]]+WWWW[[#This Row],[% of HHs with access to soap more than '#%]]&gt;=2,WWWW[[#This Row],[Total PoP ]],0)</f>
        <v>0</v>
      </c>
      <c r="BW58" s="346">
        <f>WWWW[[#This Row],['# people reached by regular dedicated hygiene promotion_5]]/WWWW[[#This Row],[Total PoP ]]</f>
        <v>0</v>
      </c>
      <c r="BX58" s="346">
        <f>IF(WWWW[[#This Row],['# HH received soaps]]/WWWW[[#This Row],[Total HH]]&gt;1,1,WWWW[[#This Row],['# HH received soaps]]/WWWW[[#This Row],[Total HH]])</f>
        <v>0</v>
      </c>
      <c r="BY58" s="346">
        <f>IF(WWWW[[#This Row],['# HH received Sanitary Pads]]/WWWW[[#This Row],[Total HH]]&gt;1,1,WWWW[[#This Row],['# HH received Sanitary Pads]]/WWWW[[#This Row],[Total HH]])</f>
        <v>0</v>
      </c>
      <c r="BZ58" s="720">
        <f>WWWW[[#This Row],['# HH received soaps]]*5</f>
        <v>0</v>
      </c>
      <c r="CA58" s="720">
        <f>WWWW[[#This Row],['# HH received Sanitary Pads]]*5</f>
        <v>0</v>
      </c>
      <c r="CB58" s="238">
        <f>IF(WWWW[[#This Row],['# People with access to soap]]&gt;WWWW[[#This Row],['# People with access to Sanity Pads]],WWWW[[#This Row],['# People with access to soap]],WWWW[[#This Row],['# People with access to Sanity Pads]])</f>
        <v>0</v>
      </c>
      <c r="CC58" s="236">
        <f>WWWW[[#This Row],[Total HH]]*WWWW[[#This Row],[%HHs with access to functional hand washing stations]]</f>
        <v>7.1999999999999993</v>
      </c>
      <c r="CD58" s="240" t="str">
        <f>VLOOKUP(WWWW[[#This Row],[Site Name]],SiteDB6[],8,FALSE)</f>
        <v>Yes</v>
      </c>
      <c r="CE58" s="240" t="str">
        <f>VLOOKUP(WWWW[[#This Row],[Site Name]],SiteDB6[],9,FALSE)</f>
        <v>Shalom</v>
      </c>
      <c r="CF58" s="240" t="str">
        <f>VLOOKUP(WWWW[[#This Row],[Site Name]],SiteDB6[],10,FALSE)</f>
        <v>Camp</v>
      </c>
      <c r="CG58" s="240" t="str">
        <f>VLOOKUP(WWWW[[#This Row],[Site Name]],SiteDB6[],11,FALSE)</f>
        <v>Camp</v>
      </c>
      <c r="CH58" s="240" t="str">
        <f>VLOOKUP(WWWW[[#This Row],[Site Name]],SiteDB6[],12,FALSE)</f>
        <v>Camp</v>
      </c>
      <c r="CI58" s="240" t="str">
        <f>VLOOKUP(WWWW[[#This Row],[Site Name]],SiteDB6[],13,FALSE)</f>
        <v>GCA</v>
      </c>
      <c r="CJ58" s="240">
        <f>VLOOKUP(WWWW[[#This Row],[Site Name]],SiteDB6[],14,FALSE)</f>
        <v>25.61842</v>
      </c>
      <c r="CK58" s="240">
        <f>VLOOKUP(WWWW[[#This Row],[Site Name]],SiteDB6[],15,FALSE)</f>
        <v>96.316400000000002</v>
      </c>
      <c r="CL58" s="240" t="str">
        <f>VLOOKUP(WWWW[[#This Row],[Site Name]],SiteDB6[],4,FALSE)</f>
        <v>MMR001CMP167</v>
      </c>
      <c r="CM58" s="235" t="str">
        <f t="shared" si="0"/>
        <v>Covered</v>
      </c>
      <c r="CN58" s="235"/>
    </row>
    <row r="59" spans="1:92" ht="15.75" customHeight="1" x14ac:dyDescent="0.25">
      <c r="A59" s="532" t="s">
        <v>1409</v>
      </c>
      <c r="B59" s="533" t="s">
        <v>348</v>
      </c>
      <c r="C59" s="533" t="s">
        <v>44</v>
      </c>
      <c r="D59" s="533" t="s">
        <v>351</v>
      </c>
      <c r="E59" s="533" t="s">
        <v>356</v>
      </c>
      <c r="F59" s="233">
        <v>131</v>
      </c>
      <c r="G59" s="414">
        <v>757</v>
      </c>
      <c r="H59" s="387"/>
      <c r="I59" s="387" t="s">
        <v>350</v>
      </c>
      <c r="J59" s="234" t="s">
        <v>2600</v>
      </c>
      <c r="K59" s="233">
        <v>0</v>
      </c>
      <c r="L59" s="233" t="s">
        <v>48</v>
      </c>
      <c r="M59" s="235">
        <v>0.9</v>
      </c>
      <c r="N59" s="235">
        <v>0.9</v>
      </c>
      <c r="O59" s="609">
        <v>3</v>
      </c>
      <c r="P59" s="615">
        <v>1</v>
      </c>
      <c r="Q59" s="615">
        <v>0</v>
      </c>
      <c r="R59" s="604">
        <v>0</v>
      </c>
      <c r="S59" s="604">
        <v>0</v>
      </c>
      <c r="T59" s="604"/>
      <c r="U59" s="604"/>
      <c r="V59" s="604"/>
      <c r="W59" s="604"/>
      <c r="X59" s="604"/>
      <c r="Y59" s="604"/>
      <c r="Z59" s="628">
        <v>23</v>
      </c>
      <c r="AA59" s="628">
        <v>0</v>
      </c>
      <c r="AB59" s="629">
        <v>4</v>
      </c>
      <c r="AC59" s="628">
        <v>0</v>
      </c>
      <c r="AD59" s="628" t="s">
        <v>293</v>
      </c>
      <c r="AE59" s="599" t="s">
        <v>1379</v>
      </c>
      <c r="AF59" s="631"/>
      <c r="AG59" s="628"/>
      <c r="AH59" s="628"/>
      <c r="AI59" s="659">
        <v>1</v>
      </c>
      <c r="AJ59" s="644" t="s">
        <v>301</v>
      </c>
      <c r="AK59" s="644">
        <v>0</v>
      </c>
      <c r="AL59" s="645">
        <v>5</v>
      </c>
      <c r="AM59" s="645">
        <v>2</v>
      </c>
      <c r="AN59" s="646">
        <v>131</v>
      </c>
      <c r="AO59" s="647">
        <v>131</v>
      </c>
      <c r="AP59" s="647"/>
      <c r="AQ59" s="658"/>
      <c r="AR59" s="235" t="str">
        <f>IFERROR(WWWW[[#This Row],['# of Water passed at source]]/WWWW[[#This Row],['# of Water tested at source]],"no test")</f>
        <v>no test</v>
      </c>
      <c r="AS59" s="237" t="str">
        <f>IFERROR(WWWW[[#This Row],['# of Water passed at HH]]/WWWW[[#This Row],['# of Water tested at HH]],"no test")</f>
        <v>no test</v>
      </c>
      <c r="AT59" s="237">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U59" s="237">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AV59" s="237">
        <f>IF(WWWW[[#This Row],[Location Type 1]]="Village",WWWW[[#This Row],[Access to safe drinking water for Village]],WWWW[[#This Row],[Access to safe drinking water for Camp]])</f>
        <v>1</v>
      </c>
      <c r="AW59" s="414">
        <f>WWWW[[#This Row],[%Equitable and continuous access to sufficient quantity of safe drinking water]]*WWWW[[#This Row],[Total PoP ]]</f>
        <v>757</v>
      </c>
      <c r="AX59" s="237">
        <f>IF((WWWW[[#This Row],['# Existing protected/fenced ponds ]]*250)/WWWW[[#This Row],[Total PoP ]]&gt;1,1,WWWW[[#This Row],['# Existing protected/fenced ponds ]]*250/WWWW[[#This Row],[Total PoP ]])</f>
        <v>0</v>
      </c>
      <c r="AY59" s="414">
        <f>WWWW[[#This Row],[Access to unimproved water points]]*WWWW[[#This Row],[Total PoP ]]</f>
        <v>0</v>
      </c>
      <c r="AZ59" s="237">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A59" s="414">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757</v>
      </c>
      <c r="BB59" s="414">
        <f>WWWW[[#This Row],['#people Equitable and continuous access to sufficient quantity of domestic water borehole n ponds_2]]/500</f>
        <v>1.514</v>
      </c>
      <c r="BC59" s="235">
        <f>1-WWWW[[#This Row],[%Equitable and continuous access to sufficient quantity of domestic water borehole n ponds]]</f>
        <v>0</v>
      </c>
      <c r="BD59" s="414">
        <f>WWWW[[#This Row],[%equitable and continuous access to sufficient quantity of safe drinking and domestic water''s GAP]]*WWWW[[#This Row],[Total PoP ]]</f>
        <v>0</v>
      </c>
      <c r="BE59" s="238">
        <f>IF(WWWW[[#This Row],[Total required water points]]-WWWW[[#This Row],['#Water points coverage]]&lt;0,0,WWWW[[#This Row],[Total required water points]]-WWWW[[#This Row],['#Water points coverage]])</f>
        <v>0.48599999999999999</v>
      </c>
      <c r="BF59" s="238">
        <f>ROUND(IF(WWWW[[#This Row],[Total PoP ]]&lt;500,1,WWWW[[#This Row],[Total PoP ]]/500),0)</f>
        <v>2</v>
      </c>
      <c r="BG59" s="238" t="str">
        <f>IF(AND(WWWW[[#This Row],[%of Water samples which passed at water source]]="no test",WWWW[[#This Row],[%Water samples which passed at HH]]="no test"),"No Test","Tested")</f>
        <v>No Test</v>
      </c>
      <c r="BH59" s="238">
        <f>WWWW[[#This Row],['# Existing functional latrines]]+WWWW[[#This Row],['# Existing latrines dysfunctional]]</f>
        <v>23</v>
      </c>
      <c r="BI59" s="235">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0.607661822985469</v>
      </c>
      <c r="BJ59" s="675">
        <f>WWWW[[#This Row],[% people access to functioning Latrine]]*WWWW[[#This Row],[Total PoP ]]</f>
        <v>460.00000000000006</v>
      </c>
      <c r="BK59" s="235">
        <f>IF(WWWW[[#This Row],[Location Type 1]]="camp",WWWW[[#This Row],['# potential required new latrines]]/(WWWW[[#This Row],[Total PoP ]]/20),WWWW[[#This Row],['# potential required new latrines]]/(WWWW[[#This Row],[Total PoP ]]/6))</f>
        <v>0.39630118890356669</v>
      </c>
      <c r="BL59" s="414">
        <f>IF(WWWW[[#This Row],[Total required Latrines]]-WWWW[[#This Row],[Total '# of latrine]]&lt;0,0,WWWW[[#This Row],[Total required Latrines]]-WWWW[[#This Row],[Total '# of latrine]])</f>
        <v>15</v>
      </c>
      <c r="BM59" s="238">
        <f>ROUND(IF(WWWW[[#This Row],[Location Type 1]]="camp",WWWW[[#This Row],[Total PoP ]]/20,WWWW[[#This Row],[Total PoP ]]/6),0)</f>
        <v>38</v>
      </c>
      <c r="BN59" s="239">
        <f>IF(OR(WWWW[[#This Row],['# Existing latrines dysfunctional]]="",WWWW[[#This Row],['# Existing latrines dysfunctional]]=0),0,WWWW[[#This Row],['# Existing latrines dysfunctional]]/WWWW[[#This Row],[Total '# of latrine]])</f>
        <v>0</v>
      </c>
      <c r="BO59" s="675">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80</v>
      </c>
      <c r="BP59" s="235">
        <f>WWWW[[#This Row],[People adopt basic personal and community hygiene practices]]/WWWW[[#This Row],[Total PoP ]]</f>
        <v>1</v>
      </c>
      <c r="BQ59" s="239">
        <f>1-WWWW[[#This Row],[Hygiene Coverage%]]</f>
        <v>0</v>
      </c>
      <c r="BR59" s="414">
        <f>IF(500*WWWW[[#This Row],['# Hygiene Promoters ]]&gt;WWWW[[#This Row],[Total PoP ]],WWWW[[#This Row],[Total PoP ]],500*WWWW[[#This Row],['# Hygiene Promoters ]])</f>
        <v>757</v>
      </c>
      <c r="BS59" s="414">
        <f>IF(WWWW[[#This Row],[% of HH with access to Sanitary Pad]]&gt;=100%,1,0)</f>
        <v>1</v>
      </c>
      <c r="BT59" s="414">
        <f>IF(WWWW[[#This Row],[Total PoP ]]=0,0,IF(WWWW[[#This Row],['# Hygiene Promoters ]]=0,0,IF(WWWW[[#This Row],[Location Type 1]]="Village",IF(WWWW[[#This Row],[Total PoP ]]/WWWW[[#This Row],['# Hygiene Promoters ]]&lt;1000,1,0),IF(WWWW[[#This Row],[Total PoP ]]/WWWW[[#This Row],['# Hygiene Promoters ]]&lt;600,1,0))))</f>
        <v>1</v>
      </c>
      <c r="BU59" s="414">
        <f>IF(WWWW[[#This Row],[%HH with access to soap]]&gt;=100%,1,0)</f>
        <v>1</v>
      </c>
      <c r="BV59" s="414">
        <f>IF(WWWW[[#This Row],[% of HHs with access to Sanitary pad more than '#%]]+WWWW[[#This Row],[Ratio of Hyiene promoters to people less than '#]]+WWWW[[#This Row],[% of HHs with access to soap more than '#%]]&gt;=2,WWWW[[#This Row],[Total PoP ]],0)</f>
        <v>757</v>
      </c>
      <c r="BW59" s="346">
        <f>WWWW[[#This Row],['# people reached by regular dedicated hygiene promotion_5]]/WWWW[[#This Row],[Total PoP ]]</f>
        <v>1</v>
      </c>
      <c r="BX59" s="346">
        <f>IF(WWWW[[#This Row],['# HH received soaps]]/WWWW[[#This Row],[Total HH]]&gt;1,1,WWWW[[#This Row],['# HH received soaps]]/WWWW[[#This Row],[Total HH]])</f>
        <v>1</v>
      </c>
      <c r="BY59" s="346">
        <f>IF(WWWW[[#This Row],['# HH received Sanitary Pads]]/WWWW[[#This Row],[Total HH]]&gt;1,1,WWWW[[#This Row],['# HH received Sanitary Pads]]/WWWW[[#This Row],[Total HH]])</f>
        <v>1</v>
      </c>
      <c r="BZ59" s="720">
        <f>WWWW[[#This Row],['# HH received soaps]]*5</f>
        <v>655</v>
      </c>
      <c r="CA59" s="720">
        <f>WWWW[[#This Row],['# HH received Sanitary Pads]]*5</f>
        <v>655</v>
      </c>
      <c r="CB59" s="238">
        <f>IF(WWWW[[#This Row],['# People with access to soap]]&gt;WWWW[[#This Row],['# People with access to Sanity Pads]],WWWW[[#This Row],['# People with access to soap]],WWWW[[#This Row],['# People with access to Sanity Pads]])</f>
        <v>655</v>
      </c>
      <c r="CC59" s="414">
        <f>WWWW[[#This Row],[Total HH]]*WWWW[[#This Row],[%HHs with access to functional hand washing stations]]</f>
        <v>131</v>
      </c>
      <c r="CD59" s="240" t="str">
        <f>VLOOKUP(WWWW[[#This Row],[Site Name]],SiteDB6[],8,FALSE)</f>
        <v>Yes</v>
      </c>
      <c r="CE59" s="240" t="str">
        <f>VLOOKUP(WWWW[[#This Row],[Site Name]],SiteDB6[],9,FALSE)</f>
        <v>Shalom</v>
      </c>
      <c r="CF59" s="240" t="str">
        <f>VLOOKUP(WWWW[[#This Row],[Site Name]],SiteDB6[],10,FALSE)</f>
        <v>Camp</v>
      </c>
      <c r="CG59" s="240" t="str">
        <f>VLOOKUP(WWWW[[#This Row],[Site Name]],SiteDB6[],11,FALSE)</f>
        <v>Camp</v>
      </c>
      <c r="CH59" s="240" t="str">
        <f>VLOOKUP(WWWW[[#This Row],[Site Name]],SiteDB6[],12,FALSE)</f>
        <v>Camp</v>
      </c>
      <c r="CI59" s="240" t="str">
        <f>VLOOKUP(WWWW[[#This Row],[Site Name]],SiteDB6[],13,FALSE)</f>
        <v>GCA</v>
      </c>
      <c r="CJ59" s="240">
        <f>VLOOKUP(WWWW[[#This Row],[Site Name]],SiteDB6[],14,FALSE)</f>
        <v>24.2631743589744</v>
      </c>
      <c r="CK59" s="240">
        <f>VLOOKUP(WWWW[[#This Row],[Site Name]],SiteDB6[],15,FALSE)</f>
        <v>97.240183461538507</v>
      </c>
      <c r="CL59" s="240" t="str">
        <f>VLOOKUP(WWWW[[#This Row],[Site Name]],SiteDB6[],4,FALSE)</f>
        <v>MMR001CMP049</v>
      </c>
      <c r="CM59" s="235" t="str">
        <f t="shared" si="0"/>
        <v>Covered</v>
      </c>
      <c r="CN59" s="235"/>
    </row>
    <row r="60" spans="1:92" ht="15.75" customHeight="1" x14ac:dyDescent="0.25">
      <c r="A60" s="532" t="s">
        <v>1409</v>
      </c>
      <c r="B60" s="533" t="s">
        <v>436</v>
      </c>
      <c r="C60" s="533" t="s">
        <v>44</v>
      </c>
      <c r="D60" s="533" t="s">
        <v>361</v>
      </c>
      <c r="E60" s="533" t="s">
        <v>443</v>
      </c>
      <c r="F60" s="233">
        <v>197</v>
      </c>
      <c r="G60" s="414">
        <v>1092</v>
      </c>
      <c r="H60" s="387"/>
      <c r="I60" s="387" t="s">
        <v>401</v>
      </c>
      <c r="J60" s="234">
        <v>43220</v>
      </c>
      <c r="K60" s="233">
        <v>0</v>
      </c>
      <c r="L60" s="233" t="s">
        <v>48</v>
      </c>
      <c r="M60" s="235">
        <v>1</v>
      </c>
      <c r="N60" s="235">
        <v>0</v>
      </c>
      <c r="O60" s="609">
        <v>2</v>
      </c>
      <c r="P60" s="615">
        <v>3</v>
      </c>
      <c r="Q60" s="615">
        <v>604500</v>
      </c>
      <c r="R60" s="604">
        <v>0</v>
      </c>
      <c r="S60" s="604">
        <v>0</v>
      </c>
      <c r="T60" s="604"/>
      <c r="U60" s="604">
        <v>0</v>
      </c>
      <c r="V60" s="604">
        <v>10</v>
      </c>
      <c r="W60" s="604">
        <v>10</v>
      </c>
      <c r="X60" s="604">
        <v>0</v>
      </c>
      <c r="Y60" s="604"/>
      <c r="Z60" s="628">
        <v>40</v>
      </c>
      <c r="AA60" s="628">
        <v>0</v>
      </c>
      <c r="AB60" s="629">
        <v>22</v>
      </c>
      <c r="AC60" s="628">
        <v>0</v>
      </c>
      <c r="AD60" s="628" t="s">
        <v>293</v>
      </c>
      <c r="AE60" s="631" t="s">
        <v>293</v>
      </c>
      <c r="AF60" s="631">
        <v>0</v>
      </c>
      <c r="AG60" s="628">
        <v>0</v>
      </c>
      <c r="AH60" s="628"/>
      <c r="AI60" s="659">
        <v>1</v>
      </c>
      <c r="AJ60" s="644" t="s">
        <v>301</v>
      </c>
      <c r="AK60" s="644">
        <v>0</v>
      </c>
      <c r="AL60" s="645">
        <v>5</v>
      </c>
      <c r="AM60" s="645">
        <v>4</v>
      </c>
      <c r="AN60" s="646">
        <v>148</v>
      </c>
      <c r="AO60" s="647">
        <v>0</v>
      </c>
      <c r="AP60" s="647" t="s">
        <v>292</v>
      </c>
      <c r="AQ60" s="658"/>
      <c r="AR60" s="235" t="str">
        <f>IFERROR(WWWW[[#This Row],['# of Water passed at source]]/WWWW[[#This Row],['# of Water tested at source]],"no test")</f>
        <v>no test</v>
      </c>
      <c r="AS60" s="237">
        <f>IFERROR(WWWW[[#This Row],['# of Water passed at HH]]/WWWW[[#This Row],['# of Water tested at HH]],"no test")</f>
        <v>1</v>
      </c>
      <c r="AT60" s="237">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U60" s="237">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AV60" s="237">
        <f>IF(WWWW[[#This Row],[Location Type 1]]="Village",WWWW[[#This Row],[Access to safe drinking water for Village]],WWWW[[#This Row],[Access to safe drinking water for Camp]])</f>
        <v>1</v>
      </c>
      <c r="AW60" s="414">
        <f>WWWW[[#This Row],[%Equitable and continuous access to sufficient quantity of safe drinking water]]*WWWW[[#This Row],[Total PoP ]]</f>
        <v>1092</v>
      </c>
      <c r="AX60" s="237">
        <f>IF((WWWW[[#This Row],['# Existing protected/fenced ponds ]]*250)/WWWW[[#This Row],[Total PoP ]]&gt;1,1,WWWW[[#This Row],['# Existing protected/fenced ponds ]]*250/WWWW[[#This Row],[Total PoP ]])</f>
        <v>0</v>
      </c>
      <c r="AY60" s="414">
        <f>WWWW[[#This Row],[Access to unimproved water points]]*WWWW[[#This Row],[Total PoP ]]</f>
        <v>0</v>
      </c>
      <c r="AZ60" s="237">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A60" s="414">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1092</v>
      </c>
      <c r="BB60" s="414">
        <f>WWWW[[#This Row],['#people Equitable and continuous access to sufficient quantity of domestic water borehole n ponds_2]]/500</f>
        <v>2.1840000000000002</v>
      </c>
      <c r="BC60" s="235">
        <f>1-WWWW[[#This Row],[%Equitable and continuous access to sufficient quantity of domestic water borehole n ponds]]</f>
        <v>0</v>
      </c>
      <c r="BD60" s="414">
        <f>WWWW[[#This Row],[%equitable and continuous access to sufficient quantity of safe drinking and domestic water''s GAP]]*WWWW[[#This Row],[Total PoP ]]</f>
        <v>0</v>
      </c>
      <c r="BE60" s="238">
        <f>IF(WWWW[[#This Row],[Total required water points]]-WWWW[[#This Row],['#Water points coverage]]&lt;0,0,WWWW[[#This Row],[Total required water points]]-WWWW[[#This Row],['#Water points coverage]])</f>
        <v>0</v>
      </c>
      <c r="BF60" s="238">
        <f>ROUND(IF(WWWW[[#This Row],[Total PoP ]]&lt;500,1,WWWW[[#This Row],[Total PoP ]]/500),0)</f>
        <v>2</v>
      </c>
      <c r="BG60" s="238" t="str">
        <f>IF(AND(WWWW[[#This Row],[%of Water samples which passed at water source]]="no test",WWWW[[#This Row],[%Water samples which passed at HH]]="no test"),"No Test","Tested")</f>
        <v>Tested</v>
      </c>
      <c r="BH60" s="238">
        <f>WWWW[[#This Row],['# Existing functional latrines]]+WWWW[[#This Row],['# Existing latrines dysfunctional]]</f>
        <v>40</v>
      </c>
      <c r="BI60" s="235">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0.73260073260073255</v>
      </c>
      <c r="BJ60" s="675">
        <f>WWWW[[#This Row],[% people access to functioning Latrine]]*WWWW[[#This Row],[Total PoP ]]</f>
        <v>800</v>
      </c>
      <c r="BK60" s="235">
        <f>IF(WWWW[[#This Row],[Location Type 1]]="camp",WWWW[[#This Row],['# potential required new latrines]]/(WWWW[[#This Row],[Total PoP ]]/20),WWWW[[#This Row],['# potential required new latrines]]/(WWWW[[#This Row],[Total PoP ]]/6))</f>
        <v>0.27472527472527469</v>
      </c>
      <c r="BL60" s="414">
        <f>IF(WWWW[[#This Row],[Total required Latrines]]-WWWW[[#This Row],[Total '# of latrine]]&lt;0,0,WWWW[[#This Row],[Total required Latrines]]-WWWW[[#This Row],[Total '# of latrine]])</f>
        <v>15</v>
      </c>
      <c r="BM60" s="238">
        <f>ROUND(IF(WWWW[[#This Row],[Location Type 1]]="camp",WWWW[[#This Row],[Total PoP ]]/20,WWWW[[#This Row],[Total PoP ]]/6),0)</f>
        <v>55</v>
      </c>
      <c r="BN60" s="239">
        <f>IF(OR(WWWW[[#This Row],['# Existing latrines dysfunctional]]="",WWWW[[#This Row],['# Existing latrines dysfunctional]]=0),0,WWWW[[#This Row],['# Existing latrines dysfunctional]]/WWWW[[#This Row],[Total '# of latrine]])</f>
        <v>0</v>
      </c>
      <c r="BO60" s="675">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440</v>
      </c>
      <c r="BP60" s="235">
        <f>WWWW[[#This Row],[People adopt basic personal and community hygiene practices]]/WWWW[[#This Row],[Total PoP ]]</f>
        <v>0</v>
      </c>
      <c r="BQ60" s="239">
        <f>1-WWWW[[#This Row],[Hygiene Coverage%]]</f>
        <v>1</v>
      </c>
      <c r="BR60" s="414">
        <f>IF(500*WWWW[[#This Row],['# Hygiene Promoters ]]&gt;WWWW[[#This Row],[Total PoP ]],WWWW[[#This Row],[Total PoP ]],500*WWWW[[#This Row],['# Hygiene Promoters ]])</f>
        <v>1092</v>
      </c>
      <c r="BS60" s="414">
        <f>IF(WWWW[[#This Row],[% of HH with access to Sanitary Pad]]&gt;=100%,1,0)</f>
        <v>0</v>
      </c>
      <c r="BT60" s="414">
        <f>IF(WWWW[[#This Row],[Total PoP ]]=0,0,IF(WWWW[[#This Row],['# Hygiene Promoters ]]=0,0,IF(WWWW[[#This Row],[Location Type 1]]="Village",IF(WWWW[[#This Row],[Total PoP ]]/WWWW[[#This Row],['# Hygiene Promoters ]]&lt;1000,1,0),IF(WWWW[[#This Row],[Total PoP ]]/WWWW[[#This Row],['# Hygiene Promoters ]]&lt;600,1,0))))</f>
        <v>1</v>
      </c>
      <c r="BU60" s="414">
        <f>IF(WWWW[[#This Row],[%HH with access to soap]]&gt;=100%,1,0)</f>
        <v>0</v>
      </c>
      <c r="BV60" s="414">
        <f>IF(WWWW[[#This Row],[% of HHs with access to Sanitary pad more than '#%]]+WWWW[[#This Row],[Ratio of Hyiene promoters to people less than '#]]+WWWW[[#This Row],[% of HHs with access to soap more than '#%]]&gt;=2,WWWW[[#This Row],[Total PoP ]],0)</f>
        <v>0</v>
      </c>
      <c r="BW60" s="346">
        <f>WWWW[[#This Row],['# people reached by regular dedicated hygiene promotion_5]]/WWWW[[#This Row],[Total PoP ]]</f>
        <v>1</v>
      </c>
      <c r="BX60" s="346">
        <f>IF(WWWW[[#This Row],['# HH received soaps]]/WWWW[[#This Row],[Total HH]]&gt;1,1,WWWW[[#This Row],['# HH received soaps]]/WWWW[[#This Row],[Total HH]])</f>
        <v>0.75126903553299496</v>
      </c>
      <c r="BY60" s="346">
        <f>IF(WWWW[[#This Row],['# HH received Sanitary Pads]]/WWWW[[#This Row],[Total HH]]&gt;1,1,WWWW[[#This Row],['# HH received Sanitary Pads]]/WWWW[[#This Row],[Total HH]])</f>
        <v>0</v>
      </c>
      <c r="BZ60" s="720">
        <f>WWWW[[#This Row],['# HH received soaps]]*5</f>
        <v>740</v>
      </c>
      <c r="CA60" s="720">
        <f>WWWW[[#This Row],['# HH received Sanitary Pads]]*5</f>
        <v>0</v>
      </c>
      <c r="CB60" s="238">
        <f>IF(WWWW[[#This Row],['# People with access to soap]]&gt;WWWW[[#This Row],['# People with access to Sanity Pads]],WWWW[[#This Row],['# People with access to soap]],WWWW[[#This Row],['# People with access to Sanity Pads]])</f>
        <v>740</v>
      </c>
      <c r="CC60" s="414">
        <f>WWWW[[#This Row],[Total HH]]*WWWW[[#This Row],[%HHs with access to functional hand washing stations]]</f>
        <v>197</v>
      </c>
      <c r="CD60" s="240" t="str">
        <f>VLOOKUP(WWWW[[#This Row],[Site Name]],SiteDB6[],8,FALSE)</f>
        <v>Yes</v>
      </c>
      <c r="CE60" s="240" t="str">
        <f>VLOOKUP(WWWW[[#This Row],[Site Name]],SiteDB6[],9,FALSE)</f>
        <v>KBC</v>
      </c>
      <c r="CF60" s="240" t="str">
        <f>VLOOKUP(WWWW[[#This Row],[Site Name]],SiteDB6[],10,FALSE)</f>
        <v>Camp</v>
      </c>
      <c r="CG60" s="240" t="str">
        <f>VLOOKUP(WWWW[[#This Row],[Site Name]],SiteDB6[],11,FALSE)</f>
        <v>Camp</v>
      </c>
      <c r="CH60" s="240" t="str">
        <f>VLOOKUP(WWWW[[#This Row],[Site Name]],SiteDB6[],12,FALSE)</f>
        <v>Camp</v>
      </c>
      <c r="CI60" s="240" t="str">
        <f>VLOOKUP(WWWW[[#This Row],[Site Name]],SiteDB6[],13,FALSE)</f>
        <v>GCA</v>
      </c>
      <c r="CJ60" s="240">
        <f>VLOOKUP(WWWW[[#This Row],[Site Name]],SiteDB6[],14,FALSE)</f>
        <v>24.200433</v>
      </c>
      <c r="CK60" s="240">
        <f>VLOOKUP(WWWW[[#This Row],[Site Name]],SiteDB6[],15,FALSE)</f>
        <v>97.717133000000004</v>
      </c>
      <c r="CL60" s="240" t="str">
        <f>VLOOKUP(WWWW[[#This Row],[Site Name]],SiteDB6[],4,FALSE)</f>
        <v>MMR001CMP070</v>
      </c>
      <c r="CM60" s="235" t="str">
        <f t="shared" si="0"/>
        <v>Covered</v>
      </c>
      <c r="CN60" s="235"/>
    </row>
    <row r="61" spans="1:92" ht="15.75" customHeight="1" x14ac:dyDescent="0.25">
      <c r="A61" s="532" t="s">
        <v>1409</v>
      </c>
      <c r="B61" s="533" t="s">
        <v>297</v>
      </c>
      <c r="C61" s="533" t="s">
        <v>44</v>
      </c>
      <c r="D61" s="533" t="s">
        <v>329</v>
      </c>
      <c r="E61" s="533" t="s">
        <v>330</v>
      </c>
      <c r="F61" s="233">
        <v>61</v>
      </c>
      <c r="G61" s="414">
        <v>281</v>
      </c>
      <c r="H61" s="387"/>
      <c r="I61" s="387" t="s">
        <v>306</v>
      </c>
      <c r="J61" s="234">
        <v>43131</v>
      </c>
      <c r="K61" s="233">
        <v>0</v>
      </c>
      <c r="L61" s="233" t="s">
        <v>48</v>
      </c>
      <c r="M61" s="235">
        <v>0.6</v>
      </c>
      <c r="N61" s="235">
        <v>0.5</v>
      </c>
      <c r="O61" s="609">
        <v>1</v>
      </c>
      <c r="P61" s="615">
        <v>0</v>
      </c>
      <c r="Q61" s="615">
        <v>2000</v>
      </c>
      <c r="R61" s="604">
        <v>1</v>
      </c>
      <c r="S61" s="604">
        <v>0</v>
      </c>
      <c r="T61" s="604">
        <v>0</v>
      </c>
      <c r="U61" s="604">
        <v>0</v>
      </c>
      <c r="V61" s="604">
        <v>0</v>
      </c>
      <c r="W61" s="604">
        <v>0</v>
      </c>
      <c r="X61" s="604">
        <v>0</v>
      </c>
      <c r="Y61" s="604"/>
      <c r="Z61" s="628">
        <v>8</v>
      </c>
      <c r="AA61" s="628">
        <v>0</v>
      </c>
      <c r="AB61" s="629">
        <v>0</v>
      </c>
      <c r="AC61" s="628">
        <v>0</v>
      </c>
      <c r="AD61" s="628" t="s">
        <v>293</v>
      </c>
      <c r="AE61" s="631" t="s">
        <v>293</v>
      </c>
      <c r="AF61" s="631"/>
      <c r="AG61" s="628"/>
      <c r="AH61" s="628"/>
      <c r="AI61" s="659">
        <v>0.6</v>
      </c>
      <c r="AJ61" s="644" t="s">
        <v>301</v>
      </c>
      <c r="AK61" s="644">
        <v>0</v>
      </c>
      <c r="AL61" s="645">
        <v>2</v>
      </c>
      <c r="AM61" s="645">
        <v>2</v>
      </c>
      <c r="AN61" s="646">
        <v>0</v>
      </c>
      <c r="AO61" s="647">
        <v>0</v>
      </c>
      <c r="AP61" s="647"/>
      <c r="AQ61" s="658"/>
      <c r="AR61" s="235" t="str">
        <f>IFERROR(WWWW[[#This Row],['# of Water passed at source]]/WWWW[[#This Row],['# of Water tested at source]],"no test")</f>
        <v>no test</v>
      </c>
      <c r="AS61" s="237" t="str">
        <f>IFERROR(WWWW[[#This Row],['# of Water passed at HH]]/WWWW[[#This Row],['# of Water tested at HH]],"no test")</f>
        <v>no test</v>
      </c>
      <c r="AT61" s="237">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U61" s="237">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AV61" s="237">
        <f>IF(WWWW[[#This Row],[Location Type 1]]="Village",WWWW[[#This Row],[Access to safe drinking water for Village]],WWWW[[#This Row],[Access to safe drinking water for Camp]])</f>
        <v>1</v>
      </c>
      <c r="AW61" s="414">
        <f>WWWW[[#This Row],[%Equitable and continuous access to sufficient quantity of safe drinking water]]*WWWW[[#This Row],[Total PoP ]]</f>
        <v>281</v>
      </c>
      <c r="AX61" s="237">
        <f>IF((WWWW[[#This Row],['# Existing protected/fenced ponds ]]*250)/WWWW[[#This Row],[Total PoP ]]&gt;1,1,WWWW[[#This Row],['# Existing protected/fenced ponds ]]*250/WWWW[[#This Row],[Total PoP ]])</f>
        <v>0.88967971530249113</v>
      </c>
      <c r="AY61" s="236">
        <f>WWWW[[#This Row],[Access to unimproved water points]]*WWWW[[#This Row],[Total PoP ]]</f>
        <v>250</v>
      </c>
      <c r="AZ61" s="237">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A61" s="414">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281</v>
      </c>
      <c r="BB61" s="414">
        <f>WWWW[[#This Row],['#people Equitable and continuous access to sufficient quantity of domestic water borehole n ponds_2]]/500</f>
        <v>0.56200000000000006</v>
      </c>
      <c r="BC61" s="235">
        <f>1-WWWW[[#This Row],[%Equitable and continuous access to sufficient quantity of domestic water borehole n ponds]]</f>
        <v>0</v>
      </c>
      <c r="BD61" s="236">
        <f>WWWW[[#This Row],[%equitable and continuous access to sufficient quantity of safe drinking and domestic water''s GAP]]*WWWW[[#This Row],[Total PoP ]]</f>
        <v>0</v>
      </c>
      <c r="BE61" s="238">
        <f>IF(WWWW[[#This Row],[Total required water points]]-WWWW[[#This Row],['#Water points coverage]]&lt;0,0,WWWW[[#This Row],[Total required water points]]-WWWW[[#This Row],['#Water points coverage]])</f>
        <v>0.43799999999999994</v>
      </c>
      <c r="BF61" s="238">
        <f>ROUND(IF(WWWW[[#This Row],[Total PoP ]]&lt;500,1,WWWW[[#This Row],[Total PoP ]]/500),0)</f>
        <v>1</v>
      </c>
      <c r="BG61" s="238" t="str">
        <f>IF(AND(WWWW[[#This Row],[%of Water samples which passed at water source]]="no test",WWWW[[#This Row],[%Water samples which passed at HH]]="no test"),"No Test","Tested")</f>
        <v>No Test</v>
      </c>
      <c r="BH61" s="238">
        <f>WWWW[[#This Row],['# Existing functional latrines]]+WWWW[[#This Row],['# Existing latrines dysfunctional]]</f>
        <v>8</v>
      </c>
      <c r="BI61" s="235">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0.56939501779359436</v>
      </c>
      <c r="BJ61" s="675">
        <f>WWWW[[#This Row],[% people access to functioning Latrine]]*WWWW[[#This Row],[Total PoP ]]</f>
        <v>160.00000000000003</v>
      </c>
      <c r="BK61" s="235">
        <f>IF(WWWW[[#This Row],[Location Type 1]]="camp",WWWW[[#This Row],['# potential required new latrines]]/(WWWW[[#This Row],[Total PoP ]]/20),WWWW[[#This Row],['# potential required new latrines]]/(WWWW[[#This Row],[Total PoP ]]/6))</f>
        <v>0.42704626334519569</v>
      </c>
      <c r="BL61" s="236">
        <f>IF(WWWW[[#This Row],[Total required Latrines]]-WWWW[[#This Row],[Total '# of latrine]]&lt;0,0,WWWW[[#This Row],[Total required Latrines]]-WWWW[[#This Row],[Total '# of latrine]])</f>
        <v>6</v>
      </c>
      <c r="BM61" s="238">
        <f>ROUND(IF(WWWW[[#This Row],[Location Type 1]]="camp",WWWW[[#This Row],[Total PoP ]]/20,WWWW[[#This Row],[Total PoP ]]/6),0)</f>
        <v>14</v>
      </c>
      <c r="BN61" s="239">
        <f>IF(OR(WWWW[[#This Row],['# Existing latrines dysfunctional]]="",WWWW[[#This Row],['# Existing latrines dysfunctional]]=0),0,WWWW[[#This Row],['# Existing latrines dysfunctional]]/WWWW[[#This Row],[Total '# of latrine]])</f>
        <v>0</v>
      </c>
      <c r="BO61" s="675">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P61" s="235">
        <f>WWWW[[#This Row],[People adopt basic personal and community hygiene practices]]/WWWW[[#This Row],[Total PoP ]]</f>
        <v>0</v>
      </c>
      <c r="BQ61" s="239">
        <f>1-WWWW[[#This Row],[Hygiene Coverage%]]</f>
        <v>1</v>
      </c>
      <c r="BR61" s="414">
        <f>IF(500*WWWW[[#This Row],['# Hygiene Promoters ]]&gt;WWWW[[#This Row],[Total PoP ]],WWWW[[#This Row],[Total PoP ]],500*WWWW[[#This Row],['# Hygiene Promoters ]])</f>
        <v>281</v>
      </c>
      <c r="BS61" s="414">
        <f>IF(WWWW[[#This Row],[% of HH with access to Sanitary Pad]]&gt;=100%,1,0)</f>
        <v>0</v>
      </c>
      <c r="BT61" s="414">
        <f>IF(WWWW[[#This Row],[Total PoP ]]=0,0,IF(WWWW[[#This Row],['# Hygiene Promoters ]]=0,0,IF(WWWW[[#This Row],[Location Type 1]]="Village",IF(WWWW[[#This Row],[Total PoP ]]/WWWW[[#This Row],['# Hygiene Promoters ]]&lt;1000,1,0),IF(WWWW[[#This Row],[Total PoP ]]/WWWW[[#This Row],['# Hygiene Promoters ]]&lt;600,1,0))))</f>
        <v>1</v>
      </c>
      <c r="BU61" s="414">
        <f>IF(WWWW[[#This Row],[%HH with access to soap]]&gt;=100%,1,0)</f>
        <v>0</v>
      </c>
      <c r="BV61" s="414">
        <f>IF(WWWW[[#This Row],[% of HHs with access to Sanitary pad more than '#%]]+WWWW[[#This Row],[Ratio of Hyiene promoters to people less than '#]]+WWWW[[#This Row],[% of HHs with access to soap more than '#%]]&gt;=2,WWWW[[#This Row],[Total PoP ]],0)</f>
        <v>0</v>
      </c>
      <c r="BW61" s="346">
        <f>WWWW[[#This Row],['# people reached by regular dedicated hygiene promotion_5]]/WWWW[[#This Row],[Total PoP ]]</f>
        <v>1</v>
      </c>
      <c r="BX61" s="346">
        <f>IF(WWWW[[#This Row],['# HH received soaps]]/WWWW[[#This Row],[Total HH]]&gt;1,1,WWWW[[#This Row],['# HH received soaps]]/WWWW[[#This Row],[Total HH]])</f>
        <v>0</v>
      </c>
      <c r="BY61" s="346">
        <f>IF(WWWW[[#This Row],['# HH received Sanitary Pads]]/WWWW[[#This Row],[Total HH]]&gt;1,1,WWWW[[#This Row],['# HH received Sanitary Pads]]/WWWW[[#This Row],[Total HH]])</f>
        <v>0</v>
      </c>
      <c r="BZ61" s="720">
        <f>WWWW[[#This Row],['# HH received soaps]]*5</f>
        <v>0</v>
      </c>
      <c r="CA61" s="720">
        <f>WWWW[[#This Row],['# HH received Sanitary Pads]]*5</f>
        <v>0</v>
      </c>
      <c r="CB61" s="238">
        <f>IF(WWWW[[#This Row],['# People with access to soap]]&gt;WWWW[[#This Row],['# People with access to Sanity Pads]],WWWW[[#This Row],['# People with access to soap]],WWWW[[#This Row],['# People with access to Sanity Pads]])</f>
        <v>0</v>
      </c>
      <c r="CC61" s="236">
        <f>WWWW[[#This Row],[Total HH]]*WWWW[[#This Row],[%HHs with access to functional hand washing stations]]</f>
        <v>36.6</v>
      </c>
      <c r="CD61" s="240" t="str">
        <f>VLOOKUP(WWWW[[#This Row],[Site Name]],SiteDB6[],8,FALSE)</f>
        <v>Yes</v>
      </c>
      <c r="CE61" s="240" t="str">
        <f>VLOOKUP(WWWW[[#This Row],[Site Name]],SiteDB6[],9,FALSE)</f>
        <v>KBC</v>
      </c>
      <c r="CF61" s="240" t="str">
        <f>VLOOKUP(WWWW[[#This Row],[Site Name]],SiteDB6[],10,FALSE)</f>
        <v>Camp</v>
      </c>
      <c r="CG61" s="240" t="str">
        <f>VLOOKUP(WWWW[[#This Row],[Site Name]],SiteDB6[],11,FALSE)</f>
        <v>Camp</v>
      </c>
      <c r="CH61" s="240" t="str">
        <f>VLOOKUP(WWWW[[#This Row],[Site Name]],SiteDB6[],12,FALSE)</f>
        <v>Camp</v>
      </c>
      <c r="CI61" s="240" t="str">
        <f>VLOOKUP(WWWW[[#This Row],[Site Name]],SiteDB6[],13,FALSE)</f>
        <v>GCA</v>
      </c>
      <c r="CJ61" s="240">
        <f>VLOOKUP(WWWW[[#This Row],[Site Name]],SiteDB6[],14,FALSE)</f>
        <v>27.337499999999999</v>
      </c>
      <c r="CK61" s="240">
        <f>VLOOKUP(WWWW[[#This Row],[Site Name]],SiteDB6[],15,FALSE)</f>
        <v>97.416121000000004</v>
      </c>
      <c r="CL61" s="240" t="str">
        <f>VLOOKUP(WWWW[[#This Row],[Site Name]],SiteDB6[],4,FALSE)</f>
        <v>MMR001CMP234</v>
      </c>
      <c r="CM61" s="235" t="str">
        <f t="shared" si="0"/>
        <v>Covered</v>
      </c>
      <c r="CN61" s="235"/>
    </row>
    <row r="62" spans="1:92" ht="15.75" customHeight="1" x14ac:dyDescent="0.25">
      <c r="A62" s="532" t="s">
        <v>1409</v>
      </c>
      <c r="B62" s="533" t="s">
        <v>43</v>
      </c>
      <c r="C62" s="533" t="s">
        <v>44</v>
      </c>
      <c r="D62" s="533" t="s">
        <v>308</v>
      </c>
      <c r="E62" s="533" t="s">
        <v>397</v>
      </c>
      <c r="F62" s="233">
        <v>20</v>
      </c>
      <c r="G62" s="414">
        <v>105</v>
      </c>
      <c r="H62" s="387"/>
      <c r="I62" s="387" t="s">
        <v>398</v>
      </c>
      <c r="J62" s="234">
        <v>43465</v>
      </c>
      <c r="K62" s="233">
        <v>0</v>
      </c>
      <c r="L62" s="233" t="s">
        <v>48</v>
      </c>
      <c r="M62" s="235">
        <v>0.4</v>
      </c>
      <c r="N62" s="235">
        <v>0.1</v>
      </c>
      <c r="O62" s="609">
        <v>3</v>
      </c>
      <c r="P62" s="615">
        <v>0</v>
      </c>
      <c r="Q62" s="615">
        <v>6000</v>
      </c>
      <c r="R62" s="604">
        <v>0</v>
      </c>
      <c r="S62" s="604">
        <v>0</v>
      </c>
      <c r="T62" s="604">
        <v>0</v>
      </c>
      <c r="U62" s="604">
        <v>0</v>
      </c>
      <c r="V62" s="604">
        <v>0</v>
      </c>
      <c r="W62" s="604">
        <v>0</v>
      </c>
      <c r="X62" s="604">
        <v>0</v>
      </c>
      <c r="Y62" s="604"/>
      <c r="Z62" s="628">
        <v>20</v>
      </c>
      <c r="AA62" s="628">
        <v>0</v>
      </c>
      <c r="AB62" s="629">
        <v>0</v>
      </c>
      <c r="AC62" s="628">
        <v>0</v>
      </c>
      <c r="AD62" s="628" t="s">
        <v>293</v>
      </c>
      <c r="AE62" s="631" t="s">
        <v>1379</v>
      </c>
      <c r="AF62" s="631">
        <v>0</v>
      </c>
      <c r="AG62" s="628">
        <v>0</v>
      </c>
      <c r="AH62" s="628"/>
      <c r="AI62" s="659">
        <v>0</v>
      </c>
      <c r="AJ62" s="650" t="s">
        <v>386</v>
      </c>
      <c r="AK62" s="644">
        <v>0</v>
      </c>
      <c r="AL62" s="645">
        <v>0</v>
      </c>
      <c r="AM62" s="645">
        <v>0</v>
      </c>
      <c r="AN62" s="646">
        <v>0</v>
      </c>
      <c r="AO62" s="647">
        <v>0</v>
      </c>
      <c r="AP62" s="647" t="s">
        <v>292</v>
      </c>
      <c r="AQ62" s="658"/>
      <c r="AR62" s="235" t="str">
        <f>IFERROR(WWWW[[#This Row],['# of Water passed at source]]/WWWW[[#This Row],['# of Water tested at source]],"no test")</f>
        <v>no test</v>
      </c>
      <c r="AS62" s="237" t="str">
        <f>IFERROR(WWWW[[#This Row],['# of Water passed at HH]]/WWWW[[#This Row],['# of Water tested at HH]],"no test")</f>
        <v>no test</v>
      </c>
      <c r="AT62" s="237">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U62" s="237">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AV62" s="237">
        <f>IF(WWWW[[#This Row],[Location Type 1]]="Village",WWWW[[#This Row],[Access to safe drinking water for Village]],WWWW[[#This Row],[Access to safe drinking water for Camp]])</f>
        <v>1</v>
      </c>
      <c r="AW62" s="414">
        <f>WWWW[[#This Row],[%Equitable and continuous access to sufficient quantity of safe drinking water]]*WWWW[[#This Row],[Total PoP ]]</f>
        <v>105</v>
      </c>
      <c r="AX62" s="237">
        <f>IF((WWWW[[#This Row],['# Existing protected/fenced ponds ]]*250)/WWWW[[#This Row],[Total PoP ]]&gt;1,1,WWWW[[#This Row],['# Existing protected/fenced ponds ]]*250/WWWW[[#This Row],[Total PoP ]])</f>
        <v>0</v>
      </c>
      <c r="AY62" s="236">
        <f>WWWW[[#This Row],[Access to unimproved water points]]*WWWW[[#This Row],[Total PoP ]]</f>
        <v>0</v>
      </c>
      <c r="AZ62" s="237">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A62" s="414">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105</v>
      </c>
      <c r="BB62" s="414">
        <f>WWWW[[#This Row],['#people Equitable and continuous access to sufficient quantity of domestic water borehole n ponds_2]]/500</f>
        <v>0.21</v>
      </c>
      <c r="BC62" s="235">
        <f>1-WWWW[[#This Row],[%Equitable and continuous access to sufficient quantity of domestic water borehole n ponds]]</f>
        <v>0</v>
      </c>
      <c r="BD62" s="236">
        <f>WWWW[[#This Row],[%equitable and continuous access to sufficient quantity of safe drinking and domestic water''s GAP]]*WWWW[[#This Row],[Total PoP ]]</f>
        <v>0</v>
      </c>
      <c r="BE62" s="238">
        <f>IF(WWWW[[#This Row],[Total required water points]]-WWWW[[#This Row],['#Water points coverage]]&lt;0,0,WWWW[[#This Row],[Total required water points]]-WWWW[[#This Row],['#Water points coverage]])</f>
        <v>0.79</v>
      </c>
      <c r="BF62" s="238">
        <f>ROUND(IF(WWWW[[#This Row],[Total PoP ]]&lt;500,1,WWWW[[#This Row],[Total PoP ]]/500),0)</f>
        <v>1</v>
      </c>
      <c r="BG62" s="238" t="str">
        <f>IF(AND(WWWW[[#This Row],[%of Water samples which passed at water source]]="no test",WWWW[[#This Row],[%Water samples which passed at HH]]="no test"),"No Test","Tested")</f>
        <v>No Test</v>
      </c>
      <c r="BH62" s="238">
        <f>WWWW[[#This Row],['# Existing functional latrines]]+WWWW[[#This Row],['# Existing latrines dysfunctional]]</f>
        <v>20</v>
      </c>
      <c r="BI62" s="235">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1</v>
      </c>
      <c r="BJ62" s="675">
        <f>WWWW[[#This Row],[% people access to functioning Latrine]]*WWWW[[#This Row],[Total PoP ]]</f>
        <v>105</v>
      </c>
      <c r="BK62" s="235">
        <f>IF(WWWW[[#This Row],[Location Type 1]]="camp",WWWW[[#This Row],['# potential required new latrines]]/(WWWW[[#This Row],[Total PoP ]]/20),WWWW[[#This Row],['# potential required new latrines]]/(WWWW[[#This Row],[Total PoP ]]/6))</f>
        <v>0</v>
      </c>
      <c r="BL62" s="236">
        <f>IF(WWWW[[#This Row],[Total required Latrines]]-WWWW[[#This Row],[Total '# of latrine]]&lt;0,0,WWWW[[#This Row],[Total required Latrines]]-WWWW[[#This Row],[Total '# of latrine]])</f>
        <v>0</v>
      </c>
      <c r="BM62" s="238">
        <f>ROUND(IF(WWWW[[#This Row],[Location Type 1]]="camp",WWWW[[#This Row],[Total PoP ]]/20,WWWW[[#This Row],[Total PoP ]]/6),0)</f>
        <v>5</v>
      </c>
      <c r="BN62" s="239">
        <f>IF(OR(WWWW[[#This Row],['# Existing latrines dysfunctional]]="",WWWW[[#This Row],['# Existing latrines dysfunctional]]=0),0,WWWW[[#This Row],['# Existing latrines dysfunctional]]/WWWW[[#This Row],[Total '# of latrine]])</f>
        <v>0</v>
      </c>
      <c r="BO62" s="675">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P62" s="235">
        <f>WWWW[[#This Row],[People adopt basic personal and community hygiene practices]]/WWWW[[#This Row],[Total PoP ]]</f>
        <v>0</v>
      </c>
      <c r="BQ62" s="239">
        <f>1-WWWW[[#This Row],[Hygiene Coverage%]]</f>
        <v>1</v>
      </c>
      <c r="BR62" s="414">
        <f>IF(500*WWWW[[#This Row],['# Hygiene Promoters ]]&gt;WWWW[[#This Row],[Total PoP ]],WWWW[[#This Row],[Total PoP ]],500*WWWW[[#This Row],['# Hygiene Promoters ]])</f>
        <v>0</v>
      </c>
      <c r="BS62" s="414">
        <f>IF(WWWW[[#This Row],[% of HH with access to Sanitary Pad]]&gt;=100%,1,0)</f>
        <v>0</v>
      </c>
      <c r="BT62" s="414">
        <f>IF(WWWW[[#This Row],[Total PoP ]]=0,0,IF(WWWW[[#This Row],['# Hygiene Promoters ]]=0,0,IF(WWWW[[#This Row],[Location Type 1]]="Village",IF(WWWW[[#This Row],[Total PoP ]]/WWWW[[#This Row],['# Hygiene Promoters ]]&lt;1000,1,0),IF(WWWW[[#This Row],[Total PoP ]]/WWWW[[#This Row],['# Hygiene Promoters ]]&lt;600,1,0))))</f>
        <v>0</v>
      </c>
      <c r="BU62" s="414">
        <f>IF(WWWW[[#This Row],[%HH with access to soap]]&gt;=100%,1,0)</f>
        <v>0</v>
      </c>
      <c r="BV62" s="414">
        <f>IF(WWWW[[#This Row],[% of HHs with access to Sanitary pad more than '#%]]+WWWW[[#This Row],[Ratio of Hyiene promoters to people less than '#]]+WWWW[[#This Row],[% of HHs with access to soap more than '#%]]&gt;=2,WWWW[[#This Row],[Total PoP ]],0)</f>
        <v>0</v>
      </c>
      <c r="BW62" s="346">
        <f>WWWW[[#This Row],['# people reached by regular dedicated hygiene promotion_5]]/WWWW[[#This Row],[Total PoP ]]</f>
        <v>0</v>
      </c>
      <c r="BX62" s="346">
        <f>IF(WWWW[[#This Row],['# HH received soaps]]/WWWW[[#This Row],[Total HH]]&gt;1,1,WWWW[[#This Row],['# HH received soaps]]/WWWW[[#This Row],[Total HH]])</f>
        <v>0</v>
      </c>
      <c r="BY62" s="346">
        <f>IF(WWWW[[#This Row],['# HH received Sanitary Pads]]/WWWW[[#This Row],[Total HH]]&gt;1,1,WWWW[[#This Row],['# HH received Sanitary Pads]]/WWWW[[#This Row],[Total HH]])</f>
        <v>0</v>
      </c>
      <c r="BZ62" s="720">
        <f>WWWW[[#This Row],['# HH received soaps]]*5</f>
        <v>0</v>
      </c>
      <c r="CA62" s="720">
        <f>WWWW[[#This Row],['# HH received Sanitary Pads]]*5</f>
        <v>0</v>
      </c>
      <c r="CB62" s="238">
        <f>IF(WWWW[[#This Row],['# People with access to soap]]&gt;WWWW[[#This Row],['# People with access to Sanity Pads]],WWWW[[#This Row],['# People with access to soap]],WWWW[[#This Row],['# People with access to Sanity Pads]])</f>
        <v>0</v>
      </c>
      <c r="CC62" s="236">
        <f>WWWW[[#This Row],[Total HH]]*WWWW[[#This Row],[%HHs with access to functional hand washing stations]]</f>
        <v>0</v>
      </c>
      <c r="CD62" s="240">
        <f>VLOOKUP(WWWW[[#This Row],[Site Name]],SiteDB6[],8,FALSE)</f>
        <v>0</v>
      </c>
      <c r="CE62" s="240">
        <f>VLOOKUP(WWWW[[#This Row],[Site Name]],SiteDB6[],9,FALSE)</f>
        <v>0</v>
      </c>
      <c r="CF62" s="240" t="str">
        <f>VLOOKUP(WWWW[[#This Row],[Site Name]],SiteDB6[],10,FALSE)</f>
        <v>Camp</v>
      </c>
      <c r="CG62" s="240" t="str">
        <f>VLOOKUP(WWWW[[#This Row],[Site Name]],SiteDB6[],11,FALSE)</f>
        <v>Camp</v>
      </c>
      <c r="CH62" s="240" t="str">
        <f>VLOOKUP(WWWW[[#This Row],[Site Name]],SiteDB6[],12,FALSE)</f>
        <v>Camp like setting</v>
      </c>
      <c r="CI62" s="240" t="str">
        <f>VLOOKUP(WWWW[[#This Row],[Site Name]],SiteDB6[],13,FALSE)</f>
        <v>GCA</v>
      </c>
      <c r="CJ62" s="240">
        <f>VLOOKUP(WWWW[[#This Row],[Site Name]],SiteDB6[],14,FALSE)</f>
        <v>25.299679999999999</v>
      </c>
      <c r="CK62" s="240">
        <f>VLOOKUP(WWWW[[#This Row],[Site Name]],SiteDB6[],15,FALSE)</f>
        <v>96.942279999999997</v>
      </c>
      <c r="CL62" s="240" t="str">
        <f>VLOOKUP(WWWW[[#This Row],[Site Name]],SiteDB6[],4,FALSE)</f>
        <v>MMR001CMP237</v>
      </c>
      <c r="CM62" s="235" t="str">
        <f t="shared" si="0"/>
        <v>Covered</v>
      </c>
      <c r="CN62" s="235"/>
    </row>
    <row r="63" spans="1:92" ht="15.75" customHeight="1" x14ac:dyDescent="0.25">
      <c r="A63" s="532" t="s">
        <v>1409</v>
      </c>
      <c r="B63" s="531" t="s">
        <v>297</v>
      </c>
      <c r="C63" s="531" t="s">
        <v>44</v>
      </c>
      <c r="D63" s="531" t="s">
        <v>298</v>
      </c>
      <c r="E63" s="531" t="s">
        <v>332</v>
      </c>
      <c r="F63" s="233">
        <v>31</v>
      </c>
      <c r="G63" s="414">
        <v>178</v>
      </c>
      <c r="H63" s="233"/>
      <c r="I63" s="233" t="s">
        <v>300</v>
      </c>
      <c r="J63" s="234">
        <v>43555</v>
      </c>
      <c r="K63" s="233">
        <v>0</v>
      </c>
      <c r="L63" s="233" t="s">
        <v>48</v>
      </c>
      <c r="M63" s="235">
        <v>0.6</v>
      </c>
      <c r="N63" s="235">
        <v>0.5</v>
      </c>
      <c r="O63" s="609">
        <v>2</v>
      </c>
      <c r="P63" s="615">
        <v>1</v>
      </c>
      <c r="Q63" s="615">
        <v>0</v>
      </c>
      <c r="R63" s="604">
        <v>0</v>
      </c>
      <c r="S63" s="604">
        <v>0</v>
      </c>
      <c r="T63" s="604">
        <v>0</v>
      </c>
      <c r="U63" s="604">
        <v>0</v>
      </c>
      <c r="V63" s="604">
        <v>0</v>
      </c>
      <c r="W63" s="604">
        <v>0</v>
      </c>
      <c r="X63" s="604">
        <v>0</v>
      </c>
      <c r="Y63" s="604"/>
      <c r="Z63" s="628">
        <v>6</v>
      </c>
      <c r="AA63" s="628">
        <v>0</v>
      </c>
      <c r="AB63" s="629">
        <v>0</v>
      </c>
      <c r="AC63" s="628">
        <v>0</v>
      </c>
      <c r="AD63" s="628" t="s">
        <v>293</v>
      </c>
      <c r="AE63" s="631" t="s">
        <v>1379</v>
      </c>
      <c r="AF63" s="631"/>
      <c r="AG63" s="628"/>
      <c r="AH63" s="628"/>
      <c r="AI63" s="659">
        <v>0.6</v>
      </c>
      <c r="AJ63" s="644" t="s">
        <v>301</v>
      </c>
      <c r="AK63" s="644">
        <v>0</v>
      </c>
      <c r="AL63" s="645">
        <v>3</v>
      </c>
      <c r="AM63" s="645">
        <v>1</v>
      </c>
      <c r="AN63" s="646">
        <v>0</v>
      </c>
      <c r="AO63" s="647">
        <v>0</v>
      </c>
      <c r="AP63" s="647"/>
      <c r="AQ63" s="658"/>
      <c r="AR63" s="235" t="str">
        <f>IFERROR(WWWW[[#This Row],['# of Water passed at source]]/WWWW[[#This Row],['# of Water tested at source]],"no test")</f>
        <v>no test</v>
      </c>
      <c r="AS63" s="237" t="str">
        <f>IFERROR(WWWW[[#This Row],['# of Water passed at HH]]/WWWW[[#This Row],['# of Water tested at HH]],"no test")</f>
        <v>no test</v>
      </c>
      <c r="AT63" s="237">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U63" s="237">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AV63" s="237">
        <f>IF(WWWW[[#This Row],[Location Type 1]]="Village",WWWW[[#This Row],[Access to safe drinking water for Village]],WWWW[[#This Row],[Access to safe drinking water for Camp]])</f>
        <v>1</v>
      </c>
      <c r="AW63" s="414">
        <f>WWWW[[#This Row],[%Equitable and continuous access to sufficient quantity of safe drinking water]]*WWWW[[#This Row],[Total PoP ]]</f>
        <v>178</v>
      </c>
      <c r="AX63" s="237">
        <f>IF((WWWW[[#This Row],['# Existing protected/fenced ponds ]]*250)/WWWW[[#This Row],[Total PoP ]]&gt;1,1,WWWW[[#This Row],['# Existing protected/fenced ponds ]]*250/WWWW[[#This Row],[Total PoP ]])</f>
        <v>0</v>
      </c>
      <c r="AY63" s="414">
        <f>WWWW[[#This Row],[Access to unimproved water points]]*WWWW[[#This Row],[Total PoP ]]</f>
        <v>0</v>
      </c>
      <c r="AZ63" s="237">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A63" s="414">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178</v>
      </c>
      <c r="BB63" s="414">
        <f>WWWW[[#This Row],['#people Equitable and continuous access to sufficient quantity of domestic water borehole n ponds_2]]/500</f>
        <v>0.35599999999999998</v>
      </c>
      <c r="BC63" s="235">
        <f>1-WWWW[[#This Row],[%Equitable and continuous access to sufficient quantity of domestic water borehole n ponds]]</f>
        <v>0</v>
      </c>
      <c r="BD63" s="414">
        <f>WWWW[[#This Row],[%equitable and continuous access to sufficient quantity of safe drinking and domestic water''s GAP]]*WWWW[[#This Row],[Total PoP ]]</f>
        <v>0</v>
      </c>
      <c r="BE63" s="238">
        <f>IF(WWWW[[#This Row],[Total required water points]]-WWWW[[#This Row],['#Water points coverage]]&lt;0,0,WWWW[[#This Row],[Total required water points]]-WWWW[[#This Row],['#Water points coverage]])</f>
        <v>0.64400000000000002</v>
      </c>
      <c r="BF63" s="238">
        <f>ROUND(IF(WWWW[[#This Row],[Total PoP ]]&lt;500,1,WWWW[[#This Row],[Total PoP ]]/500),0)</f>
        <v>1</v>
      </c>
      <c r="BG63" s="238" t="str">
        <f>IF(AND(WWWW[[#This Row],[%of Water samples which passed at water source]]="no test",WWWW[[#This Row],[%Water samples which passed at HH]]="no test"),"No Test","Tested")</f>
        <v>No Test</v>
      </c>
      <c r="BH63" s="238">
        <f>WWWW[[#This Row],['# Existing functional latrines]]+WWWW[[#This Row],['# Existing latrines dysfunctional]]</f>
        <v>6</v>
      </c>
      <c r="BI63" s="235">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0.6741573033707865</v>
      </c>
      <c r="BJ63" s="675">
        <f>WWWW[[#This Row],[% people access to functioning Latrine]]*WWWW[[#This Row],[Total PoP ]]</f>
        <v>120</v>
      </c>
      <c r="BK63" s="235">
        <f>IF(WWWW[[#This Row],[Location Type 1]]="camp",WWWW[[#This Row],['# potential required new latrines]]/(WWWW[[#This Row],[Total PoP ]]/20),WWWW[[#This Row],['# potential required new latrines]]/(WWWW[[#This Row],[Total PoP ]]/6))</f>
        <v>0.33707865168539325</v>
      </c>
      <c r="BL63" s="414">
        <f>IF(WWWW[[#This Row],[Total required Latrines]]-WWWW[[#This Row],[Total '# of latrine]]&lt;0,0,WWWW[[#This Row],[Total required Latrines]]-WWWW[[#This Row],[Total '# of latrine]])</f>
        <v>3</v>
      </c>
      <c r="BM63" s="238">
        <f>ROUND(IF(WWWW[[#This Row],[Location Type 1]]="camp",WWWW[[#This Row],[Total PoP ]]/20,WWWW[[#This Row],[Total PoP ]]/6),0)</f>
        <v>9</v>
      </c>
      <c r="BN63" s="239">
        <f>IF(OR(WWWW[[#This Row],['# Existing latrines dysfunctional]]="",WWWW[[#This Row],['# Existing latrines dysfunctional]]=0),0,WWWW[[#This Row],['# Existing latrines dysfunctional]]/WWWW[[#This Row],[Total '# of latrine]])</f>
        <v>0</v>
      </c>
      <c r="BO63" s="675">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P63" s="235">
        <f>WWWW[[#This Row],[People adopt basic personal and community hygiene practices]]/WWWW[[#This Row],[Total PoP ]]</f>
        <v>0</v>
      </c>
      <c r="BQ63" s="239">
        <f>1-WWWW[[#This Row],[Hygiene Coverage%]]</f>
        <v>1</v>
      </c>
      <c r="BR63" s="414">
        <f>IF(500*WWWW[[#This Row],['# Hygiene Promoters ]]&gt;WWWW[[#This Row],[Total PoP ]],WWWW[[#This Row],[Total PoP ]],500*WWWW[[#This Row],['# Hygiene Promoters ]])</f>
        <v>178</v>
      </c>
      <c r="BS63" s="414">
        <f>IF(WWWW[[#This Row],[% of HH with access to Sanitary Pad]]&gt;=100%,1,0)</f>
        <v>0</v>
      </c>
      <c r="BT63" s="414">
        <f>IF(WWWW[[#This Row],[Total PoP ]]=0,0,IF(WWWW[[#This Row],['# Hygiene Promoters ]]=0,0,IF(WWWW[[#This Row],[Location Type 1]]="Village",IF(WWWW[[#This Row],[Total PoP ]]/WWWW[[#This Row],['# Hygiene Promoters ]]&lt;1000,1,0),IF(WWWW[[#This Row],[Total PoP ]]/WWWW[[#This Row],['# Hygiene Promoters ]]&lt;600,1,0))))</f>
        <v>1</v>
      </c>
      <c r="BU63" s="414">
        <f>IF(WWWW[[#This Row],[%HH with access to soap]]&gt;=100%,1,0)</f>
        <v>0</v>
      </c>
      <c r="BV63" s="414">
        <f>IF(WWWW[[#This Row],[% of HHs with access to Sanitary pad more than '#%]]+WWWW[[#This Row],[Ratio of Hyiene promoters to people less than '#]]+WWWW[[#This Row],[% of HHs with access to soap more than '#%]]&gt;=2,WWWW[[#This Row],[Total PoP ]],0)</f>
        <v>0</v>
      </c>
      <c r="BW63" s="346">
        <f>WWWW[[#This Row],['# people reached by regular dedicated hygiene promotion_5]]/WWWW[[#This Row],[Total PoP ]]</f>
        <v>1</v>
      </c>
      <c r="BX63" s="346">
        <f>IF(WWWW[[#This Row],['# HH received soaps]]/WWWW[[#This Row],[Total HH]]&gt;1,1,WWWW[[#This Row],['# HH received soaps]]/WWWW[[#This Row],[Total HH]])</f>
        <v>0</v>
      </c>
      <c r="BY63" s="346">
        <f>IF(WWWW[[#This Row],['# HH received Sanitary Pads]]/WWWW[[#This Row],[Total HH]]&gt;1,1,WWWW[[#This Row],['# HH received Sanitary Pads]]/WWWW[[#This Row],[Total HH]])</f>
        <v>0</v>
      </c>
      <c r="BZ63" s="720">
        <f>WWWW[[#This Row],['# HH received soaps]]*5</f>
        <v>0</v>
      </c>
      <c r="CA63" s="720">
        <f>WWWW[[#This Row],['# HH received Sanitary Pads]]*5</f>
        <v>0</v>
      </c>
      <c r="CB63" s="238">
        <f>IF(WWWW[[#This Row],['# People with access to soap]]&gt;WWWW[[#This Row],['# People with access to Sanity Pads]],WWWW[[#This Row],['# People with access to soap]],WWWW[[#This Row],['# People with access to Sanity Pads]])</f>
        <v>0</v>
      </c>
      <c r="CC63" s="414">
        <f>WWWW[[#This Row],[Total HH]]*WWWW[[#This Row],[%HHs with access to functional hand washing stations]]</f>
        <v>18.599999999999998</v>
      </c>
      <c r="CD63" s="240" t="str">
        <f>VLOOKUP(WWWW[[#This Row],[Site Name]],SiteDB6[],8,FALSE)</f>
        <v>Yes</v>
      </c>
      <c r="CE63" s="240" t="str">
        <f>VLOOKUP(WWWW[[#This Row],[Site Name]],SiteDB6[],9,FALSE)</f>
        <v>KBC</v>
      </c>
      <c r="CF63" s="240" t="str">
        <f>VLOOKUP(WWWW[[#This Row],[Site Name]],SiteDB6[],10,FALSE)</f>
        <v>Camp</v>
      </c>
      <c r="CG63" s="240" t="str">
        <f>VLOOKUP(WWWW[[#This Row],[Site Name]],SiteDB6[],11,FALSE)</f>
        <v>Camp</v>
      </c>
      <c r="CH63" s="240" t="str">
        <f>VLOOKUP(WWWW[[#This Row],[Site Name]],SiteDB6[],12,FALSE)</f>
        <v>Camp</v>
      </c>
      <c r="CI63" s="240" t="str">
        <f>VLOOKUP(WWWW[[#This Row],[Site Name]],SiteDB6[],13,FALSE)</f>
        <v>GCA</v>
      </c>
      <c r="CJ63" s="240">
        <f>VLOOKUP(WWWW[[#This Row],[Site Name]],SiteDB6[],14,FALSE)</f>
        <v>25.356632000000001</v>
      </c>
      <c r="CK63" s="240">
        <f>VLOOKUP(WWWW[[#This Row],[Site Name]],SiteDB6[],15,FALSE)</f>
        <v>97.451965000000001</v>
      </c>
      <c r="CL63" s="240" t="str">
        <f>VLOOKUP(WWWW[[#This Row],[Site Name]],SiteDB6[],4,FALSE)</f>
        <v>MMR001CMP027</v>
      </c>
      <c r="CM63" s="235" t="str">
        <f t="shared" si="0"/>
        <v>Covered</v>
      </c>
      <c r="CN63" s="235"/>
    </row>
    <row r="64" spans="1:92" ht="15.75" customHeight="1" x14ac:dyDescent="0.25">
      <c r="A64" s="532" t="s">
        <v>1409</v>
      </c>
      <c r="B64" s="533" t="s">
        <v>297</v>
      </c>
      <c r="C64" s="533" t="s">
        <v>44</v>
      </c>
      <c r="D64" s="533" t="s">
        <v>298</v>
      </c>
      <c r="E64" s="533" t="s">
        <v>333</v>
      </c>
      <c r="F64" s="233">
        <v>440</v>
      </c>
      <c r="G64" s="414">
        <v>1723</v>
      </c>
      <c r="H64" s="233"/>
      <c r="I64" s="233" t="s">
        <v>300</v>
      </c>
      <c r="J64" s="234">
        <v>43555</v>
      </c>
      <c r="K64" s="233">
        <v>0</v>
      </c>
      <c r="L64" s="233" t="s">
        <v>48</v>
      </c>
      <c r="M64" s="235">
        <v>0.6</v>
      </c>
      <c r="N64" s="235">
        <v>0.5</v>
      </c>
      <c r="O64" s="609">
        <v>0</v>
      </c>
      <c r="P64" s="615">
        <v>0</v>
      </c>
      <c r="Q64" s="615">
        <v>349920</v>
      </c>
      <c r="R64" s="604">
        <v>0</v>
      </c>
      <c r="S64" s="604">
        <v>0</v>
      </c>
      <c r="T64" s="604">
        <v>0</v>
      </c>
      <c r="U64" s="604">
        <v>0</v>
      </c>
      <c r="V64" s="604">
        <v>0</v>
      </c>
      <c r="W64" s="604">
        <v>0</v>
      </c>
      <c r="X64" s="604">
        <v>0</v>
      </c>
      <c r="Y64" s="604"/>
      <c r="Z64" s="628">
        <v>500</v>
      </c>
      <c r="AA64" s="628">
        <v>0</v>
      </c>
      <c r="AB64" s="629">
        <v>0</v>
      </c>
      <c r="AC64" s="628">
        <v>0</v>
      </c>
      <c r="AD64" s="628" t="s">
        <v>293</v>
      </c>
      <c r="AE64" s="631" t="s">
        <v>293</v>
      </c>
      <c r="AF64" s="631"/>
      <c r="AG64" s="628"/>
      <c r="AH64" s="628"/>
      <c r="AI64" s="659">
        <v>0.6</v>
      </c>
      <c r="AJ64" s="644" t="s">
        <v>294</v>
      </c>
      <c r="AK64" s="644">
        <v>0</v>
      </c>
      <c r="AL64" s="645">
        <v>12</v>
      </c>
      <c r="AM64" s="645">
        <v>6</v>
      </c>
      <c r="AN64" s="646">
        <v>0</v>
      </c>
      <c r="AO64" s="647">
        <v>0</v>
      </c>
      <c r="AP64" s="647"/>
      <c r="AQ64" s="658"/>
      <c r="AR64" s="235" t="str">
        <f>IFERROR(WWWW[[#This Row],['# of Water passed at source]]/WWWW[[#This Row],['# of Water tested at source]],"no test")</f>
        <v>no test</v>
      </c>
      <c r="AS64" s="237" t="str">
        <f>IFERROR(WWWW[[#This Row],['# of Water passed at HH]]/WWWW[[#This Row],['# of Water tested at HH]],"no test")</f>
        <v>no test</v>
      </c>
      <c r="AT64" s="237">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U64" s="237">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AV64" s="237">
        <f>IF(WWWW[[#This Row],[Location Type 1]]="Village",WWWW[[#This Row],[Access to safe drinking water for Village]],WWWW[[#This Row],[Access to safe drinking water for Camp]])</f>
        <v>1</v>
      </c>
      <c r="AW64" s="414">
        <f>WWWW[[#This Row],[%Equitable and continuous access to sufficient quantity of safe drinking water]]*WWWW[[#This Row],[Total PoP ]]</f>
        <v>1723</v>
      </c>
      <c r="AX64" s="237">
        <f>IF((WWWW[[#This Row],['# Existing protected/fenced ponds ]]*250)/WWWW[[#This Row],[Total PoP ]]&gt;1,1,WWWW[[#This Row],['# Existing protected/fenced ponds ]]*250/WWWW[[#This Row],[Total PoP ]])</f>
        <v>0</v>
      </c>
      <c r="AY64" s="414">
        <f>WWWW[[#This Row],[Access to unimproved water points]]*WWWW[[#This Row],[Total PoP ]]</f>
        <v>0</v>
      </c>
      <c r="AZ64" s="237">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A64" s="414">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1723</v>
      </c>
      <c r="BB64" s="414">
        <f>WWWW[[#This Row],['#people Equitable and continuous access to sufficient quantity of domestic water borehole n ponds_2]]/500</f>
        <v>3.4460000000000002</v>
      </c>
      <c r="BC64" s="235">
        <f>1-WWWW[[#This Row],[%Equitable and continuous access to sufficient quantity of domestic water borehole n ponds]]</f>
        <v>0</v>
      </c>
      <c r="BD64" s="414">
        <f>WWWW[[#This Row],[%equitable and continuous access to sufficient quantity of safe drinking and domestic water''s GAP]]*WWWW[[#This Row],[Total PoP ]]</f>
        <v>0</v>
      </c>
      <c r="BE64" s="238">
        <f>IF(WWWW[[#This Row],[Total required water points]]-WWWW[[#This Row],['#Water points coverage]]&lt;0,0,WWWW[[#This Row],[Total required water points]]-WWWW[[#This Row],['#Water points coverage]])</f>
        <v>0</v>
      </c>
      <c r="BF64" s="238">
        <f>ROUND(IF(WWWW[[#This Row],[Total PoP ]]&lt;500,1,WWWW[[#This Row],[Total PoP ]]/500),0)</f>
        <v>3</v>
      </c>
      <c r="BG64" s="238" t="str">
        <f>IF(AND(WWWW[[#This Row],[%of Water samples which passed at water source]]="no test",WWWW[[#This Row],[%Water samples which passed at HH]]="no test"),"No Test","Tested")</f>
        <v>No Test</v>
      </c>
      <c r="BH64" s="238">
        <f>WWWW[[#This Row],['# Existing functional latrines]]+WWWW[[#This Row],['# Existing latrines dysfunctional]]</f>
        <v>500</v>
      </c>
      <c r="BI64" s="235">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1</v>
      </c>
      <c r="BJ64" s="675">
        <f>WWWW[[#This Row],[% people access to functioning Latrine]]*WWWW[[#This Row],[Total PoP ]]</f>
        <v>1723</v>
      </c>
      <c r="BK64" s="235">
        <f>IF(WWWW[[#This Row],[Location Type 1]]="camp",WWWW[[#This Row],['# potential required new latrines]]/(WWWW[[#This Row],[Total PoP ]]/20),WWWW[[#This Row],['# potential required new latrines]]/(WWWW[[#This Row],[Total PoP ]]/6))</f>
        <v>0</v>
      </c>
      <c r="BL64" s="414">
        <f>IF(WWWW[[#This Row],[Total required Latrines]]-WWWW[[#This Row],[Total '# of latrine]]&lt;0,0,WWWW[[#This Row],[Total required Latrines]]-WWWW[[#This Row],[Total '# of latrine]])</f>
        <v>0</v>
      </c>
      <c r="BM64" s="238">
        <f>ROUND(IF(WWWW[[#This Row],[Location Type 1]]="camp",WWWW[[#This Row],[Total PoP ]]/20,WWWW[[#This Row],[Total PoP ]]/6),0)</f>
        <v>287</v>
      </c>
      <c r="BN64" s="239">
        <f>IF(OR(WWWW[[#This Row],['# Existing latrines dysfunctional]]="",WWWW[[#This Row],['# Existing latrines dysfunctional]]=0),0,WWWW[[#This Row],['# Existing latrines dysfunctional]]/WWWW[[#This Row],[Total '# of latrine]])</f>
        <v>0</v>
      </c>
      <c r="BO64" s="675">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P64" s="235">
        <f>WWWW[[#This Row],[People adopt basic personal and community hygiene practices]]/WWWW[[#This Row],[Total PoP ]]</f>
        <v>0</v>
      </c>
      <c r="BQ64" s="239">
        <f>1-WWWW[[#This Row],[Hygiene Coverage%]]</f>
        <v>1</v>
      </c>
      <c r="BR64" s="414">
        <f>IF(500*WWWW[[#This Row],['# Hygiene Promoters ]]&gt;WWWW[[#This Row],[Total PoP ]],WWWW[[#This Row],[Total PoP ]],500*WWWW[[#This Row],['# Hygiene Promoters ]])</f>
        <v>1723</v>
      </c>
      <c r="BS64" s="414">
        <f>IF(WWWW[[#This Row],[% of HH with access to Sanitary Pad]]&gt;=100%,1,0)</f>
        <v>0</v>
      </c>
      <c r="BT64" s="414">
        <f>IF(WWWW[[#This Row],[Total PoP ]]=0,0,IF(WWWW[[#This Row],['# Hygiene Promoters ]]=0,0,IF(WWWW[[#This Row],[Location Type 1]]="Village",IF(WWWW[[#This Row],[Total PoP ]]/WWWW[[#This Row],['# Hygiene Promoters ]]&lt;1000,1,0),IF(WWWW[[#This Row],[Total PoP ]]/WWWW[[#This Row],['# Hygiene Promoters ]]&lt;600,1,0))))</f>
        <v>1</v>
      </c>
      <c r="BU64" s="414">
        <f>IF(WWWW[[#This Row],[%HH with access to soap]]&gt;=100%,1,0)</f>
        <v>0</v>
      </c>
      <c r="BV64" s="414">
        <f>IF(WWWW[[#This Row],[% of HHs with access to Sanitary pad more than '#%]]+WWWW[[#This Row],[Ratio of Hyiene promoters to people less than '#]]+WWWW[[#This Row],[% of HHs with access to soap more than '#%]]&gt;=2,WWWW[[#This Row],[Total PoP ]],0)</f>
        <v>0</v>
      </c>
      <c r="BW64" s="346">
        <f>WWWW[[#This Row],['# people reached by regular dedicated hygiene promotion_5]]/WWWW[[#This Row],[Total PoP ]]</f>
        <v>1</v>
      </c>
      <c r="BX64" s="346">
        <f>IF(WWWW[[#This Row],['# HH received soaps]]/WWWW[[#This Row],[Total HH]]&gt;1,1,WWWW[[#This Row],['# HH received soaps]]/WWWW[[#This Row],[Total HH]])</f>
        <v>0</v>
      </c>
      <c r="BY64" s="346">
        <f>IF(WWWW[[#This Row],['# HH received Sanitary Pads]]/WWWW[[#This Row],[Total HH]]&gt;1,1,WWWW[[#This Row],['# HH received Sanitary Pads]]/WWWW[[#This Row],[Total HH]])</f>
        <v>0</v>
      </c>
      <c r="BZ64" s="720">
        <f>WWWW[[#This Row],['# HH received soaps]]*5</f>
        <v>0</v>
      </c>
      <c r="CA64" s="720">
        <f>WWWW[[#This Row],['# HH received Sanitary Pads]]*5</f>
        <v>0</v>
      </c>
      <c r="CB64" s="238">
        <f>IF(WWWW[[#This Row],['# People with access to soap]]&gt;WWWW[[#This Row],['# People with access to Sanity Pads]],WWWW[[#This Row],['# People with access to soap]],WWWW[[#This Row],['# People with access to Sanity Pads]])</f>
        <v>0</v>
      </c>
      <c r="CC64" s="414">
        <f>WWWW[[#This Row],[Total HH]]*WWWW[[#This Row],[%HHs with access to functional hand washing stations]]</f>
        <v>264</v>
      </c>
      <c r="CD64" s="240" t="str">
        <f>VLOOKUP(WWWW[[#This Row],[Site Name]],SiteDB6[],8,FALSE)</f>
        <v>Yes</v>
      </c>
      <c r="CE64" s="240" t="str">
        <f>VLOOKUP(WWWW[[#This Row],[Site Name]],SiteDB6[],9,FALSE)</f>
        <v>KMSS-MYT</v>
      </c>
      <c r="CF64" s="240" t="str">
        <f>VLOOKUP(WWWW[[#This Row],[Site Name]],SiteDB6[],10,FALSE)</f>
        <v>Camp</v>
      </c>
      <c r="CG64" s="240" t="str">
        <f>VLOOKUP(WWWW[[#This Row],[Site Name]],SiteDB6[],11,FALSE)</f>
        <v>Village Type Camp</v>
      </c>
      <c r="CH64" s="240" t="str">
        <f>VLOOKUP(WWWW[[#This Row],[Site Name]],SiteDB6[],12,FALSE)</f>
        <v>Camp</v>
      </c>
      <c r="CI64" s="240" t="str">
        <f>VLOOKUP(WWWW[[#This Row],[Site Name]],SiteDB6[],13,FALSE)</f>
        <v>NGCA</v>
      </c>
      <c r="CJ64" s="240">
        <f>VLOOKUP(WWWW[[#This Row],[Site Name]],SiteDB6[],14,FALSE)</f>
        <v>24.980250000000002</v>
      </c>
      <c r="CK64" s="240">
        <f>VLOOKUP(WWWW[[#This Row],[Site Name]],SiteDB6[],15,FALSE)</f>
        <v>97.715230000000005</v>
      </c>
      <c r="CL64" s="240" t="str">
        <f>VLOOKUP(WWWW[[#This Row],[Site Name]],SiteDB6[],4,FALSE)</f>
        <v>MMR001CMP119</v>
      </c>
      <c r="CM64" s="235" t="str">
        <f t="shared" si="0"/>
        <v>Covered</v>
      </c>
      <c r="CN64" s="235"/>
    </row>
    <row r="65" spans="1:92" ht="15.75" customHeight="1" x14ac:dyDescent="0.25">
      <c r="A65" s="532" t="s">
        <v>1409</v>
      </c>
      <c r="B65" s="533" t="s">
        <v>399</v>
      </c>
      <c r="C65" s="533" t="s">
        <v>44</v>
      </c>
      <c r="D65" s="533" t="s">
        <v>298</v>
      </c>
      <c r="E65" s="533" t="s">
        <v>429</v>
      </c>
      <c r="F65" s="233">
        <v>333</v>
      </c>
      <c r="G65" s="414">
        <v>1801</v>
      </c>
      <c r="H65" s="233"/>
      <c r="I65" s="233" t="s">
        <v>401</v>
      </c>
      <c r="J65" s="234">
        <v>42947</v>
      </c>
      <c r="K65" s="233">
        <v>0</v>
      </c>
      <c r="L65" s="233" t="s">
        <v>48</v>
      </c>
      <c r="M65" s="235">
        <v>0.69</v>
      </c>
      <c r="N65" s="235">
        <v>1</v>
      </c>
      <c r="O65" s="609">
        <v>4</v>
      </c>
      <c r="P65" s="615">
        <v>3</v>
      </c>
      <c r="Q65" s="615">
        <v>4000</v>
      </c>
      <c r="R65" s="604">
        <v>0</v>
      </c>
      <c r="S65" s="604">
        <v>4</v>
      </c>
      <c r="T65" s="604">
        <v>0</v>
      </c>
      <c r="U65" s="604">
        <v>0</v>
      </c>
      <c r="V65" s="604">
        <v>0</v>
      </c>
      <c r="W65" s="604">
        <v>0</v>
      </c>
      <c r="X65" s="604">
        <v>0</v>
      </c>
      <c r="Y65" s="604"/>
      <c r="Z65" s="628">
        <v>29</v>
      </c>
      <c r="AA65" s="628">
        <v>6</v>
      </c>
      <c r="AB65" s="629">
        <v>9</v>
      </c>
      <c r="AC65" s="628">
        <v>29</v>
      </c>
      <c r="AD65" s="628" t="s">
        <v>293</v>
      </c>
      <c r="AE65" s="631" t="s">
        <v>293</v>
      </c>
      <c r="AF65" s="631">
        <v>0</v>
      </c>
      <c r="AG65" s="628">
        <v>0</v>
      </c>
      <c r="AH65" s="628"/>
      <c r="AI65" s="659">
        <v>0.5</v>
      </c>
      <c r="AJ65" s="650" t="s">
        <v>386</v>
      </c>
      <c r="AK65" s="644">
        <v>0</v>
      </c>
      <c r="AL65" s="645">
        <v>7</v>
      </c>
      <c r="AM65" s="645">
        <v>0</v>
      </c>
      <c r="AN65" s="646">
        <v>0</v>
      </c>
      <c r="AO65" s="647">
        <v>0</v>
      </c>
      <c r="AP65" s="647"/>
      <c r="AQ65" s="658"/>
      <c r="AR65" s="235" t="str">
        <f>IFERROR(WWWW[[#This Row],['# of Water passed at source]]/WWWW[[#This Row],['# of Water tested at source]],"no test")</f>
        <v>no test</v>
      </c>
      <c r="AS65" s="237" t="str">
        <f>IFERROR(WWWW[[#This Row],['# of Water passed at HH]]/WWWW[[#This Row],['# of Water tested at HH]],"no test")</f>
        <v>no test</v>
      </c>
      <c r="AT65" s="237">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U65" s="237">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AV65" s="237">
        <f>IF(WWWW[[#This Row],[Location Type 1]]="Village",WWWW[[#This Row],[Access to safe drinking water for Village]],WWWW[[#This Row],[Access to safe drinking water for Camp]])</f>
        <v>1</v>
      </c>
      <c r="AW65" s="414">
        <f>WWWW[[#This Row],[%Equitable and continuous access to sufficient quantity of safe drinking water]]*WWWW[[#This Row],[Total PoP ]]</f>
        <v>1801</v>
      </c>
      <c r="AX65" s="237">
        <f>IF((WWWW[[#This Row],['# Existing protected/fenced ponds ]]*250)/WWWW[[#This Row],[Total PoP ]]&gt;1,1,WWWW[[#This Row],['# Existing protected/fenced ponds ]]*250/WWWW[[#This Row],[Total PoP ]])</f>
        <v>0</v>
      </c>
      <c r="AY65" s="236">
        <f>WWWW[[#This Row],[Access to unimproved water points]]*WWWW[[#This Row],[Total PoP ]]</f>
        <v>0</v>
      </c>
      <c r="AZ65" s="237">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A65" s="414">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1801</v>
      </c>
      <c r="BB65" s="414">
        <f>WWWW[[#This Row],['#people Equitable and continuous access to sufficient quantity of domestic water borehole n ponds_2]]/500</f>
        <v>3.6019999999999999</v>
      </c>
      <c r="BC65" s="235">
        <f>1-WWWW[[#This Row],[%Equitable and continuous access to sufficient quantity of domestic water borehole n ponds]]</f>
        <v>0</v>
      </c>
      <c r="BD65" s="236">
        <f>WWWW[[#This Row],[%equitable and continuous access to sufficient quantity of safe drinking and domestic water''s GAP]]*WWWW[[#This Row],[Total PoP ]]</f>
        <v>0</v>
      </c>
      <c r="BE65" s="238">
        <f>IF(WWWW[[#This Row],[Total required water points]]-WWWW[[#This Row],['#Water points coverage]]&lt;0,0,WWWW[[#This Row],[Total required water points]]-WWWW[[#This Row],['#Water points coverage]])</f>
        <v>0.39800000000000013</v>
      </c>
      <c r="BF65" s="238">
        <f>ROUND(IF(WWWW[[#This Row],[Total PoP ]]&lt;500,1,WWWW[[#This Row],[Total PoP ]]/500),0)</f>
        <v>4</v>
      </c>
      <c r="BG65" s="238" t="str">
        <f>IF(AND(WWWW[[#This Row],[%of Water samples which passed at water source]]="no test",WWWW[[#This Row],[%Water samples which passed at HH]]="no test"),"No Test","Tested")</f>
        <v>No Test</v>
      </c>
      <c r="BH65" s="238">
        <f>WWWW[[#This Row],['# Existing functional latrines]]+WWWW[[#This Row],['# Existing latrines dysfunctional]]</f>
        <v>35</v>
      </c>
      <c r="BI65" s="235">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0.32204330927262631</v>
      </c>
      <c r="BJ65" s="675">
        <f>WWWW[[#This Row],[% people access to functioning Latrine]]*WWWW[[#This Row],[Total PoP ]]</f>
        <v>580</v>
      </c>
      <c r="BK65" s="235">
        <f>IF(WWWW[[#This Row],[Location Type 1]]="camp",WWWW[[#This Row],['# potential required new latrines]]/(WWWW[[#This Row],[Total PoP ]]/20),WWWW[[#This Row],['# potential required new latrines]]/(WWWW[[#This Row],[Total PoP ]]/6))</f>
        <v>0.61077179344808441</v>
      </c>
      <c r="BL65" s="236">
        <f>IF(WWWW[[#This Row],[Total required Latrines]]-WWWW[[#This Row],[Total '# of latrine]]&lt;0,0,WWWW[[#This Row],[Total required Latrines]]-WWWW[[#This Row],[Total '# of latrine]])</f>
        <v>55</v>
      </c>
      <c r="BM65" s="238">
        <f>ROUND(IF(WWWW[[#This Row],[Location Type 1]]="camp",WWWW[[#This Row],[Total PoP ]]/20,WWWW[[#This Row],[Total PoP ]]/6),0)</f>
        <v>90</v>
      </c>
      <c r="BN65" s="239">
        <f>IF(OR(WWWW[[#This Row],['# Existing latrines dysfunctional]]="",WWWW[[#This Row],['# Existing latrines dysfunctional]]=0),0,WWWW[[#This Row],['# Existing latrines dysfunctional]]/WWWW[[#This Row],[Total '# of latrine]])</f>
        <v>0.17142857142857143</v>
      </c>
      <c r="BO65" s="675">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180</v>
      </c>
      <c r="BP65" s="235">
        <f>WWWW[[#This Row],[People adopt basic personal and community hygiene practices]]/WWWW[[#This Row],[Total PoP ]]</f>
        <v>0</v>
      </c>
      <c r="BQ65" s="239">
        <f>1-WWWW[[#This Row],[Hygiene Coverage%]]</f>
        <v>1</v>
      </c>
      <c r="BR65" s="414">
        <f>IF(500*WWWW[[#This Row],['# Hygiene Promoters ]]&gt;WWWW[[#This Row],[Total PoP ]],WWWW[[#This Row],[Total PoP ]],500*WWWW[[#This Row],['# Hygiene Promoters ]])</f>
        <v>0</v>
      </c>
      <c r="BS65" s="414">
        <f>IF(WWWW[[#This Row],[% of HH with access to Sanitary Pad]]&gt;=100%,1,0)</f>
        <v>0</v>
      </c>
      <c r="BT65" s="414">
        <f>IF(WWWW[[#This Row],[Total PoP ]]=0,0,IF(WWWW[[#This Row],['# Hygiene Promoters ]]=0,0,IF(WWWW[[#This Row],[Location Type 1]]="Village",IF(WWWW[[#This Row],[Total PoP ]]/WWWW[[#This Row],['# Hygiene Promoters ]]&lt;1000,1,0),IF(WWWW[[#This Row],[Total PoP ]]/WWWW[[#This Row],['# Hygiene Promoters ]]&lt;600,1,0))))</f>
        <v>0</v>
      </c>
      <c r="BU65" s="414">
        <f>IF(WWWW[[#This Row],[%HH with access to soap]]&gt;=100%,1,0)</f>
        <v>0</v>
      </c>
      <c r="BV65" s="414">
        <f>IF(WWWW[[#This Row],[% of HHs with access to Sanitary pad more than '#%]]+WWWW[[#This Row],[Ratio of Hyiene promoters to people less than '#]]+WWWW[[#This Row],[% of HHs with access to soap more than '#%]]&gt;=2,WWWW[[#This Row],[Total PoP ]],0)</f>
        <v>0</v>
      </c>
      <c r="BW65" s="346">
        <f>WWWW[[#This Row],['# people reached by regular dedicated hygiene promotion_5]]/WWWW[[#This Row],[Total PoP ]]</f>
        <v>0</v>
      </c>
      <c r="BX65" s="346">
        <f>IF(WWWW[[#This Row],['# HH received soaps]]/WWWW[[#This Row],[Total HH]]&gt;1,1,WWWW[[#This Row],['# HH received soaps]]/WWWW[[#This Row],[Total HH]])</f>
        <v>0</v>
      </c>
      <c r="BY65" s="346">
        <f>IF(WWWW[[#This Row],['# HH received Sanitary Pads]]/WWWW[[#This Row],[Total HH]]&gt;1,1,WWWW[[#This Row],['# HH received Sanitary Pads]]/WWWW[[#This Row],[Total HH]])</f>
        <v>0</v>
      </c>
      <c r="BZ65" s="720">
        <f>WWWW[[#This Row],['# HH received soaps]]*5</f>
        <v>0</v>
      </c>
      <c r="CA65" s="720">
        <f>WWWW[[#This Row],['# HH received Sanitary Pads]]*5</f>
        <v>0</v>
      </c>
      <c r="CB65" s="238">
        <f>IF(WWWW[[#This Row],['# People with access to soap]]&gt;WWWW[[#This Row],['# People with access to Sanity Pads]],WWWW[[#This Row],['# People with access to soap]],WWWW[[#This Row],['# People with access to Sanity Pads]])</f>
        <v>0</v>
      </c>
      <c r="CC65" s="236">
        <f>WWWW[[#This Row],[Total HH]]*WWWW[[#This Row],[%HHs with access to functional hand washing stations]]</f>
        <v>166.5</v>
      </c>
      <c r="CD65" s="240" t="str">
        <f>VLOOKUP(WWWW[[#This Row],[Site Name]],SiteDB6[],8,FALSE)</f>
        <v>Yes</v>
      </c>
      <c r="CE65" s="240" t="str">
        <f>VLOOKUP(WWWW[[#This Row],[Site Name]],SiteDB6[],9,FALSE)</f>
        <v>Shalom</v>
      </c>
      <c r="CF65" s="240" t="str">
        <f>VLOOKUP(WWWW[[#This Row],[Site Name]],SiteDB6[],10,FALSE)</f>
        <v>Camp</v>
      </c>
      <c r="CG65" s="240" t="str">
        <f>VLOOKUP(WWWW[[#This Row],[Site Name]],SiteDB6[],11,FALSE)</f>
        <v>Camp</v>
      </c>
      <c r="CH65" s="240" t="str">
        <f>VLOOKUP(WWWW[[#This Row],[Site Name]],SiteDB6[],12,FALSE)</f>
        <v>Camp</v>
      </c>
      <c r="CI65" s="240" t="str">
        <f>VLOOKUP(WWWW[[#This Row],[Site Name]],SiteDB6[],13,FALSE)</f>
        <v>GCA</v>
      </c>
      <c r="CJ65" s="240">
        <f>VLOOKUP(WWWW[[#This Row],[Site Name]],SiteDB6[],14,FALSE)</f>
        <v>25.424529444444399</v>
      </c>
      <c r="CK65" s="240">
        <f>VLOOKUP(WWWW[[#This Row],[Site Name]],SiteDB6[],15,FALSE)</f>
        <v>97.433419259259296</v>
      </c>
      <c r="CL65" s="240" t="str">
        <f>VLOOKUP(WWWW[[#This Row],[Site Name]],SiteDB6[],4,FALSE)</f>
        <v>MMR001CMP031</v>
      </c>
      <c r="CM65" s="235" t="str">
        <f t="shared" si="0"/>
        <v>Covered</v>
      </c>
      <c r="CN65" s="235"/>
    </row>
    <row r="66" spans="1:92" ht="15.75" customHeight="1" x14ac:dyDescent="0.25">
      <c r="A66" s="532" t="s">
        <v>1409</v>
      </c>
      <c r="B66" s="533" t="s">
        <v>43</v>
      </c>
      <c r="C66" s="533" t="s">
        <v>44</v>
      </c>
      <c r="D66" s="533" t="s">
        <v>298</v>
      </c>
      <c r="E66" s="533" t="s">
        <v>394</v>
      </c>
      <c r="F66" s="233">
        <v>284</v>
      </c>
      <c r="G66" s="414">
        <v>1492</v>
      </c>
      <c r="H66" s="233"/>
      <c r="I66" s="233" t="s">
        <v>382</v>
      </c>
      <c r="J66" s="234">
        <v>43465</v>
      </c>
      <c r="K66" s="233">
        <v>0</v>
      </c>
      <c r="L66" s="233" t="s">
        <v>2578</v>
      </c>
      <c r="M66" s="235">
        <v>0.6</v>
      </c>
      <c r="N66" s="235">
        <v>0.2</v>
      </c>
      <c r="O66" s="609">
        <v>10</v>
      </c>
      <c r="P66" s="615">
        <v>5</v>
      </c>
      <c r="Q66" s="615">
        <v>12000</v>
      </c>
      <c r="R66" s="604">
        <v>0</v>
      </c>
      <c r="S66" s="604">
        <v>10</v>
      </c>
      <c r="T66" s="604">
        <v>10</v>
      </c>
      <c r="U66" s="604">
        <v>1</v>
      </c>
      <c r="V66" s="604">
        <v>9</v>
      </c>
      <c r="W66" s="604">
        <v>2</v>
      </c>
      <c r="X66" s="604">
        <v>0</v>
      </c>
      <c r="Y66" s="604" t="s">
        <v>2604</v>
      </c>
      <c r="Z66" s="628">
        <v>87</v>
      </c>
      <c r="AA66" s="628">
        <v>0</v>
      </c>
      <c r="AB66" s="629">
        <v>0</v>
      </c>
      <c r="AC66" s="628">
        <v>40</v>
      </c>
      <c r="AD66" s="628" t="s">
        <v>293</v>
      </c>
      <c r="AE66" s="631" t="s">
        <v>293</v>
      </c>
      <c r="AF66" s="631">
        <v>0</v>
      </c>
      <c r="AG66" s="628">
        <v>0</v>
      </c>
      <c r="AH66" s="628"/>
      <c r="AI66" s="659">
        <v>0</v>
      </c>
      <c r="AJ66" s="650" t="s">
        <v>386</v>
      </c>
      <c r="AK66" s="644">
        <v>0</v>
      </c>
      <c r="AL66" s="645">
        <v>6</v>
      </c>
      <c r="AM66" s="645">
        <v>4</v>
      </c>
      <c r="AN66" s="646">
        <v>0</v>
      </c>
      <c r="AO66" s="647">
        <v>0</v>
      </c>
      <c r="AP66" s="647" t="s">
        <v>292</v>
      </c>
      <c r="AQ66" s="658"/>
      <c r="AR66" s="235">
        <f>IFERROR(WWWW[[#This Row],['# of Water passed at source]]/WWWW[[#This Row],['# of Water tested at source]],"no test")</f>
        <v>0.1</v>
      </c>
      <c r="AS66" s="237">
        <f>IFERROR(WWWW[[#This Row],['# of Water passed at HH]]/WWWW[[#This Row],['# of Water tested at HH]],"no test")</f>
        <v>0.22222222222222221</v>
      </c>
      <c r="AT66" s="237">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U66" s="237">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AV66" s="237">
        <f>IF(WWWW[[#This Row],[Location Type 1]]="Village",WWWW[[#This Row],[Access to safe drinking water for Village]],WWWW[[#This Row],[Access to safe drinking water for Camp]])</f>
        <v>1</v>
      </c>
      <c r="AW66" s="414">
        <f>WWWW[[#This Row],[%Equitable and continuous access to sufficient quantity of safe drinking water]]*WWWW[[#This Row],[Total PoP ]]</f>
        <v>1492</v>
      </c>
      <c r="AX66" s="237">
        <f>IF((WWWW[[#This Row],['# Existing protected/fenced ponds ]]*250)/WWWW[[#This Row],[Total PoP ]]&gt;1,1,WWWW[[#This Row],['# Existing protected/fenced ponds ]]*250/WWWW[[#This Row],[Total PoP ]])</f>
        <v>0</v>
      </c>
      <c r="AY66" s="236">
        <f>WWWW[[#This Row],[Access to unimproved water points]]*WWWW[[#This Row],[Total PoP ]]</f>
        <v>0</v>
      </c>
      <c r="AZ66" s="237">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A66" s="414">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1492</v>
      </c>
      <c r="BB66" s="414">
        <f>WWWW[[#This Row],['#people Equitable and continuous access to sufficient quantity of domestic water borehole n ponds_2]]/500</f>
        <v>2.984</v>
      </c>
      <c r="BC66" s="235">
        <f>1-WWWW[[#This Row],[%Equitable and continuous access to sufficient quantity of domestic water borehole n ponds]]</f>
        <v>0</v>
      </c>
      <c r="BD66" s="236">
        <f>WWWW[[#This Row],[%equitable and continuous access to sufficient quantity of safe drinking and domestic water''s GAP]]*WWWW[[#This Row],[Total PoP ]]</f>
        <v>0</v>
      </c>
      <c r="BE66" s="238">
        <f>IF(WWWW[[#This Row],[Total required water points]]-WWWW[[#This Row],['#Water points coverage]]&lt;0,0,WWWW[[#This Row],[Total required water points]]-WWWW[[#This Row],['#Water points coverage]])</f>
        <v>1.6000000000000014E-2</v>
      </c>
      <c r="BF66" s="238">
        <f>ROUND(IF(WWWW[[#This Row],[Total PoP ]]&lt;500,1,WWWW[[#This Row],[Total PoP ]]/500),0)</f>
        <v>3</v>
      </c>
      <c r="BG66" s="238" t="str">
        <f>IF(AND(WWWW[[#This Row],[%of Water samples which passed at water source]]="no test",WWWW[[#This Row],[%Water samples which passed at HH]]="no test"),"No Test","Tested")</f>
        <v>Tested</v>
      </c>
      <c r="BH66" s="238">
        <f>WWWW[[#This Row],['# Existing functional latrines]]+WWWW[[#This Row],['# Existing latrines dysfunctional]]</f>
        <v>87</v>
      </c>
      <c r="BI66" s="235">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1</v>
      </c>
      <c r="BJ66" s="675">
        <f>WWWW[[#This Row],[% people access to functioning Latrine]]*WWWW[[#This Row],[Total PoP ]]</f>
        <v>1492</v>
      </c>
      <c r="BK66" s="235">
        <f>IF(WWWW[[#This Row],[Location Type 1]]="camp",WWWW[[#This Row],['# potential required new latrines]]/(WWWW[[#This Row],[Total PoP ]]/20),WWWW[[#This Row],['# potential required new latrines]]/(WWWW[[#This Row],[Total PoP ]]/6))</f>
        <v>0</v>
      </c>
      <c r="BL66" s="236">
        <f>IF(WWWW[[#This Row],[Total required Latrines]]-WWWW[[#This Row],[Total '# of latrine]]&lt;0,0,WWWW[[#This Row],[Total required Latrines]]-WWWW[[#This Row],[Total '# of latrine]])</f>
        <v>0</v>
      </c>
      <c r="BM66" s="238">
        <f>ROUND(IF(WWWW[[#This Row],[Location Type 1]]="camp",WWWW[[#This Row],[Total PoP ]]/20,WWWW[[#This Row],[Total PoP ]]/6),0)</f>
        <v>75</v>
      </c>
      <c r="BN66" s="239">
        <f>IF(OR(WWWW[[#This Row],['# Existing latrines dysfunctional]]="",WWWW[[#This Row],['# Existing latrines dysfunctional]]=0),0,WWWW[[#This Row],['# Existing latrines dysfunctional]]/WWWW[[#This Row],[Total '# of latrine]])</f>
        <v>0</v>
      </c>
      <c r="BO66" s="675">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P66" s="235">
        <f>WWWW[[#This Row],[People adopt basic personal and community hygiene practices]]/WWWW[[#This Row],[Total PoP ]]</f>
        <v>0</v>
      </c>
      <c r="BQ66" s="239">
        <f>1-WWWW[[#This Row],[Hygiene Coverage%]]</f>
        <v>1</v>
      </c>
      <c r="BR66" s="414">
        <f>IF(500*WWWW[[#This Row],['# Hygiene Promoters ]]&gt;WWWW[[#This Row],[Total PoP ]],WWWW[[#This Row],[Total PoP ]],500*WWWW[[#This Row],['# Hygiene Promoters ]])</f>
        <v>1492</v>
      </c>
      <c r="BS66" s="414">
        <f>IF(WWWW[[#This Row],[% of HH with access to Sanitary Pad]]&gt;=100%,1,0)</f>
        <v>0</v>
      </c>
      <c r="BT66" s="414">
        <f>IF(WWWW[[#This Row],[Total PoP ]]=0,0,IF(WWWW[[#This Row],['# Hygiene Promoters ]]=0,0,IF(WWWW[[#This Row],[Location Type 1]]="Village",IF(WWWW[[#This Row],[Total PoP ]]/WWWW[[#This Row],['# Hygiene Promoters ]]&lt;1000,1,0),IF(WWWW[[#This Row],[Total PoP ]]/WWWW[[#This Row],['# Hygiene Promoters ]]&lt;600,1,0))))</f>
        <v>1</v>
      </c>
      <c r="BU66" s="414">
        <f>IF(WWWW[[#This Row],[%HH with access to soap]]&gt;=100%,1,0)</f>
        <v>0</v>
      </c>
      <c r="BV66" s="414">
        <f>IF(WWWW[[#This Row],[% of HHs with access to Sanitary pad more than '#%]]+WWWW[[#This Row],[Ratio of Hyiene promoters to people less than '#]]+WWWW[[#This Row],[% of HHs with access to soap more than '#%]]&gt;=2,WWWW[[#This Row],[Total PoP ]],0)</f>
        <v>0</v>
      </c>
      <c r="BW66" s="346">
        <f>WWWW[[#This Row],['# people reached by regular dedicated hygiene promotion_5]]/WWWW[[#This Row],[Total PoP ]]</f>
        <v>1</v>
      </c>
      <c r="BX66" s="346">
        <f>IF(WWWW[[#This Row],['# HH received soaps]]/WWWW[[#This Row],[Total HH]]&gt;1,1,WWWW[[#This Row],['# HH received soaps]]/WWWW[[#This Row],[Total HH]])</f>
        <v>0</v>
      </c>
      <c r="BY66" s="346">
        <f>IF(WWWW[[#This Row],['# HH received Sanitary Pads]]/WWWW[[#This Row],[Total HH]]&gt;1,1,WWWW[[#This Row],['# HH received Sanitary Pads]]/WWWW[[#This Row],[Total HH]])</f>
        <v>0</v>
      </c>
      <c r="BZ66" s="720">
        <f>WWWW[[#This Row],['# HH received soaps]]*5</f>
        <v>0</v>
      </c>
      <c r="CA66" s="720">
        <f>WWWW[[#This Row],['# HH received Sanitary Pads]]*5</f>
        <v>0</v>
      </c>
      <c r="CB66" s="238">
        <f>IF(WWWW[[#This Row],['# People with access to soap]]&gt;WWWW[[#This Row],['# People with access to Sanity Pads]],WWWW[[#This Row],['# People with access to soap]],WWWW[[#This Row],['# People with access to Sanity Pads]])</f>
        <v>0</v>
      </c>
      <c r="CC66" s="236">
        <f>WWWW[[#This Row],[Total HH]]*WWWW[[#This Row],[%HHs with access to functional hand washing stations]]</f>
        <v>0</v>
      </c>
      <c r="CD66" s="240" t="str">
        <f>VLOOKUP(WWWW[[#This Row],[Site Name]],SiteDB6[],8,FALSE)</f>
        <v>Yes</v>
      </c>
      <c r="CE66" s="240" t="str">
        <f>VLOOKUP(WWWW[[#This Row],[Site Name]],SiteDB6[],9,FALSE)</f>
        <v>KMSS-MYT</v>
      </c>
      <c r="CF66" s="240" t="str">
        <f>VLOOKUP(WWWW[[#This Row],[Site Name]],SiteDB6[],10,FALSE)</f>
        <v>Camp</v>
      </c>
      <c r="CG66" s="240" t="str">
        <f>VLOOKUP(WWWW[[#This Row],[Site Name]],SiteDB6[],11,FALSE)</f>
        <v>Camp</v>
      </c>
      <c r="CH66" s="240" t="str">
        <f>VLOOKUP(WWWW[[#This Row],[Site Name]],SiteDB6[],12,FALSE)</f>
        <v>Camp</v>
      </c>
      <c r="CI66" s="240" t="str">
        <f>VLOOKUP(WWWW[[#This Row],[Site Name]],SiteDB6[],13,FALSE)</f>
        <v>GCA</v>
      </c>
      <c r="CJ66" s="240">
        <f>VLOOKUP(WWWW[[#This Row],[Site Name]],SiteDB6[],14,FALSE)</f>
        <v>25.415667500000001</v>
      </c>
      <c r="CK66" s="240">
        <f>VLOOKUP(WWWW[[#This Row],[Site Name]],SiteDB6[],15,FALSE)</f>
        <v>97.437782499999997</v>
      </c>
      <c r="CL66" s="240" t="str">
        <f>VLOOKUP(WWWW[[#This Row],[Site Name]],SiteDB6[],4,FALSE)</f>
        <v>MMR001CMP029</v>
      </c>
      <c r="CM66" s="235" t="str">
        <f t="shared" si="0"/>
        <v>Covered</v>
      </c>
      <c r="CN66" s="235"/>
    </row>
    <row r="67" spans="1:92" ht="15.75" customHeight="1" x14ac:dyDescent="0.25">
      <c r="A67" s="532" t="s">
        <v>1409</v>
      </c>
      <c r="B67" s="533" t="s">
        <v>297</v>
      </c>
      <c r="C67" s="533" t="s">
        <v>44</v>
      </c>
      <c r="D67" s="533" t="s">
        <v>298</v>
      </c>
      <c r="E67" s="533" t="s">
        <v>334</v>
      </c>
      <c r="F67" s="233">
        <v>499</v>
      </c>
      <c r="G67" s="414">
        <v>2551</v>
      </c>
      <c r="H67" s="233"/>
      <c r="I67" s="233" t="s">
        <v>300</v>
      </c>
      <c r="J67" s="234">
        <v>43555</v>
      </c>
      <c r="K67" s="233">
        <v>0</v>
      </c>
      <c r="L67" s="233" t="s">
        <v>48</v>
      </c>
      <c r="M67" s="235">
        <v>0.6</v>
      </c>
      <c r="N67" s="235">
        <v>0.5</v>
      </c>
      <c r="O67" s="609">
        <v>9</v>
      </c>
      <c r="P67" s="615">
        <v>0</v>
      </c>
      <c r="Q67" s="615">
        <v>0</v>
      </c>
      <c r="R67" s="604">
        <v>0</v>
      </c>
      <c r="S67" s="604">
        <v>0</v>
      </c>
      <c r="T67" s="604">
        <v>0</v>
      </c>
      <c r="U67" s="604">
        <v>0</v>
      </c>
      <c r="V67" s="604">
        <v>0</v>
      </c>
      <c r="W67" s="604">
        <v>0</v>
      </c>
      <c r="X67" s="604">
        <v>0</v>
      </c>
      <c r="Y67" s="604"/>
      <c r="Z67" s="628">
        <v>130</v>
      </c>
      <c r="AA67" s="628">
        <v>0</v>
      </c>
      <c r="AB67" s="629">
        <v>0</v>
      </c>
      <c r="AC67" s="628">
        <v>0</v>
      </c>
      <c r="AD67" s="628" t="s">
        <v>293</v>
      </c>
      <c r="AE67" s="631" t="s">
        <v>293</v>
      </c>
      <c r="AF67" s="631"/>
      <c r="AG67" s="628"/>
      <c r="AH67" s="628"/>
      <c r="AI67" s="659">
        <v>0.6</v>
      </c>
      <c r="AJ67" s="644" t="s">
        <v>301</v>
      </c>
      <c r="AK67" s="644">
        <v>0</v>
      </c>
      <c r="AL67" s="645">
        <v>6</v>
      </c>
      <c r="AM67" s="645">
        <v>6</v>
      </c>
      <c r="AN67" s="646">
        <v>0</v>
      </c>
      <c r="AO67" s="647">
        <v>0</v>
      </c>
      <c r="AP67" s="647"/>
      <c r="AQ67" s="658"/>
      <c r="AR67" s="235" t="str">
        <f>IFERROR(WWWW[[#This Row],['# of Water passed at source]]/WWWW[[#This Row],['# of Water tested at source]],"no test")</f>
        <v>no test</v>
      </c>
      <c r="AS67" s="237" t="str">
        <f>IFERROR(WWWW[[#This Row],['# of Water passed at HH]]/WWWW[[#This Row],['# of Water tested at HH]],"no test")</f>
        <v>no test</v>
      </c>
      <c r="AT67" s="237">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U67" s="237">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0.88200705605644847</v>
      </c>
      <c r="AV67" s="237">
        <f>IF(WWWW[[#This Row],[Location Type 1]]="Village",WWWW[[#This Row],[Access to safe drinking water for Village]],WWWW[[#This Row],[Access to safe drinking water for Camp]])</f>
        <v>1</v>
      </c>
      <c r="AW67" s="414">
        <f>WWWW[[#This Row],[%Equitable and continuous access to sufficient quantity of safe drinking water]]*WWWW[[#This Row],[Total PoP ]]</f>
        <v>2551</v>
      </c>
      <c r="AX67" s="237">
        <f>IF((WWWW[[#This Row],['# Existing protected/fenced ponds ]]*250)/WWWW[[#This Row],[Total PoP ]]&gt;1,1,WWWW[[#This Row],['# Existing protected/fenced ponds ]]*250/WWWW[[#This Row],[Total PoP ]])</f>
        <v>0</v>
      </c>
      <c r="AY67" s="236">
        <f>WWWW[[#This Row],[Access to unimproved water points]]*WWWW[[#This Row],[Total PoP ]]</f>
        <v>0</v>
      </c>
      <c r="AZ67" s="237">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A67" s="414">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2551</v>
      </c>
      <c r="BB67" s="414">
        <f>WWWW[[#This Row],['#people Equitable and continuous access to sufficient quantity of domestic water borehole n ponds_2]]/500</f>
        <v>5.1020000000000003</v>
      </c>
      <c r="BC67" s="235">
        <f>1-WWWW[[#This Row],[%Equitable and continuous access to sufficient quantity of domestic water borehole n ponds]]</f>
        <v>0</v>
      </c>
      <c r="BD67" s="236">
        <f>WWWW[[#This Row],[%equitable and continuous access to sufficient quantity of safe drinking and domestic water''s GAP]]*WWWW[[#This Row],[Total PoP ]]</f>
        <v>0</v>
      </c>
      <c r="BE67" s="238">
        <f>IF(WWWW[[#This Row],[Total required water points]]-WWWW[[#This Row],['#Water points coverage]]&lt;0,0,WWWW[[#This Row],[Total required water points]]-WWWW[[#This Row],['#Water points coverage]])</f>
        <v>0</v>
      </c>
      <c r="BF67" s="238">
        <f>ROUND(IF(WWWW[[#This Row],[Total PoP ]]&lt;500,1,WWWW[[#This Row],[Total PoP ]]/500),0)</f>
        <v>5</v>
      </c>
      <c r="BG67" s="238" t="str">
        <f>IF(AND(WWWW[[#This Row],[%of Water samples which passed at water source]]="no test",WWWW[[#This Row],[%Water samples which passed at HH]]="no test"),"No Test","Tested")</f>
        <v>No Test</v>
      </c>
      <c r="BH67" s="238">
        <f>WWWW[[#This Row],['# Existing functional latrines]]+WWWW[[#This Row],['# Existing latrines dysfunctional]]</f>
        <v>130</v>
      </c>
      <c r="BI67" s="235">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1</v>
      </c>
      <c r="BJ67" s="675">
        <f>WWWW[[#This Row],[% people access to functioning Latrine]]*WWWW[[#This Row],[Total PoP ]]</f>
        <v>2551</v>
      </c>
      <c r="BK67" s="235">
        <f>IF(WWWW[[#This Row],[Location Type 1]]="camp",WWWW[[#This Row],['# potential required new latrines]]/(WWWW[[#This Row],[Total PoP ]]/20),WWWW[[#This Row],['# potential required new latrines]]/(WWWW[[#This Row],[Total PoP ]]/6))</f>
        <v>0</v>
      </c>
      <c r="BL67" s="236">
        <f>IF(WWWW[[#This Row],[Total required Latrines]]-WWWW[[#This Row],[Total '# of latrine]]&lt;0,0,WWWW[[#This Row],[Total required Latrines]]-WWWW[[#This Row],[Total '# of latrine]])</f>
        <v>0</v>
      </c>
      <c r="BM67" s="238">
        <f>ROUND(IF(WWWW[[#This Row],[Location Type 1]]="camp",WWWW[[#This Row],[Total PoP ]]/20,WWWW[[#This Row],[Total PoP ]]/6),0)</f>
        <v>128</v>
      </c>
      <c r="BN67" s="239">
        <f>IF(OR(WWWW[[#This Row],['# Existing latrines dysfunctional]]="",WWWW[[#This Row],['# Existing latrines dysfunctional]]=0),0,WWWW[[#This Row],['# Existing latrines dysfunctional]]/WWWW[[#This Row],[Total '# of latrine]])</f>
        <v>0</v>
      </c>
      <c r="BO67" s="675">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P67" s="235">
        <f>WWWW[[#This Row],[People adopt basic personal and community hygiene practices]]/WWWW[[#This Row],[Total PoP ]]</f>
        <v>0</v>
      </c>
      <c r="BQ67" s="239">
        <f>1-WWWW[[#This Row],[Hygiene Coverage%]]</f>
        <v>1</v>
      </c>
      <c r="BR67" s="414">
        <f>IF(500*WWWW[[#This Row],['# Hygiene Promoters ]]&gt;WWWW[[#This Row],[Total PoP ]],WWWW[[#This Row],[Total PoP ]],500*WWWW[[#This Row],['# Hygiene Promoters ]])</f>
        <v>2551</v>
      </c>
      <c r="BS67" s="414">
        <f>IF(WWWW[[#This Row],[% of HH with access to Sanitary Pad]]&gt;=100%,1,0)</f>
        <v>0</v>
      </c>
      <c r="BT67" s="414">
        <f>IF(WWWW[[#This Row],[Total PoP ]]=0,0,IF(WWWW[[#This Row],['# Hygiene Promoters ]]=0,0,IF(WWWW[[#This Row],[Location Type 1]]="Village",IF(WWWW[[#This Row],[Total PoP ]]/WWWW[[#This Row],['# Hygiene Promoters ]]&lt;1000,1,0),IF(WWWW[[#This Row],[Total PoP ]]/WWWW[[#This Row],['# Hygiene Promoters ]]&lt;600,1,0))))</f>
        <v>1</v>
      </c>
      <c r="BU67" s="414">
        <f>IF(WWWW[[#This Row],[%HH with access to soap]]&gt;=100%,1,0)</f>
        <v>0</v>
      </c>
      <c r="BV67" s="414">
        <f>IF(WWWW[[#This Row],[% of HHs with access to Sanitary pad more than '#%]]+WWWW[[#This Row],[Ratio of Hyiene promoters to people less than '#]]+WWWW[[#This Row],[% of HHs with access to soap more than '#%]]&gt;=2,WWWW[[#This Row],[Total PoP ]],0)</f>
        <v>0</v>
      </c>
      <c r="BW67" s="346">
        <f>WWWW[[#This Row],['# people reached by regular dedicated hygiene promotion_5]]/WWWW[[#This Row],[Total PoP ]]</f>
        <v>1</v>
      </c>
      <c r="BX67" s="346">
        <f>IF(WWWW[[#This Row],['# HH received soaps]]/WWWW[[#This Row],[Total HH]]&gt;1,1,WWWW[[#This Row],['# HH received soaps]]/WWWW[[#This Row],[Total HH]])</f>
        <v>0</v>
      </c>
      <c r="BY67" s="346">
        <f>IF(WWWW[[#This Row],['# HH received Sanitary Pads]]/WWWW[[#This Row],[Total HH]]&gt;1,1,WWWW[[#This Row],['# HH received Sanitary Pads]]/WWWW[[#This Row],[Total HH]])</f>
        <v>0</v>
      </c>
      <c r="BZ67" s="720">
        <f>WWWW[[#This Row],['# HH received soaps]]*5</f>
        <v>0</v>
      </c>
      <c r="CA67" s="720">
        <f>WWWW[[#This Row],['# HH received Sanitary Pads]]*5</f>
        <v>0</v>
      </c>
      <c r="CB67" s="238">
        <f>IF(WWWW[[#This Row],['# People with access to soap]]&gt;WWWW[[#This Row],['# People with access to Sanity Pads]],WWWW[[#This Row],['# People with access to soap]],WWWW[[#This Row],['# People with access to Sanity Pads]])</f>
        <v>0</v>
      </c>
      <c r="CC67" s="236">
        <f>WWWW[[#This Row],[Total HH]]*WWWW[[#This Row],[%HHs with access to functional hand washing stations]]</f>
        <v>299.39999999999998</v>
      </c>
      <c r="CD67" s="240" t="str">
        <f>VLOOKUP(WWWW[[#This Row],[Site Name]],SiteDB6[],8,FALSE)</f>
        <v>Yes</v>
      </c>
      <c r="CE67" s="240" t="str">
        <f>VLOOKUP(WWWW[[#This Row],[Site Name]],SiteDB6[],9,FALSE)</f>
        <v>KBC</v>
      </c>
      <c r="CF67" s="240" t="str">
        <f>VLOOKUP(WWWW[[#This Row],[Site Name]],SiteDB6[],10,FALSE)</f>
        <v>Camp</v>
      </c>
      <c r="CG67" s="240" t="str">
        <f>VLOOKUP(WWWW[[#This Row],[Site Name]],SiteDB6[],11,FALSE)</f>
        <v>Camp</v>
      </c>
      <c r="CH67" s="240" t="str">
        <f>VLOOKUP(WWWW[[#This Row],[Site Name]],SiteDB6[],12,FALSE)</f>
        <v>Camp</v>
      </c>
      <c r="CI67" s="240" t="str">
        <f>VLOOKUP(WWWW[[#This Row],[Site Name]],SiteDB6[],13,FALSE)</f>
        <v>GCA</v>
      </c>
      <c r="CJ67" s="240">
        <f>VLOOKUP(WWWW[[#This Row],[Site Name]],SiteDB6[],14,FALSE)</f>
        <v>25.4118005797101</v>
      </c>
      <c r="CK67" s="240">
        <f>VLOOKUP(WWWW[[#This Row],[Site Name]],SiteDB6[],15,FALSE)</f>
        <v>97.434855869565197</v>
      </c>
      <c r="CL67" s="240" t="str">
        <f>VLOOKUP(WWWW[[#This Row],[Site Name]],SiteDB6[],4,FALSE)</f>
        <v>MMR001CMP040</v>
      </c>
      <c r="CM67" s="235" t="str">
        <f t="shared" si="0"/>
        <v>Covered</v>
      </c>
      <c r="CN67" s="235"/>
    </row>
    <row r="68" spans="1:92" ht="15.75" customHeight="1" x14ac:dyDescent="0.25">
      <c r="A68" s="532" t="s">
        <v>1409</v>
      </c>
      <c r="B68" s="533" t="s">
        <v>297</v>
      </c>
      <c r="C68" s="533" t="s">
        <v>44</v>
      </c>
      <c r="D68" s="533" t="s">
        <v>298</v>
      </c>
      <c r="E68" s="533" t="s">
        <v>335</v>
      </c>
      <c r="F68" s="233">
        <v>46</v>
      </c>
      <c r="G68" s="414">
        <v>193</v>
      </c>
      <c r="H68" s="233"/>
      <c r="I68" s="233" t="s">
        <v>300</v>
      </c>
      <c r="J68" s="234">
        <v>43555</v>
      </c>
      <c r="K68" s="233">
        <v>0</v>
      </c>
      <c r="L68" s="233" t="s">
        <v>48</v>
      </c>
      <c r="M68" s="235">
        <v>0.6</v>
      </c>
      <c r="N68" s="235">
        <v>0.5</v>
      </c>
      <c r="O68" s="609">
        <v>2</v>
      </c>
      <c r="P68" s="615">
        <v>0</v>
      </c>
      <c r="Q68" s="615">
        <v>2000</v>
      </c>
      <c r="R68" s="604">
        <v>0</v>
      </c>
      <c r="S68" s="604">
        <v>0</v>
      </c>
      <c r="T68" s="604">
        <v>0</v>
      </c>
      <c r="U68" s="604">
        <v>0</v>
      </c>
      <c r="V68" s="604">
        <v>0</v>
      </c>
      <c r="W68" s="604">
        <v>0</v>
      </c>
      <c r="X68" s="604">
        <v>0</v>
      </c>
      <c r="Y68" s="604"/>
      <c r="Z68" s="628">
        <v>10</v>
      </c>
      <c r="AA68" s="628">
        <v>0</v>
      </c>
      <c r="AB68" s="629">
        <v>0</v>
      </c>
      <c r="AC68" s="628">
        <v>0</v>
      </c>
      <c r="AD68" s="628" t="s">
        <v>293</v>
      </c>
      <c r="AE68" s="631" t="s">
        <v>293</v>
      </c>
      <c r="AF68" s="631"/>
      <c r="AG68" s="628"/>
      <c r="AH68" s="628"/>
      <c r="AI68" s="659">
        <v>0.6</v>
      </c>
      <c r="AJ68" s="650" t="s">
        <v>386</v>
      </c>
      <c r="AK68" s="644">
        <v>0</v>
      </c>
      <c r="AL68" s="645">
        <v>2</v>
      </c>
      <c r="AM68" s="645">
        <v>1</v>
      </c>
      <c r="AN68" s="646">
        <v>0</v>
      </c>
      <c r="AO68" s="647">
        <v>0</v>
      </c>
      <c r="AP68" s="647"/>
      <c r="AQ68" s="658"/>
      <c r="AR68" s="235" t="str">
        <f>IFERROR(WWWW[[#This Row],['# of Water passed at source]]/WWWW[[#This Row],['# of Water tested at source]],"no test")</f>
        <v>no test</v>
      </c>
      <c r="AS68" s="237" t="str">
        <f>IFERROR(WWWW[[#This Row],['# of Water passed at HH]]/WWWW[[#This Row],['# of Water tested at HH]],"no test")</f>
        <v>no test</v>
      </c>
      <c r="AT68" s="237">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U68" s="237">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AV68" s="237">
        <f>IF(WWWW[[#This Row],[Location Type 1]]="Village",WWWW[[#This Row],[Access to safe drinking water for Village]],WWWW[[#This Row],[Access to safe drinking water for Camp]])</f>
        <v>1</v>
      </c>
      <c r="AW68" s="414">
        <f>WWWW[[#This Row],[%Equitable and continuous access to sufficient quantity of safe drinking water]]*WWWW[[#This Row],[Total PoP ]]</f>
        <v>193</v>
      </c>
      <c r="AX68" s="237">
        <f>IF((WWWW[[#This Row],['# Existing protected/fenced ponds ]]*250)/WWWW[[#This Row],[Total PoP ]]&gt;1,1,WWWW[[#This Row],['# Existing protected/fenced ponds ]]*250/WWWW[[#This Row],[Total PoP ]])</f>
        <v>0</v>
      </c>
      <c r="AY68" s="236">
        <f>WWWW[[#This Row],[Access to unimproved water points]]*WWWW[[#This Row],[Total PoP ]]</f>
        <v>0</v>
      </c>
      <c r="AZ68" s="237">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A68" s="414">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193</v>
      </c>
      <c r="BB68" s="414">
        <f>WWWW[[#This Row],['#people Equitable and continuous access to sufficient quantity of domestic water borehole n ponds_2]]/500</f>
        <v>0.38600000000000001</v>
      </c>
      <c r="BC68" s="235">
        <f>1-WWWW[[#This Row],[%Equitable and continuous access to sufficient quantity of domestic water borehole n ponds]]</f>
        <v>0</v>
      </c>
      <c r="BD68" s="236">
        <f>WWWW[[#This Row],[%equitable and continuous access to sufficient quantity of safe drinking and domestic water''s GAP]]*WWWW[[#This Row],[Total PoP ]]</f>
        <v>0</v>
      </c>
      <c r="BE68" s="238">
        <f>IF(WWWW[[#This Row],[Total required water points]]-WWWW[[#This Row],['#Water points coverage]]&lt;0,0,WWWW[[#This Row],[Total required water points]]-WWWW[[#This Row],['#Water points coverage]])</f>
        <v>0.61399999999999999</v>
      </c>
      <c r="BF68" s="238">
        <f>ROUND(IF(WWWW[[#This Row],[Total PoP ]]&lt;500,1,WWWW[[#This Row],[Total PoP ]]/500),0)</f>
        <v>1</v>
      </c>
      <c r="BG68" s="238" t="str">
        <f>IF(AND(WWWW[[#This Row],[%of Water samples which passed at water source]]="no test",WWWW[[#This Row],[%Water samples which passed at HH]]="no test"),"No Test","Tested")</f>
        <v>No Test</v>
      </c>
      <c r="BH68" s="238">
        <f>WWWW[[#This Row],['# Existing functional latrines]]+WWWW[[#This Row],['# Existing latrines dysfunctional]]</f>
        <v>10</v>
      </c>
      <c r="BI68" s="235">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1</v>
      </c>
      <c r="BJ68" s="675">
        <f>WWWW[[#This Row],[% people access to functioning Latrine]]*WWWW[[#This Row],[Total PoP ]]</f>
        <v>193</v>
      </c>
      <c r="BK68" s="235">
        <f>IF(WWWW[[#This Row],[Location Type 1]]="camp",WWWW[[#This Row],['# potential required new latrines]]/(WWWW[[#This Row],[Total PoP ]]/20),WWWW[[#This Row],['# potential required new latrines]]/(WWWW[[#This Row],[Total PoP ]]/6))</f>
        <v>0</v>
      </c>
      <c r="BL68" s="236">
        <f>IF(WWWW[[#This Row],[Total required Latrines]]-WWWW[[#This Row],[Total '# of latrine]]&lt;0,0,WWWW[[#This Row],[Total required Latrines]]-WWWW[[#This Row],[Total '# of latrine]])</f>
        <v>0</v>
      </c>
      <c r="BM68" s="238">
        <f>ROUND(IF(WWWW[[#This Row],[Location Type 1]]="camp",WWWW[[#This Row],[Total PoP ]]/20,WWWW[[#This Row],[Total PoP ]]/6),0)</f>
        <v>10</v>
      </c>
      <c r="BN68" s="239">
        <f>IF(OR(WWWW[[#This Row],['# Existing latrines dysfunctional]]="",WWWW[[#This Row],['# Existing latrines dysfunctional]]=0),0,WWWW[[#This Row],['# Existing latrines dysfunctional]]/WWWW[[#This Row],[Total '# of latrine]])</f>
        <v>0</v>
      </c>
      <c r="BO68" s="675">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P68" s="235">
        <f>WWWW[[#This Row],[People adopt basic personal and community hygiene practices]]/WWWW[[#This Row],[Total PoP ]]</f>
        <v>0</v>
      </c>
      <c r="BQ68" s="239">
        <f>1-WWWW[[#This Row],[Hygiene Coverage%]]</f>
        <v>1</v>
      </c>
      <c r="BR68" s="414">
        <f>IF(500*WWWW[[#This Row],['# Hygiene Promoters ]]&gt;WWWW[[#This Row],[Total PoP ]],WWWW[[#This Row],[Total PoP ]],500*WWWW[[#This Row],['# Hygiene Promoters ]])</f>
        <v>193</v>
      </c>
      <c r="BS68" s="414">
        <f>IF(WWWW[[#This Row],[% of HH with access to Sanitary Pad]]&gt;=100%,1,0)</f>
        <v>0</v>
      </c>
      <c r="BT68" s="414">
        <f>IF(WWWW[[#This Row],[Total PoP ]]=0,0,IF(WWWW[[#This Row],['# Hygiene Promoters ]]=0,0,IF(WWWW[[#This Row],[Location Type 1]]="Village",IF(WWWW[[#This Row],[Total PoP ]]/WWWW[[#This Row],['# Hygiene Promoters ]]&lt;1000,1,0),IF(WWWW[[#This Row],[Total PoP ]]/WWWW[[#This Row],['# Hygiene Promoters ]]&lt;600,1,0))))</f>
        <v>1</v>
      </c>
      <c r="BU68" s="414">
        <f>IF(WWWW[[#This Row],[%HH with access to soap]]&gt;=100%,1,0)</f>
        <v>0</v>
      </c>
      <c r="BV68" s="414">
        <f>IF(WWWW[[#This Row],[% of HHs with access to Sanitary pad more than '#%]]+WWWW[[#This Row],[Ratio of Hyiene promoters to people less than '#]]+WWWW[[#This Row],[% of HHs with access to soap more than '#%]]&gt;=2,WWWW[[#This Row],[Total PoP ]],0)</f>
        <v>0</v>
      </c>
      <c r="BW68" s="346">
        <f>WWWW[[#This Row],['# people reached by regular dedicated hygiene promotion_5]]/WWWW[[#This Row],[Total PoP ]]</f>
        <v>1</v>
      </c>
      <c r="BX68" s="346">
        <f>IF(WWWW[[#This Row],['# HH received soaps]]/WWWW[[#This Row],[Total HH]]&gt;1,1,WWWW[[#This Row],['# HH received soaps]]/WWWW[[#This Row],[Total HH]])</f>
        <v>0</v>
      </c>
      <c r="BY68" s="346">
        <f>IF(WWWW[[#This Row],['# HH received Sanitary Pads]]/WWWW[[#This Row],[Total HH]]&gt;1,1,WWWW[[#This Row],['# HH received Sanitary Pads]]/WWWW[[#This Row],[Total HH]])</f>
        <v>0</v>
      </c>
      <c r="BZ68" s="720">
        <f>WWWW[[#This Row],['# HH received soaps]]*5</f>
        <v>0</v>
      </c>
      <c r="CA68" s="720">
        <f>WWWW[[#This Row],['# HH received Sanitary Pads]]*5</f>
        <v>0</v>
      </c>
      <c r="CB68" s="238">
        <f>IF(WWWW[[#This Row],['# People with access to soap]]&gt;WWWW[[#This Row],['# People with access to Sanity Pads]],WWWW[[#This Row],['# People with access to soap]],WWWW[[#This Row],['# People with access to Sanity Pads]])</f>
        <v>0</v>
      </c>
      <c r="CC68" s="236">
        <f>WWWW[[#This Row],[Total HH]]*WWWW[[#This Row],[%HHs with access to functional hand washing stations]]</f>
        <v>27.599999999999998</v>
      </c>
      <c r="CD68" s="240" t="str">
        <f>VLOOKUP(WWWW[[#This Row],[Site Name]],SiteDB6[],8,FALSE)</f>
        <v>Yes</v>
      </c>
      <c r="CE68" s="240" t="str">
        <f>VLOOKUP(WWWW[[#This Row],[Site Name]],SiteDB6[],9,FALSE)</f>
        <v>KBC</v>
      </c>
      <c r="CF68" s="240" t="str">
        <f>VLOOKUP(WWWW[[#This Row],[Site Name]],SiteDB6[],10,FALSE)</f>
        <v>Camp</v>
      </c>
      <c r="CG68" s="240" t="str">
        <f>VLOOKUP(WWWW[[#This Row],[Site Name]],SiteDB6[],11,FALSE)</f>
        <v>Camp</v>
      </c>
      <c r="CH68" s="240" t="str">
        <f>VLOOKUP(WWWW[[#This Row],[Site Name]],SiteDB6[],12,FALSE)</f>
        <v>Camp</v>
      </c>
      <c r="CI68" s="240" t="str">
        <f>VLOOKUP(WWWW[[#This Row],[Site Name]],SiteDB6[],13,FALSE)</f>
        <v>GCA</v>
      </c>
      <c r="CJ68" s="240">
        <f>VLOOKUP(WWWW[[#This Row],[Site Name]],SiteDB6[],14,FALSE)</f>
        <v>25.409612685185198</v>
      </c>
      <c r="CK68" s="240">
        <f>VLOOKUP(WWWW[[#This Row],[Site Name]],SiteDB6[],15,FALSE)</f>
        <v>97.426536944444507</v>
      </c>
      <c r="CL68" s="240" t="str">
        <f>VLOOKUP(WWWW[[#This Row],[Site Name]],SiteDB6[],4,FALSE)</f>
        <v>MMR001CMP039</v>
      </c>
      <c r="CM68" s="235" t="str">
        <f t="shared" si="0"/>
        <v>Covered</v>
      </c>
      <c r="CN68" s="235"/>
    </row>
    <row r="69" spans="1:92" ht="15.75" customHeight="1" x14ac:dyDescent="0.25">
      <c r="A69" s="532" t="s">
        <v>1409</v>
      </c>
      <c r="B69" s="533" t="s">
        <v>297</v>
      </c>
      <c r="C69" s="533" t="s">
        <v>44</v>
      </c>
      <c r="D69" s="533" t="s">
        <v>45</v>
      </c>
      <c r="E69" s="533" t="s">
        <v>339</v>
      </c>
      <c r="F69" s="233">
        <v>432</v>
      </c>
      <c r="G69" s="414">
        <v>1855</v>
      </c>
      <c r="H69" s="233"/>
      <c r="I69" s="233" t="s">
        <v>300</v>
      </c>
      <c r="J69" s="234">
        <v>43555</v>
      </c>
      <c r="K69" s="233">
        <v>0</v>
      </c>
      <c r="L69" s="233" t="s">
        <v>48</v>
      </c>
      <c r="M69" s="235">
        <v>0.8</v>
      </c>
      <c r="N69" s="235">
        <v>0.5</v>
      </c>
      <c r="O69" s="609">
        <v>0</v>
      </c>
      <c r="P69" s="615">
        <v>4</v>
      </c>
      <c r="Q69" s="615">
        <v>0</v>
      </c>
      <c r="R69" s="604">
        <v>0</v>
      </c>
      <c r="S69" s="604">
        <v>0</v>
      </c>
      <c r="T69" s="604">
        <v>0</v>
      </c>
      <c r="U69" s="604">
        <v>0</v>
      </c>
      <c r="V69" s="604">
        <v>0</v>
      </c>
      <c r="W69" s="604">
        <v>0</v>
      </c>
      <c r="X69" s="604">
        <v>0</v>
      </c>
      <c r="Y69" s="604"/>
      <c r="Z69" s="628">
        <v>110</v>
      </c>
      <c r="AA69" s="628">
        <v>40</v>
      </c>
      <c r="AB69" s="629">
        <v>0</v>
      </c>
      <c r="AC69" s="628">
        <v>0</v>
      </c>
      <c r="AD69" s="628" t="s">
        <v>293</v>
      </c>
      <c r="AE69" s="631" t="s">
        <v>1379</v>
      </c>
      <c r="AF69" s="631"/>
      <c r="AG69" s="628"/>
      <c r="AH69" s="628"/>
      <c r="AI69" s="659">
        <v>0.6</v>
      </c>
      <c r="AJ69" s="650" t="s">
        <v>386</v>
      </c>
      <c r="AK69" s="644">
        <v>0</v>
      </c>
      <c r="AL69" s="645">
        <v>10</v>
      </c>
      <c r="AM69" s="645">
        <v>3</v>
      </c>
      <c r="AN69" s="646">
        <v>0</v>
      </c>
      <c r="AO69" s="647">
        <v>0</v>
      </c>
      <c r="AP69" s="647"/>
      <c r="AQ69" s="658"/>
      <c r="AR69" s="235" t="str">
        <f>IFERROR(WWWW[[#This Row],['# of Water passed at source]]/WWWW[[#This Row],['# of Water tested at source]],"no test")</f>
        <v>no test</v>
      </c>
      <c r="AS69" s="237" t="str">
        <f>IFERROR(WWWW[[#This Row],['# of Water passed at HH]]/WWWW[[#This Row],['# of Water tested at HH]],"no test")</f>
        <v>no test</v>
      </c>
      <c r="AT69" s="237">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U69" s="237">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0.53908355795148244</v>
      </c>
      <c r="AV69" s="237">
        <f>IF(WWWW[[#This Row],[Location Type 1]]="Village",WWWW[[#This Row],[Access to safe drinking water for Village]],WWWW[[#This Row],[Access to safe drinking water for Camp]])</f>
        <v>1</v>
      </c>
      <c r="AW69" s="414">
        <f>WWWW[[#This Row],[%Equitable and continuous access to sufficient quantity of safe drinking water]]*WWWW[[#This Row],[Total PoP ]]</f>
        <v>1855</v>
      </c>
      <c r="AX69" s="237">
        <f>IF((WWWW[[#This Row],['# Existing protected/fenced ponds ]]*250)/WWWW[[#This Row],[Total PoP ]]&gt;1,1,WWWW[[#This Row],['# Existing protected/fenced ponds ]]*250/WWWW[[#This Row],[Total PoP ]])</f>
        <v>0</v>
      </c>
      <c r="AY69" s="236">
        <f>WWWW[[#This Row],[Access to unimproved water points]]*WWWW[[#This Row],[Total PoP ]]</f>
        <v>0</v>
      </c>
      <c r="AZ69" s="237">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A69" s="414">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1855</v>
      </c>
      <c r="BB69" s="414">
        <f>WWWW[[#This Row],['#people Equitable and continuous access to sufficient quantity of domestic water borehole n ponds_2]]/500</f>
        <v>3.71</v>
      </c>
      <c r="BC69" s="235">
        <f>1-WWWW[[#This Row],[%Equitable and continuous access to sufficient quantity of domestic water borehole n ponds]]</f>
        <v>0</v>
      </c>
      <c r="BD69" s="236">
        <f>WWWW[[#This Row],[%equitable and continuous access to sufficient quantity of safe drinking and domestic water''s GAP]]*WWWW[[#This Row],[Total PoP ]]</f>
        <v>0</v>
      </c>
      <c r="BE69" s="238">
        <f>IF(WWWW[[#This Row],[Total required water points]]-WWWW[[#This Row],['#Water points coverage]]&lt;0,0,WWWW[[#This Row],[Total required water points]]-WWWW[[#This Row],['#Water points coverage]])</f>
        <v>0.29000000000000004</v>
      </c>
      <c r="BF69" s="238">
        <f>ROUND(IF(WWWW[[#This Row],[Total PoP ]]&lt;500,1,WWWW[[#This Row],[Total PoP ]]/500),0)</f>
        <v>4</v>
      </c>
      <c r="BG69" s="238" t="str">
        <f>IF(AND(WWWW[[#This Row],[%of Water samples which passed at water source]]="no test",WWWW[[#This Row],[%Water samples which passed at HH]]="no test"),"No Test","Tested")</f>
        <v>No Test</v>
      </c>
      <c r="BH69" s="238">
        <f>WWWW[[#This Row],['# Existing functional latrines]]+WWWW[[#This Row],['# Existing latrines dysfunctional]]</f>
        <v>150</v>
      </c>
      <c r="BI69" s="235">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1</v>
      </c>
      <c r="BJ69" s="675">
        <f>WWWW[[#This Row],[% people access to functioning Latrine]]*WWWW[[#This Row],[Total PoP ]]</f>
        <v>1855</v>
      </c>
      <c r="BK69" s="235">
        <f>IF(WWWW[[#This Row],[Location Type 1]]="camp",WWWW[[#This Row],['# potential required new latrines]]/(WWWW[[#This Row],[Total PoP ]]/20),WWWW[[#This Row],['# potential required new latrines]]/(WWWW[[#This Row],[Total PoP ]]/6))</f>
        <v>0</v>
      </c>
      <c r="BL69" s="236">
        <f>IF(WWWW[[#This Row],[Total required Latrines]]-WWWW[[#This Row],[Total '# of latrine]]&lt;0,0,WWWW[[#This Row],[Total required Latrines]]-WWWW[[#This Row],[Total '# of latrine]])</f>
        <v>0</v>
      </c>
      <c r="BM69" s="238">
        <f>ROUND(IF(WWWW[[#This Row],[Location Type 1]]="camp",WWWW[[#This Row],[Total PoP ]]/20,WWWW[[#This Row],[Total PoP ]]/6),0)</f>
        <v>93</v>
      </c>
      <c r="BN69" s="239">
        <f>IF(OR(WWWW[[#This Row],['# Existing latrines dysfunctional]]="",WWWW[[#This Row],['# Existing latrines dysfunctional]]=0),0,WWWW[[#This Row],['# Existing latrines dysfunctional]]/WWWW[[#This Row],[Total '# of latrine]])</f>
        <v>0.26666666666666666</v>
      </c>
      <c r="BO69" s="675">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P69" s="235">
        <f>WWWW[[#This Row],[People adopt basic personal and community hygiene practices]]/WWWW[[#This Row],[Total PoP ]]</f>
        <v>0</v>
      </c>
      <c r="BQ69" s="239">
        <f>1-WWWW[[#This Row],[Hygiene Coverage%]]</f>
        <v>1</v>
      </c>
      <c r="BR69" s="414">
        <f>IF(500*WWWW[[#This Row],['# Hygiene Promoters ]]&gt;WWWW[[#This Row],[Total PoP ]],WWWW[[#This Row],[Total PoP ]],500*WWWW[[#This Row],['# Hygiene Promoters ]])</f>
        <v>1500</v>
      </c>
      <c r="BS69" s="414">
        <f>IF(WWWW[[#This Row],[% of HH with access to Sanitary Pad]]&gt;=100%,1,0)</f>
        <v>0</v>
      </c>
      <c r="BT69" s="414">
        <f>IF(WWWW[[#This Row],[Total PoP ]]=0,0,IF(WWWW[[#This Row],['# Hygiene Promoters ]]=0,0,IF(WWWW[[#This Row],[Location Type 1]]="Village",IF(WWWW[[#This Row],[Total PoP ]]/WWWW[[#This Row],['# Hygiene Promoters ]]&lt;1000,1,0),IF(WWWW[[#This Row],[Total PoP ]]/WWWW[[#This Row],['# Hygiene Promoters ]]&lt;600,1,0))))</f>
        <v>0</v>
      </c>
      <c r="BU69" s="414">
        <f>IF(WWWW[[#This Row],[%HH with access to soap]]&gt;=100%,1,0)</f>
        <v>0</v>
      </c>
      <c r="BV69" s="414">
        <f>IF(WWWW[[#This Row],[% of HHs with access to Sanitary pad more than '#%]]+WWWW[[#This Row],[Ratio of Hyiene promoters to people less than '#]]+WWWW[[#This Row],[% of HHs with access to soap more than '#%]]&gt;=2,WWWW[[#This Row],[Total PoP ]],0)</f>
        <v>0</v>
      </c>
      <c r="BW69" s="346">
        <f>WWWW[[#This Row],['# people reached by regular dedicated hygiene promotion_5]]/WWWW[[#This Row],[Total PoP ]]</f>
        <v>0.80862533692722371</v>
      </c>
      <c r="BX69" s="346">
        <f>IF(WWWW[[#This Row],['# HH received soaps]]/WWWW[[#This Row],[Total HH]]&gt;1,1,WWWW[[#This Row],['# HH received soaps]]/WWWW[[#This Row],[Total HH]])</f>
        <v>0</v>
      </c>
      <c r="BY69" s="346">
        <f>IF(WWWW[[#This Row],['# HH received Sanitary Pads]]/WWWW[[#This Row],[Total HH]]&gt;1,1,WWWW[[#This Row],['# HH received Sanitary Pads]]/WWWW[[#This Row],[Total HH]])</f>
        <v>0</v>
      </c>
      <c r="BZ69" s="720">
        <f>WWWW[[#This Row],['# HH received soaps]]*5</f>
        <v>0</v>
      </c>
      <c r="CA69" s="720">
        <f>WWWW[[#This Row],['# HH received Sanitary Pads]]*5</f>
        <v>0</v>
      </c>
      <c r="CB69" s="238">
        <f>IF(WWWW[[#This Row],['# People with access to soap]]&gt;WWWW[[#This Row],['# People with access to Sanity Pads]],WWWW[[#This Row],['# People with access to soap]],WWWW[[#This Row],['# People with access to Sanity Pads]])</f>
        <v>0</v>
      </c>
      <c r="CC69" s="236">
        <f>WWWW[[#This Row],[Total HH]]*WWWW[[#This Row],[%HHs with access to functional hand washing stations]]</f>
        <v>259.2</v>
      </c>
      <c r="CD69" s="240" t="str">
        <f>VLOOKUP(WWWW[[#This Row],[Site Name]],SiteDB6[],8,FALSE)</f>
        <v>Yes</v>
      </c>
      <c r="CE69" s="240" t="str">
        <f>VLOOKUP(WWWW[[#This Row],[Site Name]],SiteDB6[],9,FALSE)</f>
        <v>KBC</v>
      </c>
      <c r="CF69" s="240" t="str">
        <f>VLOOKUP(WWWW[[#This Row],[Site Name]],SiteDB6[],10,FALSE)</f>
        <v>Camp</v>
      </c>
      <c r="CG69" s="240" t="str">
        <f>VLOOKUP(WWWW[[#This Row],[Site Name]],SiteDB6[],11,FALSE)</f>
        <v>Camp</v>
      </c>
      <c r="CH69" s="240" t="str">
        <f>VLOOKUP(WWWW[[#This Row],[Site Name]],SiteDB6[],12,FALSE)</f>
        <v>Camp</v>
      </c>
      <c r="CI69" s="240" t="str">
        <f>VLOOKUP(WWWW[[#This Row],[Site Name]],SiteDB6[],13,FALSE)</f>
        <v>GCA</v>
      </c>
      <c r="CJ69" s="240">
        <f>VLOOKUP(WWWW[[#This Row],[Site Name]],SiteDB6[],14,FALSE)</f>
        <v>23.972453000000002</v>
      </c>
      <c r="CK69" s="240">
        <f>VLOOKUP(WWWW[[#This Row],[Site Name]],SiteDB6[],15,FALSE)</f>
        <v>97.225881000000001</v>
      </c>
      <c r="CL69" s="240" t="str">
        <f>VLOOKUP(WWWW[[#This Row],[Site Name]],SiteDB6[],4,FALSE)</f>
        <v>MMR001CMP218</v>
      </c>
      <c r="CM69" s="235" t="str">
        <f t="shared" si="0"/>
        <v>Covered</v>
      </c>
      <c r="CN69" s="235"/>
    </row>
    <row r="70" spans="1:92" ht="15.75" customHeight="1" x14ac:dyDescent="0.25">
      <c r="A70" s="532" t="s">
        <v>1409</v>
      </c>
      <c r="B70" s="533" t="s">
        <v>297</v>
      </c>
      <c r="C70" s="533" t="s">
        <v>44</v>
      </c>
      <c r="D70" s="533" t="s">
        <v>315</v>
      </c>
      <c r="E70" s="533" t="s">
        <v>321</v>
      </c>
      <c r="F70" s="233">
        <v>61</v>
      </c>
      <c r="G70" s="414">
        <v>304</v>
      </c>
      <c r="H70" s="233"/>
      <c r="I70" s="233" t="s">
        <v>300</v>
      </c>
      <c r="J70" s="234">
        <v>43555</v>
      </c>
      <c r="K70" s="233">
        <v>0</v>
      </c>
      <c r="L70" s="233" t="s">
        <v>48</v>
      </c>
      <c r="M70" s="235">
        <v>0.6</v>
      </c>
      <c r="N70" s="235">
        <v>0.5</v>
      </c>
      <c r="O70" s="609">
        <v>1</v>
      </c>
      <c r="P70" s="615">
        <v>1</v>
      </c>
      <c r="Q70" s="615">
        <v>2000</v>
      </c>
      <c r="R70" s="604">
        <v>0</v>
      </c>
      <c r="S70" s="604">
        <v>0</v>
      </c>
      <c r="T70" s="604">
        <v>0</v>
      </c>
      <c r="U70" s="604">
        <v>0</v>
      </c>
      <c r="V70" s="604">
        <v>0</v>
      </c>
      <c r="W70" s="604">
        <v>0</v>
      </c>
      <c r="X70" s="604">
        <v>0</v>
      </c>
      <c r="Y70" s="604"/>
      <c r="Z70" s="628">
        <v>7</v>
      </c>
      <c r="AA70" s="628">
        <v>0</v>
      </c>
      <c r="AB70" s="629">
        <v>0</v>
      </c>
      <c r="AC70" s="628">
        <v>0</v>
      </c>
      <c r="AD70" s="628" t="s">
        <v>293</v>
      </c>
      <c r="AE70" s="631" t="s">
        <v>293</v>
      </c>
      <c r="AF70" s="631"/>
      <c r="AG70" s="628"/>
      <c r="AH70" s="628"/>
      <c r="AI70" s="659">
        <v>0.6</v>
      </c>
      <c r="AJ70" s="650" t="s">
        <v>386</v>
      </c>
      <c r="AK70" s="644">
        <v>0</v>
      </c>
      <c r="AL70" s="645">
        <v>3</v>
      </c>
      <c r="AM70" s="645">
        <v>2</v>
      </c>
      <c r="AN70" s="646">
        <v>0</v>
      </c>
      <c r="AO70" s="647">
        <v>0</v>
      </c>
      <c r="AP70" s="647"/>
      <c r="AQ70" s="658"/>
      <c r="AR70" s="235" t="str">
        <f>IFERROR(WWWW[[#This Row],['# of Water passed at source]]/WWWW[[#This Row],['# of Water tested at source]],"no test")</f>
        <v>no test</v>
      </c>
      <c r="AS70" s="237" t="str">
        <f>IFERROR(WWWW[[#This Row],['# of Water passed at HH]]/WWWW[[#This Row],['# of Water tested at HH]],"no test")</f>
        <v>no test</v>
      </c>
      <c r="AT70" s="237">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U70" s="237">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AV70" s="237">
        <f>IF(WWWW[[#This Row],[Location Type 1]]="Village",WWWW[[#This Row],[Access to safe drinking water for Village]],WWWW[[#This Row],[Access to safe drinking water for Camp]])</f>
        <v>1</v>
      </c>
      <c r="AW70" s="414">
        <f>WWWW[[#This Row],[%Equitable and continuous access to sufficient quantity of safe drinking water]]*WWWW[[#This Row],[Total PoP ]]</f>
        <v>304</v>
      </c>
      <c r="AX70" s="237">
        <f>IF((WWWW[[#This Row],['# Existing protected/fenced ponds ]]*250)/WWWW[[#This Row],[Total PoP ]]&gt;1,1,WWWW[[#This Row],['# Existing protected/fenced ponds ]]*250/WWWW[[#This Row],[Total PoP ]])</f>
        <v>0</v>
      </c>
      <c r="AY70" s="236">
        <f>WWWW[[#This Row],[Access to unimproved water points]]*WWWW[[#This Row],[Total PoP ]]</f>
        <v>0</v>
      </c>
      <c r="AZ70" s="237">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A70" s="414">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304</v>
      </c>
      <c r="BB70" s="414">
        <f>WWWW[[#This Row],['#people Equitable and continuous access to sufficient quantity of domestic water borehole n ponds_2]]/500</f>
        <v>0.60799999999999998</v>
      </c>
      <c r="BC70" s="235">
        <f>1-WWWW[[#This Row],[%Equitable and continuous access to sufficient quantity of domestic water borehole n ponds]]</f>
        <v>0</v>
      </c>
      <c r="BD70" s="236">
        <f>WWWW[[#This Row],[%equitable and continuous access to sufficient quantity of safe drinking and domestic water''s GAP]]*WWWW[[#This Row],[Total PoP ]]</f>
        <v>0</v>
      </c>
      <c r="BE70" s="238">
        <f>IF(WWWW[[#This Row],[Total required water points]]-WWWW[[#This Row],['#Water points coverage]]&lt;0,0,WWWW[[#This Row],[Total required water points]]-WWWW[[#This Row],['#Water points coverage]])</f>
        <v>0.39200000000000002</v>
      </c>
      <c r="BF70" s="238">
        <f>ROUND(IF(WWWW[[#This Row],[Total PoP ]]&lt;500,1,WWWW[[#This Row],[Total PoP ]]/500),0)</f>
        <v>1</v>
      </c>
      <c r="BG70" s="238" t="str">
        <f>IF(AND(WWWW[[#This Row],[%of Water samples which passed at water source]]="no test",WWWW[[#This Row],[%Water samples which passed at HH]]="no test"),"No Test","Tested")</f>
        <v>No Test</v>
      </c>
      <c r="BH70" s="238">
        <f>WWWW[[#This Row],['# Existing functional latrines]]+WWWW[[#This Row],['# Existing latrines dysfunctional]]</f>
        <v>7</v>
      </c>
      <c r="BI70" s="235">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0.46052631578947367</v>
      </c>
      <c r="BJ70" s="675">
        <f>WWWW[[#This Row],[% people access to functioning Latrine]]*WWWW[[#This Row],[Total PoP ]]</f>
        <v>140</v>
      </c>
      <c r="BK70" s="235">
        <f>IF(WWWW[[#This Row],[Location Type 1]]="camp",WWWW[[#This Row],['# potential required new latrines]]/(WWWW[[#This Row],[Total PoP ]]/20),WWWW[[#This Row],['# potential required new latrines]]/(WWWW[[#This Row],[Total PoP ]]/6))</f>
        <v>0.52631578947368418</v>
      </c>
      <c r="BL70" s="236">
        <f>IF(WWWW[[#This Row],[Total required Latrines]]-WWWW[[#This Row],[Total '# of latrine]]&lt;0,0,WWWW[[#This Row],[Total required Latrines]]-WWWW[[#This Row],[Total '# of latrine]])</f>
        <v>8</v>
      </c>
      <c r="BM70" s="238">
        <f>ROUND(IF(WWWW[[#This Row],[Location Type 1]]="camp",WWWW[[#This Row],[Total PoP ]]/20,WWWW[[#This Row],[Total PoP ]]/6),0)</f>
        <v>15</v>
      </c>
      <c r="BN70" s="239">
        <f>IF(OR(WWWW[[#This Row],['# Existing latrines dysfunctional]]="",WWWW[[#This Row],['# Existing latrines dysfunctional]]=0),0,WWWW[[#This Row],['# Existing latrines dysfunctional]]/WWWW[[#This Row],[Total '# of latrine]])</f>
        <v>0</v>
      </c>
      <c r="BO70" s="675">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P70" s="235">
        <f>WWWW[[#This Row],[People adopt basic personal and community hygiene practices]]/WWWW[[#This Row],[Total PoP ]]</f>
        <v>0</v>
      </c>
      <c r="BQ70" s="239">
        <f>1-WWWW[[#This Row],[Hygiene Coverage%]]</f>
        <v>1</v>
      </c>
      <c r="BR70" s="414">
        <f>IF(500*WWWW[[#This Row],['# Hygiene Promoters ]]&gt;WWWW[[#This Row],[Total PoP ]],WWWW[[#This Row],[Total PoP ]],500*WWWW[[#This Row],['# Hygiene Promoters ]])</f>
        <v>304</v>
      </c>
      <c r="BS70" s="414">
        <f>IF(WWWW[[#This Row],[% of HH with access to Sanitary Pad]]&gt;=100%,1,0)</f>
        <v>0</v>
      </c>
      <c r="BT70" s="414">
        <f>IF(WWWW[[#This Row],[Total PoP ]]=0,0,IF(WWWW[[#This Row],['# Hygiene Promoters ]]=0,0,IF(WWWW[[#This Row],[Location Type 1]]="Village",IF(WWWW[[#This Row],[Total PoP ]]/WWWW[[#This Row],['# Hygiene Promoters ]]&lt;1000,1,0),IF(WWWW[[#This Row],[Total PoP ]]/WWWW[[#This Row],['# Hygiene Promoters ]]&lt;600,1,0))))</f>
        <v>1</v>
      </c>
      <c r="BU70" s="414">
        <f>IF(WWWW[[#This Row],[%HH with access to soap]]&gt;=100%,1,0)</f>
        <v>0</v>
      </c>
      <c r="BV70" s="414">
        <f>IF(WWWW[[#This Row],[% of HHs with access to Sanitary pad more than '#%]]+WWWW[[#This Row],[Ratio of Hyiene promoters to people less than '#]]+WWWW[[#This Row],[% of HHs with access to soap more than '#%]]&gt;=2,WWWW[[#This Row],[Total PoP ]],0)</f>
        <v>0</v>
      </c>
      <c r="BW70" s="346">
        <f>WWWW[[#This Row],['# people reached by regular dedicated hygiene promotion_5]]/WWWW[[#This Row],[Total PoP ]]</f>
        <v>1</v>
      </c>
      <c r="BX70" s="346">
        <f>IF(WWWW[[#This Row],['# HH received soaps]]/WWWW[[#This Row],[Total HH]]&gt;1,1,WWWW[[#This Row],['# HH received soaps]]/WWWW[[#This Row],[Total HH]])</f>
        <v>0</v>
      </c>
      <c r="BY70" s="346">
        <f>IF(WWWW[[#This Row],['# HH received Sanitary Pads]]/WWWW[[#This Row],[Total HH]]&gt;1,1,WWWW[[#This Row],['# HH received Sanitary Pads]]/WWWW[[#This Row],[Total HH]])</f>
        <v>0</v>
      </c>
      <c r="BZ70" s="720">
        <f>WWWW[[#This Row],['# HH received soaps]]*5</f>
        <v>0</v>
      </c>
      <c r="CA70" s="720">
        <f>WWWW[[#This Row],['# HH received Sanitary Pads]]*5</f>
        <v>0</v>
      </c>
      <c r="CB70" s="238">
        <f>IF(WWWW[[#This Row],['# People with access to soap]]&gt;WWWW[[#This Row],['# People with access to Sanity Pads]],WWWW[[#This Row],['# People with access to soap]],WWWW[[#This Row],['# People with access to Sanity Pads]])</f>
        <v>0</v>
      </c>
      <c r="CC70" s="236">
        <f>WWWW[[#This Row],[Total HH]]*WWWW[[#This Row],[%HHs with access to functional hand washing stations]]</f>
        <v>36.6</v>
      </c>
      <c r="CD70" s="240" t="str">
        <f>VLOOKUP(WWWW[[#This Row],[Site Name]],SiteDB6[],8,FALSE)</f>
        <v>Yes</v>
      </c>
      <c r="CE70" s="240" t="str">
        <f>VLOOKUP(WWWW[[#This Row],[Site Name]],SiteDB6[],9,FALSE)</f>
        <v>KBC</v>
      </c>
      <c r="CF70" s="240" t="str">
        <f>VLOOKUP(WWWW[[#This Row],[Site Name]],SiteDB6[],10,FALSE)</f>
        <v>Camp</v>
      </c>
      <c r="CG70" s="240" t="str">
        <f>VLOOKUP(WWWW[[#This Row],[Site Name]],SiteDB6[],11,FALSE)</f>
        <v>Camp</v>
      </c>
      <c r="CH70" s="240" t="str">
        <f>VLOOKUP(WWWW[[#This Row],[Site Name]],SiteDB6[],12,FALSE)</f>
        <v>Camp</v>
      </c>
      <c r="CI70" s="240" t="str">
        <f>VLOOKUP(WWWW[[#This Row],[Site Name]],SiteDB6[],13,FALSE)</f>
        <v>GCA</v>
      </c>
      <c r="CJ70" s="240">
        <f>VLOOKUP(WWWW[[#This Row],[Site Name]],SiteDB6[],14,FALSE)</f>
        <v>25.360463124999999</v>
      </c>
      <c r="CK70" s="240">
        <f>VLOOKUP(WWWW[[#This Row],[Site Name]],SiteDB6[],15,FALSE)</f>
        <v>97.4113064583333</v>
      </c>
      <c r="CL70" s="240" t="str">
        <f>VLOOKUP(WWWW[[#This Row],[Site Name]],SiteDB6[],4,FALSE)</f>
        <v>MMR001CMP016</v>
      </c>
      <c r="CM70" s="235" t="str">
        <f t="shared" si="0"/>
        <v>Covered</v>
      </c>
      <c r="CN70" s="235"/>
    </row>
    <row r="71" spans="1:92" ht="15.75" customHeight="1" x14ac:dyDescent="0.25">
      <c r="A71" s="532" t="s">
        <v>1409</v>
      </c>
      <c r="B71" s="533" t="s">
        <v>348</v>
      </c>
      <c r="C71" s="533" t="s">
        <v>44</v>
      </c>
      <c r="D71" s="533" t="s">
        <v>361</v>
      </c>
      <c r="E71" s="533" t="s">
        <v>366</v>
      </c>
      <c r="F71" s="233">
        <v>217</v>
      </c>
      <c r="G71" s="414">
        <v>1172</v>
      </c>
      <c r="H71" s="233"/>
      <c r="I71" s="233" t="s">
        <v>2579</v>
      </c>
      <c r="J71" s="234" t="s">
        <v>2602</v>
      </c>
      <c r="K71" s="233">
        <v>0</v>
      </c>
      <c r="L71" s="233" t="s">
        <v>48</v>
      </c>
      <c r="M71" s="235">
        <v>0.6</v>
      </c>
      <c r="N71" s="235">
        <v>0</v>
      </c>
      <c r="O71" s="609">
        <v>1</v>
      </c>
      <c r="P71" s="615">
        <v>3</v>
      </c>
      <c r="Q71" s="615">
        <v>0</v>
      </c>
      <c r="R71" s="604">
        <v>0</v>
      </c>
      <c r="S71" s="604">
        <v>0</v>
      </c>
      <c r="T71" s="604"/>
      <c r="U71" s="604"/>
      <c r="V71" s="604"/>
      <c r="W71" s="604"/>
      <c r="X71" s="604"/>
      <c r="Y71" s="604"/>
      <c r="Z71" s="628">
        <v>47</v>
      </c>
      <c r="AA71" s="628">
        <v>0</v>
      </c>
      <c r="AB71" s="629">
        <v>3</v>
      </c>
      <c r="AC71" s="628">
        <v>0</v>
      </c>
      <c r="AD71" s="628" t="s">
        <v>293</v>
      </c>
      <c r="AE71" s="631" t="s">
        <v>293</v>
      </c>
      <c r="AF71" s="631"/>
      <c r="AG71" s="628"/>
      <c r="AH71" s="628"/>
      <c r="AI71" s="659">
        <v>1</v>
      </c>
      <c r="AJ71" s="644" t="s">
        <v>301</v>
      </c>
      <c r="AK71" s="644">
        <v>0</v>
      </c>
      <c r="AL71" s="645">
        <v>7</v>
      </c>
      <c r="AM71" s="645">
        <v>2</v>
      </c>
      <c r="AN71" s="646">
        <v>217</v>
      </c>
      <c r="AO71" s="647">
        <v>217</v>
      </c>
      <c r="AP71" s="647"/>
      <c r="AQ71" s="658"/>
      <c r="AR71" s="235" t="str">
        <f>IFERROR(WWWW[[#This Row],['# of Water passed at source]]/WWWW[[#This Row],['# of Water tested at source]],"no test")</f>
        <v>no test</v>
      </c>
      <c r="AS71" s="237" t="str">
        <f>IFERROR(WWWW[[#This Row],['# of Water passed at HH]]/WWWW[[#This Row],['# of Water tested at HH]],"no test")</f>
        <v>no test</v>
      </c>
      <c r="AT71" s="237">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U71" s="237">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0.85324232081911267</v>
      </c>
      <c r="AV71" s="237">
        <f>IF(WWWW[[#This Row],[Location Type 1]]="Village",WWWW[[#This Row],[Access to safe drinking water for Village]],WWWW[[#This Row],[Access to safe drinking water for Camp]])</f>
        <v>1</v>
      </c>
      <c r="AW71" s="414">
        <f>WWWW[[#This Row],[%Equitable and continuous access to sufficient quantity of safe drinking water]]*WWWW[[#This Row],[Total PoP ]]</f>
        <v>1172</v>
      </c>
      <c r="AX71" s="237">
        <f>IF((WWWW[[#This Row],['# Existing protected/fenced ponds ]]*250)/WWWW[[#This Row],[Total PoP ]]&gt;1,1,WWWW[[#This Row],['# Existing protected/fenced ponds ]]*250/WWWW[[#This Row],[Total PoP ]])</f>
        <v>0</v>
      </c>
      <c r="AY71" s="236">
        <f>WWWW[[#This Row],[Access to unimproved water points]]*WWWW[[#This Row],[Total PoP ]]</f>
        <v>0</v>
      </c>
      <c r="AZ71" s="237">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A71" s="414">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1172</v>
      </c>
      <c r="BB71" s="414">
        <f>WWWW[[#This Row],['#people Equitable and continuous access to sufficient quantity of domestic water borehole n ponds_2]]/500</f>
        <v>2.3439999999999999</v>
      </c>
      <c r="BC71" s="235">
        <f>1-WWWW[[#This Row],[%Equitable and continuous access to sufficient quantity of domestic water borehole n ponds]]</f>
        <v>0</v>
      </c>
      <c r="BD71" s="236">
        <f>WWWW[[#This Row],[%equitable and continuous access to sufficient quantity of safe drinking and domestic water''s GAP]]*WWWW[[#This Row],[Total PoP ]]</f>
        <v>0</v>
      </c>
      <c r="BE71" s="238">
        <f>IF(WWWW[[#This Row],[Total required water points]]-WWWW[[#This Row],['#Water points coverage]]&lt;0,0,WWWW[[#This Row],[Total required water points]]-WWWW[[#This Row],['#Water points coverage]])</f>
        <v>0</v>
      </c>
      <c r="BF71" s="238">
        <f>ROUND(IF(WWWW[[#This Row],[Total PoP ]]&lt;500,1,WWWW[[#This Row],[Total PoP ]]/500),0)</f>
        <v>2</v>
      </c>
      <c r="BG71" s="238" t="str">
        <f>IF(AND(WWWW[[#This Row],[%of Water samples which passed at water source]]="no test",WWWW[[#This Row],[%Water samples which passed at HH]]="no test"),"No Test","Tested")</f>
        <v>No Test</v>
      </c>
      <c r="BH71" s="238">
        <f>WWWW[[#This Row],['# Existing functional latrines]]+WWWW[[#This Row],['# Existing latrines dysfunctional]]</f>
        <v>47</v>
      </c>
      <c r="BI71" s="235">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0.80204778156996592</v>
      </c>
      <c r="BJ71" s="675">
        <f>WWWW[[#This Row],[% people access to functioning Latrine]]*WWWW[[#This Row],[Total PoP ]]</f>
        <v>940.00000000000011</v>
      </c>
      <c r="BK71" s="235">
        <f>IF(WWWW[[#This Row],[Location Type 1]]="camp",WWWW[[#This Row],['# potential required new latrines]]/(WWWW[[#This Row],[Total PoP ]]/20),WWWW[[#This Row],['# potential required new latrines]]/(WWWW[[#This Row],[Total PoP ]]/6))</f>
        <v>0.20477815699658702</v>
      </c>
      <c r="BL71" s="236">
        <f>IF(WWWW[[#This Row],[Total required Latrines]]-WWWW[[#This Row],[Total '# of latrine]]&lt;0,0,WWWW[[#This Row],[Total required Latrines]]-WWWW[[#This Row],[Total '# of latrine]])</f>
        <v>12</v>
      </c>
      <c r="BM71" s="238">
        <f>ROUND(IF(WWWW[[#This Row],[Location Type 1]]="camp",WWWW[[#This Row],[Total PoP ]]/20,WWWW[[#This Row],[Total PoP ]]/6),0)</f>
        <v>59</v>
      </c>
      <c r="BN71" s="239">
        <f>IF(OR(WWWW[[#This Row],['# Existing latrines dysfunctional]]="",WWWW[[#This Row],['# Existing latrines dysfunctional]]=0),0,WWWW[[#This Row],['# Existing latrines dysfunctional]]/WWWW[[#This Row],[Total '# of latrine]])</f>
        <v>0</v>
      </c>
      <c r="BO71" s="675">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60</v>
      </c>
      <c r="BP71" s="235">
        <f>WWWW[[#This Row],[People adopt basic personal and community hygiene practices]]/WWWW[[#This Row],[Total PoP ]]</f>
        <v>1</v>
      </c>
      <c r="BQ71" s="239">
        <f>1-WWWW[[#This Row],[Hygiene Coverage%]]</f>
        <v>0</v>
      </c>
      <c r="BR71" s="414">
        <f>IF(500*WWWW[[#This Row],['# Hygiene Promoters ]]&gt;WWWW[[#This Row],[Total PoP ]],WWWW[[#This Row],[Total PoP ]],500*WWWW[[#This Row],['# Hygiene Promoters ]])</f>
        <v>1000</v>
      </c>
      <c r="BS71" s="414">
        <f>IF(WWWW[[#This Row],[% of HH with access to Sanitary Pad]]&gt;=100%,1,0)</f>
        <v>1</v>
      </c>
      <c r="BT71" s="414">
        <f>IF(WWWW[[#This Row],[Total PoP ]]=0,0,IF(WWWW[[#This Row],['# Hygiene Promoters ]]=0,0,IF(WWWW[[#This Row],[Location Type 1]]="Village",IF(WWWW[[#This Row],[Total PoP ]]/WWWW[[#This Row],['# Hygiene Promoters ]]&lt;1000,1,0),IF(WWWW[[#This Row],[Total PoP ]]/WWWW[[#This Row],['# Hygiene Promoters ]]&lt;600,1,0))))</f>
        <v>1</v>
      </c>
      <c r="BU71" s="414">
        <f>IF(WWWW[[#This Row],[%HH with access to soap]]&gt;=100%,1,0)</f>
        <v>1</v>
      </c>
      <c r="BV71" s="414">
        <f>IF(WWWW[[#This Row],[% of HHs with access to Sanitary pad more than '#%]]+WWWW[[#This Row],[Ratio of Hyiene promoters to people less than '#]]+WWWW[[#This Row],[% of HHs with access to soap more than '#%]]&gt;=2,WWWW[[#This Row],[Total PoP ]],0)</f>
        <v>1172</v>
      </c>
      <c r="BW71" s="346">
        <f>WWWW[[#This Row],['# people reached by regular dedicated hygiene promotion_5]]/WWWW[[#This Row],[Total PoP ]]</f>
        <v>0.85324232081911267</v>
      </c>
      <c r="BX71" s="346">
        <f>IF(WWWW[[#This Row],['# HH received soaps]]/WWWW[[#This Row],[Total HH]]&gt;1,1,WWWW[[#This Row],['# HH received soaps]]/WWWW[[#This Row],[Total HH]])</f>
        <v>1</v>
      </c>
      <c r="BY71" s="346">
        <f>IF(WWWW[[#This Row],['# HH received Sanitary Pads]]/WWWW[[#This Row],[Total HH]]&gt;1,1,WWWW[[#This Row],['# HH received Sanitary Pads]]/WWWW[[#This Row],[Total HH]])</f>
        <v>1</v>
      </c>
      <c r="BZ71" s="720">
        <f>WWWW[[#This Row],['# HH received soaps]]*5</f>
        <v>1085</v>
      </c>
      <c r="CA71" s="720">
        <f>WWWW[[#This Row],['# HH received Sanitary Pads]]*5</f>
        <v>1085</v>
      </c>
      <c r="CB71" s="238">
        <f>IF(WWWW[[#This Row],['# People with access to soap]]&gt;WWWW[[#This Row],['# People with access to Sanity Pads]],WWWW[[#This Row],['# People with access to soap]],WWWW[[#This Row],['# People with access to Sanity Pads]])</f>
        <v>1085</v>
      </c>
      <c r="CC71" s="236">
        <f>WWWW[[#This Row],[Total HH]]*WWWW[[#This Row],[%HHs with access to functional hand washing stations]]</f>
        <v>217</v>
      </c>
      <c r="CD71" s="240" t="str">
        <f>VLOOKUP(WWWW[[#This Row],[Site Name]],SiteDB6[],8,FALSE)</f>
        <v>Yes</v>
      </c>
      <c r="CE71" s="240" t="str">
        <f>VLOOKUP(WWWW[[#This Row],[Site Name]],SiteDB6[],9,FALSE)</f>
        <v>KMSS-BMO</v>
      </c>
      <c r="CF71" s="240" t="str">
        <f>VLOOKUP(WWWW[[#This Row],[Site Name]],SiteDB6[],10,FALSE)</f>
        <v>Camp</v>
      </c>
      <c r="CG71" s="240" t="str">
        <f>VLOOKUP(WWWW[[#This Row],[Site Name]],SiteDB6[],11,FALSE)</f>
        <v>Camp</v>
      </c>
      <c r="CH71" s="240" t="str">
        <f>VLOOKUP(WWWW[[#This Row],[Site Name]],SiteDB6[],12,FALSE)</f>
        <v>Camp</v>
      </c>
      <c r="CI71" s="240" t="str">
        <f>VLOOKUP(WWWW[[#This Row],[Site Name]],SiteDB6[],13,FALSE)</f>
        <v>GCA</v>
      </c>
      <c r="CJ71" s="240">
        <f>VLOOKUP(WWWW[[#This Row],[Site Name]],SiteDB6[],14,FALSE)</f>
        <v>24.245100000000001</v>
      </c>
      <c r="CK71" s="240">
        <f>VLOOKUP(WWWW[[#This Row],[Site Name]],SiteDB6[],15,FALSE)</f>
        <v>97.325019999999995</v>
      </c>
      <c r="CL71" s="240" t="str">
        <f>VLOOKUP(WWWW[[#This Row],[Site Name]],SiteDB6[],4,FALSE)</f>
        <v>MMR001CMP062</v>
      </c>
      <c r="CM71" s="235" t="str">
        <f t="shared" ref="CM71:CM134" si="1">IF(B71="none","Notcovered","Covered")</f>
        <v>Covered</v>
      </c>
      <c r="CN71" s="235"/>
    </row>
    <row r="72" spans="1:92" ht="15.75" customHeight="1" x14ac:dyDescent="0.25">
      <c r="A72" s="532" t="s">
        <v>1409</v>
      </c>
      <c r="B72" s="533" t="s">
        <v>297</v>
      </c>
      <c r="C72" s="533" t="s">
        <v>44</v>
      </c>
      <c r="D72" s="533" t="s">
        <v>315</v>
      </c>
      <c r="E72" s="533" t="s">
        <v>322</v>
      </c>
      <c r="F72" s="233">
        <v>103</v>
      </c>
      <c r="G72" s="414">
        <v>581</v>
      </c>
      <c r="H72" s="233"/>
      <c r="I72" s="233" t="s">
        <v>300</v>
      </c>
      <c r="J72" s="234">
        <v>43555</v>
      </c>
      <c r="K72" s="233">
        <v>0</v>
      </c>
      <c r="L72" s="233" t="s">
        <v>48</v>
      </c>
      <c r="M72" s="235">
        <v>0.6</v>
      </c>
      <c r="N72" s="235">
        <v>0.5</v>
      </c>
      <c r="O72" s="609">
        <v>1</v>
      </c>
      <c r="P72" s="615">
        <v>2</v>
      </c>
      <c r="Q72" s="615">
        <v>2000</v>
      </c>
      <c r="R72" s="604">
        <v>0</v>
      </c>
      <c r="S72" s="604">
        <v>0</v>
      </c>
      <c r="T72" s="604">
        <v>0</v>
      </c>
      <c r="U72" s="604">
        <v>0</v>
      </c>
      <c r="V72" s="604">
        <v>0</v>
      </c>
      <c r="W72" s="604">
        <v>0</v>
      </c>
      <c r="X72" s="604">
        <v>0</v>
      </c>
      <c r="Y72" s="604"/>
      <c r="Z72" s="628">
        <v>30</v>
      </c>
      <c r="AA72" s="628">
        <v>0</v>
      </c>
      <c r="AB72" s="629">
        <v>0</v>
      </c>
      <c r="AC72" s="628">
        <v>0</v>
      </c>
      <c r="AD72" s="628" t="s">
        <v>293</v>
      </c>
      <c r="AE72" s="631" t="s">
        <v>293</v>
      </c>
      <c r="AF72" s="631"/>
      <c r="AG72" s="628"/>
      <c r="AH72" s="628"/>
      <c r="AI72" s="659">
        <v>0.6</v>
      </c>
      <c r="AJ72" s="650" t="s">
        <v>386</v>
      </c>
      <c r="AK72" s="644">
        <v>0</v>
      </c>
      <c r="AL72" s="645">
        <v>2</v>
      </c>
      <c r="AM72" s="645">
        <v>2</v>
      </c>
      <c r="AN72" s="646">
        <v>0</v>
      </c>
      <c r="AO72" s="647">
        <v>0</v>
      </c>
      <c r="AP72" s="647"/>
      <c r="AQ72" s="658"/>
      <c r="AR72" s="235" t="str">
        <f>IFERROR(WWWW[[#This Row],['# of Water passed at source]]/WWWW[[#This Row],['# of Water tested at source]],"no test")</f>
        <v>no test</v>
      </c>
      <c r="AS72" s="237" t="str">
        <f>IFERROR(WWWW[[#This Row],['# of Water passed at HH]]/WWWW[[#This Row],['# of Water tested at HH]],"no test")</f>
        <v>no test</v>
      </c>
      <c r="AT72" s="237">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U72" s="237">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AV72" s="237">
        <f>IF(WWWW[[#This Row],[Location Type 1]]="Village",WWWW[[#This Row],[Access to safe drinking water for Village]],WWWW[[#This Row],[Access to safe drinking water for Camp]])</f>
        <v>1</v>
      </c>
      <c r="AW72" s="414">
        <f>WWWW[[#This Row],[%Equitable and continuous access to sufficient quantity of safe drinking water]]*WWWW[[#This Row],[Total PoP ]]</f>
        <v>581</v>
      </c>
      <c r="AX72" s="237">
        <f>IF((WWWW[[#This Row],['# Existing protected/fenced ponds ]]*250)/WWWW[[#This Row],[Total PoP ]]&gt;1,1,WWWW[[#This Row],['# Existing protected/fenced ponds ]]*250/WWWW[[#This Row],[Total PoP ]])</f>
        <v>0</v>
      </c>
      <c r="AY72" s="236">
        <f>WWWW[[#This Row],[Access to unimproved water points]]*WWWW[[#This Row],[Total PoP ]]</f>
        <v>0</v>
      </c>
      <c r="AZ72" s="237">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A72" s="414">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581</v>
      </c>
      <c r="BB72" s="414">
        <f>WWWW[[#This Row],['#people Equitable and continuous access to sufficient quantity of domestic water borehole n ponds_2]]/500</f>
        <v>1.1619999999999999</v>
      </c>
      <c r="BC72" s="235">
        <f>1-WWWW[[#This Row],[%Equitable and continuous access to sufficient quantity of domestic water borehole n ponds]]</f>
        <v>0</v>
      </c>
      <c r="BD72" s="236">
        <f>WWWW[[#This Row],[%equitable and continuous access to sufficient quantity of safe drinking and domestic water''s GAP]]*WWWW[[#This Row],[Total PoP ]]</f>
        <v>0</v>
      </c>
      <c r="BE72" s="238">
        <f>IF(WWWW[[#This Row],[Total required water points]]-WWWW[[#This Row],['#Water points coverage]]&lt;0,0,WWWW[[#This Row],[Total required water points]]-WWWW[[#This Row],['#Water points coverage]])</f>
        <v>0</v>
      </c>
      <c r="BF72" s="238">
        <f>ROUND(IF(WWWW[[#This Row],[Total PoP ]]&lt;500,1,WWWW[[#This Row],[Total PoP ]]/500),0)</f>
        <v>1</v>
      </c>
      <c r="BG72" s="238" t="str">
        <f>IF(AND(WWWW[[#This Row],[%of Water samples which passed at water source]]="no test",WWWW[[#This Row],[%Water samples which passed at HH]]="no test"),"No Test","Tested")</f>
        <v>No Test</v>
      </c>
      <c r="BH72" s="238">
        <f>WWWW[[#This Row],['# Existing functional latrines]]+WWWW[[#This Row],['# Existing latrines dysfunctional]]</f>
        <v>30</v>
      </c>
      <c r="BI72" s="235">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1</v>
      </c>
      <c r="BJ72" s="675">
        <f>WWWW[[#This Row],[% people access to functioning Latrine]]*WWWW[[#This Row],[Total PoP ]]</f>
        <v>581</v>
      </c>
      <c r="BK72" s="235">
        <f>IF(WWWW[[#This Row],[Location Type 1]]="camp",WWWW[[#This Row],['# potential required new latrines]]/(WWWW[[#This Row],[Total PoP ]]/20),WWWW[[#This Row],['# potential required new latrines]]/(WWWW[[#This Row],[Total PoP ]]/6))</f>
        <v>0</v>
      </c>
      <c r="BL72" s="236">
        <f>IF(WWWW[[#This Row],[Total required Latrines]]-WWWW[[#This Row],[Total '# of latrine]]&lt;0,0,WWWW[[#This Row],[Total required Latrines]]-WWWW[[#This Row],[Total '# of latrine]])</f>
        <v>0</v>
      </c>
      <c r="BM72" s="238">
        <f>ROUND(IF(WWWW[[#This Row],[Location Type 1]]="camp",WWWW[[#This Row],[Total PoP ]]/20,WWWW[[#This Row],[Total PoP ]]/6),0)</f>
        <v>29</v>
      </c>
      <c r="BN72" s="239">
        <f>IF(OR(WWWW[[#This Row],['# Existing latrines dysfunctional]]="",WWWW[[#This Row],['# Existing latrines dysfunctional]]=0),0,WWWW[[#This Row],['# Existing latrines dysfunctional]]/WWWW[[#This Row],[Total '# of latrine]])</f>
        <v>0</v>
      </c>
      <c r="BO72" s="675">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P72" s="235">
        <f>WWWW[[#This Row],[People adopt basic personal and community hygiene practices]]/WWWW[[#This Row],[Total PoP ]]</f>
        <v>0</v>
      </c>
      <c r="BQ72" s="239">
        <f>1-WWWW[[#This Row],[Hygiene Coverage%]]</f>
        <v>1</v>
      </c>
      <c r="BR72" s="414">
        <f>IF(500*WWWW[[#This Row],['# Hygiene Promoters ]]&gt;WWWW[[#This Row],[Total PoP ]],WWWW[[#This Row],[Total PoP ]],500*WWWW[[#This Row],['# Hygiene Promoters ]])</f>
        <v>581</v>
      </c>
      <c r="BS72" s="414">
        <f>IF(WWWW[[#This Row],[% of HH with access to Sanitary Pad]]&gt;=100%,1,0)</f>
        <v>0</v>
      </c>
      <c r="BT72" s="414">
        <f>IF(WWWW[[#This Row],[Total PoP ]]=0,0,IF(WWWW[[#This Row],['# Hygiene Promoters ]]=0,0,IF(WWWW[[#This Row],[Location Type 1]]="Village",IF(WWWW[[#This Row],[Total PoP ]]/WWWW[[#This Row],['# Hygiene Promoters ]]&lt;1000,1,0),IF(WWWW[[#This Row],[Total PoP ]]/WWWW[[#This Row],['# Hygiene Promoters ]]&lt;600,1,0))))</f>
        <v>1</v>
      </c>
      <c r="BU72" s="414">
        <f>IF(WWWW[[#This Row],[%HH with access to soap]]&gt;=100%,1,0)</f>
        <v>0</v>
      </c>
      <c r="BV72" s="414">
        <f>IF(WWWW[[#This Row],[% of HHs with access to Sanitary pad more than '#%]]+WWWW[[#This Row],[Ratio of Hyiene promoters to people less than '#]]+WWWW[[#This Row],[% of HHs with access to soap more than '#%]]&gt;=2,WWWW[[#This Row],[Total PoP ]],0)</f>
        <v>0</v>
      </c>
      <c r="BW72" s="346">
        <f>WWWW[[#This Row],['# people reached by regular dedicated hygiene promotion_5]]/WWWW[[#This Row],[Total PoP ]]</f>
        <v>1</v>
      </c>
      <c r="BX72" s="346">
        <f>IF(WWWW[[#This Row],['# HH received soaps]]/WWWW[[#This Row],[Total HH]]&gt;1,1,WWWW[[#This Row],['# HH received soaps]]/WWWW[[#This Row],[Total HH]])</f>
        <v>0</v>
      </c>
      <c r="BY72" s="346">
        <f>IF(WWWW[[#This Row],['# HH received Sanitary Pads]]/WWWW[[#This Row],[Total HH]]&gt;1,1,WWWW[[#This Row],['# HH received Sanitary Pads]]/WWWW[[#This Row],[Total HH]])</f>
        <v>0</v>
      </c>
      <c r="BZ72" s="720">
        <f>WWWW[[#This Row],['# HH received soaps]]*5</f>
        <v>0</v>
      </c>
      <c r="CA72" s="720">
        <f>WWWW[[#This Row],['# HH received Sanitary Pads]]*5</f>
        <v>0</v>
      </c>
      <c r="CB72" s="238">
        <f>IF(WWWW[[#This Row],['# People with access to soap]]&gt;WWWW[[#This Row],['# People with access to Sanity Pads]],WWWW[[#This Row],['# People with access to soap]],WWWW[[#This Row],['# People with access to Sanity Pads]])</f>
        <v>0</v>
      </c>
      <c r="CC72" s="236">
        <f>WWWW[[#This Row],[Total HH]]*WWWW[[#This Row],[%HHs with access to functional hand washing stations]]</f>
        <v>61.8</v>
      </c>
      <c r="CD72" s="240" t="str">
        <f>VLOOKUP(WWWW[[#This Row],[Site Name]],SiteDB6[],8,FALSE)</f>
        <v>Yes</v>
      </c>
      <c r="CE72" s="240" t="str">
        <f>VLOOKUP(WWWW[[#This Row],[Site Name]],SiteDB6[],9,FALSE)</f>
        <v>KBC</v>
      </c>
      <c r="CF72" s="240" t="str">
        <f>VLOOKUP(WWWW[[#This Row],[Site Name]],SiteDB6[],10,FALSE)</f>
        <v>Camp</v>
      </c>
      <c r="CG72" s="240" t="str">
        <f>VLOOKUP(WWWW[[#This Row],[Site Name]],SiteDB6[],11,FALSE)</f>
        <v>Camp</v>
      </c>
      <c r="CH72" s="240" t="str">
        <f>VLOOKUP(WWWW[[#This Row],[Site Name]],SiteDB6[],12,FALSE)</f>
        <v>Camp</v>
      </c>
      <c r="CI72" s="240" t="str">
        <f>VLOOKUP(WWWW[[#This Row],[Site Name]],SiteDB6[],13,FALSE)</f>
        <v>GCA</v>
      </c>
      <c r="CJ72" s="240">
        <f>VLOOKUP(WWWW[[#This Row],[Site Name]],SiteDB6[],14,FALSE)</f>
        <v>25.428910999999999</v>
      </c>
      <c r="CK72" s="240">
        <f>VLOOKUP(WWWW[[#This Row],[Site Name]],SiteDB6[],15,FALSE)</f>
        <v>97.418694000000002</v>
      </c>
      <c r="CL72" s="240" t="str">
        <f>VLOOKUP(WWWW[[#This Row],[Site Name]],SiteDB6[],4,FALSE)</f>
        <v>MMR001CMP008</v>
      </c>
      <c r="CM72" s="235" t="str">
        <f t="shared" si="1"/>
        <v>Covered</v>
      </c>
      <c r="CN72" s="235"/>
    </row>
    <row r="73" spans="1:92" ht="15.75" customHeight="1" x14ac:dyDescent="0.25">
      <c r="A73" s="532" t="s">
        <v>1409</v>
      </c>
      <c r="B73" s="533" t="s">
        <v>457</v>
      </c>
      <c r="C73" s="533" t="s">
        <v>44</v>
      </c>
      <c r="D73" s="533" t="s">
        <v>45</v>
      </c>
      <c r="E73" s="533" t="s">
        <v>458</v>
      </c>
      <c r="F73" s="233">
        <v>107</v>
      </c>
      <c r="G73" s="414">
        <v>529</v>
      </c>
      <c r="H73" s="233">
        <v>221</v>
      </c>
      <c r="I73" s="233" t="s">
        <v>459</v>
      </c>
      <c r="J73" s="234">
        <v>43421</v>
      </c>
      <c r="K73" s="233"/>
      <c r="L73" s="233" t="s">
        <v>48</v>
      </c>
      <c r="M73" s="235">
        <v>0.2</v>
      </c>
      <c r="N73" s="235">
        <v>0.2</v>
      </c>
      <c r="O73" s="609">
        <v>0</v>
      </c>
      <c r="P73" s="615">
        <v>1</v>
      </c>
      <c r="Q73" s="615">
        <v>9000</v>
      </c>
      <c r="R73" s="604">
        <v>0</v>
      </c>
      <c r="S73" s="604">
        <v>2</v>
      </c>
      <c r="T73" s="604">
        <v>0</v>
      </c>
      <c r="U73" s="604">
        <v>0</v>
      </c>
      <c r="V73" s="604">
        <v>0</v>
      </c>
      <c r="W73" s="604">
        <v>0</v>
      </c>
      <c r="X73" s="604">
        <v>0</v>
      </c>
      <c r="Y73" s="604"/>
      <c r="Z73" s="628">
        <v>16</v>
      </c>
      <c r="AA73" s="628">
        <v>16</v>
      </c>
      <c r="AB73" s="629">
        <v>0</v>
      </c>
      <c r="AC73" s="628">
        <v>16</v>
      </c>
      <c r="AD73" s="628" t="s">
        <v>1379</v>
      </c>
      <c r="AE73" s="631" t="s">
        <v>1379</v>
      </c>
      <c r="AF73" s="631">
        <v>0</v>
      </c>
      <c r="AG73" s="628">
        <v>0</v>
      </c>
      <c r="AH73" s="628"/>
      <c r="AI73" s="659">
        <v>0.67</v>
      </c>
      <c r="AJ73" s="650" t="s">
        <v>386</v>
      </c>
      <c r="AK73" s="644">
        <v>0</v>
      </c>
      <c r="AL73" s="645">
        <v>2</v>
      </c>
      <c r="AM73" s="645">
        <v>1</v>
      </c>
      <c r="AN73" s="646">
        <v>107</v>
      </c>
      <c r="AO73" s="647">
        <v>0</v>
      </c>
      <c r="AP73" s="647"/>
      <c r="AQ73" s="658"/>
      <c r="AR73" s="235" t="str">
        <f>IFERROR(WWWW[[#This Row],['# of Water passed at source]]/WWWW[[#This Row],['# of Water tested at source]],"no test")</f>
        <v>no test</v>
      </c>
      <c r="AS73" s="237" t="str">
        <f>IFERROR(WWWW[[#This Row],['# of Water passed at HH]]/WWWW[[#This Row],['# of Water tested at HH]],"no test")</f>
        <v>no test</v>
      </c>
      <c r="AT73" s="237">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U73" s="237">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AV73" s="237">
        <f>IF(WWWW[[#This Row],[Location Type 1]]="Village",WWWW[[#This Row],[Access to safe drinking water for Village]],WWWW[[#This Row],[Access to safe drinking water for Camp]])</f>
        <v>1</v>
      </c>
      <c r="AW73" s="414">
        <f>WWWW[[#This Row],[%Equitable and continuous access to sufficient quantity of safe drinking water]]*WWWW[[#This Row],[Total PoP ]]</f>
        <v>529</v>
      </c>
      <c r="AX73" s="237">
        <f>IF((WWWW[[#This Row],['# Existing protected/fenced ponds ]]*250)/WWWW[[#This Row],[Total PoP ]]&gt;1,1,WWWW[[#This Row],['# Existing protected/fenced ponds ]]*250/WWWW[[#This Row],[Total PoP ]])</f>
        <v>0</v>
      </c>
      <c r="AY73" s="236">
        <f>WWWW[[#This Row],[Access to unimproved water points]]*WWWW[[#This Row],[Total PoP ]]</f>
        <v>0</v>
      </c>
      <c r="AZ73" s="237">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A73" s="414">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529</v>
      </c>
      <c r="BB73" s="414">
        <f>WWWW[[#This Row],['#people Equitable and continuous access to sufficient quantity of domestic water borehole n ponds_2]]/500</f>
        <v>1.0580000000000001</v>
      </c>
      <c r="BC73" s="235">
        <f>1-WWWW[[#This Row],[%Equitable and continuous access to sufficient quantity of domestic water borehole n ponds]]</f>
        <v>0</v>
      </c>
      <c r="BD73" s="236">
        <f>WWWW[[#This Row],[%equitable and continuous access to sufficient quantity of safe drinking and domestic water''s GAP]]*WWWW[[#This Row],[Total PoP ]]</f>
        <v>0</v>
      </c>
      <c r="BE73" s="238">
        <f>IF(WWWW[[#This Row],[Total required water points]]-WWWW[[#This Row],['#Water points coverage]]&lt;0,0,WWWW[[#This Row],[Total required water points]]-WWWW[[#This Row],['#Water points coverage]])</f>
        <v>0</v>
      </c>
      <c r="BF73" s="238">
        <f>ROUND(IF(WWWW[[#This Row],[Total PoP ]]&lt;500,1,WWWW[[#This Row],[Total PoP ]]/500),0)</f>
        <v>1</v>
      </c>
      <c r="BG73" s="238" t="str">
        <f>IF(AND(WWWW[[#This Row],[%of Water samples which passed at water source]]="no test",WWWW[[#This Row],[%Water samples which passed at HH]]="no test"),"No Test","Tested")</f>
        <v>No Test</v>
      </c>
      <c r="BH73" s="238">
        <f>WWWW[[#This Row],['# Existing functional latrines]]+WWWW[[#This Row],['# Existing latrines dysfunctional]]</f>
        <v>32</v>
      </c>
      <c r="BI73" s="235">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0.60491493383742911</v>
      </c>
      <c r="BJ73" s="675">
        <f>WWWW[[#This Row],[% people access to functioning Latrine]]*WWWW[[#This Row],[Total PoP ]]</f>
        <v>320</v>
      </c>
      <c r="BK73" s="235">
        <f>IF(WWWW[[#This Row],[Location Type 1]]="camp",WWWW[[#This Row],['# potential required new latrines]]/(WWWW[[#This Row],[Total PoP ]]/20),WWWW[[#This Row],['# potential required new latrines]]/(WWWW[[#This Row],[Total PoP ]]/6))</f>
        <v>0</v>
      </c>
      <c r="BL73" s="236">
        <f>IF(WWWW[[#This Row],[Total required Latrines]]-WWWW[[#This Row],[Total '# of latrine]]&lt;0,0,WWWW[[#This Row],[Total required Latrines]]-WWWW[[#This Row],[Total '# of latrine]])</f>
        <v>0</v>
      </c>
      <c r="BM73" s="238">
        <f>ROUND(IF(WWWW[[#This Row],[Location Type 1]]="camp",WWWW[[#This Row],[Total PoP ]]/20,WWWW[[#This Row],[Total PoP ]]/6),0)</f>
        <v>26</v>
      </c>
      <c r="BN73" s="239">
        <f>IF(OR(WWWW[[#This Row],['# Existing latrines dysfunctional]]="",WWWW[[#This Row],['# Existing latrines dysfunctional]]=0),0,WWWW[[#This Row],['# Existing latrines dysfunctional]]/WWWW[[#This Row],[Total '# of latrine]])</f>
        <v>0.5</v>
      </c>
      <c r="BO73" s="675">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P73" s="235">
        <f>WWWW[[#This Row],[People adopt basic personal and community hygiene practices]]/WWWW[[#This Row],[Total PoP ]]</f>
        <v>1</v>
      </c>
      <c r="BQ73" s="239">
        <f>1-WWWW[[#This Row],[Hygiene Coverage%]]</f>
        <v>0</v>
      </c>
      <c r="BR73" s="414">
        <f>IF(500*WWWW[[#This Row],['# Hygiene Promoters ]]&gt;WWWW[[#This Row],[Total PoP ]],WWWW[[#This Row],[Total PoP ]],500*WWWW[[#This Row],['# Hygiene Promoters ]])</f>
        <v>500</v>
      </c>
      <c r="BS73" s="414">
        <f>IF(WWWW[[#This Row],[% of HH with access to Sanitary Pad]]&gt;=100%,1,0)</f>
        <v>0</v>
      </c>
      <c r="BT73" s="414">
        <f>IF(WWWW[[#This Row],[Total PoP ]]=0,0,IF(WWWW[[#This Row],['# Hygiene Promoters ]]=0,0,IF(WWWW[[#This Row],[Location Type 1]]="Village",IF(WWWW[[#This Row],[Total PoP ]]/WWWW[[#This Row],['# Hygiene Promoters ]]&lt;1000,1,0),IF(WWWW[[#This Row],[Total PoP ]]/WWWW[[#This Row],['# Hygiene Promoters ]]&lt;600,1,0))))</f>
        <v>1</v>
      </c>
      <c r="BU73" s="414">
        <f>IF(WWWW[[#This Row],[%HH with access to soap]]&gt;=100%,1,0)</f>
        <v>1</v>
      </c>
      <c r="BV73" s="414">
        <f>IF(WWWW[[#This Row],[% of HHs with access to Sanitary pad more than '#%]]+WWWW[[#This Row],[Ratio of Hyiene promoters to people less than '#]]+WWWW[[#This Row],[% of HHs with access to soap more than '#%]]&gt;=2,WWWW[[#This Row],[Total PoP ]],0)</f>
        <v>529</v>
      </c>
      <c r="BW73" s="346">
        <f>WWWW[[#This Row],['# people reached by regular dedicated hygiene promotion_5]]/WWWW[[#This Row],[Total PoP ]]</f>
        <v>0.94517958412098302</v>
      </c>
      <c r="BX73" s="346">
        <f>IF(WWWW[[#This Row],['# HH received soaps]]/WWWW[[#This Row],[Total HH]]&gt;1,1,WWWW[[#This Row],['# HH received soaps]]/WWWW[[#This Row],[Total HH]])</f>
        <v>1</v>
      </c>
      <c r="BY73" s="346">
        <f>IF(WWWW[[#This Row],['# HH received Sanitary Pads]]/WWWW[[#This Row],[Total HH]]&gt;1,1,WWWW[[#This Row],['# HH received Sanitary Pads]]/WWWW[[#This Row],[Total HH]])</f>
        <v>0</v>
      </c>
      <c r="BZ73" s="720">
        <f>WWWW[[#This Row],['# HH received soaps]]*5</f>
        <v>535</v>
      </c>
      <c r="CA73" s="720">
        <f>WWWW[[#This Row],['# HH received Sanitary Pads]]*5</f>
        <v>0</v>
      </c>
      <c r="CB73" s="238">
        <f>IF(WWWW[[#This Row],['# People with access to soap]]&gt;WWWW[[#This Row],['# People with access to Sanity Pads]],WWWW[[#This Row],['# People with access to soap]],WWWW[[#This Row],['# People with access to Sanity Pads]])</f>
        <v>535</v>
      </c>
      <c r="CC73" s="236">
        <f>WWWW[[#This Row],[Total HH]]*WWWW[[#This Row],[%HHs with access to functional hand washing stations]]</f>
        <v>71.69</v>
      </c>
      <c r="CD73" s="240" t="str">
        <f>VLOOKUP(WWWW[[#This Row],[Site Name]],SiteDB6[],8,FALSE)</f>
        <v>Yes</v>
      </c>
      <c r="CE73" s="240" t="str">
        <f>VLOOKUP(WWWW[[#This Row],[Site Name]],SiteDB6[],9,FALSE)</f>
        <v>KBC</v>
      </c>
      <c r="CF73" s="240" t="str">
        <f>VLOOKUP(WWWW[[#This Row],[Site Name]],SiteDB6[],10,FALSE)</f>
        <v>Camp</v>
      </c>
      <c r="CG73" s="240" t="str">
        <f>VLOOKUP(WWWW[[#This Row],[Site Name]],SiteDB6[],11,FALSE)</f>
        <v>Camp</v>
      </c>
      <c r="CH73" s="240" t="str">
        <f>VLOOKUP(WWWW[[#This Row],[Site Name]],SiteDB6[],12,FALSE)</f>
        <v>Camp</v>
      </c>
      <c r="CI73" s="240" t="str">
        <f>VLOOKUP(WWWW[[#This Row],[Site Name]],SiteDB6[],13,FALSE)</f>
        <v>GCA</v>
      </c>
      <c r="CJ73" s="240">
        <f>VLOOKUP(WWWW[[#This Row],[Site Name]],SiteDB6[],14,FALSE)</f>
        <v>23.83013</v>
      </c>
      <c r="CK73" s="240">
        <f>VLOOKUP(WWWW[[#This Row],[Site Name]],SiteDB6[],15,FALSE)</f>
        <v>97.589979999999997</v>
      </c>
      <c r="CL73" s="240" t="str">
        <f>VLOOKUP(WWWW[[#This Row],[Site Name]],SiteDB6[],4,FALSE)</f>
        <v>MMR001CMP133</v>
      </c>
      <c r="CM73" s="235" t="str">
        <f t="shared" si="1"/>
        <v>Covered</v>
      </c>
      <c r="CN73" s="235"/>
    </row>
    <row r="74" spans="1:92" ht="15.75" customHeight="1" x14ac:dyDescent="0.25">
      <c r="A74" s="532" t="s">
        <v>1409</v>
      </c>
      <c r="B74" s="533" t="s">
        <v>457</v>
      </c>
      <c r="C74" s="533" t="s">
        <v>44</v>
      </c>
      <c r="D74" s="533" t="s">
        <v>45</v>
      </c>
      <c r="E74" s="533" t="s">
        <v>460</v>
      </c>
      <c r="F74" s="233">
        <v>117</v>
      </c>
      <c r="G74" s="414">
        <v>524</v>
      </c>
      <c r="H74" s="233">
        <v>190</v>
      </c>
      <c r="I74" s="233" t="s">
        <v>459</v>
      </c>
      <c r="J74" s="234">
        <v>43421</v>
      </c>
      <c r="K74" s="233"/>
      <c r="L74" s="233" t="s">
        <v>48</v>
      </c>
      <c r="M74" s="235">
        <v>0.56999999999999995</v>
      </c>
      <c r="N74" s="235">
        <v>0.43</v>
      </c>
      <c r="O74" s="609">
        <v>0</v>
      </c>
      <c r="P74" s="615">
        <v>3</v>
      </c>
      <c r="Q74" s="606">
        <v>40000</v>
      </c>
      <c r="R74" s="604">
        <v>0</v>
      </c>
      <c r="S74" s="607">
        <v>16</v>
      </c>
      <c r="T74" s="604">
        <v>0</v>
      </c>
      <c r="U74" s="604">
        <v>0</v>
      </c>
      <c r="V74" s="604">
        <v>0</v>
      </c>
      <c r="W74" s="604">
        <v>0</v>
      </c>
      <c r="X74" s="604">
        <v>0</v>
      </c>
      <c r="Y74" s="604"/>
      <c r="Z74" s="628">
        <v>29</v>
      </c>
      <c r="AA74" s="628">
        <v>8</v>
      </c>
      <c r="AB74" s="629">
        <v>0</v>
      </c>
      <c r="AC74" s="628">
        <v>29</v>
      </c>
      <c r="AD74" s="628" t="s">
        <v>1379</v>
      </c>
      <c r="AE74" s="631" t="s">
        <v>1379</v>
      </c>
      <c r="AF74" s="631">
        <v>0</v>
      </c>
      <c r="AG74" s="628">
        <v>0</v>
      </c>
      <c r="AH74" s="628"/>
      <c r="AI74" s="659">
        <v>0.92</v>
      </c>
      <c r="AJ74" s="650" t="s">
        <v>386</v>
      </c>
      <c r="AK74" s="644">
        <v>0</v>
      </c>
      <c r="AL74" s="645">
        <v>4</v>
      </c>
      <c r="AM74" s="645">
        <v>1</v>
      </c>
      <c r="AN74" s="646">
        <v>117</v>
      </c>
      <c r="AO74" s="647">
        <v>0</v>
      </c>
      <c r="AP74" s="647"/>
      <c r="AQ74" s="658"/>
      <c r="AR74" s="235" t="str">
        <f>IFERROR(WWWW[[#This Row],['# of Water passed at source]]/WWWW[[#This Row],['# of Water tested at source]],"no test")</f>
        <v>no test</v>
      </c>
      <c r="AS74" s="237" t="str">
        <f>IFERROR(WWWW[[#This Row],['# of Water passed at HH]]/WWWW[[#This Row],['# of Water tested at HH]],"no test")</f>
        <v>no test</v>
      </c>
      <c r="AT74" s="237">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U74" s="237">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AV74" s="237">
        <f>IF(WWWW[[#This Row],[Location Type 1]]="Village",WWWW[[#This Row],[Access to safe drinking water for Village]],WWWW[[#This Row],[Access to safe drinking water for Camp]])</f>
        <v>1</v>
      </c>
      <c r="AW74" s="414">
        <f>WWWW[[#This Row],[%Equitable and continuous access to sufficient quantity of safe drinking water]]*WWWW[[#This Row],[Total PoP ]]</f>
        <v>524</v>
      </c>
      <c r="AX74" s="237">
        <f>IF((WWWW[[#This Row],['# Existing protected/fenced ponds ]]*250)/WWWW[[#This Row],[Total PoP ]]&gt;1,1,WWWW[[#This Row],['# Existing protected/fenced ponds ]]*250/WWWW[[#This Row],[Total PoP ]])</f>
        <v>0</v>
      </c>
      <c r="AY74" s="414">
        <f>WWWW[[#This Row],[Access to unimproved water points]]*WWWW[[#This Row],[Total PoP ]]</f>
        <v>0</v>
      </c>
      <c r="AZ74" s="237">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A74" s="414">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524</v>
      </c>
      <c r="BB74" s="414">
        <f>WWWW[[#This Row],['#people Equitable and continuous access to sufficient quantity of domestic water borehole n ponds_2]]/500</f>
        <v>1.048</v>
      </c>
      <c r="BC74" s="235">
        <f>1-WWWW[[#This Row],[%Equitable and continuous access to sufficient quantity of domestic water borehole n ponds]]</f>
        <v>0</v>
      </c>
      <c r="BD74" s="414">
        <f>WWWW[[#This Row],[%equitable and continuous access to sufficient quantity of safe drinking and domestic water''s GAP]]*WWWW[[#This Row],[Total PoP ]]</f>
        <v>0</v>
      </c>
      <c r="BE74" s="238">
        <f>IF(WWWW[[#This Row],[Total required water points]]-WWWW[[#This Row],['#Water points coverage]]&lt;0,0,WWWW[[#This Row],[Total required water points]]-WWWW[[#This Row],['#Water points coverage]])</f>
        <v>0</v>
      </c>
      <c r="BF74" s="238">
        <f>ROUND(IF(WWWW[[#This Row],[Total PoP ]]&lt;500,1,WWWW[[#This Row],[Total PoP ]]/500),0)</f>
        <v>1</v>
      </c>
      <c r="BG74" s="238" t="str">
        <f>IF(AND(WWWW[[#This Row],[%of Water samples which passed at water source]]="no test",WWWW[[#This Row],[%Water samples which passed at HH]]="no test"),"No Test","Tested")</f>
        <v>No Test</v>
      </c>
      <c r="BH74" s="238">
        <f>WWWW[[#This Row],['# Existing functional latrines]]+WWWW[[#This Row],['# Existing latrines dysfunctional]]</f>
        <v>37</v>
      </c>
      <c r="BI74" s="235">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1</v>
      </c>
      <c r="BJ74" s="675">
        <f>WWWW[[#This Row],[% people access to functioning Latrine]]*WWWW[[#This Row],[Total PoP ]]</f>
        <v>524</v>
      </c>
      <c r="BK74" s="235">
        <f>IF(WWWW[[#This Row],[Location Type 1]]="camp",WWWW[[#This Row],['# potential required new latrines]]/(WWWW[[#This Row],[Total PoP ]]/20),WWWW[[#This Row],['# potential required new latrines]]/(WWWW[[#This Row],[Total PoP ]]/6))</f>
        <v>0</v>
      </c>
      <c r="BL74" s="414">
        <f>IF(WWWW[[#This Row],[Total required Latrines]]-WWWW[[#This Row],[Total '# of latrine]]&lt;0,0,WWWW[[#This Row],[Total required Latrines]]-WWWW[[#This Row],[Total '# of latrine]])</f>
        <v>0</v>
      </c>
      <c r="BM74" s="238">
        <f>ROUND(IF(WWWW[[#This Row],[Location Type 1]]="camp",WWWW[[#This Row],[Total PoP ]]/20,WWWW[[#This Row],[Total PoP ]]/6),0)</f>
        <v>26</v>
      </c>
      <c r="BN74" s="239">
        <f>IF(OR(WWWW[[#This Row],['# Existing latrines dysfunctional]]="",WWWW[[#This Row],['# Existing latrines dysfunctional]]=0),0,WWWW[[#This Row],['# Existing latrines dysfunctional]]/WWWW[[#This Row],[Total '# of latrine]])</f>
        <v>0.21621621621621623</v>
      </c>
      <c r="BO74" s="675">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P74" s="235">
        <f>WWWW[[#This Row],[People adopt basic personal and community hygiene practices]]/WWWW[[#This Row],[Total PoP ]]</f>
        <v>1</v>
      </c>
      <c r="BQ74" s="239">
        <f>1-WWWW[[#This Row],[Hygiene Coverage%]]</f>
        <v>0</v>
      </c>
      <c r="BR74" s="414">
        <f>IF(500*WWWW[[#This Row],['# Hygiene Promoters ]]&gt;WWWW[[#This Row],[Total PoP ]],WWWW[[#This Row],[Total PoP ]],500*WWWW[[#This Row],['# Hygiene Promoters ]])</f>
        <v>500</v>
      </c>
      <c r="BS74" s="414">
        <f>IF(WWWW[[#This Row],[% of HH with access to Sanitary Pad]]&gt;=100%,1,0)</f>
        <v>0</v>
      </c>
      <c r="BT74" s="414">
        <f>IF(WWWW[[#This Row],[Total PoP ]]=0,0,IF(WWWW[[#This Row],['# Hygiene Promoters ]]=0,0,IF(WWWW[[#This Row],[Location Type 1]]="Village",IF(WWWW[[#This Row],[Total PoP ]]/WWWW[[#This Row],['# Hygiene Promoters ]]&lt;1000,1,0),IF(WWWW[[#This Row],[Total PoP ]]/WWWW[[#This Row],['# Hygiene Promoters ]]&lt;600,1,0))))</f>
        <v>1</v>
      </c>
      <c r="BU74" s="414">
        <f>IF(WWWW[[#This Row],[%HH with access to soap]]&gt;=100%,1,0)</f>
        <v>1</v>
      </c>
      <c r="BV74" s="414">
        <f>IF(WWWW[[#This Row],[% of HHs with access to Sanitary pad more than '#%]]+WWWW[[#This Row],[Ratio of Hyiene promoters to people less than '#]]+WWWW[[#This Row],[% of HHs with access to soap more than '#%]]&gt;=2,WWWW[[#This Row],[Total PoP ]],0)</f>
        <v>524</v>
      </c>
      <c r="BW74" s="346">
        <f>WWWW[[#This Row],['# people reached by regular dedicated hygiene promotion_5]]/WWWW[[#This Row],[Total PoP ]]</f>
        <v>0.95419847328244278</v>
      </c>
      <c r="BX74" s="346">
        <f>IF(WWWW[[#This Row],['# HH received soaps]]/WWWW[[#This Row],[Total HH]]&gt;1,1,WWWW[[#This Row],['# HH received soaps]]/WWWW[[#This Row],[Total HH]])</f>
        <v>1</v>
      </c>
      <c r="BY74" s="346">
        <f>IF(WWWW[[#This Row],['# HH received Sanitary Pads]]/WWWW[[#This Row],[Total HH]]&gt;1,1,WWWW[[#This Row],['# HH received Sanitary Pads]]/WWWW[[#This Row],[Total HH]])</f>
        <v>0</v>
      </c>
      <c r="BZ74" s="720">
        <f>WWWW[[#This Row],['# HH received soaps]]*5</f>
        <v>585</v>
      </c>
      <c r="CA74" s="720">
        <f>WWWW[[#This Row],['# HH received Sanitary Pads]]*5</f>
        <v>0</v>
      </c>
      <c r="CB74" s="238">
        <f>IF(WWWW[[#This Row],['# People with access to soap]]&gt;WWWW[[#This Row],['# People with access to Sanity Pads]],WWWW[[#This Row],['# People with access to soap]],WWWW[[#This Row],['# People with access to Sanity Pads]])</f>
        <v>585</v>
      </c>
      <c r="CC74" s="414">
        <f>WWWW[[#This Row],[Total HH]]*WWWW[[#This Row],[%HHs with access to functional hand washing stations]]</f>
        <v>107.64</v>
      </c>
      <c r="CD74" s="240" t="str">
        <f>VLOOKUP(WWWW[[#This Row],[Site Name]],SiteDB6[],8,FALSE)</f>
        <v>Yes</v>
      </c>
      <c r="CE74" s="240" t="str">
        <f>VLOOKUP(WWWW[[#This Row],[Site Name]],SiteDB6[],9,FALSE)</f>
        <v>KBC</v>
      </c>
      <c r="CF74" s="240" t="str">
        <f>VLOOKUP(WWWW[[#This Row],[Site Name]],SiteDB6[],10,FALSE)</f>
        <v>Camp</v>
      </c>
      <c r="CG74" s="240" t="str">
        <f>VLOOKUP(WWWW[[#This Row],[Site Name]],SiteDB6[],11,FALSE)</f>
        <v>Camp</v>
      </c>
      <c r="CH74" s="240" t="str">
        <f>VLOOKUP(WWWW[[#This Row],[Site Name]],SiteDB6[],12,FALSE)</f>
        <v>Camp</v>
      </c>
      <c r="CI74" s="240" t="str">
        <f>VLOOKUP(WWWW[[#This Row],[Site Name]],SiteDB6[],13,FALSE)</f>
        <v>GCA</v>
      </c>
      <c r="CJ74" s="240">
        <f>VLOOKUP(WWWW[[#This Row],[Site Name]],SiteDB6[],14,FALSE)</f>
        <v>23.829599000000002</v>
      </c>
      <c r="CK74" s="240">
        <f>VLOOKUP(WWWW[[#This Row],[Site Name]],SiteDB6[],15,FALSE)</f>
        <v>97.590767</v>
      </c>
      <c r="CL74" s="240" t="str">
        <f>VLOOKUP(WWWW[[#This Row],[Site Name]],SiteDB6[],4,FALSE)</f>
        <v>MMR001CMP230</v>
      </c>
      <c r="CM74" s="235" t="str">
        <f t="shared" si="1"/>
        <v>Covered</v>
      </c>
      <c r="CN74" s="235"/>
    </row>
    <row r="75" spans="1:92" ht="15.75" customHeight="1" x14ac:dyDescent="0.25">
      <c r="A75" s="532" t="s">
        <v>1409</v>
      </c>
      <c r="B75" s="533" t="s">
        <v>457</v>
      </c>
      <c r="C75" s="533" t="s">
        <v>44</v>
      </c>
      <c r="D75" s="533" t="s">
        <v>45</v>
      </c>
      <c r="E75" s="533" t="s">
        <v>461</v>
      </c>
      <c r="F75" s="233">
        <v>443</v>
      </c>
      <c r="G75" s="414">
        <v>2327</v>
      </c>
      <c r="H75" s="233"/>
      <c r="I75" s="233" t="s">
        <v>459</v>
      </c>
      <c r="J75" s="234">
        <v>43421</v>
      </c>
      <c r="K75" s="233"/>
      <c r="L75" s="233" t="s">
        <v>48</v>
      </c>
      <c r="M75" s="235">
        <v>0.14000000000000001</v>
      </c>
      <c r="N75" s="235">
        <v>0.14000000000000001</v>
      </c>
      <c r="O75" s="609">
        <v>1</v>
      </c>
      <c r="P75" s="615">
        <v>2</v>
      </c>
      <c r="Q75" s="606">
        <v>63560</v>
      </c>
      <c r="R75" s="604">
        <v>0</v>
      </c>
      <c r="S75" s="604">
        <v>10</v>
      </c>
      <c r="T75" s="604">
        <v>0</v>
      </c>
      <c r="U75" s="604">
        <v>0</v>
      </c>
      <c r="V75" s="604">
        <v>0</v>
      </c>
      <c r="W75" s="604">
        <v>0</v>
      </c>
      <c r="X75" s="604">
        <v>0</v>
      </c>
      <c r="Y75" s="604"/>
      <c r="Z75" s="628">
        <v>127</v>
      </c>
      <c r="AA75" s="628">
        <v>28</v>
      </c>
      <c r="AB75" s="629">
        <v>0</v>
      </c>
      <c r="AC75" s="628">
        <v>127</v>
      </c>
      <c r="AD75" s="628" t="s">
        <v>1379</v>
      </c>
      <c r="AE75" s="631" t="s">
        <v>1379</v>
      </c>
      <c r="AF75" s="631">
        <v>0</v>
      </c>
      <c r="AG75" s="628">
        <v>0</v>
      </c>
      <c r="AH75" s="628"/>
      <c r="AI75" s="659">
        <v>0.5</v>
      </c>
      <c r="AJ75" s="650" t="s">
        <v>386</v>
      </c>
      <c r="AK75" s="644">
        <v>0</v>
      </c>
      <c r="AL75" s="645">
        <v>7</v>
      </c>
      <c r="AM75" s="645">
        <v>2</v>
      </c>
      <c r="AN75" s="646">
        <v>443</v>
      </c>
      <c r="AO75" s="647">
        <v>0</v>
      </c>
      <c r="AP75" s="647"/>
      <c r="AQ75" s="658"/>
      <c r="AR75" s="235" t="str">
        <f>IFERROR(WWWW[[#This Row],['# of Water passed at source]]/WWWW[[#This Row],['# of Water tested at source]],"no test")</f>
        <v>no test</v>
      </c>
      <c r="AS75" s="237" t="str">
        <f>IFERROR(WWWW[[#This Row],['# of Water passed at HH]]/WWWW[[#This Row],['# of Water tested at HH]],"no test")</f>
        <v>no test</v>
      </c>
      <c r="AT75" s="237">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U75" s="237">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AV75" s="237">
        <f>IF(WWWW[[#This Row],[Location Type 1]]="Village",WWWW[[#This Row],[Access to safe drinking water for Village]],WWWW[[#This Row],[Access to safe drinking water for Camp]])</f>
        <v>1</v>
      </c>
      <c r="AW75" s="414">
        <f>WWWW[[#This Row],[%Equitable and continuous access to sufficient quantity of safe drinking water]]*WWWW[[#This Row],[Total PoP ]]</f>
        <v>2327</v>
      </c>
      <c r="AX75" s="237">
        <f>IF((WWWW[[#This Row],['# Existing protected/fenced ponds ]]*250)/WWWW[[#This Row],[Total PoP ]]&gt;1,1,WWWW[[#This Row],['# Existing protected/fenced ponds ]]*250/WWWW[[#This Row],[Total PoP ]])</f>
        <v>0</v>
      </c>
      <c r="AY75" s="414">
        <f>WWWW[[#This Row],[Access to unimproved water points]]*WWWW[[#This Row],[Total PoP ]]</f>
        <v>0</v>
      </c>
      <c r="AZ75" s="237">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A75" s="414">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2327</v>
      </c>
      <c r="BB75" s="414">
        <f>WWWW[[#This Row],['#people Equitable and continuous access to sufficient quantity of domestic water borehole n ponds_2]]/500</f>
        <v>4.6539999999999999</v>
      </c>
      <c r="BC75" s="235">
        <f>1-WWWW[[#This Row],[%Equitable and continuous access to sufficient quantity of domestic water borehole n ponds]]</f>
        <v>0</v>
      </c>
      <c r="BD75" s="414">
        <f>WWWW[[#This Row],[%equitable and continuous access to sufficient quantity of safe drinking and domestic water''s GAP]]*WWWW[[#This Row],[Total PoP ]]</f>
        <v>0</v>
      </c>
      <c r="BE75" s="238">
        <f>IF(WWWW[[#This Row],[Total required water points]]-WWWW[[#This Row],['#Water points coverage]]&lt;0,0,WWWW[[#This Row],[Total required water points]]-WWWW[[#This Row],['#Water points coverage]])</f>
        <v>0.34600000000000009</v>
      </c>
      <c r="BF75" s="238">
        <f>ROUND(IF(WWWW[[#This Row],[Total PoP ]]&lt;500,1,WWWW[[#This Row],[Total PoP ]]/500),0)</f>
        <v>5</v>
      </c>
      <c r="BG75" s="238" t="str">
        <f>IF(AND(WWWW[[#This Row],[%of Water samples which passed at water source]]="no test",WWWW[[#This Row],[%Water samples which passed at HH]]="no test"),"No Test","Tested")</f>
        <v>No Test</v>
      </c>
      <c r="BH75" s="238">
        <f>WWWW[[#This Row],['# Existing functional latrines]]+WWWW[[#This Row],['# Existing latrines dysfunctional]]</f>
        <v>155</v>
      </c>
      <c r="BI75" s="235">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1</v>
      </c>
      <c r="BJ75" s="675">
        <f>WWWW[[#This Row],[% people access to functioning Latrine]]*WWWW[[#This Row],[Total PoP ]]</f>
        <v>2327</v>
      </c>
      <c r="BK75" s="235">
        <f>IF(WWWW[[#This Row],[Location Type 1]]="camp",WWWW[[#This Row],['# potential required new latrines]]/(WWWW[[#This Row],[Total PoP ]]/20),WWWW[[#This Row],['# potential required new latrines]]/(WWWW[[#This Row],[Total PoP ]]/6))</f>
        <v>0</v>
      </c>
      <c r="BL75" s="414">
        <f>IF(WWWW[[#This Row],[Total required Latrines]]-WWWW[[#This Row],[Total '# of latrine]]&lt;0,0,WWWW[[#This Row],[Total required Latrines]]-WWWW[[#This Row],[Total '# of latrine]])</f>
        <v>0</v>
      </c>
      <c r="BM75" s="238">
        <f>ROUND(IF(WWWW[[#This Row],[Location Type 1]]="camp",WWWW[[#This Row],[Total PoP ]]/20,WWWW[[#This Row],[Total PoP ]]/6),0)</f>
        <v>116</v>
      </c>
      <c r="BN75" s="239">
        <f>IF(OR(WWWW[[#This Row],['# Existing latrines dysfunctional]]="",WWWW[[#This Row],['# Existing latrines dysfunctional]]=0),0,WWWW[[#This Row],['# Existing latrines dysfunctional]]/WWWW[[#This Row],[Total '# of latrine]])</f>
        <v>0.18064516129032257</v>
      </c>
      <c r="BO75" s="675">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P75" s="235">
        <f>WWWW[[#This Row],[People adopt basic personal and community hygiene practices]]/WWWW[[#This Row],[Total PoP ]]</f>
        <v>0</v>
      </c>
      <c r="BQ75" s="239">
        <f>1-WWWW[[#This Row],[Hygiene Coverage%]]</f>
        <v>1</v>
      </c>
      <c r="BR75" s="414">
        <f>IF(500*WWWW[[#This Row],['# Hygiene Promoters ]]&gt;WWWW[[#This Row],[Total PoP ]],WWWW[[#This Row],[Total PoP ]],500*WWWW[[#This Row],['# Hygiene Promoters ]])</f>
        <v>1000</v>
      </c>
      <c r="BS75" s="414">
        <f>IF(WWWW[[#This Row],[% of HH with access to Sanitary Pad]]&gt;=100%,1,0)</f>
        <v>0</v>
      </c>
      <c r="BT75" s="414">
        <f>IF(WWWW[[#This Row],[Total PoP ]]=0,0,IF(WWWW[[#This Row],['# Hygiene Promoters ]]=0,0,IF(WWWW[[#This Row],[Location Type 1]]="Village",IF(WWWW[[#This Row],[Total PoP ]]/WWWW[[#This Row],['# Hygiene Promoters ]]&lt;1000,1,0),IF(WWWW[[#This Row],[Total PoP ]]/WWWW[[#This Row],['# Hygiene Promoters ]]&lt;600,1,0))))</f>
        <v>0</v>
      </c>
      <c r="BU75" s="414">
        <f>IF(WWWW[[#This Row],[%HH with access to soap]]&gt;=100%,1,0)</f>
        <v>1</v>
      </c>
      <c r="BV75" s="414">
        <f>IF(WWWW[[#This Row],[% of HHs with access to Sanitary pad more than '#%]]+WWWW[[#This Row],[Ratio of Hyiene promoters to people less than '#]]+WWWW[[#This Row],[% of HHs with access to soap more than '#%]]&gt;=2,WWWW[[#This Row],[Total PoP ]],0)</f>
        <v>0</v>
      </c>
      <c r="BW75" s="346">
        <f>WWWW[[#This Row],['# people reached by regular dedicated hygiene promotion_5]]/WWWW[[#This Row],[Total PoP ]]</f>
        <v>0.42973785990545765</v>
      </c>
      <c r="BX75" s="346">
        <f>IF(WWWW[[#This Row],['# HH received soaps]]/WWWW[[#This Row],[Total HH]]&gt;1,1,WWWW[[#This Row],['# HH received soaps]]/WWWW[[#This Row],[Total HH]])</f>
        <v>1</v>
      </c>
      <c r="BY75" s="346">
        <f>IF(WWWW[[#This Row],['# HH received Sanitary Pads]]/WWWW[[#This Row],[Total HH]]&gt;1,1,WWWW[[#This Row],['# HH received Sanitary Pads]]/WWWW[[#This Row],[Total HH]])</f>
        <v>0</v>
      </c>
      <c r="BZ75" s="720">
        <f>WWWW[[#This Row],['# HH received soaps]]*5</f>
        <v>2215</v>
      </c>
      <c r="CA75" s="720">
        <f>WWWW[[#This Row],['# HH received Sanitary Pads]]*5</f>
        <v>0</v>
      </c>
      <c r="CB75" s="238">
        <f>IF(WWWW[[#This Row],['# People with access to soap]]&gt;WWWW[[#This Row],['# People with access to Sanity Pads]],WWWW[[#This Row],['# People with access to soap]],WWWW[[#This Row],['# People with access to Sanity Pads]])</f>
        <v>2215</v>
      </c>
      <c r="CC75" s="414">
        <f>WWWW[[#This Row],[Total HH]]*WWWW[[#This Row],[%HHs with access to functional hand washing stations]]</f>
        <v>221.5</v>
      </c>
      <c r="CD75" s="240" t="str">
        <f>VLOOKUP(WWWW[[#This Row],[Site Name]],SiteDB6[],8,FALSE)</f>
        <v>Yes</v>
      </c>
      <c r="CE75" s="240" t="str">
        <f>VLOOKUP(WWWW[[#This Row],[Site Name]],SiteDB6[],9,FALSE)</f>
        <v>KMSS-BMO</v>
      </c>
      <c r="CF75" s="240" t="str">
        <f>VLOOKUP(WWWW[[#This Row],[Site Name]],SiteDB6[],10,FALSE)</f>
        <v>Camp</v>
      </c>
      <c r="CG75" s="240" t="str">
        <f>VLOOKUP(WWWW[[#This Row],[Site Name]],SiteDB6[],11,FALSE)</f>
        <v>Camp</v>
      </c>
      <c r="CH75" s="240" t="str">
        <f>VLOOKUP(WWWW[[#This Row],[Site Name]],SiteDB6[],12,FALSE)</f>
        <v>Camp</v>
      </c>
      <c r="CI75" s="240" t="str">
        <f>VLOOKUP(WWWW[[#This Row],[Site Name]],SiteDB6[],13,FALSE)</f>
        <v>GCA</v>
      </c>
      <c r="CJ75" s="240">
        <f>VLOOKUP(WWWW[[#This Row],[Site Name]],SiteDB6[],14,FALSE)</f>
        <v>23.835319999999999</v>
      </c>
      <c r="CK75" s="240">
        <f>VLOOKUP(WWWW[[#This Row],[Site Name]],SiteDB6[],15,FALSE)</f>
        <v>97.578490000000002</v>
      </c>
      <c r="CL75" s="240" t="str">
        <f>VLOOKUP(WWWW[[#This Row],[Site Name]],SiteDB6[],4,FALSE)</f>
        <v>MMR001CMP132</v>
      </c>
      <c r="CM75" s="235" t="str">
        <f t="shared" si="1"/>
        <v>Covered</v>
      </c>
      <c r="CN75" s="235"/>
    </row>
    <row r="76" spans="1:92" ht="15.75" customHeight="1" x14ac:dyDescent="0.25">
      <c r="A76" s="532" t="s">
        <v>1409</v>
      </c>
      <c r="B76" s="533" t="s">
        <v>457</v>
      </c>
      <c r="C76" s="533" t="s">
        <v>44</v>
      </c>
      <c r="D76" s="533" t="s">
        <v>45</v>
      </c>
      <c r="E76" s="533" t="s">
        <v>462</v>
      </c>
      <c r="F76" s="233">
        <v>119</v>
      </c>
      <c r="G76" s="414">
        <v>637</v>
      </c>
      <c r="H76" s="233"/>
      <c r="I76" s="233" t="s">
        <v>459</v>
      </c>
      <c r="J76" s="234">
        <v>43421</v>
      </c>
      <c r="K76" s="233"/>
      <c r="L76" s="233" t="s">
        <v>48</v>
      </c>
      <c r="M76" s="235">
        <v>0.28999999999999998</v>
      </c>
      <c r="N76" s="235">
        <v>0.28999999999999998</v>
      </c>
      <c r="O76" s="609">
        <v>1</v>
      </c>
      <c r="P76" s="615">
        <v>2</v>
      </c>
      <c r="Q76" s="606">
        <v>36300</v>
      </c>
      <c r="R76" s="604">
        <v>0</v>
      </c>
      <c r="S76" s="604">
        <v>3</v>
      </c>
      <c r="T76" s="604">
        <v>0</v>
      </c>
      <c r="U76" s="604">
        <v>0</v>
      </c>
      <c r="V76" s="604">
        <v>0</v>
      </c>
      <c r="W76" s="604">
        <v>0</v>
      </c>
      <c r="X76" s="604">
        <v>0</v>
      </c>
      <c r="Y76" s="604"/>
      <c r="Z76" s="628">
        <v>36</v>
      </c>
      <c r="AA76" s="628">
        <v>0</v>
      </c>
      <c r="AB76" s="629">
        <v>0</v>
      </c>
      <c r="AC76" s="628">
        <v>36</v>
      </c>
      <c r="AD76" s="628" t="s">
        <v>1379</v>
      </c>
      <c r="AE76" s="631" t="s">
        <v>1379</v>
      </c>
      <c r="AF76" s="631">
        <v>0</v>
      </c>
      <c r="AG76" s="628">
        <v>0</v>
      </c>
      <c r="AH76" s="628"/>
      <c r="AI76" s="659">
        <v>0</v>
      </c>
      <c r="AJ76" s="644"/>
      <c r="AK76" s="644">
        <v>0</v>
      </c>
      <c r="AL76" s="645">
        <v>3</v>
      </c>
      <c r="AM76" s="645">
        <v>1</v>
      </c>
      <c r="AN76" s="646">
        <v>119</v>
      </c>
      <c r="AO76" s="647">
        <v>0</v>
      </c>
      <c r="AP76" s="647"/>
      <c r="AQ76" s="658"/>
      <c r="AR76" s="235" t="str">
        <f>IFERROR(WWWW[[#This Row],['# of Water passed at source]]/WWWW[[#This Row],['# of Water tested at source]],"no test")</f>
        <v>no test</v>
      </c>
      <c r="AS76" s="237" t="str">
        <f>IFERROR(WWWW[[#This Row],['# of Water passed at HH]]/WWWW[[#This Row],['# of Water tested at HH]],"no test")</f>
        <v>no test</v>
      </c>
      <c r="AT76" s="237">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U76" s="237">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AV76" s="237">
        <f>IF(WWWW[[#This Row],[Location Type 1]]="Village",WWWW[[#This Row],[Access to safe drinking water for Village]],WWWW[[#This Row],[Access to safe drinking water for Camp]])</f>
        <v>1</v>
      </c>
      <c r="AW76" s="414">
        <f>WWWW[[#This Row],[%Equitable and continuous access to sufficient quantity of safe drinking water]]*WWWW[[#This Row],[Total PoP ]]</f>
        <v>637</v>
      </c>
      <c r="AX76" s="237">
        <f>IF((WWWW[[#This Row],['# Existing protected/fenced ponds ]]*250)/WWWW[[#This Row],[Total PoP ]]&gt;1,1,WWWW[[#This Row],['# Existing protected/fenced ponds ]]*250/WWWW[[#This Row],[Total PoP ]])</f>
        <v>0</v>
      </c>
      <c r="AY76" s="236">
        <f>WWWW[[#This Row],[Access to unimproved water points]]*WWWW[[#This Row],[Total PoP ]]</f>
        <v>0</v>
      </c>
      <c r="AZ76" s="237">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A76" s="414">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637</v>
      </c>
      <c r="BB76" s="414">
        <f>WWWW[[#This Row],['#people Equitable and continuous access to sufficient quantity of domestic water borehole n ponds_2]]/500</f>
        <v>1.274</v>
      </c>
      <c r="BC76" s="235">
        <f>1-WWWW[[#This Row],[%Equitable and continuous access to sufficient quantity of domestic water borehole n ponds]]</f>
        <v>0</v>
      </c>
      <c r="BD76" s="236">
        <f>WWWW[[#This Row],[%equitable and continuous access to sufficient quantity of safe drinking and domestic water''s GAP]]*WWWW[[#This Row],[Total PoP ]]</f>
        <v>0</v>
      </c>
      <c r="BE76" s="238">
        <f>IF(WWWW[[#This Row],[Total required water points]]-WWWW[[#This Row],['#Water points coverage]]&lt;0,0,WWWW[[#This Row],[Total required water points]]-WWWW[[#This Row],['#Water points coverage]])</f>
        <v>0</v>
      </c>
      <c r="BF76" s="238">
        <f>ROUND(IF(WWWW[[#This Row],[Total PoP ]]&lt;500,1,WWWW[[#This Row],[Total PoP ]]/500),0)</f>
        <v>1</v>
      </c>
      <c r="BG76" s="238" t="str">
        <f>IF(AND(WWWW[[#This Row],[%of Water samples which passed at water source]]="no test",WWWW[[#This Row],[%Water samples which passed at HH]]="no test"),"No Test","Tested")</f>
        <v>No Test</v>
      </c>
      <c r="BH76" s="238">
        <f>WWWW[[#This Row],['# Existing functional latrines]]+WWWW[[#This Row],['# Existing latrines dysfunctional]]</f>
        <v>36</v>
      </c>
      <c r="BI76" s="235">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1</v>
      </c>
      <c r="BJ76" s="675">
        <f>WWWW[[#This Row],[% people access to functioning Latrine]]*WWWW[[#This Row],[Total PoP ]]</f>
        <v>637</v>
      </c>
      <c r="BK76" s="235">
        <f>IF(WWWW[[#This Row],[Location Type 1]]="camp",WWWW[[#This Row],['# potential required new latrines]]/(WWWW[[#This Row],[Total PoP ]]/20),WWWW[[#This Row],['# potential required new latrines]]/(WWWW[[#This Row],[Total PoP ]]/6))</f>
        <v>0</v>
      </c>
      <c r="BL76" s="236">
        <f>IF(WWWW[[#This Row],[Total required Latrines]]-WWWW[[#This Row],[Total '# of latrine]]&lt;0,0,WWWW[[#This Row],[Total required Latrines]]-WWWW[[#This Row],[Total '# of latrine]])</f>
        <v>0</v>
      </c>
      <c r="BM76" s="238">
        <f>ROUND(IF(WWWW[[#This Row],[Location Type 1]]="camp",WWWW[[#This Row],[Total PoP ]]/20,WWWW[[#This Row],[Total PoP ]]/6),0)</f>
        <v>32</v>
      </c>
      <c r="BN76" s="239">
        <f>IF(OR(WWWW[[#This Row],['# Existing latrines dysfunctional]]="",WWWW[[#This Row],['# Existing latrines dysfunctional]]=0),0,WWWW[[#This Row],['# Existing latrines dysfunctional]]/WWWW[[#This Row],[Total '# of latrine]])</f>
        <v>0</v>
      </c>
      <c r="BO76" s="675">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P76" s="235">
        <f>WWWW[[#This Row],[People adopt basic personal and community hygiene practices]]/WWWW[[#This Row],[Total PoP ]]</f>
        <v>0</v>
      </c>
      <c r="BQ76" s="239">
        <f>1-WWWW[[#This Row],[Hygiene Coverage%]]</f>
        <v>1</v>
      </c>
      <c r="BR76" s="414">
        <f>IF(500*WWWW[[#This Row],['# Hygiene Promoters ]]&gt;WWWW[[#This Row],[Total PoP ]],WWWW[[#This Row],[Total PoP ]],500*WWWW[[#This Row],['# Hygiene Promoters ]])</f>
        <v>500</v>
      </c>
      <c r="BS76" s="414">
        <f>IF(WWWW[[#This Row],[% of HH with access to Sanitary Pad]]&gt;=100%,1,0)</f>
        <v>0</v>
      </c>
      <c r="BT76" s="414">
        <f>IF(WWWW[[#This Row],[Total PoP ]]=0,0,IF(WWWW[[#This Row],['# Hygiene Promoters ]]=0,0,IF(WWWW[[#This Row],[Location Type 1]]="Village",IF(WWWW[[#This Row],[Total PoP ]]/WWWW[[#This Row],['# Hygiene Promoters ]]&lt;1000,1,0),IF(WWWW[[#This Row],[Total PoP ]]/WWWW[[#This Row],['# Hygiene Promoters ]]&lt;600,1,0))))</f>
        <v>0</v>
      </c>
      <c r="BU76" s="414">
        <f>IF(WWWW[[#This Row],[%HH with access to soap]]&gt;=100%,1,0)</f>
        <v>1</v>
      </c>
      <c r="BV76" s="414">
        <f>IF(WWWW[[#This Row],[% of HHs with access to Sanitary pad more than '#%]]+WWWW[[#This Row],[Ratio of Hyiene promoters to people less than '#]]+WWWW[[#This Row],[% of HHs with access to soap more than '#%]]&gt;=2,WWWW[[#This Row],[Total PoP ]],0)</f>
        <v>0</v>
      </c>
      <c r="BW76" s="346">
        <f>WWWW[[#This Row],['# people reached by regular dedicated hygiene promotion_5]]/WWWW[[#This Row],[Total PoP ]]</f>
        <v>0.78492935635792782</v>
      </c>
      <c r="BX76" s="346">
        <f>IF(WWWW[[#This Row],['# HH received soaps]]/WWWW[[#This Row],[Total HH]]&gt;1,1,WWWW[[#This Row],['# HH received soaps]]/WWWW[[#This Row],[Total HH]])</f>
        <v>1</v>
      </c>
      <c r="BY76" s="346">
        <f>IF(WWWW[[#This Row],['# HH received Sanitary Pads]]/WWWW[[#This Row],[Total HH]]&gt;1,1,WWWW[[#This Row],['# HH received Sanitary Pads]]/WWWW[[#This Row],[Total HH]])</f>
        <v>0</v>
      </c>
      <c r="BZ76" s="720">
        <f>WWWW[[#This Row],['# HH received soaps]]*5</f>
        <v>595</v>
      </c>
      <c r="CA76" s="720">
        <f>WWWW[[#This Row],['# HH received Sanitary Pads]]*5</f>
        <v>0</v>
      </c>
      <c r="CB76" s="238">
        <f>IF(WWWW[[#This Row],['# People with access to soap]]&gt;WWWW[[#This Row],['# People with access to Sanity Pads]],WWWW[[#This Row],['# People with access to soap]],WWWW[[#This Row],['# People with access to Sanity Pads]])</f>
        <v>595</v>
      </c>
      <c r="CC76" s="236">
        <f>WWWW[[#This Row],[Total HH]]*WWWW[[#This Row],[%HHs with access to functional hand washing stations]]</f>
        <v>0</v>
      </c>
      <c r="CD76" s="240" t="str">
        <f>VLOOKUP(WWWW[[#This Row],[Site Name]],SiteDB6[],8,FALSE)</f>
        <v>Yes</v>
      </c>
      <c r="CE76" s="240" t="str">
        <f>VLOOKUP(WWWW[[#This Row],[Site Name]],SiteDB6[],9,FALSE)</f>
        <v>KMSS-BMO</v>
      </c>
      <c r="CF76" s="240" t="str">
        <f>VLOOKUP(WWWW[[#This Row],[Site Name]],SiteDB6[],10,FALSE)</f>
        <v>Camp</v>
      </c>
      <c r="CG76" s="240" t="str">
        <f>VLOOKUP(WWWW[[#This Row],[Site Name]],SiteDB6[],11,FALSE)</f>
        <v>Camp</v>
      </c>
      <c r="CH76" s="240" t="str">
        <f>VLOOKUP(WWWW[[#This Row],[Site Name]],SiteDB6[],12,FALSE)</f>
        <v>Camp</v>
      </c>
      <c r="CI76" s="240" t="str">
        <f>VLOOKUP(WWWW[[#This Row],[Site Name]],SiteDB6[],13,FALSE)</f>
        <v>GCA</v>
      </c>
      <c r="CJ76" s="240">
        <f>VLOOKUP(WWWW[[#This Row],[Site Name]],SiteDB6[],14,FALSE)</f>
        <v>23.833477999999999</v>
      </c>
      <c r="CK76" s="240">
        <f>VLOOKUP(WWWW[[#This Row],[Site Name]],SiteDB6[],15,FALSE)</f>
        <v>97.578367</v>
      </c>
      <c r="CL76" s="240" t="str">
        <f>VLOOKUP(WWWW[[#This Row],[Site Name]],SiteDB6[],4,FALSE)</f>
        <v>MMR001CMP228</v>
      </c>
      <c r="CM76" s="235" t="str">
        <f t="shared" si="1"/>
        <v>Covered</v>
      </c>
      <c r="CN76" s="235"/>
    </row>
    <row r="77" spans="1:92" ht="15.75" customHeight="1" x14ac:dyDescent="0.25">
      <c r="A77" s="532" t="s">
        <v>1409</v>
      </c>
      <c r="B77" s="533" t="s">
        <v>348</v>
      </c>
      <c r="C77" s="533" t="s">
        <v>44</v>
      </c>
      <c r="D77" s="533" t="s">
        <v>361</v>
      </c>
      <c r="E77" s="533" t="s">
        <v>367</v>
      </c>
      <c r="F77" s="233">
        <v>3</v>
      </c>
      <c r="G77" s="414">
        <v>13</v>
      </c>
      <c r="H77" s="233"/>
      <c r="I77" s="233" t="s">
        <v>2601</v>
      </c>
      <c r="J77" s="234">
        <v>43344</v>
      </c>
      <c r="K77" s="233">
        <v>0</v>
      </c>
      <c r="L77" s="233" t="s">
        <v>292</v>
      </c>
      <c r="M77" s="235">
        <v>0</v>
      </c>
      <c r="N77" s="235">
        <v>0</v>
      </c>
      <c r="O77" s="609">
        <v>2</v>
      </c>
      <c r="P77" s="615">
        <v>0</v>
      </c>
      <c r="Q77" s="615">
        <v>0</v>
      </c>
      <c r="R77" s="604">
        <v>0</v>
      </c>
      <c r="S77" s="604">
        <v>0</v>
      </c>
      <c r="T77" s="604"/>
      <c r="U77" s="604"/>
      <c r="V77" s="604"/>
      <c r="W77" s="604"/>
      <c r="X77" s="604"/>
      <c r="Y77" s="604"/>
      <c r="Z77" s="628">
        <v>2</v>
      </c>
      <c r="AA77" s="628">
        <v>0</v>
      </c>
      <c r="AB77" s="629">
        <v>0</v>
      </c>
      <c r="AC77" s="628">
        <v>0</v>
      </c>
      <c r="AD77" s="628" t="s">
        <v>293</v>
      </c>
      <c r="AE77" s="631" t="s">
        <v>293</v>
      </c>
      <c r="AF77" s="631"/>
      <c r="AG77" s="628"/>
      <c r="AH77" s="628"/>
      <c r="AI77" s="659">
        <v>1</v>
      </c>
      <c r="AJ77" s="644" t="s">
        <v>301</v>
      </c>
      <c r="AK77" s="644">
        <v>0</v>
      </c>
      <c r="AL77" s="645">
        <v>1</v>
      </c>
      <c r="AM77" s="645">
        <v>0</v>
      </c>
      <c r="AN77" s="646">
        <v>3</v>
      </c>
      <c r="AO77" s="647">
        <v>3</v>
      </c>
      <c r="AP77" s="647"/>
      <c r="AQ77" s="658"/>
      <c r="AR77" s="235" t="str">
        <f>IFERROR(WWWW[[#This Row],['# of Water passed at source]]/WWWW[[#This Row],['# of Water tested at source]],"no test")</f>
        <v>no test</v>
      </c>
      <c r="AS77" s="237" t="str">
        <f>IFERROR(WWWW[[#This Row],['# of Water passed at HH]]/WWWW[[#This Row],['# of Water tested at HH]],"no test")</f>
        <v>no test</v>
      </c>
      <c r="AT77" s="237">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U77" s="237">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AV77" s="237">
        <f>IF(WWWW[[#This Row],[Location Type 1]]="Village",WWWW[[#This Row],[Access to safe drinking water for Village]],WWWW[[#This Row],[Access to safe drinking water for Camp]])</f>
        <v>1</v>
      </c>
      <c r="AW77" s="414">
        <f>WWWW[[#This Row],[%Equitable and continuous access to sufficient quantity of safe drinking water]]*WWWW[[#This Row],[Total PoP ]]</f>
        <v>13</v>
      </c>
      <c r="AX77" s="237">
        <f>IF((WWWW[[#This Row],['# Existing protected/fenced ponds ]]*250)/WWWW[[#This Row],[Total PoP ]]&gt;1,1,WWWW[[#This Row],['# Existing protected/fenced ponds ]]*250/WWWW[[#This Row],[Total PoP ]])</f>
        <v>0</v>
      </c>
      <c r="AY77" s="414">
        <f>WWWW[[#This Row],[Access to unimproved water points]]*WWWW[[#This Row],[Total PoP ]]</f>
        <v>0</v>
      </c>
      <c r="AZ77" s="237">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A77" s="414">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13</v>
      </c>
      <c r="BB77" s="414">
        <f>WWWW[[#This Row],['#people Equitable and continuous access to sufficient quantity of domestic water borehole n ponds_2]]/500</f>
        <v>2.5999999999999999E-2</v>
      </c>
      <c r="BC77" s="235">
        <f>1-WWWW[[#This Row],[%Equitable and continuous access to sufficient quantity of domestic water borehole n ponds]]</f>
        <v>0</v>
      </c>
      <c r="BD77" s="414">
        <f>WWWW[[#This Row],[%equitable and continuous access to sufficient quantity of safe drinking and domestic water''s GAP]]*WWWW[[#This Row],[Total PoP ]]</f>
        <v>0</v>
      </c>
      <c r="BE77" s="238">
        <f>IF(WWWW[[#This Row],[Total required water points]]-WWWW[[#This Row],['#Water points coverage]]&lt;0,0,WWWW[[#This Row],[Total required water points]]-WWWW[[#This Row],['#Water points coverage]])</f>
        <v>0.97399999999999998</v>
      </c>
      <c r="BF77" s="238">
        <f>ROUND(IF(WWWW[[#This Row],[Total PoP ]]&lt;500,1,WWWW[[#This Row],[Total PoP ]]/500),0)</f>
        <v>1</v>
      </c>
      <c r="BG77" s="238" t="str">
        <f>IF(AND(WWWW[[#This Row],[%of Water samples which passed at water source]]="no test",WWWW[[#This Row],[%Water samples which passed at HH]]="no test"),"No Test","Tested")</f>
        <v>No Test</v>
      </c>
      <c r="BH77" s="238">
        <f>WWWW[[#This Row],['# Existing functional latrines]]+WWWW[[#This Row],['# Existing latrines dysfunctional]]</f>
        <v>2</v>
      </c>
      <c r="BI77" s="235">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1</v>
      </c>
      <c r="BJ77" s="675">
        <f>WWWW[[#This Row],[% people access to functioning Latrine]]*WWWW[[#This Row],[Total PoP ]]</f>
        <v>13</v>
      </c>
      <c r="BK77" s="235">
        <f>IF(WWWW[[#This Row],[Location Type 1]]="camp",WWWW[[#This Row],['# potential required new latrines]]/(WWWW[[#This Row],[Total PoP ]]/20),WWWW[[#This Row],['# potential required new latrines]]/(WWWW[[#This Row],[Total PoP ]]/6))</f>
        <v>0</v>
      </c>
      <c r="BL77" s="414">
        <f>IF(WWWW[[#This Row],[Total required Latrines]]-WWWW[[#This Row],[Total '# of latrine]]&lt;0,0,WWWW[[#This Row],[Total required Latrines]]-WWWW[[#This Row],[Total '# of latrine]])</f>
        <v>0</v>
      </c>
      <c r="BM77" s="238">
        <f>ROUND(IF(WWWW[[#This Row],[Location Type 1]]="camp",WWWW[[#This Row],[Total PoP ]]/20,WWWW[[#This Row],[Total PoP ]]/6),0)</f>
        <v>1</v>
      </c>
      <c r="BN77" s="239">
        <f>IF(OR(WWWW[[#This Row],['# Existing latrines dysfunctional]]="",WWWW[[#This Row],['# Existing latrines dysfunctional]]=0),0,WWWW[[#This Row],['# Existing latrines dysfunctional]]/WWWW[[#This Row],[Total '# of latrine]])</f>
        <v>0</v>
      </c>
      <c r="BO77" s="675">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P77" s="235">
        <f>WWWW[[#This Row],[People adopt basic personal and community hygiene practices]]/WWWW[[#This Row],[Total PoP ]]</f>
        <v>1</v>
      </c>
      <c r="BQ77" s="239">
        <f>1-WWWW[[#This Row],[Hygiene Coverage%]]</f>
        <v>0</v>
      </c>
      <c r="BR77" s="414">
        <f>IF(500*WWWW[[#This Row],['# Hygiene Promoters ]]&gt;WWWW[[#This Row],[Total PoP ]],WWWW[[#This Row],[Total PoP ]],500*WWWW[[#This Row],['# Hygiene Promoters ]])</f>
        <v>0</v>
      </c>
      <c r="BS77" s="414">
        <f>IF(WWWW[[#This Row],[% of HH with access to Sanitary Pad]]&gt;=100%,1,0)</f>
        <v>1</v>
      </c>
      <c r="BT77" s="414">
        <f>IF(WWWW[[#This Row],[Total PoP ]]=0,0,IF(WWWW[[#This Row],['# Hygiene Promoters ]]=0,0,IF(WWWW[[#This Row],[Location Type 1]]="Village",IF(WWWW[[#This Row],[Total PoP ]]/WWWW[[#This Row],['# Hygiene Promoters ]]&lt;1000,1,0),IF(WWWW[[#This Row],[Total PoP ]]/WWWW[[#This Row],['# Hygiene Promoters ]]&lt;600,1,0))))</f>
        <v>0</v>
      </c>
      <c r="BU77" s="414">
        <f>IF(WWWW[[#This Row],[%HH with access to soap]]&gt;=100%,1,0)</f>
        <v>1</v>
      </c>
      <c r="BV77" s="414">
        <f>IF(WWWW[[#This Row],[% of HHs with access to Sanitary pad more than '#%]]+WWWW[[#This Row],[Ratio of Hyiene promoters to people less than '#]]+WWWW[[#This Row],[% of HHs with access to soap more than '#%]]&gt;=2,WWWW[[#This Row],[Total PoP ]],0)</f>
        <v>13</v>
      </c>
      <c r="BW77" s="346">
        <f>WWWW[[#This Row],['# people reached by regular dedicated hygiene promotion_5]]/WWWW[[#This Row],[Total PoP ]]</f>
        <v>0</v>
      </c>
      <c r="BX77" s="346">
        <f>IF(WWWW[[#This Row],['# HH received soaps]]/WWWW[[#This Row],[Total HH]]&gt;1,1,WWWW[[#This Row],['# HH received soaps]]/WWWW[[#This Row],[Total HH]])</f>
        <v>1</v>
      </c>
      <c r="BY77" s="346">
        <f>IF(WWWW[[#This Row],['# HH received Sanitary Pads]]/WWWW[[#This Row],[Total HH]]&gt;1,1,WWWW[[#This Row],['# HH received Sanitary Pads]]/WWWW[[#This Row],[Total HH]])</f>
        <v>1</v>
      </c>
      <c r="BZ77" s="720">
        <f>WWWW[[#This Row],['# HH received soaps]]*5</f>
        <v>15</v>
      </c>
      <c r="CA77" s="720">
        <f>WWWW[[#This Row],['# HH received Sanitary Pads]]*5</f>
        <v>15</v>
      </c>
      <c r="CB77" s="238">
        <f>IF(WWWW[[#This Row],['# People with access to soap]]&gt;WWWW[[#This Row],['# People with access to Sanity Pads]],WWWW[[#This Row],['# People with access to soap]],WWWW[[#This Row],['# People with access to Sanity Pads]])</f>
        <v>15</v>
      </c>
      <c r="CC77" s="414">
        <f>WWWW[[#This Row],[Total HH]]*WWWW[[#This Row],[%HHs with access to functional hand washing stations]]</f>
        <v>3</v>
      </c>
      <c r="CD77" s="240">
        <f>VLOOKUP(WWWW[[#This Row],[Site Name]],SiteDB6[],8,FALSE)</f>
        <v>0</v>
      </c>
      <c r="CE77" s="240">
        <f>VLOOKUP(WWWW[[#This Row],[Site Name]],SiteDB6[],9,FALSE)</f>
        <v>0</v>
      </c>
      <c r="CF77" s="240" t="str">
        <f>VLOOKUP(WWWW[[#This Row],[Site Name]],SiteDB6[],10,FALSE)</f>
        <v>Camp</v>
      </c>
      <c r="CG77" s="240" t="str">
        <f>VLOOKUP(WWWW[[#This Row],[Site Name]],SiteDB6[],11,FALSE)</f>
        <v>Camp</v>
      </c>
      <c r="CH77" s="240" t="str">
        <f>VLOOKUP(WWWW[[#This Row],[Site Name]],SiteDB6[],12,FALSE)</f>
        <v>Closed Camp</v>
      </c>
      <c r="CI77" s="240" t="str">
        <f>VLOOKUP(WWWW[[#This Row],[Site Name]],SiteDB6[],13,FALSE)</f>
        <v>GCA</v>
      </c>
      <c r="CJ77" s="240">
        <f>VLOOKUP(WWWW[[#This Row],[Site Name]],SiteDB6[],14,FALSE)</f>
        <v>24.251860000000001</v>
      </c>
      <c r="CK77" s="240">
        <f>VLOOKUP(WWWW[[#This Row],[Site Name]],SiteDB6[],15,FALSE)</f>
        <v>97.346940000000004</v>
      </c>
      <c r="CL77" s="240" t="str">
        <f>VLOOKUP(WWWW[[#This Row],[Site Name]],SiteDB6[],4,FALSE)</f>
        <v>MMR001CMP058</v>
      </c>
      <c r="CM77" s="235" t="str">
        <f t="shared" si="1"/>
        <v>Covered</v>
      </c>
      <c r="CN77" s="235"/>
    </row>
    <row r="78" spans="1:92" ht="15.75" customHeight="1" x14ac:dyDescent="0.25">
      <c r="A78" s="532" t="s">
        <v>1409</v>
      </c>
      <c r="B78" s="533" t="s">
        <v>297</v>
      </c>
      <c r="C78" s="533" t="s">
        <v>44</v>
      </c>
      <c r="D78" s="533" t="s">
        <v>308</v>
      </c>
      <c r="E78" s="533" t="s">
        <v>310</v>
      </c>
      <c r="F78" s="233">
        <v>16</v>
      </c>
      <c r="G78" s="414">
        <v>98</v>
      </c>
      <c r="H78" s="233"/>
      <c r="I78" s="233" t="s">
        <v>306</v>
      </c>
      <c r="J78" s="234">
        <v>43131</v>
      </c>
      <c r="K78" s="233">
        <v>0</v>
      </c>
      <c r="L78" s="233" t="s">
        <v>48</v>
      </c>
      <c r="M78" s="235">
        <v>0.8</v>
      </c>
      <c r="N78" s="235">
        <v>0.8</v>
      </c>
      <c r="O78" s="609">
        <v>0</v>
      </c>
      <c r="P78" s="615">
        <v>2</v>
      </c>
      <c r="Q78" s="615">
        <v>2000</v>
      </c>
      <c r="R78" s="604">
        <v>0</v>
      </c>
      <c r="S78" s="604">
        <v>0</v>
      </c>
      <c r="T78" s="604">
        <v>0</v>
      </c>
      <c r="U78" s="604">
        <v>0</v>
      </c>
      <c r="V78" s="604">
        <v>0</v>
      </c>
      <c r="W78" s="604">
        <v>0</v>
      </c>
      <c r="X78" s="604">
        <v>0</v>
      </c>
      <c r="Y78" s="604"/>
      <c r="Z78" s="628">
        <v>2</v>
      </c>
      <c r="AA78" s="628">
        <v>0</v>
      </c>
      <c r="AB78" s="629">
        <v>0</v>
      </c>
      <c r="AC78" s="628">
        <v>0</v>
      </c>
      <c r="AD78" s="628" t="s">
        <v>293</v>
      </c>
      <c r="AE78" s="631" t="s">
        <v>1379</v>
      </c>
      <c r="AF78" s="631"/>
      <c r="AG78" s="628"/>
      <c r="AH78" s="628"/>
      <c r="AI78" s="659">
        <v>0.6</v>
      </c>
      <c r="AJ78" s="650" t="s">
        <v>386</v>
      </c>
      <c r="AK78" s="644">
        <v>0</v>
      </c>
      <c r="AL78" s="645">
        <v>2</v>
      </c>
      <c r="AM78" s="645">
        <v>1</v>
      </c>
      <c r="AN78" s="646">
        <v>0</v>
      </c>
      <c r="AO78" s="647">
        <v>0</v>
      </c>
      <c r="AP78" s="647"/>
      <c r="AQ78" s="658"/>
      <c r="AR78" s="235" t="str">
        <f>IFERROR(WWWW[[#This Row],['# of Water passed at source]]/WWWW[[#This Row],['# of Water tested at source]],"no test")</f>
        <v>no test</v>
      </c>
      <c r="AS78" s="237" t="str">
        <f>IFERROR(WWWW[[#This Row],['# of Water passed at HH]]/WWWW[[#This Row],['# of Water tested at HH]],"no test")</f>
        <v>no test</v>
      </c>
      <c r="AT78" s="237">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U78" s="237">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AV78" s="237">
        <f>IF(WWWW[[#This Row],[Location Type 1]]="Village",WWWW[[#This Row],[Access to safe drinking water for Village]],WWWW[[#This Row],[Access to safe drinking water for Camp]])</f>
        <v>1</v>
      </c>
      <c r="AW78" s="414">
        <f>WWWW[[#This Row],[%Equitable and continuous access to sufficient quantity of safe drinking water]]*WWWW[[#This Row],[Total PoP ]]</f>
        <v>98</v>
      </c>
      <c r="AX78" s="237">
        <f>IF((WWWW[[#This Row],['# Existing protected/fenced ponds ]]*250)/WWWW[[#This Row],[Total PoP ]]&gt;1,1,WWWW[[#This Row],['# Existing protected/fenced ponds ]]*250/WWWW[[#This Row],[Total PoP ]])</f>
        <v>0</v>
      </c>
      <c r="AY78" s="414">
        <f>WWWW[[#This Row],[Access to unimproved water points]]*WWWW[[#This Row],[Total PoP ]]</f>
        <v>0</v>
      </c>
      <c r="AZ78" s="237">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A78" s="414">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98</v>
      </c>
      <c r="BB78" s="414">
        <f>WWWW[[#This Row],['#people Equitable and continuous access to sufficient quantity of domestic water borehole n ponds_2]]/500</f>
        <v>0.19600000000000001</v>
      </c>
      <c r="BC78" s="235">
        <f>1-WWWW[[#This Row],[%Equitable and continuous access to sufficient quantity of domestic water borehole n ponds]]</f>
        <v>0</v>
      </c>
      <c r="BD78" s="414">
        <f>WWWW[[#This Row],[%equitable and continuous access to sufficient quantity of safe drinking and domestic water''s GAP]]*WWWW[[#This Row],[Total PoP ]]</f>
        <v>0</v>
      </c>
      <c r="BE78" s="238">
        <f>IF(WWWW[[#This Row],[Total required water points]]-WWWW[[#This Row],['#Water points coverage]]&lt;0,0,WWWW[[#This Row],[Total required water points]]-WWWW[[#This Row],['#Water points coverage]])</f>
        <v>0.80400000000000005</v>
      </c>
      <c r="BF78" s="238">
        <f>ROUND(IF(WWWW[[#This Row],[Total PoP ]]&lt;500,1,WWWW[[#This Row],[Total PoP ]]/500),0)</f>
        <v>1</v>
      </c>
      <c r="BG78" s="238" t="str">
        <f>IF(AND(WWWW[[#This Row],[%of Water samples which passed at water source]]="no test",WWWW[[#This Row],[%Water samples which passed at HH]]="no test"),"No Test","Tested")</f>
        <v>No Test</v>
      </c>
      <c r="BH78" s="238">
        <f>WWWW[[#This Row],['# Existing functional latrines]]+WWWW[[#This Row],['# Existing latrines dysfunctional]]</f>
        <v>2</v>
      </c>
      <c r="BI78" s="235">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0.40816326530612246</v>
      </c>
      <c r="BJ78" s="675">
        <f>WWWW[[#This Row],[% people access to functioning Latrine]]*WWWW[[#This Row],[Total PoP ]]</f>
        <v>40</v>
      </c>
      <c r="BK78" s="235">
        <f>IF(WWWW[[#This Row],[Location Type 1]]="camp",WWWW[[#This Row],['# potential required new latrines]]/(WWWW[[#This Row],[Total PoP ]]/20),WWWW[[#This Row],['# potential required new latrines]]/(WWWW[[#This Row],[Total PoP ]]/6))</f>
        <v>0.61224489795918358</v>
      </c>
      <c r="BL78" s="236">
        <f>IF(WWWW[[#This Row],[Total required Latrines]]-WWWW[[#This Row],[Total '# of latrine]]&lt;0,0,WWWW[[#This Row],[Total required Latrines]]-WWWW[[#This Row],[Total '# of latrine]])</f>
        <v>3</v>
      </c>
      <c r="BM78" s="238">
        <f>ROUND(IF(WWWW[[#This Row],[Location Type 1]]="camp",WWWW[[#This Row],[Total PoP ]]/20,WWWW[[#This Row],[Total PoP ]]/6),0)</f>
        <v>5</v>
      </c>
      <c r="BN78" s="239">
        <f>IF(OR(WWWW[[#This Row],['# Existing latrines dysfunctional]]="",WWWW[[#This Row],['# Existing latrines dysfunctional]]=0),0,WWWW[[#This Row],['# Existing latrines dysfunctional]]/WWWW[[#This Row],[Total '# of latrine]])</f>
        <v>0</v>
      </c>
      <c r="BO78" s="675">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P78" s="235">
        <f>WWWW[[#This Row],[People adopt basic personal and community hygiene practices]]/WWWW[[#This Row],[Total PoP ]]</f>
        <v>0</v>
      </c>
      <c r="BQ78" s="239">
        <f>1-WWWW[[#This Row],[Hygiene Coverage%]]</f>
        <v>1</v>
      </c>
      <c r="BR78" s="414">
        <f>IF(500*WWWW[[#This Row],['# Hygiene Promoters ]]&gt;WWWW[[#This Row],[Total PoP ]],WWWW[[#This Row],[Total PoP ]],500*WWWW[[#This Row],['# Hygiene Promoters ]])</f>
        <v>98</v>
      </c>
      <c r="BS78" s="414">
        <f>IF(WWWW[[#This Row],[% of HH with access to Sanitary Pad]]&gt;=100%,1,0)</f>
        <v>0</v>
      </c>
      <c r="BT78" s="414">
        <f>IF(WWWW[[#This Row],[Total PoP ]]=0,0,IF(WWWW[[#This Row],['# Hygiene Promoters ]]=0,0,IF(WWWW[[#This Row],[Location Type 1]]="Village",IF(WWWW[[#This Row],[Total PoP ]]/WWWW[[#This Row],['# Hygiene Promoters ]]&lt;1000,1,0),IF(WWWW[[#This Row],[Total PoP ]]/WWWW[[#This Row],['# Hygiene Promoters ]]&lt;600,1,0))))</f>
        <v>1</v>
      </c>
      <c r="BU78" s="414">
        <f>IF(WWWW[[#This Row],[%HH with access to soap]]&gt;=100%,1,0)</f>
        <v>0</v>
      </c>
      <c r="BV78" s="414">
        <f>IF(WWWW[[#This Row],[% of HHs with access to Sanitary pad more than '#%]]+WWWW[[#This Row],[Ratio of Hyiene promoters to people less than '#]]+WWWW[[#This Row],[% of HHs with access to soap more than '#%]]&gt;=2,WWWW[[#This Row],[Total PoP ]],0)</f>
        <v>0</v>
      </c>
      <c r="BW78" s="346">
        <f>WWWW[[#This Row],['# people reached by regular dedicated hygiene promotion_5]]/WWWW[[#This Row],[Total PoP ]]</f>
        <v>1</v>
      </c>
      <c r="BX78" s="346">
        <f>IF(WWWW[[#This Row],['# HH received soaps]]/WWWW[[#This Row],[Total HH]]&gt;1,1,WWWW[[#This Row],['# HH received soaps]]/WWWW[[#This Row],[Total HH]])</f>
        <v>0</v>
      </c>
      <c r="BY78" s="346">
        <f>IF(WWWW[[#This Row],['# HH received Sanitary Pads]]/WWWW[[#This Row],[Total HH]]&gt;1,1,WWWW[[#This Row],['# HH received Sanitary Pads]]/WWWW[[#This Row],[Total HH]])</f>
        <v>0</v>
      </c>
      <c r="BZ78" s="720">
        <f>WWWW[[#This Row],['# HH received soaps]]*5</f>
        <v>0</v>
      </c>
      <c r="CA78" s="720">
        <f>WWWW[[#This Row],['# HH received Sanitary Pads]]*5</f>
        <v>0</v>
      </c>
      <c r="CB78" s="238">
        <f>IF(WWWW[[#This Row],['# People with access to soap]]&gt;WWWW[[#This Row],['# People with access to Sanity Pads]],WWWW[[#This Row],['# People with access to soap]],WWWW[[#This Row],['# People with access to Sanity Pads]])</f>
        <v>0</v>
      </c>
      <c r="CC78" s="414">
        <f>WWWW[[#This Row],[Total HH]]*WWWW[[#This Row],[%HHs with access to functional hand washing stations]]</f>
        <v>9.6</v>
      </c>
      <c r="CD78" s="240" t="str">
        <f>VLOOKUP(WWWW[[#This Row],[Site Name]],SiteDB6[],8,FALSE)</f>
        <v>Yes</v>
      </c>
      <c r="CE78" s="240" t="str">
        <f>VLOOKUP(WWWW[[#This Row],[Site Name]],SiteDB6[],9,FALSE)</f>
        <v>KBC</v>
      </c>
      <c r="CF78" s="240" t="str">
        <f>VLOOKUP(WWWW[[#This Row],[Site Name]],SiteDB6[],10,FALSE)</f>
        <v>Camp</v>
      </c>
      <c r="CG78" s="240" t="str">
        <f>VLOOKUP(WWWW[[#This Row],[Site Name]],SiteDB6[],11,FALSE)</f>
        <v>Camp</v>
      </c>
      <c r="CH78" s="240" t="str">
        <f>VLOOKUP(WWWW[[#This Row],[Site Name]],SiteDB6[],12,FALSE)</f>
        <v>Camp</v>
      </c>
      <c r="CI78" s="240" t="str">
        <f>VLOOKUP(WWWW[[#This Row],[Site Name]],SiteDB6[],13,FALSE)</f>
        <v>GCA</v>
      </c>
      <c r="CJ78" s="240">
        <f>VLOOKUP(WWWW[[#This Row],[Site Name]],SiteDB6[],14,FALSE)</f>
        <v>25.296579999999999</v>
      </c>
      <c r="CK78" s="240">
        <f>VLOOKUP(WWWW[[#This Row],[Site Name]],SiteDB6[],15,FALSE)</f>
        <v>96.942279999999997</v>
      </c>
      <c r="CL78" s="240" t="str">
        <f>VLOOKUP(WWWW[[#This Row],[Site Name]],SiteDB6[],4,FALSE)</f>
        <v>MMR001CMP077</v>
      </c>
      <c r="CM78" s="235" t="str">
        <f t="shared" si="1"/>
        <v>Covered</v>
      </c>
      <c r="CN78" s="235"/>
    </row>
    <row r="79" spans="1:92" ht="15.75" customHeight="1" x14ac:dyDescent="0.25">
      <c r="A79" s="532" t="s">
        <v>1409</v>
      </c>
      <c r="B79" s="533" t="s">
        <v>348</v>
      </c>
      <c r="C79" s="533" t="s">
        <v>44</v>
      </c>
      <c r="D79" s="533" t="s">
        <v>45</v>
      </c>
      <c r="E79" s="533" t="s">
        <v>349</v>
      </c>
      <c r="F79" s="233">
        <v>185</v>
      </c>
      <c r="G79" s="414">
        <v>823</v>
      </c>
      <c r="H79" s="233"/>
      <c r="I79" s="233" t="s">
        <v>2605</v>
      </c>
      <c r="J79" s="234" t="s">
        <v>2602</v>
      </c>
      <c r="K79" s="233">
        <v>0</v>
      </c>
      <c r="L79" s="233" t="s">
        <v>48</v>
      </c>
      <c r="M79" s="235">
        <v>0.8</v>
      </c>
      <c r="N79" s="235">
        <v>0.8</v>
      </c>
      <c r="O79" s="609">
        <v>3</v>
      </c>
      <c r="P79" s="615">
        <v>6</v>
      </c>
      <c r="Q79" s="615">
        <v>0</v>
      </c>
      <c r="R79" s="604">
        <v>0</v>
      </c>
      <c r="S79" s="604">
        <v>0</v>
      </c>
      <c r="T79" s="604"/>
      <c r="U79" s="604"/>
      <c r="V79" s="604"/>
      <c r="W79" s="604"/>
      <c r="X79" s="604"/>
      <c r="Y79" s="604"/>
      <c r="Z79" s="628">
        <v>44</v>
      </c>
      <c r="AA79" s="628">
        <v>0</v>
      </c>
      <c r="AB79" s="629">
        <v>2</v>
      </c>
      <c r="AC79" s="628">
        <v>0</v>
      </c>
      <c r="AD79" s="628" t="s">
        <v>293</v>
      </c>
      <c r="AE79" s="631" t="s">
        <v>293</v>
      </c>
      <c r="AF79" s="631"/>
      <c r="AG79" s="628"/>
      <c r="AH79" s="628"/>
      <c r="AI79" s="659">
        <v>1</v>
      </c>
      <c r="AJ79" s="644" t="s">
        <v>301</v>
      </c>
      <c r="AK79" s="644">
        <v>0</v>
      </c>
      <c r="AL79" s="645">
        <v>7</v>
      </c>
      <c r="AM79" s="645">
        <v>3</v>
      </c>
      <c r="AN79" s="646">
        <v>185</v>
      </c>
      <c r="AO79" s="647">
        <v>185</v>
      </c>
      <c r="AP79" s="647"/>
      <c r="AQ79" s="658"/>
      <c r="AR79" s="235" t="str">
        <f>IFERROR(WWWW[[#This Row],['# of Water passed at source]]/WWWW[[#This Row],['# of Water tested at source]],"no test")</f>
        <v>no test</v>
      </c>
      <c r="AS79" s="237" t="str">
        <f>IFERROR(WWWW[[#This Row],['# of Water passed at HH]]/WWWW[[#This Row],['# of Water tested at HH]],"no test")</f>
        <v>no test</v>
      </c>
      <c r="AT79" s="237">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U79" s="237">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AV79" s="237">
        <f>IF(WWWW[[#This Row],[Location Type 1]]="Village",WWWW[[#This Row],[Access to safe drinking water for Village]],WWWW[[#This Row],[Access to safe drinking water for Camp]])</f>
        <v>1</v>
      </c>
      <c r="AW79" s="414">
        <f>WWWW[[#This Row],[%Equitable and continuous access to sufficient quantity of safe drinking water]]*WWWW[[#This Row],[Total PoP ]]</f>
        <v>823</v>
      </c>
      <c r="AX79" s="237">
        <f>IF((WWWW[[#This Row],['# Existing protected/fenced ponds ]]*250)/WWWW[[#This Row],[Total PoP ]]&gt;1,1,WWWW[[#This Row],['# Existing protected/fenced ponds ]]*250/WWWW[[#This Row],[Total PoP ]])</f>
        <v>0</v>
      </c>
      <c r="AY79" s="236">
        <f>WWWW[[#This Row],[Access to unimproved water points]]*WWWW[[#This Row],[Total PoP ]]</f>
        <v>0</v>
      </c>
      <c r="AZ79" s="237">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A79" s="414">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823</v>
      </c>
      <c r="BB79" s="414">
        <f>WWWW[[#This Row],['#people Equitable and continuous access to sufficient quantity of domestic water borehole n ponds_2]]/500</f>
        <v>1.6459999999999999</v>
      </c>
      <c r="BC79" s="235">
        <f>1-WWWW[[#This Row],[%Equitable and continuous access to sufficient quantity of domestic water borehole n ponds]]</f>
        <v>0</v>
      </c>
      <c r="BD79" s="236">
        <f>WWWW[[#This Row],[%equitable and continuous access to sufficient quantity of safe drinking and domestic water''s GAP]]*WWWW[[#This Row],[Total PoP ]]</f>
        <v>0</v>
      </c>
      <c r="BE79" s="238">
        <f>IF(WWWW[[#This Row],[Total required water points]]-WWWW[[#This Row],['#Water points coverage]]&lt;0,0,WWWW[[#This Row],[Total required water points]]-WWWW[[#This Row],['#Water points coverage]])</f>
        <v>0.35400000000000009</v>
      </c>
      <c r="BF79" s="238">
        <f>ROUND(IF(WWWW[[#This Row],[Total PoP ]]&lt;500,1,WWWW[[#This Row],[Total PoP ]]/500),0)</f>
        <v>2</v>
      </c>
      <c r="BG79" s="238" t="str">
        <f>IF(AND(WWWW[[#This Row],[%of Water samples which passed at water source]]="no test",WWWW[[#This Row],[%Water samples which passed at HH]]="no test"),"No Test","Tested")</f>
        <v>No Test</v>
      </c>
      <c r="BH79" s="238">
        <f>WWWW[[#This Row],['# Existing functional latrines]]+WWWW[[#This Row],['# Existing latrines dysfunctional]]</f>
        <v>44</v>
      </c>
      <c r="BI79" s="235">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1</v>
      </c>
      <c r="BJ79" s="675">
        <f>WWWW[[#This Row],[% people access to functioning Latrine]]*WWWW[[#This Row],[Total PoP ]]</f>
        <v>823</v>
      </c>
      <c r="BK79" s="235">
        <f>IF(WWWW[[#This Row],[Location Type 1]]="camp",WWWW[[#This Row],['# potential required new latrines]]/(WWWW[[#This Row],[Total PoP ]]/20),WWWW[[#This Row],['# potential required new latrines]]/(WWWW[[#This Row],[Total PoP ]]/6))</f>
        <v>0</v>
      </c>
      <c r="BL79" s="236">
        <f>IF(WWWW[[#This Row],[Total required Latrines]]-WWWW[[#This Row],[Total '# of latrine]]&lt;0,0,WWWW[[#This Row],[Total required Latrines]]-WWWW[[#This Row],[Total '# of latrine]])</f>
        <v>0</v>
      </c>
      <c r="BM79" s="238">
        <f>ROUND(IF(WWWW[[#This Row],[Location Type 1]]="camp",WWWW[[#This Row],[Total PoP ]]/20,WWWW[[#This Row],[Total PoP ]]/6),0)</f>
        <v>41</v>
      </c>
      <c r="BN79" s="239">
        <f>IF(OR(WWWW[[#This Row],['# Existing latrines dysfunctional]]="",WWWW[[#This Row],['# Existing latrines dysfunctional]]=0),0,WWWW[[#This Row],['# Existing latrines dysfunctional]]/WWWW[[#This Row],[Total '# of latrine]])</f>
        <v>0</v>
      </c>
      <c r="BO79" s="675">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40</v>
      </c>
      <c r="BP79" s="235">
        <f>WWWW[[#This Row],[People adopt basic personal and community hygiene practices]]/WWWW[[#This Row],[Total PoP ]]</f>
        <v>1</v>
      </c>
      <c r="BQ79" s="239">
        <f>1-WWWW[[#This Row],[Hygiene Coverage%]]</f>
        <v>0</v>
      </c>
      <c r="BR79" s="414">
        <f>IF(500*WWWW[[#This Row],['# Hygiene Promoters ]]&gt;WWWW[[#This Row],[Total PoP ]],WWWW[[#This Row],[Total PoP ]],500*WWWW[[#This Row],['# Hygiene Promoters ]])</f>
        <v>823</v>
      </c>
      <c r="BS79" s="414">
        <f>IF(WWWW[[#This Row],[% of HH with access to Sanitary Pad]]&gt;=100%,1,0)</f>
        <v>1</v>
      </c>
      <c r="BT79" s="414">
        <f>IF(WWWW[[#This Row],[Total PoP ]]=0,0,IF(WWWW[[#This Row],['# Hygiene Promoters ]]=0,0,IF(WWWW[[#This Row],[Location Type 1]]="Village",IF(WWWW[[#This Row],[Total PoP ]]/WWWW[[#This Row],['# Hygiene Promoters ]]&lt;1000,1,0),IF(WWWW[[#This Row],[Total PoP ]]/WWWW[[#This Row],['# Hygiene Promoters ]]&lt;600,1,0))))</f>
        <v>1</v>
      </c>
      <c r="BU79" s="414">
        <f>IF(WWWW[[#This Row],[%HH with access to soap]]&gt;=100%,1,0)</f>
        <v>1</v>
      </c>
      <c r="BV79" s="414">
        <f>IF(WWWW[[#This Row],[% of HHs with access to Sanitary pad more than '#%]]+WWWW[[#This Row],[Ratio of Hyiene promoters to people less than '#]]+WWWW[[#This Row],[% of HHs with access to soap more than '#%]]&gt;=2,WWWW[[#This Row],[Total PoP ]],0)</f>
        <v>823</v>
      </c>
      <c r="BW79" s="346">
        <f>WWWW[[#This Row],['# people reached by regular dedicated hygiene promotion_5]]/WWWW[[#This Row],[Total PoP ]]</f>
        <v>1</v>
      </c>
      <c r="BX79" s="346">
        <f>IF(WWWW[[#This Row],['# HH received soaps]]/WWWW[[#This Row],[Total HH]]&gt;1,1,WWWW[[#This Row],['# HH received soaps]]/WWWW[[#This Row],[Total HH]])</f>
        <v>1</v>
      </c>
      <c r="BY79" s="346">
        <f>IF(WWWW[[#This Row],['# HH received Sanitary Pads]]/WWWW[[#This Row],[Total HH]]&gt;1,1,WWWW[[#This Row],['# HH received Sanitary Pads]]/WWWW[[#This Row],[Total HH]])</f>
        <v>1</v>
      </c>
      <c r="BZ79" s="720">
        <f>WWWW[[#This Row],['# HH received soaps]]*5</f>
        <v>925</v>
      </c>
      <c r="CA79" s="720">
        <f>WWWW[[#This Row],['# HH received Sanitary Pads]]*5</f>
        <v>925</v>
      </c>
      <c r="CB79" s="238">
        <f>IF(WWWW[[#This Row],['# People with access to soap]]&gt;WWWW[[#This Row],['# People with access to Sanity Pads]],WWWW[[#This Row],['# People with access to soap]],WWWW[[#This Row],['# People with access to Sanity Pads]])</f>
        <v>925</v>
      </c>
      <c r="CC79" s="236">
        <f>WWWW[[#This Row],[Total HH]]*WWWW[[#This Row],[%HHs with access to functional hand washing stations]]</f>
        <v>185</v>
      </c>
      <c r="CD79" s="240" t="str">
        <f>VLOOKUP(WWWW[[#This Row],[Site Name]],SiteDB6[],8,FALSE)</f>
        <v>Yes</v>
      </c>
      <c r="CE79" s="240" t="str">
        <f>VLOOKUP(WWWW[[#This Row],[Site Name]],SiteDB6[],9,FALSE)</f>
        <v>KBC</v>
      </c>
      <c r="CF79" s="240" t="str">
        <f>VLOOKUP(WWWW[[#This Row],[Site Name]],SiteDB6[],10,FALSE)</f>
        <v>Camp</v>
      </c>
      <c r="CG79" s="240" t="str">
        <f>VLOOKUP(WWWW[[#This Row],[Site Name]],SiteDB6[],11,FALSE)</f>
        <v>Camp</v>
      </c>
      <c r="CH79" s="240" t="str">
        <f>VLOOKUP(WWWW[[#This Row],[Site Name]],SiteDB6[],12,FALSE)</f>
        <v>Camp</v>
      </c>
      <c r="CI79" s="240" t="str">
        <f>VLOOKUP(WWWW[[#This Row],[Site Name]],SiteDB6[],13,FALSE)</f>
        <v>GCA</v>
      </c>
      <c r="CJ79" s="240">
        <f>VLOOKUP(WWWW[[#This Row],[Site Name]],SiteDB6[],14,FALSE)</f>
        <v>24.129059999999999</v>
      </c>
      <c r="CK79" s="240">
        <f>VLOOKUP(WWWW[[#This Row],[Site Name]],SiteDB6[],15,FALSE)</f>
        <v>97.291820000000001</v>
      </c>
      <c r="CL79" s="240" t="str">
        <f>VLOOKUP(WWWW[[#This Row],[Site Name]],SiteDB6[],4,FALSE)</f>
        <v>MMR001CMP066</v>
      </c>
      <c r="CM79" s="235" t="str">
        <f t="shared" si="1"/>
        <v>Covered</v>
      </c>
      <c r="CN79" s="235"/>
    </row>
    <row r="80" spans="1:92" ht="15.75" customHeight="1" x14ac:dyDescent="0.25">
      <c r="A80" s="532" t="s">
        <v>1409</v>
      </c>
      <c r="B80" s="533" t="s">
        <v>399</v>
      </c>
      <c r="C80" s="533" t="s">
        <v>44</v>
      </c>
      <c r="D80" s="533" t="s">
        <v>315</v>
      </c>
      <c r="E80" s="533" t="s">
        <v>423</v>
      </c>
      <c r="F80" s="233">
        <v>24</v>
      </c>
      <c r="G80" s="414">
        <v>97</v>
      </c>
      <c r="H80" s="233"/>
      <c r="I80" s="233" t="s">
        <v>401</v>
      </c>
      <c r="J80" s="234">
        <v>42947</v>
      </c>
      <c r="K80" s="233">
        <v>0</v>
      </c>
      <c r="L80" s="233" t="s">
        <v>48</v>
      </c>
      <c r="M80" s="235">
        <v>1</v>
      </c>
      <c r="N80" s="235">
        <v>1</v>
      </c>
      <c r="O80" s="609">
        <v>1</v>
      </c>
      <c r="P80" s="615">
        <v>1</v>
      </c>
      <c r="Q80" s="615">
        <v>1000</v>
      </c>
      <c r="R80" s="604">
        <v>0</v>
      </c>
      <c r="S80" s="604">
        <v>1</v>
      </c>
      <c r="T80" s="604">
        <v>0</v>
      </c>
      <c r="U80" s="604">
        <v>0</v>
      </c>
      <c r="V80" s="604">
        <v>0</v>
      </c>
      <c r="W80" s="604">
        <v>0</v>
      </c>
      <c r="X80" s="604">
        <v>0</v>
      </c>
      <c r="Y80" s="604"/>
      <c r="Z80" s="628">
        <v>3</v>
      </c>
      <c r="AA80" s="628">
        <v>0</v>
      </c>
      <c r="AB80" s="629">
        <v>2</v>
      </c>
      <c r="AC80" s="628">
        <v>3</v>
      </c>
      <c r="AD80" s="628" t="s">
        <v>293</v>
      </c>
      <c r="AE80" s="631" t="s">
        <v>1379</v>
      </c>
      <c r="AF80" s="631">
        <v>0</v>
      </c>
      <c r="AG80" s="628">
        <v>0</v>
      </c>
      <c r="AH80" s="628"/>
      <c r="AI80" s="659">
        <v>0.6</v>
      </c>
      <c r="AJ80" s="650" t="s">
        <v>386</v>
      </c>
      <c r="AK80" s="644">
        <v>0</v>
      </c>
      <c r="AL80" s="645">
        <v>2</v>
      </c>
      <c r="AM80" s="645">
        <v>0</v>
      </c>
      <c r="AN80" s="646">
        <v>0</v>
      </c>
      <c r="AO80" s="647">
        <v>0</v>
      </c>
      <c r="AP80" s="647"/>
      <c r="AQ80" s="658"/>
      <c r="AR80" s="235" t="str">
        <f>IFERROR(WWWW[[#This Row],['# of Water passed at source]]/WWWW[[#This Row],['# of Water tested at source]],"no test")</f>
        <v>no test</v>
      </c>
      <c r="AS80" s="237" t="str">
        <f>IFERROR(WWWW[[#This Row],['# of Water passed at HH]]/WWWW[[#This Row],['# of Water tested at HH]],"no test")</f>
        <v>no test</v>
      </c>
      <c r="AT80" s="237">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U80" s="237">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AV80" s="237">
        <f>IF(WWWW[[#This Row],[Location Type 1]]="Village",WWWW[[#This Row],[Access to safe drinking water for Village]],WWWW[[#This Row],[Access to safe drinking water for Camp]])</f>
        <v>1</v>
      </c>
      <c r="AW80" s="414">
        <f>WWWW[[#This Row],[%Equitable and continuous access to sufficient quantity of safe drinking water]]*WWWW[[#This Row],[Total PoP ]]</f>
        <v>97</v>
      </c>
      <c r="AX80" s="237">
        <f>IF((WWWW[[#This Row],['# Existing protected/fenced ponds ]]*250)/WWWW[[#This Row],[Total PoP ]]&gt;1,1,WWWW[[#This Row],['# Existing protected/fenced ponds ]]*250/WWWW[[#This Row],[Total PoP ]])</f>
        <v>0</v>
      </c>
      <c r="AY80" s="236">
        <f>WWWW[[#This Row],[Access to unimproved water points]]*WWWW[[#This Row],[Total PoP ]]</f>
        <v>0</v>
      </c>
      <c r="AZ80" s="237">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A80" s="414">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97</v>
      </c>
      <c r="BB80" s="414">
        <f>WWWW[[#This Row],['#people Equitable and continuous access to sufficient quantity of domestic water borehole n ponds_2]]/500</f>
        <v>0.19400000000000001</v>
      </c>
      <c r="BC80" s="235">
        <f>1-WWWW[[#This Row],[%Equitable and continuous access to sufficient quantity of domestic water borehole n ponds]]</f>
        <v>0</v>
      </c>
      <c r="BD80" s="236">
        <f>WWWW[[#This Row],[%equitable and continuous access to sufficient quantity of safe drinking and domestic water''s GAP]]*WWWW[[#This Row],[Total PoP ]]</f>
        <v>0</v>
      </c>
      <c r="BE80" s="238">
        <f>IF(WWWW[[#This Row],[Total required water points]]-WWWW[[#This Row],['#Water points coverage]]&lt;0,0,WWWW[[#This Row],[Total required water points]]-WWWW[[#This Row],['#Water points coverage]])</f>
        <v>0.80600000000000005</v>
      </c>
      <c r="BF80" s="238">
        <f>ROUND(IF(WWWW[[#This Row],[Total PoP ]]&lt;500,1,WWWW[[#This Row],[Total PoP ]]/500),0)</f>
        <v>1</v>
      </c>
      <c r="BG80" s="238" t="str">
        <f>IF(AND(WWWW[[#This Row],[%of Water samples which passed at water source]]="no test",WWWW[[#This Row],[%Water samples which passed at HH]]="no test"),"No Test","Tested")</f>
        <v>No Test</v>
      </c>
      <c r="BH80" s="238">
        <f>WWWW[[#This Row],['# Existing functional latrines]]+WWWW[[#This Row],['# Existing latrines dysfunctional]]</f>
        <v>3</v>
      </c>
      <c r="BI80" s="235">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0.61855670103092786</v>
      </c>
      <c r="BJ80" s="675">
        <f>WWWW[[#This Row],[% people access to functioning Latrine]]*WWWW[[#This Row],[Total PoP ]]</f>
        <v>60</v>
      </c>
      <c r="BK80" s="235">
        <f>IF(WWWW[[#This Row],[Location Type 1]]="camp",WWWW[[#This Row],['# potential required new latrines]]/(WWWW[[#This Row],[Total PoP ]]/20),WWWW[[#This Row],['# potential required new latrines]]/(WWWW[[#This Row],[Total PoP ]]/6))</f>
        <v>0.41237113402061859</v>
      </c>
      <c r="BL80" s="236">
        <f>IF(WWWW[[#This Row],[Total required Latrines]]-WWWW[[#This Row],[Total '# of latrine]]&lt;0,0,WWWW[[#This Row],[Total required Latrines]]-WWWW[[#This Row],[Total '# of latrine]])</f>
        <v>2</v>
      </c>
      <c r="BM80" s="238">
        <f>ROUND(IF(WWWW[[#This Row],[Location Type 1]]="camp",WWWW[[#This Row],[Total PoP ]]/20,WWWW[[#This Row],[Total PoP ]]/6),0)</f>
        <v>5</v>
      </c>
      <c r="BN80" s="239">
        <f>IF(OR(WWWW[[#This Row],['# Existing latrines dysfunctional]]="",WWWW[[#This Row],['# Existing latrines dysfunctional]]=0),0,WWWW[[#This Row],['# Existing latrines dysfunctional]]/WWWW[[#This Row],[Total '# of latrine]])</f>
        <v>0</v>
      </c>
      <c r="BO80" s="675">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40</v>
      </c>
      <c r="BP80" s="235">
        <f>WWWW[[#This Row],[People adopt basic personal and community hygiene practices]]/WWWW[[#This Row],[Total PoP ]]</f>
        <v>0</v>
      </c>
      <c r="BQ80" s="239">
        <f>1-WWWW[[#This Row],[Hygiene Coverage%]]</f>
        <v>1</v>
      </c>
      <c r="BR80" s="414">
        <f>IF(500*WWWW[[#This Row],['# Hygiene Promoters ]]&gt;WWWW[[#This Row],[Total PoP ]],WWWW[[#This Row],[Total PoP ]],500*WWWW[[#This Row],['# Hygiene Promoters ]])</f>
        <v>0</v>
      </c>
      <c r="BS80" s="414">
        <f>IF(WWWW[[#This Row],[% of HH with access to Sanitary Pad]]&gt;=100%,1,0)</f>
        <v>0</v>
      </c>
      <c r="BT80" s="414">
        <f>IF(WWWW[[#This Row],[Total PoP ]]=0,0,IF(WWWW[[#This Row],['# Hygiene Promoters ]]=0,0,IF(WWWW[[#This Row],[Location Type 1]]="Village",IF(WWWW[[#This Row],[Total PoP ]]/WWWW[[#This Row],['# Hygiene Promoters ]]&lt;1000,1,0),IF(WWWW[[#This Row],[Total PoP ]]/WWWW[[#This Row],['# Hygiene Promoters ]]&lt;600,1,0))))</f>
        <v>0</v>
      </c>
      <c r="BU80" s="414">
        <f>IF(WWWW[[#This Row],[%HH with access to soap]]&gt;=100%,1,0)</f>
        <v>0</v>
      </c>
      <c r="BV80" s="414">
        <f>IF(WWWW[[#This Row],[% of HHs with access to Sanitary pad more than '#%]]+WWWW[[#This Row],[Ratio of Hyiene promoters to people less than '#]]+WWWW[[#This Row],[% of HHs with access to soap more than '#%]]&gt;=2,WWWW[[#This Row],[Total PoP ]],0)</f>
        <v>0</v>
      </c>
      <c r="BW80" s="346">
        <f>WWWW[[#This Row],['# people reached by regular dedicated hygiene promotion_5]]/WWWW[[#This Row],[Total PoP ]]</f>
        <v>0</v>
      </c>
      <c r="BX80" s="346">
        <f>IF(WWWW[[#This Row],['# HH received soaps]]/WWWW[[#This Row],[Total HH]]&gt;1,1,WWWW[[#This Row],['# HH received soaps]]/WWWW[[#This Row],[Total HH]])</f>
        <v>0</v>
      </c>
      <c r="BY80" s="346">
        <f>IF(WWWW[[#This Row],['# HH received Sanitary Pads]]/WWWW[[#This Row],[Total HH]]&gt;1,1,WWWW[[#This Row],['# HH received Sanitary Pads]]/WWWW[[#This Row],[Total HH]])</f>
        <v>0</v>
      </c>
      <c r="BZ80" s="720">
        <f>WWWW[[#This Row],['# HH received soaps]]*5</f>
        <v>0</v>
      </c>
      <c r="CA80" s="720">
        <f>WWWW[[#This Row],['# HH received Sanitary Pads]]*5</f>
        <v>0</v>
      </c>
      <c r="CB80" s="238">
        <f>IF(WWWW[[#This Row],['# People with access to soap]]&gt;WWWW[[#This Row],['# People with access to Sanity Pads]],WWWW[[#This Row],['# People with access to soap]],WWWW[[#This Row],['# People with access to Sanity Pads]])</f>
        <v>0</v>
      </c>
      <c r="CC80" s="236">
        <f>WWWW[[#This Row],[Total HH]]*WWWW[[#This Row],[%HHs with access to functional hand washing stations]]</f>
        <v>14.399999999999999</v>
      </c>
      <c r="CD80" s="240" t="str">
        <f>VLOOKUP(WWWW[[#This Row],[Site Name]],SiteDB6[],8,FALSE)</f>
        <v>Yes</v>
      </c>
      <c r="CE80" s="240" t="str">
        <f>VLOOKUP(WWWW[[#This Row],[Site Name]],SiteDB6[],9,FALSE)</f>
        <v>Shalom</v>
      </c>
      <c r="CF80" s="240" t="str">
        <f>VLOOKUP(WWWW[[#This Row],[Site Name]],SiteDB6[],10,FALSE)</f>
        <v>Camp</v>
      </c>
      <c r="CG80" s="240" t="str">
        <f>VLOOKUP(WWWW[[#This Row],[Site Name]],SiteDB6[],11,FALSE)</f>
        <v>Camp</v>
      </c>
      <c r="CH80" s="240" t="str">
        <f>VLOOKUP(WWWW[[#This Row],[Site Name]],SiteDB6[],12,FALSE)</f>
        <v>Camp</v>
      </c>
      <c r="CI80" s="240" t="str">
        <f>VLOOKUP(WWWW[[#This Row],[Site Name]],SiteDB6[],13,FALSE)</f>
        <v>GCA</v>
      </c>
      <c r="CJ80" s="240">
        <f>VLOOKUP(WWWW[[#This Row],[Site Name]],SiteDB6[],14,FALSE)</f>
        <v>25.374343974359</v>
      </c>
      <c r="CK80" s="240">
        <f>VLOOKUP(WWWW[[#This Row],[Site Name]],SiteDB6[],15,FALSE)</f>
        <v>97.2843958974359</v>
      </c>
      <c r="CL80" s="240" t="str">
        <f>VLOOKUP(WWWW[[#This Row],[Site Name]],SiteDB6[],4,FALSE)</f>
        <v>MMR001CMP020</v>
      </c>
      <c r="CM80" s="235" t="str">
        <f t="shared" si="1"/>
        <v>Covered</v>
      </c>
      <c r="CN80" s="235"/>
    </row>
    <row r="81" spans="1:92" ht="15.75" customHeight="1" x14ac:dyDescent="0.25">
      <c r="A81" s="532" t="s">
        <v>1409</v>
      </c>
      <c r="B81" s="533" t="s">
        <v>399</v>
      </c>
      <c r="C81" s="533" t="s">
        <v>44</v>
      </c>
      <c r="D81" s="533" t="s">
        <v>315</v>
      </c>
      <c r="E81" s="533" t="s">
        <v>424</v>
      </c>
      <c r="F81" s="233">
        <v>14</v>
      </c>
      <c r="G81" s="414">
        <v>76</v>
      </c>
      <c r="H81" s="233"/>
      <c r="I81" s="233" t="s">
        <v>401</v>
      </c>
      <c r="J81" s="234">
        <v>42947</v>
      </c>
      <c r="K81" s="233">
        <v>0</v>
      </c>
      <c r="L81" s="233" t="s">
        <v>48</v>
      </c>
      <c r="M81" s="235">
        <v>0.6</v>
      </c>
      <c r="N81" s="235">
        <v>1</v>
      </c>
      <c r="O81" s="609">
        <v>1</v>
      </c>
      <c r="P81" s="615">
        <v>0</v>
      </c>
      <c r="Q81" s="615">
        <v>1000</v>
      </c>
      <c r="R81" s="604">
        <v>0</v>
      </c>
      <c r="S81" s="604">
        <v>1</v>
      </c>
      <c r="T81" s="604">
        <v>0</v>
      </c>
      <c r="U81" s="604">
        <v>0</v>
      </c>
      <c r="V81" s="604">
        <v>0</v>
      </c>
      <c r="W81" s="604">
        <v>0</v>
      </c>
      <c r="X81" s="604">
        <v>0</v>
      </c>
      <c r="Y81" s="604"/>
      <c r="Z81" s="628">
        <v>3</v>
      </c>
      <c r="AA81" s="628">
        <v>0</v>
      </c>
      <c r="AB81" s="629">
        <v>3</v>
      </c>
      <c r="AC81" s="628">
        <v>3</v>
      </c>
      <c r="AD81" s="628" t="s">
        <v>293</v>
      </c>
      <c r="AE81" s="631" t="s">
        <v>1379</v>
      </c>
      <c r="AF81" s="631">
        <v>0</v>
      </c>
      <c r="AG81" s="628">
        <v>0</v>
      </c>
      <c r="AH81" s="628"/>
      <c r="AI81" s="659">
        <v>0.6</v>
      </c>
      <c r="AJ81" s="650" t="s">
        <v>386</v>
      </c>
      <c r="AK81" s="644">
        <v>0</v>
      </c>
      <c r="AL81" s="645">
        <v>1</v>
      </c>
      <c r="AM81" s="645">
        <v>0</v>
      </c>
      <c r="AN81" s="646">
        <v>0</v>
      </c>
      <c r="AO81" s="647">
        <v>0</v>
      </c>
      <c r="AP81" s="647"/>
      <c r="AQ81" s="658"/>
      <c r="AR81" s="235" t="str">
        <f>IFERROR(WWWW[[#This Row],['# of Water passed at source]]/WWWW[[#This Row],['# of Water tested at source]],"no test")</f>
        <v>no test</v>
      </c>
      <c r="AS81" s="237" t="str">
        <f>IFERROR(WWWW[[#This Row],['# of Water passed at HH]]/WWWW[[#This Row],['# of Water tested at HH]],"no test")</f>
        <v>no test</v>
      </c>
      <c r="AT81" s="237">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U81" s="237">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AV81" s="237">
        <f>IF(WWWW[[#This Row],[Location Type 1]]="Village",WWWW[[#This Row],[Access to safe drinking water for Village]],WWWW[[#This Row],[Access to safe drinking water for Camp]])</f>
        <v>1</v>
      </c>
      <c r="AW81" s="414">
        <f>WWWW[[#This Row],[%Equitable and continuous access to sufficient quantity of safe drinking water]]*WWWW[[#This Row],[Total PoP ]]</f>
        <v>76</v>
      </c>
      <c r="AX81" s="237">
        <f>IF((WWWW[[#This Row],['# Existing protected/fenced ponds ]]*250)/WWWW[[#This Row],[Total PoP ]]&gt;1,1,WWWW[[#This Row],['# Existing protected/fenced ponds ]]*250/WWWW[[#This Row],[Total PoP ]])</f>
        <v>0</v>
      </c>
      <c r="AY81" s="414">
        <f>WWWW[[#This Row],[Access to unimproved water points]]*WWWW[[#This Row],[Total PoP ]]</f>
        <v>0</v>
      </c>
      <c r="AZ81" s="237">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A81" s="414">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76</v>
      </c>
      <c r="BB81" s="414">
        <f>WWWW[[#This Row],['#people Equitable and continuous access to sufficient quantity of domestic water borehole n ponds_2]]/500</f>
        <v>0.152</v>
      </c>
      <c r="BC81" s="235">
        <f>1-WWWW[[#This Row],[%Equitable and continuous access to sufficient quantity of domestic water borehole n ponds]]</f>
        <v>0</v>
      </c>
      <c r="BD81" s="414">
        <f>WWWW[[#This Row],[%equitable and continuous access to sufficient quantity of safe drinking and domestic water''s GAP]]*WWWW[[#This Row],[Total PoP ]]</f>
        <v>0</v>
      </c>
      <c r="BE81" s="238">
        <f>IF(WWWW[[#This Row],[Total required water points]]-WWWW[[#This Row],['#Water points coverage]]&lt;0,0,WWWW[[#This Row],[Total required water points]]-WWWW[[#This Row],['#Water points coverage]])</f>
        <v>0.84799999999999998</v>
      </c>
      <c r="BF81" s="238">
        <f>ROUND(IF(WWWW[[#This Row],[Total PoP ]]&lt;500,1,WWWW[[#This Row],[Total PoP ]]/500),0)</f>
        <v>1</v>
      </c>
      <c r="BG81" s="238" t="str">
        <f>IF(AND(WWWW[[#This Row],[%of Water samples which passed at water source]]="no test",WWWW[[#This Row],[%Water samples which passed at HH]]="no test"),"No Test","Tested")</f>
        <v>No Test</v>
      </c>
      <c r="BH81" s="238">
        <f>WWWW[[#This Row],['# Existing functional latrines]]+WWWW[[#This Row],['# Existing latrines dysfunctional]]</f>
        <v>3</v>
      </c>
      <c r="BI81" s="235">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0.78947368421052633</v>
      </c>
      <c r="BJ81" s="675">
        <f>WWWW[[#This Row],[% people access to functioning Latrine]]*WWWW[[#This Row],[Total PoP ]]</f>
        <v>60</v>
      </c>
      <c r="BK81" s="235">
        <f>IF(WWWW[[#This Row],[Location Type 1]]="camp",WWWW[[#This Row],['# potential required new latrines]]/(WWWW[[#This Row],[Total PoP ]]/20),WWWW[[#This Row],['# potential required new latrines]]/(WWWW[[#This Row],[Total PoP ]]/6))</f>
        <v>0.26315789473684209</v>
      </c>
      <c r="BL81" s="414">
        <f>IF(WWWW[[#This Row],[Total required Latrines]]-WWWW[[#This Row],[Total '# of latrine]]&lt;0,0,WWWW[[#This Row],[Total required Latrines]]-WWWW[[#This Row],[Total '# of latrine]])</f>
        <v>1</v>
      </c>
      <c r="BM81" s="238">
        <f>ROUND(IF(WWWW[[#This Row],[Location Type 1]]="camp",WWWW[[#This Row],[Total PoP ]]/20,WWWW[[#This Row],[Total PoP ]]/6),0)</f>
        <v>4</v>
      </c>
      <c r="BN81" s="239">
        <f>IF(OR(WWWW[[#This Row],['# Existing latrines dysfunctional]]="",WWWW[[#This Row],['# Existing latrines dysfunctional]]=0),0,WWWW[[#This Row],['# Existing latrines dysfunctional]]/WWWW[[#This Row],[Total '# of latrine]])</f>
        <v>0</v>
      </c>
      <c r="BO81" s="675">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60</v>
      </c>
      <c r="BP81" s="235">
        <f>WWWW[[#This Row],[People adopt basic personal and community hygiene practices]]/WWWW[[#This Row],[Total PoP ]]</f>
        <v>0</v>
      </c>
      <c r="BQ81" s="239">
        <f>1-WWWW[[#This Row],[Hygiene Coverage%]]</f>
        <v>1</v>
      </c>
      <c r="BR81" s="414">
        <f>IF(500*WWWW[[#This Row],['# Hygiene Promoters ]]&gt;WWWW[[#This Row],[Total PoP ]],WWWW[[#This Row],[Total PoP ]],500*WWWW[[#This Row],['# Hygiene Promoters ]])</f>
        <v>0</v>
      </c>
      <c r="BS81" s="414">
        <f>IF(WWWW[[#This Row],[% of HH with access to Sanitary Pad]]&gt;=100%,1,0)</f>
        <v>0</v>
      </c>
      <c r="BT81" s="414">
        <f>IF(WWWW[[#This Row],[Total PoP ]]=0,0,IF(WWWW[[#This Row],['# Hygiene Promoters ]]=0,0,IF(WWWW[[#This Row],[Location Type 1]]="Village",IF(WWWW[[#This Row],[Total PoP ]]/WWWW[[#This Row],['# Hygiene Promoters ]]&lt;1000,1,0),IF(WWWW[[#This Row],[Total PoP ]]/WWWW[[#This Row],['# Hygiene Promoters ]]&lt;600,1,0))))</f>
        <v>0</v>
      </c>
      <c r="BU81" s="414">
        <f>IF(WWWW[[#This Row],[%HH with access to soap]]&gt;=100%,1,0)</f>
        <v>0</v>
      </c>
      <c r="BV81" s="414">
        <f>IF(WWWW[[#This Row],[% of HHs with access to Sanitary pad more than '#%]]+WWWW[[#This Row],[Ratio of Hyiene promoters to people less than '#]]+WWWW[[#This Row],[% of HHs with access to soap more than '#%]]&gt;=2,WWWW[[#This Row],[Total PoP ]],0)</f>
        <v>0</v>
      </c>
      <c r="BW81" s="346">
        <f>WWWW[[#This Row],['# people reached by regular dedicated hygiene promotion_5]]/WWWW[[#This Row],[Total PoP ]]</f>
        <v>0</v>
      </c>
      <c r="BX81" s="346">
        <f>IF(WWWW[[#This Row],['# HH received soaps]]/WWWW[[#This Row],[Total HH]]&gt;1,1,WWWW[[#This Row],['# HH received soaps]]/WWWW[[#This Row],[Total HH]])</f>
        <v>0</v>
      </c>
      <c r="BY81" s="346">
        <f>IF(WWWW[[#This Row],['# HH received Sanitary Pads]]/WWWW[[#This Row],[Total HH]]&gt;1,1,WWWW[[#This Row],['# HH received Sanitary Pads]]/WWWW[[#This Row],[Total HH]])</f>
        <v>0</v>
      </c>
      <c r="BZ81" s="720">
        <f>WWWW[[#This Row],['# HH received soaps]]*5</f>
        <v>0</v>
      </c>
      <c r="CA81" s="720">
        <f>WWWW[[#This Row],['# HH received Sanitary Pads]]*5</f>
        <v>0</v>
      </c>
      <c r="CB81" s="238">
        <f>IF(WWWW[[#This Row],['# People with access to soap]]&gt;WWWW[[#This Row],['# People with access to Sanity Pads]],WWWW[[#This Row],['# People with access to soap]],WWWW[[#This Row],['# People with access to Sanity Pads]])</f>
        <v>0</v>
      </c>
      <c r="CC81" s="414">
        <f>WWWW[[#This Row],[Total HH]]*WWWW[[#This Row],[%HHs with access to functional hand washing stations]]</f>
        <v>8.4</v>
      </c>
      <c r="CD81" s="240" t="str">
        <f>VLOOKUP(WWWW[[#This Row],[Site Name]],SiteDB6[],8,FALSE)</f>
        <v>Yes</v>
      </c>
      <c r="CE81" s="240" t="str">
        <f>VLOOKUP(WWWW[[#This Row],[Site Name]],SiteDB6[],9,FALSE)</f>
        <v>Shalom</v>
      </c>
      <c r="CF81" s="240" t="str">
        <f>VLOOKUP(WWWW[[#This Row],[Site Name]],SiteDB6[],10,FALSE)</f>
        <v>Camp</v>
      </c>
      <c r="CG81" s="240" t="str">
        <f>VLOOKUP(WWWW[[#This Row],[Site Name]],SiteDB6[],11,FALSE)</f>
        <v>Camp</v>
      </c>
      <c r="CH81" s="240" t="str">
        <f>VLOOKUP(WWWW[[#This Row],[Site Name]],SiteDB6[],12,FALSE)</f>
        <v>Camp</v>
      </c>
      <c r="CI81" s="240" t="str">
        <f>VLOOKUP(WWWW[[#This Row],[Site Name]],SiteDB6[],13,FALSE)</f>
        <v>GCA</v>
      </c>
      <c r="CJ81" s="240">
        <f>VLOOKUP(WWWW[[#This Row],[Site Name]],SiteDB6[],14,FALSE)</f>
        <v>25.371049444444399</v>
      </c>
      <c r="CK81" s="240">
        <f>VLOOKUP(WWWW[[#This Row],[Site Name]],SiteDB6[],15,FALSE)</f>
        <v>97.290952037037002</v>
      </c>
      <c r="CL81" s="240" t="str">
        <f>VLOOKUP(WWWW[[#This Row],[Site Name]],SiteDB6[],4,FALSE)</f>
        <v>MMR001CMP021</v>
      </c>
      <c r="CM81" s="235" t="str">
        <f t="shared" si="1"/>
        <v>Covered</v>
      </c>
      <c r="CN81" s="235"/>
    </row>
    <row r="82" spans="1:92" ht="15.75" customHeight="1" x14ac:dyDescent="0.25">
      <c r="A82" s="532" t="s">
        <v>1409</v>
      </c>
      <c r="B82" s="533" t="s">
        <v>399</v>
      </c>
      <c r="C82" s="533" t="s">
        <v>44</v>
      </c>
      <c r="D82" s="533" t="s">
        <v>304</v>
      </c>
      <c r="E82" s="533" t="s">
        <v>417</v>
      </c>
      <c r="F82" s="233">
        <v>4</v>
      </c>
      <c r="G82" s="414">
        <v>15</v>
      </c>
      <c r="H82" s="233"/>
      <c r="I82" s="233" t="s">
        <v>401</v>
      </c>
      <c r="J82" s="234">
        <v>42947</v>
      </c>
      <c r="K82" s="233">
        <v>0</v>
      </c>
      <c r="L82" s="233" t="s">
        <v>48</v>
      </c>
      <c r="M82" s="235">
        <v>0.2</v>
      </c>
      <c r="N82" s="235">
        <v>0</v>
      </c>
      <c r="O82" s="609">
        <v>1</v>
      </c>
      <c r="P82" s="615">
        <v>1</v>
      </c>
      <c r="Q82" s="615">
        <v>0</v>
      </c>
      <c r="R82" s="604">
        <v>0</v>
      </c>
      <c r="S82" s="604">
        <v>1</v>
      </c>
      <c r="T82" s="604">
        <v>0</v>
      </c>
      <c r="U82" s="604">
        <v>0</v>
      </c>
      <c r="V82" s="604">
        <v>0</v>
      </c>
      <c r="W82" s="604">
        <v>0</v>
      </c>
      <c r="X82" s="604">
        <v>0</v>
      </c>
      <c r="Y82" s="604"/>
      <c r="Z82" s="628">
        <v>0</v>
      </c>
      <c r="AA82" s="628">
        <v>0</v>
      </c>
      <c r="AB82" s="629">
        <v>0</v>
      </c>
      <c r="AC82" s="628">
        <v>0</v>
      </c>
      <c r="AD82" s="628" t="s">
        <v>293</v>
      </c>
      <c r="AE82" s="631" t="s">
        <v>1379</v>
      </c>
      <c r="AF82" s="631">
        <v>0</v>
      </c>
      <c r="AG82" s="628">
        <v>0</v>
      </c>
      <c r="AH82" s="628"/>
      <c r="AI82" s="659">
        <v>0.6</v>
      </c>
      <c r="AJ82" s="650" t="s">
        <v>386</v>
      </c>
      <c r="AK82" s="644">
        <v>0</v>
      </c>
      <c r="AL82" s="645">
        <v>0</v>
      </c>
      <c r="AM82" s="645">
        <v>0</v>
      </c>
      <c r="AN82" s="646">
        <v>0</v>
      </c>
      <c r="AO82" s="647">
        <v>0</v>
      </c>
      <c r="AP82" s="647"/>
      <c r="AQ82" s="658"/>
      <c r="AR82" s="235" t="str">
        <f>IFERROR(WWWW[[#This Row],['# of Water passed at source]]/WWWW[[#This Row],['# of Water tested at source]],"no test")</f>
        <v>no test</v>
      </c>
      <c r="AS82" s="237" t="str">
        <f>IFERROR(WWWW[[#This Row],['# of Water passed at HH]]/WWWW[[#This Row],['# of Water tested at HH]],"no test")</f>
        <v>no test</v>
      </c>
      <c r="AT82" s="237">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U82" s="237">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AV82" s="237">
        <f>IF(WWWW[[#This Row],[Location Type 1]]="Village",WWWW[[#This Row],[Access to safe drinking water for Village]],WWWW[[#This Row],[Access to safe drinking water for Camp]])</f>
        <v>1</v>
      </c>
      <c r="AW82" s="414">
        <f>WWWW[[#This Row],[%Equitable and continuous access to sufficient quantity of safe drinking water]]*WWWW[[#This Row],[Total PoP ]]</f>
        <v>15</v>
      </c>
      <c r="AX82" s="237">
        <f>IF((WWWW[[#This Row],['# Existing protected/fenced ponds ]]*250)/WWWW[[#This Row],[Total PoP ]]&gt;1,1,WWWW[[#This Row],['# Existing protected/fenced ponds ]]*250/WWWW[[#This Row],[Total PoP ]])</f>
        <v>0</v>
      </c>
      <c r="AY82" s="236">
        <f>WWWW[[#This Row],[Access to unimproved water points]]*WWWW[[#This Row],[Total PoP ]]</f>
        <v>0</v>
      </c>
      <c r="AZ82" s="237">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A82" s="414">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15</v>
      </c>
      <c r="BB82" s="414">
        <f>WWWW[[#This Row],['#people Equitable and continuous access to sufficient quantity of domestic water borehole n ponds_2]]/500</f>
        <v>0.03</v>
      </c>
      <c r="BC82" s="235">
        <f>1-WWWW[[#This Row],[%Equitable and continuous access to sufficient quantity of domestic water borehole n ponds]]</f>
        <v>0</v>
      </c>
      <c r="BD82" s="236">
        <f>WWWW[[#This Row],[%equitable and continuous access to sufficient quantity of safe drinking and domestic water''s GAP]]*WWWW[[#This Row],[Total PoP ]]</f>
        <v>0</v>
      </c>
      <c r="BE82" s="238">
        <f>IF(WWWW[[#This Row],[Total required water points]]-WWWW[[#This Row],['#Water points coverage]]&lt;0,0,WWWW[[#This Row],[Total required water points]]-WWWW[[#This Row],['#Water points coverage]])</f>
        <v>0.97</v>
      </c>
      <c r="BF82" s="238">
        <f>ROUND(IF(WWWW[[#This Row],[Total PoP ]]&lt;500,1,WWWW[[#This Row],[Total PoP ]]/500),0)</f>
        <v>1</v>
      </c>
      <c r="BG82" s="238" t="str">
        <f>IF(AND(WWWW[[#This Row],[%of Water samples which passed at water source]]="no test",WWWW[[#This Row],[%Water samples which passed at HH]]="no test"),"No Test","Tested")</f>
        <v>No Test</v>
      </c>
      <c r="BH82" s="238">
        <f>WWWW[[#This Row],['# Existing functional latrines]]+WWWW[[#This Row],['# Existing latrines dysfunctional]]</f>
        <v>0</v>
      </c>
      <c r="BI82" s="235">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J82" s="675">
        <f>WWWW[[#This Row],[% people access to functioning Latrine]]*WWWW[[#This Row],[Total PoP ]]</f>
        <v>0</v>
      </c>
      <c r="BK82" s="235">
        <f>IF(WWWW[[#This Row],[Location Type 1]]="camp",WWWW[[#This Row],['# potential required new latrines]]/(WWWW[[#This Row],[Total PoP ]]/20),WWWW[[#This Row],['# potential required new latrines]]/(WWWW[[#This Row],[Total PoP ]]/6))</f>
        <v>1.3333333333333333</v>
      </c>
      <c r="BL82" s="236">
        <f>IF(WWWW[[#This Row],[Total required Latrines]]-WWWW[[#This Row],[Total '# of latrine]]&lt;0,0,WWWW[[#This Row],[Total required Latrines]]-WWWW[[#This Row],[Total '# of latrine]])</f>
        <v>1</v>
      </c>
      <c r="BM82" s="238">
        <f>ROUND(IF(WWWW[[#This Row],[Location Type 1]]="camp",WWWW[[#This Row],[Total PoP ]]/20,WWWW[[#This Row],[Total PoP ]]/6),0)</f>
        <v>1</v>
      </c>
      <c r="BN82" s="239">
        <f>IF(OR(WWWW[[#This Row],['# Existing latrines dysfunctional]]="",WWWW[[#This Row],['# Existing latrines dysfunctional]]=0),0,WWWW[[#This Row],['# Existing latrines dysfunctional]]/WWWW[[#This Row],[Total '# of latrine]])</f>
        <v>0</v>
      </c>
      <c r="BO82" s="675">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P82" s="235">
        <f>WWWW[[#This Row],[People adopt basic personal and community hygiene practices]]/WWWW[[#This Row],[Total PoP ]]</f>
        <v>0</v>
      </c>
      <c r="BQ82" s="239">
        <f>1-WWWW[[#This Row],[Hygiene Coverage%]]</f>
        <v>1</v>
      </c>
      <c r="BR82" s="414">
        <f>IF(500*WWWW[[#This Row],['# Hygiene Promoters ]]&gt;WWWW[[#This Row],[Total PoP ]],WWWW[[#This Row],[Total PoP ]],500*WWWW[[#This Row],['# Hygiene Promoters ]])</f>
        <v>0</v>
      </c>
      <c r="BS82" s="414">
        <f>IF(WWWW[[#This Row],[% of HH with access to Sanitary Pad]]&gt;=100%,1,0)</f>
        <v>0</v>
      </c>
      <c r="BT82" s="414">
        <f>IF(WWWW[[#This Row],[Total PoP ]]=0,0,IF(WWWW[[#This Row],['# Hygiene Promoters ]]=0,0,IF(WWWW[[#This Row],[Location Type 1]]="Village",IF(WWWW[[#This Row],[Total PoP ]]/WWWW[[#This Row],['# Hygiene Promoters ]]&lt;1000,1,0),IF(WWWW[[#This Row],[Total PoP ]]/WWWW[[#This Row],['# Hygiene Promoters ]]&lt;600,1,0))))</f>
        <v>0</v>
      </c>
      <c r="BU82" s="414">
        <f>IF(WWWW[[#This Row],[%HH with access to soap]]&gt;=100%,1,0)</f>
        <v>0</v>
      </c>
      <c r="BV82" s="414">
        <f>IF(WWWW[[#This Row],[% of HHs with access to Sanitary pad more than '#%]]+WWWW[[#This Row],[Ratio of Hyiene promoters to people less than '#]]+WWWW[[#This Row],[% of HHs with access to soap more than '#%]]&gt;=2,WWWW[[#This Row],[Total PoP ]],0)</f>
        <v>0</v>
      </c>
      <c r="BW82" s="346">
        <f>WWWW[[#This Row],['# people reached by regular dedicated hygiene promotion_5]]/WWWW[[#This Row],[Total PoP ]]</f>
        <v>0</v>
      </c>
      <c r="BX82" s="346">
        <f>IF(WWWW[[#This Row],['# HH received soaps]]/WWWW[[#This Row],[Total HH]]&gt;1,1,WWWW[[#This Row],['# HH received soaps]]/WWWW[[#This Row],[Total HH]])</f>
        <v>0</v>
      </c>
      <c r="BY82" s="346">
        <f>IF(WWWW[[#This Row],['# HH received Sanitary Pads]]/WWWW[[#This Row],[Total HH]]&gt;1,1,WWWW[[#This Row],['# HH received Sanitary Pads]]/WWWW[[#This Row],[Total HH]])</f>
        <v>0</v>
      </c>
      <c r="BZ82" s="720">
        <f>WWWW[[#This Row],['# HH received soaps]]*5</f>
        <v>0</v>
      </c>
      <c r="CA82" s="720">
        <f>WWWW[[#This Row],['# HH received Sanitary Pads]]*5</f>
        <v>0</v>
      </c>
      <c r="CB82" s="238">
        <f>IF(WWWW[[#This Row],['# People with access to soap]]&gt;WWWW[[#This Row],['# People with access to Sanity Pads]],WWWW[[#This Row],['# People with access to soap]],WWWW[[#This Row],['# People with access to Sanity Pads]])</f>
        <v>0</v>
      </c>
      <c r="CC82" s="236">
        <f>WWWW[[#This Row],[Total HH]]*WWWW[[#This Row],[%HHs with access to functional hand washing stations]]</f>
        <v>2.4</v>
      </c>
      <c r="CD82" s="240" t="str">
        <f>VLOOKUP(WWWW[[#This Row],[Site Name]],SiteDB6[],8,FALSE)</f>
        <v>Yes</v>
      </c>
      <c r="CE82" s="240" t="str">
        <f>VLOOKUP(WWWW[[#This Row],[Site Name]],SiteDB6[],9,FALSE)</f>
        <v>Shalom</v>
      </c>
      <c r="CF82" s="240" t="str">
        <f>VLOOKUP(WWWW[[#This Row],[Site Name]],SiteDB6[],10,FALSE)</f>
        <v>Camp</v>
      </c>
      <c r="CG82" s="240" t="str">
        <f>VLOOKUP(WWWW[[#This Row],[Site Name]],SiteDB6[],11,FALSE)</f>
        <v>Camp</v>
      </c>
      <c r="CH82" s="240" t="str">
        <f>VLOOKUP(WWWW[[#This Row],[Site Name]],SiteDB6[],12,FALSE)</f>
        <v>Camp</v>
      </c>
      <c r="CI82" s="240" t="str">
        <f>VLOOKUP(WWWW[[#This Row],[Site Name]],SiteDB6[],13,FALSE)</f>
        <v>GCA</v>
      </c>
      <c r="CJ82" s="240">
        <f>VLOOKUP(WWWW[[#This Row],[Site Name]],SiteDB6[],14,FALSE)</f>
        <v>25.6145</v>
      </c>
      <c r="CK82" s="240">
        <f>VLOOKUP(WWWW[[#This Row],[Site Name]],SiteDB6[],15,FALSE)</f>
        <v>96.319829999999996</v>
      </c>
      <c r="CL82" s="240" t="str">
        <f>VLOOKUP(WWWW[[#This Row],[Site Name]],SiteDB6[],4,FALSE)</f>
        <v>MMR001CMP091</v>
      </c>
      <c r="CM82" s="235" t="str">
        <f t="shared" si="1"/>
        <v>Covered</v>
      </c>
      <c r="CN82" s="235"/>
    </row>
    <row r="83" spans="1:92" ht="15.75" customHeight="1" x14ac:dyDescent="0.25">
      <c r="A83" s="532" t="s">
        <v>1409</v>
      </c>
      <c r="B83" s="533" t="s">
        <v>348</v>
      </c>
      <c r="C83" s="533" t="s">
        <v>44</v>
      </c>
      <c r="D83" s="533" t="s">
        <v>361</v>
      </c>
      <c r="E83" s="533" t="s">
        <v>369</v>
      </c>
      <c r="F83" s="233">
        <v>109</v>
      </c>
      <c r="G83" s="414">
        <v>453</v>
      </c>
      <c r="H83" s="233"/>
      <c r="I83" s="233" t="s">
        <v>350</v>
      </c>
      <c r="J83" s="234" t="s">
        <v>2602</v>
      </c>
      <c r="K83" s="233">
        <v>0</v>
      </c>
      <c r="L83" s="233" t="s">
        <v>48</v>
      </c>
      <c r="M83" s="235">
        <v>0.5</v>
      </c>
      <c r="N83" s="235">
        <v>0.5</v>
      </c>
      <c r="O83" s="609">
        <v>1</v>
      </c>
      <c r="P83" s="615">
        <v>1</v>
      </c>
      <c r="Q83" s="615">
        <v>0</v>
      </c>
      <c r="R83" s="604">
        <v>0</v>
      </c>
      <c r="S83" s="604">
        <v>0</v>
      </c>
      <c r="T83" s="604"/>
      <c r="U83" s="604"/>
      <c r="V83" s="604"/>
      <c r="W83" s="604"/>
      <c r="X83" s="604"/>
      <c r="Y83" s="604"/>
      <c r="Z83" s="628">
        <v>10</v>
      </c>
      <c r="AA83" s="628">
        <v>0</v>
      </c>
      <c r="AB83" s="629"/>
      <c r="AC83" s="628">
        <v>0</v>
      </c>
      <c r="AD83" s="628" t="s">
        <v>293</v>
      </c>
      <c r="AE83" s="631" t="s">
        <v>293</v>
      </c>
      <c r="AF83" s="631"/>
      <c r="AG83" s="628"/>
      <c r="AH83" s="628"/>
      <c r="AI83" s="659">
        <v>1</v>
      </c>
      <c r="AJ83" s="644" t="s">
        <v>301</v>
      </c>
      <c r="AK83" s="644">
        <v>0</v>
      </c>
      <c r="AL83" s="645">
        <v>4</v>
      </c>
      <c r="AM83" s="645">
        <v>2</v>
      </c>
      <c r="AN83" s="646">
        <v>109</v>
      </c>
      <c r="AO83" s="647">
        <v>109</v>
      </c>
      <c r="AP83" s="647"/>
      <c r="AQ83" s="658"/>
      <c r="AR83" s="235" t="str">
        <f>IFERROR(WWWW[[#This Row],['# of Water passed at source]]/WWWW[[#This Row],['# of Water tested at source]],"no test")</f>
        <v>no test</v>
      </c>
      <c r="AS83" s="237" t="str">
        <f>IFERROR(WWWW[[#This Row],['# of Water passed at HH]]/WWWW[[#This Row],['# of Water tested at HH]],"no test")</f>
        <v>no test</v>
      </c>
      <c r="AT83" s="237">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U83" s="237">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AV83" s="237">
        <f>IF(WWWW[[#This Row],[Location Type 1]]="Village",WWWW[[#This Row],[Access to safe drinking water for Village]],WWWW[[#This Row],[Access to safe drinking water for Camp]])</f>
        <v>1</v>
      </c>
      <c r="AW83" s="414">
        <f>WWWW[[#This Row],[%Equitable and continuous access to sufficient quantity of safe drinking water]]*WWWW[[#This Row],[Total PoP ]]</f>
        <v>453</v>
      </c>
      <c r="AX83" s="237">
        <f>IF((WWWW[[#This Row],['# Existing protected/fenced ponds ]]*250)/WWWW[[#This Row],[Total PoP ]]&gt;1,1,WWWW[[#This Row],['# Existing protected/fenced ponds ]]*250/WWWW[[#This Row],[Total PoP ]])</f>
        <v>0</v>
      </c>
      <c r="AY83" s="414">
        <f>WWWW[[#This Row],[Access to unimproved water points]]*WWWW[[#This Row],[Total PoP ]]</f>
        <v>0</v>
      </c>
      <c r="AZ83" s="237">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A83" s="414">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453</v>
      </c>
      <c r="BB83" s="414">
        <f>WWWW[[#This Row],['#people Equitable and continuous access to sufficient quantity of domestic water borehole n ponds_2]]/500</f>
        <v>0.90600000000000003</v>
      </c>
      <c r="BC83" s="235">
        <f>1-WWWW[[#This Row],[%Equitable and continuous access to sufficient quantity of domestic water borehole n ponds]]</f>
        <v>0</v>
      </c>
      <c r="BD83" s="414">
        <f>WWWW[[#This Row],[%equitable and continuous access to sufficient quantity of safe drinking and domestic water''s GAP]]*WWWW[[#This Row],[Total PoP ]]</f>
        <v>0</v>
      </c>
      <c r="BE83" s="238">
        <f>IF(WWWW[[#This Row],[Total required water points]]-WWWW[[#This Row],['#Water points coverage]]&lt;0,0,WWWW[[#This Row],[Total required water points]]-WWWW[[#This Row],['#Water points coverage]])</f>
        <v>9.3999999999999972E-2</v>
      </c>
      <c r="BF83" s="238">
        <f>ROUND(IF(WWWW[[#This Row],[Total PoP ]]&lt;500,1,WWWW[[#This Row],[Total PoP ]]/500),0)</f>
        <v>1</v>
      </c>
      <c r="BG83" s="238" t="str">
        <f>IF(AND(WWWW[[#This Row],[%of Water samples which passed at water source]]="no test",WWWW[[#This Row],[%Water samples which passed at HH]]="no test"),"No Test","Tested")</f>
        <v>No Test</v>
      </c>
      <c r="BH83" s="238">
        <f>WWWW[[#This Row],['# Existing functional latrines]]+WWWW[[#This Row],['# Existing latrines dysfunctional]]</f>
        <v>10</v>
      </c>
      <c r="BI83" s="235">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0.44150110375275936</v>
      </c>
      <c r="BJ83" s="675">
        <f>WWWW[[#This Row],[% people access to functioning Latrine]]*WWWW[[#This Row],[Total PoP ]]</f>
        <v>200</v>
      </c>
      <c r="BK83" s="235">
        <f>IF(WWWW[[#This Row],[Location Type 1]]="camp",WWWW[[#This Row],['# potential required new latrines]]/(WWWW[[#This Row],[Total PoP ]]/20),WWWW[[#This Row],['# potential required new latrines]]/(WWWW[[#This Row],[Total PoP ]]/6))</f>
        <v>0.57395143487858724</v>
      </c>
      <c r="BL83" s="414">
        <f>IF(WWWW[[#This Row],[Total required Latrines]]-WWWW[[#This Row],[Total '# of latrine]]&lt;0,0,WWWW[[#This Row],[Total required Latrines]]-WWWW[[#This Row],[Total '# of latrine]])</f>
        <v>13</v>
      </c>
      <c r="BM83" s="238">
        <f>ROUND(IF(WWWW[[#This Row],[Location Type 1]]="camp",WWWW[[#This Row],[Total PoP ]]/20,WWWW[[#This Row],[Total PoP ]]/6),0)</f>
        <v>23</v>
      </c>
      <c r="BN83" s="239">
        <f>IF(OR(WWWW[[#This Row],['# Existing latrines dysfunctional]]="",WWWW[[#This Row],['# Existing latrines dysfunctional]]=0),0,WWWW[[#This Row],['# Existing latrines dysfunctional]]/WWWW[[#This Row],[Total '# of latrine]])</f>
        <v>0</v>
      </c>
      <c r="BO83" s="675">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P83" s="235">
        <f>WWWW[[#This Row],[People adopt basic personal and community hygiene practices]]/WWWW[[#This Row],[Total PoP ]]</f>
        <v>1</v>
      </c>
      <c r="BQ83" s="239">
        <f>1-WWWW[[#This Row],[Hygiene Coverage%]]</f>
        <v>0</v>
      </c>
      <c r="BR83" s="414">
        <f>IF(500*WWWW[[#This Row],['# Hygiene Promoters ]]&gt;WWWW[[#This Row],[Total PoP ]],WWWW[[#This Row],[Total PoP ]],500*WWWW[[#This Row],['# Hygiene Promoters ]])</f>
        <v>453</v>
      </c>
      <c r="BS83" s="414">
        <f>IF(WWWW[[#This Row],[% of HH with access to Sanitary Pad]]&gt;=100%,1,0)</f>
        <v>1</v>
      </c>
      <c r="BT83" s="414">
        <f>IF(WWWW[[#This Row],[Total PoP ]]=0,0,IF(WWWW[[#This Row],['# Hygiene Promoters ]]=0,0,IF(WWWW[[#This Row],[Location Type 1]]="Village",IF(WWWW[[#This Row],[Total PoP ]]/WWWW[[#This Row],['# Hygiene Promoters ]]&lt;1000,1,0),IF(WWWW[[#This Row],[Total PoP ]]/WWWW[[#This Row],['# Hygiene Promoters ]]&lt;600,1,0))))</f>
        <v>1</v>
      </c>
      <c r="BU83" s="414">
        <f>IF(WWWW[[#This Row],[%HH with access to soap]]&gt;=100%,1,0)</f>
        <v>1</v>
      </c>
      <c r="BV83" s="414">
        <f>IF(WWWW[[#This Row],[% of HHs with access to Sanitary pad more than '#%]]+WWWW[[#This Row],[Ratio of Hyiene promoters to people less than '#]]+WWWW[[#This Row],[% of HHs with access to soap more than '#%]]&gt;=2,WWWW[[#This Row],[Total PoP ]],0)</f>
        <v>453</v>
      </c>
      <c r="BW83" s="346">
        <f>WWWW[[#This Row],['# people reached by regular dedicated hygiene promotion_5]]/WWWW[[#This Row],[Total PoP ]]</f>
        <v>1</v>
      </c>
      <c r="BX83" s="346">
        <f>IF(WWWW[[#This Row],['# HH received soaps]]/WWWW[[#This Row],[Total HH]]&gt;1,1,WWWW[[#This Row],['# HH received soaps]]/WWWW[[#This Row],[Total HH]])</f>
        <v>1</v>
      </c>
      <c r="BY83" s="346">
        <f>IF(WWWW[[#This Row],['# HH received Sanitary Pads]]/WWWW[[#This Row],[Total HH]]&gt;1,1,WWWW[[#This Row],['# HH received Sanitary Pads]]/WWWW[[#This Row],[Total HH]])</f>
        <v>1</v>
      </c>
      <c r="BZ83" s="720">
        <f>WWWW[[#This Row],['# HH received soaps]]*5</f>
        <v>545</v>
      </c>
      <c r="CA83" s="720">
        <f>WWWW[[#This Row],['# HH received Sanitary Pads]]*5</f>
        <v>545</v>
      </c>
      <c r="CB83" s="238">
        <f>IF(WWWW[[#This Row],['# People with access to soap]]&gt;WWWW[[#This Row],['# People with access to Sanity Pads]],WWWW[[#This Row],['# People with access to soap]],WWWW[[#This Row],['# People with access to Sanity Pads]])</f>
        <v>545</v>
      </c>
      <c r="CC83" s="414">
        <f>WWWW[[#This Row],[Total HH]]*WWWW[[#This Row],[%HHs with access to functional hand washing stations]]</f>
        <v>109</v>
      </c>
      <c r="CD83" s="240" t="str">
        <f>VLOOKUP(WWWW[[#This Row],[Site Name]],SiteDB6[],8,FALSE)</f>
        <v>Yes</v>
      </c>
      <c r="CE83" s="240" t="str">
        <f>VLOOKUP(WWWW[[#This Row],[Site Name]],SiteDB6[],9,FALSE)</f>
        <v>KBC</v>
      </c>
      <c r="CF83" s="240" t="str">
        <f>VLOOKUP(WWWW[[#This Row],[Site Name]],SiteDB6[],10,FALSE)</f>
        <v>Camp</v>
      </c>
      <c r="CG83" s="240" t="str">
        <f>VLOOKUP(WWWW[[#This Row],[Site Name]],SiteDB6[],11,FALSE)</f>
        <v>Camp</v>
      </c>
      <c r="CH83" s="240" t="str">
        <f>VLOOKUP(WWWW[[#This Row],[Site Name]],SiteDB6[],12,FALSE)</f>
        <v>Camp</v>
      </c>
      <c r="CI83" s="240" t="str">
        <f>VLOOKUP(WWWW[[#This Row],[Site Name]],SiteDB6[],13,FALSE)</f>
        <v>GCA</v>
      </c>
      <c r="CJ83" s="240">
        <f>VLOOKUP(WWWW[[#This Row],[Site Name]],SiteDB6[],14,FALSE)</f>
        <v>24.250689999999999</v>
      </c>
      <c r="CK83" s="240">
        <f>VLOOKUP(WWWW[[#This Row],[Site Name]],SiteDB6[],15,FALSE)</f>
        <v>97.344359999999995</v>
      </c>
      <c r="CL83" s="240" t="str">
        <f>VLOOKUP(WWWW[[#This Row],[Site Name]],SiteDB6[],4,FALSE)</f>
        <v>MMR001CMP056</v>
      </c>
      <c r="CM83" s="235" t="str">
        <f t="shared" si="1"/>
        <v>Covered</v>
      </c>
      <c r="CN83" s="235"/>
    </row>
    <row r="84" spans="1:92" ht="15.75" customHeight="1" x14ac:dyDescent="0.25">
      <c r="A84" s="532" t="s">
        <v>1409</v>
      </c>
      <c r="B84" s="533" t="s">
        <v>348</v>
      </c>
      <c r="C84" s="533" t="s">
        <v>44</v>
      </c>
      <c r="D84" s="533" t="s">
        <v>351</v>
      </c>
      <c r="E84" s="533" t="s">
        <v>357</v>
      </c>
      <c r="F84" s="233">
        <v>11</v>
      </c>
      <c r="G84" s="414">
        <v>51</v>
      </c>
      <c r="H84" s="233"/>
      <c r="I84" s="233" t="s">
        <v>2601</v>
      </c>
      <c r="J84" s="234">
        <v>43344</v>
      </c>
      <c r="K84" s="233">
        <v>0</v>
      </c>
      <c r="L84" s="233" t="s">
        <v>292</v>
      </c>
      <c r="M84" s="235">
        <v>0</v>
      </c>
      <c r="N84" s="235">
        <v>0</v>
      </c>
      <c r="O84" s="609">
        <v>0</v>
      </c>
      <c r="P84" s="615">
        <v>1</v>
      </c>
      <c r="Q84" s="615">
        <v>0</v>
      </c>
      <c r="R84" s="604">
        <v>0</v>
      </c>
      <c r="S84" s="604">
        <v>0</v>
      </c>
      <c r="T84" s="604"/>
      <c r="U84" s="604"/>
      <c r="V84" s="604"/>
      <c r="W84" s="604"/>
      <c r="X84" s="604"/>
      <c r="Y84" s="604"/>
      <c r="Z84" s="628">
        <v>4</v>
      </c>
      <c r="AA84" s="628">
        <v>0</v>
      </c>
      <c r="AB84" s="629"/>
      <c r="AC84" s="628">
        <v>0</v>
      </c>
      <c r="AD84" s="628" t="s">
        <v>293</v>
      </c>
      <c r="AE84" s="631" t="s">
        <v>293</v>
      </c>
      <c r="AF84" s="631"/>
      <c r="AG84" s="628"/>
      <c r="AH84" s="628"/>
      <c r="AI84" s="659">
        <v>1</v>
      </c>
      <c r="AJ84" s="644" t="s">
        <v>301</v>
      </c>
      <c r="AK84" s="644">
        <v>0</v>
      </c>
      <c r="AL84" s="645">
        <v>2</v>
      </c>
      <c r="AM84" s="645">
        <v>1</v>
      </c>
      <c r="AN84" s="646">
        <v>11</v>
      </c>
      <c r="AO84" s="647">
        <v>11</v>
      </c>
      <c r="AP84" s="647"/>
      <c r="AQ84" s="658"/>
      <c r="AR84" s="235" t="str">
        <f>IFERROR(WWWW[[#This Row],['# of Water passed at source]]/WWWW[[#This Row],['# of Water tested at source]],"no test")</f>
        <v>no test</v>
      </c>
      <c r="AS84" s="237" t="str">
        <f>IFERROR(WWWW[[#This Row],['# of Water passed at HH]]/WWWW[[#This Row],['# of Water tested at HH]],"no test")</f>
        <v>no test</v>
      </c>
      <c r="AT84" s="237">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U84" s="237">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AV84" s="237">
        <f>IF(WWWW[[#This Row],[Location Type 1]]="Village",WWWW[[#This Row],[Access to safe drinking water for Village]],WWWW[[#This Row],[Access to safe drinking water for Camp]])</f>
        <v>1</v>
      </c>
      <c r="AW84" s="414">
        <f>WWWW[[#This Row],[%Equitable and continuous access to sufficient quantity of safe drinking water]]*WWWW[[#This Row],[Total PoP ]]</f>
        <v>51</v>
      </c>
      <c r="AX84" s="237">
        <f>IF((WWWW[[#This Row],['# Existing protected/fenced ponds ]]*250)/WWWW[[#This Row],[Total PoP ]]&gt;1,1,WWWW[[#This Row],['# Existing protected/fenced ponds ]]*250/WWWW[[#This Row],[Total PoP ]])</f>
        <v>0</v>
      </c>
      <c r="AY84" s="236">
        <f>WWWW[[#This Row],[Access to unimproved water points]]*WWWW[[#This Row],[Total PoP ]]</f>
        <v>0</v>
      </c>
      <c r="AZ84" s="237">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A84" s="414">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51</v>
      </c>
      <c r="BB84" s="414">
        <f>WWWW[[#This Row],['#people Equitable and continuous access to sufficient quantity of domestic water borehole n ponds_2]]/500</f>
        <v>0.10199999999999999</v>
      </c>
      <c r="BC84" s="235">
        <f>1-WWWW[[#This Row],[%Equitable and continuous access to sufficient quantity of domestic water borehole n ponds]]</f>
        <v>0</v>
      </c>
      <c r="BD84" s="236">
        <f>WWWW[[#This Row],[%equitable and continuous access to sufficient quantity of safe drinking and domestic water''s GAP]]*WWWW[[#This Row],[Total PoP ]]</f>
        <v>0</v>
      </c>
      <c r="BE84" s="238">
        <f>IF(WWWW[[#This Row],[Total required water points]]-WWWW[[#This Row],['#Water points coverage]]&lt;0,0,WWWW[[#This Row],[Total required water points]]-WWWW[[#This Row],['#Water points coverage]])</f>
        <v>0.89800000000000002</v>
      </c>
      <c r="BF84" s="238">
        <f>ROUND(IF(WWWW[[#This Row],[Total PoP ]]&lt;500,1,WWWW[[#This Row],[Total PoP ]]/500),0)</f>
        <v>1</v>
      </c>
      <c r="BG84" s="238" t="str">
        <f>IF(AND(WWWW[[#This Row],[%of Water samples which passed at water source]]="no test",WWWW[[#This Row],[%Water samples which passed at HH]]="no test"),"No Test","Tested")</f>
        <v>No Test</v>
      </c>
      <c r="BH84" s="238">
        <f>WWWW[[#This Row],['# Existing functional latrines]]+WWWW[[#This Row],['# Existing latrines dysfunctional]]</f>
        <v>4</v>
      </c>
      <c r="BI84" s="235">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1</v>
      </c>
      <c r="BJ84" s="675">
        <f>WWWW[[#This Row],[% people access to functioning Latrine]]*WWWW[[#This Row],[Total PoP ]]</f>
        <v>51</v>
      </c>
      <c r="BK84" s="235">
        <f>IF(WWWW[[#This Row],[Location Type 1]]="camp",WWWW[[#This Row],['# potential required new latrines]]/(WWWW[[#This Row],[Total PoP ]]/20),WWWW[[#This Row],['# potential required new latrines]]/(WWWW[[#This Row],[Total PoP ]]/6))</f>
        <v>0</v>
      </c>
      <c r="BL84" s="236">
        <f>IF(WWWW[[#This Row],[Total required Latrines]]-WWWW[[#This Row],[Total '# of latrine]]&lt;0,0,WWWW[[#This Row],[Total required Latrines]]-WWWW[[#This Row],[Total '# of latrine]])</f>
        <v>0</v>
      </c>
      <c r="BM84" s="238">
        <f>ROUND(IF(WWWW[[#This Row],[Location Type 1]]="camp",WWWW[[#This Row],[Total PoP ]]/20,WWWW[[#This Row],[Total PoP ]]/6),0)</f>
        <v>3</v>
      </c>
      <c r="BN84" s="239">
        <f>IF(OR(WWWW[[#This Row],['# Existing latrines dysfunctional]]="",WWWW[[#This Row],['# Existing latrines dysfunctional]]=0),0,WWWW[[#This Row],['# Existing latrines dysfunctional]]/WWWW[[#This Row],[Total '# of latrine]])</f>
        <v>0</v>
      </c>
      <c r="BO84" s="675">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P84" s="235">
        <f>WWWW[[#This Row],[People adopt basic personal and community hygiene practices]]/WWWW[[#This Row],[Total PoP ]]</f>
        <v>1</v>
      </c>
      <c r="BQ84" s="239">
        <f>1-WWWW[[#This Row],[Hygiene Coverage%]]</f>
        <v>0</v>
      </c>
      <c r="BR84" s="414">
        <f>IF(500*WWWW[[#This Row],['# Hygiene Promoters ]]&gt;WWWW[[#This Row],[Total PoP ]],WWWW[[#This Row],[Total PoP ]],500*WWWW[[#This Row],['# Hygiene Promoters ]])</f>
        <v>51</v>
      </c>
      <c r="BS84" s="414">
        <f>IF(WWWW[[#This Row],[% of HH with access to Sanitary Pad]]&gt;=100%,1,0)</f>
        <v>1</v>
      </c>
      <c r="BT84" s="414">
        <f>IF(WWWW[[#This Row],[Total PoP ]]=0,0,IF(WWWW[[#This Row],['# Hygiene Promoters ]]=0,0,IF(WWWW[[#This Row],[Location Type 1]]="Village",IF(WWWW[[#This Row],[Total PoP ]]/WWWW[[#This Row],['# Hygiene Promoters ]]&lt;1000,1,0),IF(WWWW[[#This Row],[Total PoP ]]/WWWW[[#This Row],['# Hygiene Promoters ]]&lt;600,1,0))))</f>
        <v>1</v>
      </c>
      <c r="BU84" s="414">
        <f>IF(WWWW[[#This Row],[%HH with access to soap]]&gt;=100%,1,0)</f>
        <v>1</v>
      </c>
      <c r="BV84" s="414">
        <f>IF(WWWW[[#This Row],[% of HHs with access to Sanitary pad more than '#%]]+WWWW[[#This Row],[Ratio of Hyiene promoters to people less than '#]]+WWWW[[#This Row],[% of HHs with access to soap more than '#%]]&gt;=2,WWWW[[#This Row],[Total PoP ]],0)</f>
        <v>51</v>
      </c>
      <c r="BW84" s="346">
        <f>WWWW[[#This Row],['# people reached by regular dedicated hygiene promotion_5]]/WWWW[[#This Row],[Total PoP ]]</f>
        <v>1</v>
      </c>
      <c r="BX84" s="346">
        <f>IF(WWWW[[#This Row],['# HH received soaps]]/WWWW[[#This Row],[Total HH]]&gt;1,1,WWWW[[#This Row],['# HH received soaps]]/WWWW[[#This Row],[Total HH]])</f>
        <v>1</v>
      </c>
      <c r="BY84" s="346">
        <f>IF(WWWW[[#This Row],['# HH received Sanitary Pads]]/WWWW[[#This Row],[Total HH]]&gt;1,1,WWWW[[#This Row],['# HH received Sanitary Pads]]/WWWW[[#This Row],[Total HH]])</f>
        <v>1</v>
      </c>
      <c r="BZ84" s="720">
        <f>WWWW[[#This Row],['# HH received soaps]]*5</f>
        <v>55</v>
      </c>
      <c r="CA84" s="720">
        <f>WWWW[[#This Row],['# HH received Sanitary Pads]]*5</f>
        <v>55</v>
      </c>
      <c r="CB84" s="238">
        <f>IF(WWWW[[#This Row],['# People with access to soap]]&gt;WWWW[[#This Row],['# People with access to Sanity Pads]],WWWW[[#This Row],['# People with access to soap]],WWWW[[#This Row],['# People with access to Sanity Pads]])</f>
        <v>55</v>
      </c>
      <c r="CC84" s="236">
        <f>WWWW[[#This Row],[Total HH]]*WWWW[[#This Row],[%HHs with access to functional hand washing stations]]</f>
        <v>11</v>
      </c>
      <c r="CD84" s="240" t="str">
        <f>VLOOKUP(WWWW[[#This Row],[Site Name]],SiteDB6[],8,FALSE)</f>
        <v>Yes</v>
      </c>
      <c r="CE84" s="240" t="str">
        <f>VLOOKUP(WWWW[[#This Row],[Site Name]],SiteDB6[],9,FALSE)</f>
        <v>Shalom</v>
      </c>
      <c r="CF84" s="240" t="str">
        <f>VLOOKUP(WWWW[[#This Row],[Site Name]],SiteDB6[],10,FALSE)</f>
        <v>Camp</v>
      </c>
      <c r="CG84" s="240" t="str">
        <f>VLOOKUP(WWWW[[#This Row],[Site Name]],SiteDB6[],11,FALSE)</f>
        <v>Camp</v>
      </c>
      <c r="CH84" s="240" t="str">
        <f>VLOOKUP(WWWW[[#This Row],[Site Name]],SiteDB6[],12,FALSE)</f>
        <v>Camp</v>
      </c>
      <c r="CI84" s="240" t="str">
        <f>VLOOKUP(WWWW[[#This Row],[Site Name]],SiteDB6[],13,FALSE)</f>
        <v>GCA</v>
      </c>
      <c r="CJ84" s="240">
        <f>VLOOKUP(WWWW[[#This Row],[Site Name]],SiteDB6[],14,FALSE)</f>
        <v>24.253067000000001</v>
      </c>
      <c r="CK84" s="240">
        <f>VLOOKUP(WWWW[[#This Row],[Site Name]],SiteDB6[],15,FALSE)</f>
        <v>97.234200000000001</v>
      </c>
      <c r="CL84" s="240" t="str">
        <f>VLOOKUP(WWWW[[#This Row],[Site Name]],SiteDB6[],4,FALSE)</f>
        <v>MMR001CMP051</v>
      </c>
      <c r="CM84" s="235" t="str">
        <f t="shared" si="1"/>
        <v>Covered</v>
      </c>
      <c r="CN84" s="235"/>
    </row>
    <row r="85" spans="1:92" ht="15.75" customHeight="1" x14ac:dyDescent="0.25">
      <c r="A85" s="532" t="s">
        <v>1409</v>
      </c>
      <c r="B85" s="533" t="s">
        <v>297</v>
      </c>
      <c r="C85" s="533" t="s">
        <v>44</v>
      </c>
      <c r="D85" s="533" t="s">
        <v>304</v>
      </c>
      <c r="E85" s="533" t="s">
        <v>346</v>
      </c>
      <c r="F85" s="233">
        <v>10</v>
      </c>
      <c r="G85" s="414">
        <v>18</v>
      </c>
      <c r="H85" s="233"/>
      <c r="I85" s="233" t="s">
        <v>306</v>
      </c>
      <c r="J85" s="234">
        <v>43131</v>
      </c>
      <c r="K85" s="233">
        <v>30</v>
      </c>
      <c r="L85" s="233" t="s">
        <v>296</v>
      </c>
      <c r="M85" s="235">
        <v>0</v>
      </c>
      <c r="N85" s="235">
        <v>0.5</v>
      </c>
      <c r="O85" s="609">
        <v>0</v>
      </c>
      <c r="P85" s="615">
        <v>0</v>
      </c>
      <c r="Q85" s="615">
        <v>0</v>
      </c>
      <c r="R85" s="604">
        <v>0</v>
      </c>
      <c r="S85" s="604">
        <v>0</v>
      </c>
      <c r="T85" s="604">
        <v>0</v>
      </c>
      <c r="U85" s="604">
        <v>0</v>
      </c>
      <c r="V85" s="604">
        <v>0</v>
      </c>
      <c r="W85" s="604">
        <v>0</v>
      </c>
      <c r="X85" s="604">
        <v>0</v>
      </c>
      <c r="Y85" s="604"/>
      <c r="Z85" s="628">
        <v>0</v>
      </c>
      <c r="AA85" s="628">
        <v>0</v>
      </c>
      <c r="AB85" s="629">
        <v>0</v>
      </c>
      <c r="AC85" s="628">
        <v>0</v>
      </c>
      <c r="AD85" s="628" t="s">
        <v>342</v>
      </c>
      <c r="AE85" s="631" t="s">
        <v>1379</v>
      </c>
      <c r="AF85" s="631"/>
      <c r="AG85" s="628"/>
      <c r="AH85" s="628"/>
      <c r="AI85" s="659">
        <v>0.2</v>
      </c>
      <c r="AJ85" s="644" t="s">
        <v>294</v>
      </c>
      <c r="AK85" s="644">
        <v>0</v>
      </c>
      <c r="AL85" s="645">
        <v>0</v>
      </c>
      <c r="AM85" s="645">
        <v>1</v>
      </c>
      <c r="AN85" s="646">
        <v>0</v>
      </c>
      <c r="AO85" s="647">
        <v>0</v>
      </c>
      <c r="AP85" s="647"/>
      <c r="AQ85" s="658"/>
      <c r="AR85" s="235" t="str">
        <f>IFERROR(WWWW[[#This Row],['# of Water passed at source]]/WWWW[[#This Row],['# of Water tested at source]],"no test")</f>
        <v>no test</v>
      </c>
      <c r="AS85" s="237" t="str">
        <f>IFERROR(WWWW[[#This Row],['# of Water passed at HH]]/WWWW[[#This Row],['# of Water tested at HH]],"no test")</f>
        <v>no test</v>
      </c>
      <c r="AT85" s="237">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U85" s="237">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AV85" s="237">
        <f>IF(WWWW[[#This Row],[Location Type 1]]="Village",WWWW[[#This Row],[Access to safe drinking water for Village]],WWWW[[#This Row],[Access to safe drinking water for Camp]])</f>
        <v>0</v>
      </c>
      <c r="AW85" s="414">
        <f>WWWW[[#This Row],[%Equitable and continuous access to sufficient quantity of safe drinking water]]*WWWW[[#This Row],[Total PoP ]]</f>
        <v>0</v>
      </c>
      <c r="AX85" s="237">
        <f>IF((WWWW[[#This Row],['# Existing protected/fenced ponds ]]*250)/WWWW[[#This Row],[Total PoP ]]&gt;1,1,WWWW[[#This Row],['# Existing protected/fenced ponds ]]*250/WWWW[[#This Row],[Total PoP ]])</f>
        <v>0</v>
      </c>
      <c r="AY85" s="236">
        <f>WWWW[[#This Row],[Access to unimproved water points]]*WWWW[[#This Row],[Total PoP ]]</f>
        <v>0</v>
      </c>
      <c r="AZ85" s="237">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A85" s="414">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B85" s="414">
        <f>WWWW[[#This Row],['#people Equitable and continuous access to sufficient quantity of domestic water borehole n ponds_2]]/500</f>
        <v>0</v>
      </c>
      <c r="BC85" s="235">
        <f>1-WWWW[[#This Row],[%Equitable and continuous access to sufficient quantity of domestic water borehole n ponds]]</f>
        <v>1</v>
      </c>
      <c r="BD85" s="236">
        <f>WWWW[[#This Row],[%equitable and continuous access to sufficient quantity of safe drinking and domestic water''s GAP]]*WWWW[[#This Row],[Total PoP ]]</f>
        <v>18</v>
      </c>
      <c r="BE85" s="238">
        <f>IF(WWWW[[#This Row],[Total required water points]]-WWWW[[#This Row],['#Water points coverage]]&lt;0,0,WWWW[[#This Row],[Total required water points]]-WWWW[[#This Row],['#Water points coverage]])</f>
        <v>1</v>
      </c>
      <c r="BF85" s="238">
        <f>ROUND(IF(WWWW[[#This Row],[Total PoP ]]&lt;500,1,WWWW[[#This Row],[Total PoP ]]/500),0)</f>
        <v>1</v>
      </c>
      <c r="BG85" s="238" t="str">
        <f>IF(AND(WWWW[[#This Row],[%of Water samples which passed at water source]]="no test",WWWW[[#This Row],[%Water samples which passed at HH]]="no test"),"No Test","Tested")</f>
        <v>No Test</v>
      </c>
      <c r="BH85" s="238">
        <f>WWWW[[#This Row],['# Existing functional latrines]]+WWWW[[#This Row],['# Existing latrines dysfunctional]]</f>
        <v>0</v>
      </c>
      <c r="BI85" s="235">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J85" s="675">
        <f>WWWW[[#This Row],[% people access to functioning Latrine]]*WWWW[[#This Row],[Total PoP ]]</f>
        <v>0</v>
      </c>
      <c r="BK85" s="235">
        <f>IF(WWWW[[#This Row],[Location Type 1]]="camp",WWWW[[#This Row],['# potential required new latrines]]/(WWWW[[#This Row],[Total PoP ]]/20),WWWW[[#This Row],['# potential required new latrines]]/(WWWW[[#This Row],[Total PoP ]]/6))</f>
        <v>1.1111111111111112</v>
      </c>
      <c r="BL85" s="236">
        <f>IF(WWWW[[#This Row],[Total required Latrines]]-WWWW[[#This Row],[Total '# of latrine]]&lt;0,0,WWWW[[#This Row],[Total required Latrines]]-WWWW[[#This Row],[Total '# of latrine]])</f>
        <v>1</v>
      </c>
      <c r="BM85" s="238">
        <f>ROUND(IF(WWWW[[#This Row],[Location Type 1]]="camp",WWWW[[#This Row],[Total PoP ]]/20,WWWW[[#This Row],[Total PoP ]]/6),0)</f>
        <v>1</v>
      </c>
      <c r="BN85" s="239">
        <f>IF(OR(WWWW[[#This Row],['# Existing latrines dysfunctional]]="",WWWW[[#This Row],['# Existing latrines dysfunctional]]=0),0,WWWW[[#This Row],['# Existing latrines dysfunctional]]/WWWW[[#This Row],[Total '# of latrine]])</f>
        <v>0</v>
      </c>
      <c r="BO85" s="675">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P85" s="235">
        <f>WWWW[[#This Row],[People adopt basic personal and community hygiene practices]]/WWWW[[#This Row],[Total PoP ]]</f>
        <v>0</v>
      </c>
      <c r="BQ85" s="239">
        <f>1-WWWW[[#This Row],[Hygiene Coverage%]]</f>
        <v>1</v>
      </c>
      <c r="BR85" s="414">
        <f>IF(500*WWWW[[#This Row],['# Hygiene Promoters ]]&gt;WWWW[[#This Row],[Total PoP ]],WWWW[[#This Row],[Total PoP ]],500*WWWW[[#This Row],['# Hygiene Promoters ]])</f>
        <v>18</v>
      </c>
      <c r="BS85" s="414">
        <f>IF(WWWW[[#This Row],[% of HH with access to Sanitary Pad]]&gt;=100%,1,0)</f>
        <v>0</v>
      </c>
      <c r="BT85" s="414">
        <f>IF(WWWW[[#This Row],[Total PoP ]]=0,0,IF(WWWW[[#This Row],['# Hygiene Promoters ]]=0,0,IF(WWWW[[#This Row],[Location Type 1]]="Village",IF(WWWW[[#This Row],[Total PoP ]]/WWWW[[#This Row],['# Hygiene Promoters ]]&lt;1000,1,0),IF(WWWW[[#This Row],[Total PoP ]]/WWWW[[#This Row],['# Hygiene Promoters ]]&lt;600,1,0))))</f>
        <v>1</v>
      </c>
      <c r="BU85" s="414">
        <f>IF(WWWW[[#This Row],[%HH with access to soap]]&gt;=100%,1,0)</f>
        <v>0</v>
      </c>
      <c r="BV85" s="414">
        <f>IF(WWWW[[#This Row],[% of HHs with access to Sanitary pad more than '#%]]+WWWW[[#This Row],[Ratio of Hyiene promoters to people less than '#]]+WWWW[[#This Row],[% of HHs with access to soap more than '#%]]&gt;=2,WWWW[[#This Row],[Total PoP ]],0)</f>
        <v>0</v>
      </c>
      <c r="BW85" s="346">
        <f>WWWW[[#This Row],['# people reached by regular dedicated hygiene promotion_5]]/WWWW[[#This Row],[Total PoP ]]</f>
        <v>1</v>
      </c>
      <c r="BX85" s="346">
        <f>IF(WWWW[[#This Row],['# HH received soaps]]/WWWW[[#This Row],[Total HH]]&gt;1,1,WWWW[[#This Row],['# HH received soaps]]/WWWW[[#This Row],[Total HH]])</f>
        <v>0</v>
      </c>
      <c r="BY85" s="346">
        <f>IF(WWWW[[#This Row],['# HH received Sanitary Pads]]/WWWW[[#This Row],[Total HH]]&gt;1,1,WWWW[[#This Row],['# HH received Sanitary Pads]]/WWWW[[#This Row],[Total HH]])</f>
        <v>0</v>
      </c>
      <c r="BZ85" s="720">
        <f>WWWW[[#This Row],['# HH received soaps]]*5</f>
        <v>0</v>
      </c>
      <c r="CA85" s="720">
        <f>WWWW[[#This Row],['# HH received Sanitary Pads]]*5</f>
        <v>0</v>
      </c>
      <c r="CB85" s="238">
        <f>IF(WWWW[[#This Row],['# People with access to soap]]&gt;WWWW[[#This Row],['# People with access to Sanity Pads]],WWWW[[#This Row],['# People with access to soap]],WWWW[[#This Row],['# People with access to Sanity Pads]])</f>
        <v>0</v>
      </c>
      <c r="CC85" s="236">
        <f>WWWW[[#This Row],[Total HH]]*WWWW[[#This Row],[%HHs with access to functional hand washing stations]]</f>
        <v>2</v>
      </c>
      <c r="CD85" s="240" t="str">
        <f>VLOOKUP(WWWW[[#This Row],[Site Name]],SiteDB6[],8,FALSE)</f>
        <v>Yes</v>
      </c>
      <c r="CE85" s="240" t="str">
        <f>VLOOKUP(WWWW[[#This Row],[Site Name]],SiteDB6[],9,FALSE)</f>
        <v>KMSS-MYT</v>
      </c>
      <c r="CF85" s="240" t="str">
        <f>VLOOKUP(WWWW[[#This Row],[Site Name]],SiteDB6[],10,FALSE)</f>
        <v>Camp</v>
      </c>
      <c r="CG85" s="240" t="str">
        <f>VLOOKUP(WWWW[[#This Row],[Site Name]],SiteDB6[],11,FALSE)</f>
        <v>Camp</v>
      </c>
      <c r="CH85" s="240" t="str">
        <f>VLOOKUP(WWWW[[#This Row],[Site Name]],SiteDB6[],12,FALSE)</f>
        <v>Camp</v>
      </c>
      <c r="CI85" s="240" t="str">
        <f>VLOOKUP(WWWW[[#This Row],[Site Name]],SiteDB6[],13,FALSE)</f>
        <v>GCA</v>
      </c>
      <c r="CJ85" s="240">
        <f>VLOOKUP(WWWW[[#This Row],[Site Name]],SiteDB6[],14,FALSE)</f>
        <v>25.920006000000001</v>
      </c>
      <c r="CK85" s="240">
        <f>VLOOKUP(WWWW[[#This Row],[Site Name]],SiteDB6[],15,FALSE)</f>
        <v>96.662092000000001</v>
      </c>
      <c r="CL85" s="240" t="str">
        <f>VLOOKUP(WWWW[[#This Row],[Site Name]],SiteDB6[],4,FALSE)</f>
        <v>MMR001CMP247</v>
      </c>
      <c r="CM85" s="235" t="str">
        <f t="shared" si="1"/>
        <v>Covered</v>
      </c>
      <c r="CN85" s="235"/>
    </row>
    <row r="86" spans="1:92" ht="15.75" customHeight="1" x14ac:dyDescent="0.25">
      <c r="A86" s="532" t="s">
        <v>1409</v>
      </c>
      <c r="B86" s="533" t="s">
        <v>399</v>
      </c>
      <c r="C86" s="533" t="s">
        <v>44</v>
      </c>
      <c r="D86" s="533" t="s">
        <v>304</v>
      </c>
      <c r="E86" s="533" t="s">
        <v>418</v>
      </c>
      <c r="F86" s="233">
        <v>11</v>
      </c>
      <c r="G86" s="414">
        <v>45</v>
      </c>
      <c r="H86" s="233"/>
      <c r="I86" s="233" t="s">
        <v>401</v>
      </c>
      <c r="J86" s="234">
        <v>42947</v>
      </c>
      <c r="K86" s="233">
        <v>0</v>
      </c>
      <c r="L86" s="233" t="s">
        <v>48</v>
      </c>
      <c r="M86" s="235">
        <v>0.6</v>
      </c>
      <c r="N86" s="235">
        <v>0</v>
      </c>
      <c r="O86" s="609">
        <v>0</v>
      </c>
      <c r="P86" s="615">
        <v>1</v>
      </c>
      <c r="Q86" s="615">
        <v>1000</v>
      </c>
      <c r="R86" s="604">
        <v>0</v>
      </c>
      <c r="S86" s="604">
        <v>1</v>
      </c>
      <c r="T86" s="604">
        <v>0</v>
      </c>
      <c r="U86" s="604">
        <v>0</v>
      </c>
      <c r="V86" s="604">
        <v>0</v>
      </c>
      <c r="W86" s="604">
        <v>0</v>
      </c>
      <c r="X86" s="604">
        <v>0</v>
      </c>
      <c r="Y86" s="604"/>
      <c r="Z86" s="628">
        <v>5</v>
      </c>
      <c r="AA86" s="628">
        <v>0</v>
      </c>
      <c r="AB86" s="629">
        <v>0</v>
      </c>
      <c r="AC86" s="628">
        <v>5</v>
      </c>
      <c r="AD86" s="628" t="s">
        <v>293</v>
      </c>
      <c r="AE86" s="631" t="s">
        <v>1379</v>
      </c>
      <c r="AF86" s="631">
        <v>0</v>
      </c>
      <c r="AG86" s="628">
        <v>0</v>
      </c>
      <c r="AH86" s="628"/>
      <c r="AI86" s="659">
        <v>0.6</v>
      </c>
      <c r="AJ86" s="650" t="s">
        <v>386</v>
      </c>
      <c r="AK86" s="644">
        <v>0</v>
      </c>
      <c r="AL86" s="645">
        <v>2</v>
      </c>
      <c r="AM86" s="645">
        <v>0</v>
      </c>
      <c r="AN86" s="646">
        <v>0</v>
      </c>
      <c r="AO86" s="647">
        <v>0</v>
      </c>
      <c r="AP86" s="647"/>
      <c r="AQ86" s="658"/>
      <c r="AR86" s="235" t="str">
        <f>IFERROR(WWWW[[#This Row],['# of Water passed at source]]/WWWW[[#This Row],['# of Water tested at source]],"no test")</f>
        <v>no test</v>
      </c>
      <c r="AS86" s="237" t="str">
        <f>IFERROR(WWWW[[#This Row],['# of Water passed at HH]]/WWWW[[#This Row],['# of Water tested at HH]],"no test")</f>
        <v>no test</v>
      </c>
      <c r="AT86" s="237">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U86" s="237">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AV86" s="237">
        <f>IF(WWWW[[#This Row],[Location Type 1]]="Village",WWWW[[#This Row],[Access to safe drinking water for Village]],WWWW[[#This Row],[Access to safe drinking water for Camp]])</f>
        <v>1</v>
      </c>
      <c r="AW86" s="414">
        <f>WWWW[[#This Row],[%Equitable and continuous access to sufficient quantity of safe drinking water]]*WWWW[[#This Row],[Total PoP ]]</f>
        <v>45</v>
      </c>
      <c r="AX86" s="237">
        <f>IF((WWWW[[#This Row],['# Existing protected/fenced ponds ]]*250)/WWWW[[#This Row],[Total PoP ]]&gt;1,1,WWWW[[#This Row],['# Existing protected/fenced ponds ]]*250/WWWW[[#This Row],[Total PoP ]])</f>
        <v>0</v>
      </c>
      <c r="AY86" s="236">
        <f>WWWW[[#This Row],[Access to unimproved water points]]*WWWW[[#This Row],[Total PoP ]]</f>
        <v>0</v>
      </c>
      <c r="AZ86" s="237">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A86" s="414">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45</v>
      </c>
      <c r="BB86" s="414">
        <f>WWWW[[#This Row],['#people Equitable and continuous access to sufficient quantity of domestic water borehole n ponds_2]]/500</f>
        <v>0.09</v>
      </c>
      <c r="BC86" s="235">
        <f>1-WWWW[[#This Row],[%Equitable and continuous access to sufficient quantity of domestic water borehole n ponds]]</f>
        <v>0</v>
      </c>
      <c r="BD86" s="236">
        <f>WWWW[[#This Row],[%equitable and continuous access to sufficient quantity of safe drinking and domestic water''s GAP]]*WWWW[[#This Row],[Total PoP ]]</f>
        <v>0</v>
      </c>
      <c r="BE86" s="238">
        <f>IF(WWWW[[#This Row],[Total required water points]]-WWWW[[#This Row],['#Water points coverage]]&lt;0,0,WWWW[[#This Row],[Total required water points]]-WWWW[[#This Row],['#Water points coverage]])</f>
        <v>0.91</v>
      </c>
      <c r="BF86" s="238">
        <f>ROUND(IF(WWWW[[#This Row],[Total PoP ]]&lt;500,1,WWWW[[#This Row],[Total PoP ]]/500),0)</f>
        <v>1</v>
      </c>
      <c r="BG86" s="238" t="str">
        <f>IF(AND(WWWW[[#This Row],[%of Water samples which passed at water source]]="no test",WWWW[[#This Row],[%Water samples which passed at HH]]="no test"),"No Test","Tested")</f>
        <v>No Test</v>
      </c>
      <c r="BH86" s="238">
        <f>WWWW[[#This Row],['# Existing functional latrines]]+WWWW[[#This Row],['# Existing latrines dysfunctional]]</f>
        <v>5</v>
      </c>
      <c r="BI86" s="235">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1</v>
      </c>
      <c r="BJ86" s="675">
        <f>WWWW[[#This Row],[% people access to functioning Latrine]]*WWWW[[#This Row],[Total PoP ]]</f>
        <v>45</v>
      </c>
      <c r="BK86" s="235">
        <f>IF(WWWW[[#This Row],[Location Type 1]]="camp",WWWW[[#This Row],['# potential required new latrines]]/(WWWW[[#This Row],[Total PoP ]]/20),WWWW[[#This Row],['# potential required new latrines]]/(WWWW[[#This Row],[Total PoP ]]/6))</f>
        <v>0</v>
      </c>
      <c r="BL86" s="236">
        <f>IF(WWWW[[#This Row],[Total required Latrines]]-WWWW[[#This Row],[Total '# of latrine]]&lt;0,0,WWWW[[#This Row],[Total required Latrines]]-WWWW[[#This Row],[Total '# of latrine]])</f>
        <v>0</v>
      </c>
      <c r="BM86" s="238">
        <f>ROUND(IF(WWWW[[#This Row],[Location Type 1]]="camp",WWWW[[#This Row],[Total PoP ]]/20,WWWW[[#This Row],[Total PoP ]]/6),0)</f>
        <v>2</v>
      </c>
      <c r="BN86" s="239">
        <f>IF(OR(WWWW[[#This Row],['# Existing latrines dysfunctional]]="",WWWW[[#This Row],['# Existing latrines dysfunctional]]=0),0,WWWW[[#This Row],['# Existing latrines dysfunctional]]/WWWW[[#This Row],[Total '# of latrine]])</f>
        <v>0</v>
      </c>
      <c r="BO86" s="675">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P86" s="235">
        <f>WWWW[[#This Row],[People adopt basic personal and community hygiene practices]]/WWWW[[#This Row],[Total PoP ]]</f>
        <v>0</v>
      </c>
      <c r="BQ86" s="239">
        <f>1-WWWW[[#This Row],[Hygiene Coverage%]]</f>
        <v>1</v>
      </c>
      <c r="BR86" s="414">
        <f>IF(500*WWWW[[#This Row],['# Hygiene Promoters ]]&gt;WWWW[[#This Row],[Total PoP ]],WWWW[[#This Row],[Total PoP ]],500*WWWW[[#This Row],['# Hygiene Promoters ]])</f>
        <v>0</v>
      </c>
      <c r="BS86" s="414">
        <f>IF(WWWW[[#This Row],[% of HH with access to Sanitary Pad]]&gt;=100%,1,0)</f>
        <v>0</v>
      </c>
      <c r="BT86" s="414">
        <f>IF(WWWW[[#This Row],[Total PoP ]]=0,0,IF(WWWW[[#This Row],['# Hygiene Promoters ]]=0,0,IF(WWWW[[#This Row],[Location Type 1]]="Village",IF(WWWW[[#This Row],[Total PoP ]]/WWWW[[#This Row],['# Hygiene Promoters ]]&lt;1000,1,0),IF(WWWW[[#This Row],[Total PoP ]]/WWWW[[#This Row],['# Hygiene Promoters ]]&lt;600,1,0))))</f>
        <v>0</v>
      </c>
      <c r="BU86" s="414">
        <f>IF(WWWW[[#This Row],[%HH with access to soap]]&gt;=100%,1,0)</f>
        <v>0</v>
      </c>
      <c r="BV86" s="414">
        <f>IF(WWWW[[#This Row],[% of HHs with access to Sanitary pad more than '#%]]+WWWW[[#This Row],[Ratio of Hyiene promoters to people less than '#]]+WWWW[[#This Row],[% of HHs with access to soap more than '#%]]&gt;=2,WWWW[[#This Row],[Total PoP ]],0)</f>
        <v>0</v>
      </c>
      <c r="BW86" s="346">
        <f>WWWW[[#This Row],['# people reached by regular dedicated hygiene promotion_5]]/WWWW[[#This Row],[Total PoP ]]</f>
        <v>0</v>
      </c>
      <c r="BX86" s="346">
        <f>IF(WWWW[[#This Row],['# HH received soaps]]/WWWW[[#This Row],[Total HH]]&gt;1,1,WWWW[[#This Row],['# HH received soaps]]/WWWW[[#This Row],[Total HH]])</f>
        <v>0</v>
      </c>
      <c r="BY86" s="346">
        <f>IF(WWWW[[#This Row],['# HH received Sanitary Pads]]/WWWW[[#This Row],[Total HH]]&gt;1,1,WWWW[[#This Row],['# HH received Sanitary Pads]]/WWWW[[#This Row],[Total HH]])</f>
        <v>0</v>
      </c>
      <c r="BZ86" s="720">
        <f>WWWW[[#This Row],['# HH received soaps]]*5</f>
        <v>0</v>
      </c>
      <c r="CA86" s="720">
        <f>WWWW[[#This Row],['# HH received Sanitary Pads]]*5</f>
        <v>0</v>
      </c>
      <c r="CB86" s="238">
        <f>IF(WWWW[[#This Row],['# People with access to soap]]&gt;WWWW[[#This Row],['# People with access to Sanity Pads]],WWWW[[#This Row],['# People with access to soap]],WWWW[[#This Row],['# People with access to Sanity Pads]])</f>
        <v>0</v>
      </c>
      <c r="CC86" s="236">
        <f>WWWW[[#This Row],[Total HH]]*WWWW[[#This Row],[%HHs with access to functional hand washing stations]]</f>
        <v>6.6</v>
      </c>
      <c r="CD86" s="240" t="str">
        <f>VLOOKUP(WWWW[[#This Row],[Site Name]],SiteDB6[],8,FALSE)</f>
        <v>Yes</v>
      </c>
      <c r="CE86" s="240" t="str">
        <f>VLOOKUP(WWWW[[#This Row],[Site Name]],SiteDB6[],9,FALSE)</f>
        <v>Shalom</v>
      </c>
      <c r="CF86" s="240" t="str">
        <f>VLOOKUP(WWWW[[#This Row],[Site Name]],SiteDB6[],10,FALSE)</f>
        <v>Camp</v>
      </c>
      <c r="CG86" s="240" t="str">
        <f>VLOOKUP(WWWW[[#This Row],[Site Name]],SiteDB6[],11,FALSE)</f>
        <v>Camp</v>
      </c>
      <c r="CH86" s="240" t="str">
        <f>VLOOKUP(WWWW[[#This Row],[Site Name]],SiteDB6[],12,FALSE)</f>
        <v>Camp</v>
      </c>
      <c r="CI86" s="240" t="str">
        <f>VLOOKUP(WWWW[[#This Row],[Site Name]],SiteDB6[],13,FALSE)</f>
        <v>GCA</v>
      </c>
      <c r="CJ86" s="240">
        <f>VLOOKUP(WWWW[[#This Row],[Site Name]],SiteDB6[],14,FALSE)</f>
        <v>25.617998</v>
      </c>
      <c r="CK86" s="240">
        <f>VLOOKUP(WWWW[[#This Row],[Site Name]],SiteDB6[],15,FALSE)</f>
        <v>96.339590000000001</v>
      </c>
      <c r="CL86" s="240" t="str">
        <f>VLOOKUP(WWWW[[#This Row],[Site Name]],SiteDB6[],4,FALSE)</f>
        <v>MMR001CMP192</v>
      </c>
      <c r="CM86" s="235" t="str">
        <f t="shared" si="1"/>
        <v>Covered</v>
      </c>
      <c r="CN86" s="235"/>
    </row>
    <row r="87" spans="1:92" ht="15.75" customHeight="1" x14ac:dyDescent="0.25">
      <c r="A87" s="532" t="s">
        <v>1409</v>
      </c>
      <c r="B87" s="533" t="s">
        <v>43</v>
      </c>
      <c r="C87" s="533" t="s">
        <v>44</v>
      </c>
      <c r="D87" s="533" t="s">
        <v>315</v>
      </c>
      <c r="E87" s="533" t="s">
        <v>391</v>
      </c>
      <c r="F87" s="233">
        <v>63</v>
      </c>
      <c r="G87" s="414">
        <v>311</v>
      </c>
      <c r="H87" s="233"/>
      <c r="I87" s="233" t="s">
        <v>382</v>
      </c>
      <c r="J87" s="234">
        <v>43465</v>
      </c>
      <c r="K87" s="233">
        <v>0</v>
      </c>
      <c r="L87" s="233" t="s">
        <v>2578</v>
      </c>
      <c r="M87" s="235">
        <v>0.5</v>
      </c>
      <c r="N87" s="235">
        <v>0.2</v>
      </c>
      <c r="O87" s="609">
        <v>0</v>
      </c>
      <c r="P87" s="615">
        <v>0</v>
      </c>
      <c r="Q87" s="615">
        <v>5000</v>
      </c>
      <c r="R87" s="604">
        <v>0</v>
      </c>
      <c r="S87" s="604">
        <v>4</v>
      </c>
      <c r="T87" s="604">
        <v>4</v>
      </c>
      <c r="U87" s="604">
        <v>2</v>
      </c>
      <c r="V87" s="604">
        <v>11</v>
      </c>
      <c r="W87" s="604">
        <v>1</v>
      </c>
      <c r="X87" s="604">
        <v>0</v>
      </c>
      <c r="Y87" s="604"/>
      <c r="Z87" s="628">
        <v>20</v>
      </c>
      <c r="AA87" s="628">
        <v>0</v>
      </c>
      <c r="AB87" s="629">
        <v>0</v>
      </c>
      <c r="AC87" s="628">
        <v>13</v>
      </c>
      <c r="AD87" s="628" t="s">
        <v>293</v>
      </c>
      <c r="AE87" s="631" t="s">
        <v>293</v>
      </c>
      <c r="AF87" s="631">
        <v>0</v>
      </c>
      <c r="AG87" s="628">
        <v>0</v>
      </c>
      <c r="AH87" s="628"/>
      <c r="AI87" s="659">
        <v>0</v>
      </c>
      <c r="AJ87" s="650" t="s">
        <v>386</v>
      </c>
      <c r="AK87" s="644">
        <v>0</v>
      </c>
      <c r="AL87" s="645">
        <v>3</v>
      </c>
      <c r="AM87" s="645">
        <v>2</v>
      </c>
      <c r="AN87" s="646">
        <v>0</v>
      </c>
      <c r="AO87" s="647">
        <v>0</v>
      </c>
      <c r="AP87" s="647" t="s">
        <v>292</v>
      </c>
      <c r="AQ87" s="658"/>
      <c r="AR87" s="235">
        <f>IFERROR(WWWW[[#This Row],['# of Water passed at source]]/WWWW[[#This Row],['# of Water tested at source]],"no test")</f>
        <v>0.5</v>
      </c>
      <c r="AS87" s="237">
        <f>IFERROR(WWWW[[#This Row],['# of Water passed at HH]]/WWWW[[#This Row],['# of Water tested at HH]],"no test")</f>
        <v>9.0909090909090912E-2</v>
      </c>
      <c r="AT87" s="237">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U87" s="237">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AV87" s="237">
        <f>IF(WWWW[[#This Row],[Location Type 1]]="Village",WWWW[[#This Row],[Access to safe drinking water for Village]],WWWW[[#This Row],[Access to safe drinking water for Camp]])</f>
        <v>1</v>
      </c>
      <c r="AW87" s="414">
        <f>WWWW[[#This Row],[%Equitable and continuous access to sufficient quantity of safe drinking water]]*WWWW[[#This Row],[Total PoP ]]</f>
        <v>311</v>
      </c>
      <c r="AX87" s="237">
        <f>IF((WWWW[[#This Row],['# Existing protected/fenced ponds ]]*250)/WWWW[[#This Row],[Total PoP ]]&gt;1,1,WWWW[[#This Row],['# Existing protected/fenced ponds ]]*250/WWWW[[#This Row],[Total PoP ]])</f>
        <v>0</v>
      </c>
      <c r="AY87" s="236">
        <f>WWWW[[#This Row],[Access to unimproved water points]]*WWWW[[#This Row],[Total PoP ]]</f>
        <v>0</v>
      </c>
      <c r="AZ87" s="237">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A87" s="414">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311</v>
      </c>
      <c r="BB87" s="414">
        <f>WWWW[[#This Row],['#people Equitable and continuous access to sufficient quantity of domestic water borehole n ponds_2]]/500</f>
        <v>0.622</v>
      </c>
      <c r="BC87" s="235">
        <f>1-WWWW[[#This Row],[%Equitable and continuous access to sufficient quantity of domestic water borehole n ponds]]</f>
        <v>0</v>
      </c>
      <c r="BD87" s="236">
        <f>WWWW[[#This Row],[%equitable and continuous access to sufficient quantity of safe drinking and domestic water''s GAP]]*WWWW[[#This Row],[Total PoP ]]</f>
        <v>0</v>
      </c>
      <c r="BE87" s="238">
        <f>IF(WWWW[[#This Row],[Total required water points]]-WWWW[[#This Row],['#Water points coverage]]&lt;0,0,WWWW[[#This Row],[Total required water points]]-WWWW[[#This Row],['#Water points coverage]])</f>
        <v>0.378</v>
      </c>
      <c r="BF87" s="238">
        <f>ROUND(IF(WWWW[[#This Row],[Total PoP ]]&lt;500,1,WWWW[[#This Row],[Total PoP ]]/500),0)</f>
        <v>1</v>
      </c>
      <c r="BG87" s="238" t="str">
        <f>IF(AND(WWWW[[#This Row],[%of Water samples which passed at water source]]="no test",WWWW[[#This Row],[%Water samples which passed at HH]]="no test"),"No Test","Tested")</f>
        <v>Tested</v>
      </c>
      <c r="BH87" s="238">
        <f>WWWW[[#This Row],['# Existing functional latrines]]+WWWW[[#This Row],['# Existing latrines dysfunctional]]</f>
        <v>20</v>
      </c>
      <c r="BI87" s="235">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1</v>
      </c>
      <c r="BJ87" s="675">
        <f>WWWW[[#This Row],[% people access to functioning Latrine]]*WWWW[[#This Row],[Total PoP ]]</f>
        <v>311</v>
      </c>
      <c r="BK87" s="235">
        <f>IF(WWWW[[#This Row],[Location Type 1]]="camp",WWWW[[#This Row],['# potential required new latrines]]/(WWWW[[#This Row],[Total PoP ]]/20),WWWW[[#This Row],['# potential required new latrines]]/(WWWW[[#This Row],[Total PoP ]]/6))</f>
        <v>0</v>
      </c>
      <c r="BL87" s="236">
        <f>IF(WWWW[[#This Row],[Total required Latrines]]-WWWW[[#This Row],[Total '# of latrine]]&lt;0,0,WWWW[[#This Row],[Total required Latrines]]-WWWW[[#This Row],[Total '# of latrine]])</f>
        <v>0</v>
      </c>
      <c r="BM87" s="238">
        <f>ROUND(IF(WWWW[[#This Row],[Location Type 1]]="camp",WWWW[[#This Row],[Total PoP ]]/20,WWWW[[#This Row],[Total PoP ]]/6),0)</f>
        <v>16</v>
      </c>
      <c r="BN87" s="239">
        <f>IF(OR(WWWW[[#This Row],['# Existing latrines dysfunctional]]="",WWWW[[#This Row],['# Existing latrines dysfunctional]]=0),0,WWWW[[#This Row],['# Existing latrines dysfunctional]]/WWWW[[#This Row],[Total '# of latrine]])</f>
        <v>0</v>
      </c>
      <c r="BO87" s="675">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P87" s="235">
        <f>WWWW[[#This Row],[People adopt basic personal and community hygiene practices]]/WWWW[[#This Row],[Total PoP ]]</f>
        <v>0</v>
      </c>
      <c r="BQ87" s="239">
        <f>1-WWWW[[#This Row],[Hygiene Coverage%]]</f>
        <v>1</v>
      </c>
      <c r="BR87" s="414">
        <f>IF(500*WWWW[[#This Row],['# Hygiene Promoters ]]&gt;WWWW[[#This Row],[Total PoP ]],WWWW[[#This Row],[Total PoP ]],500*WWWW[[#This Row],['# Hygiene Promoters ]])</f>
        <v>311</v>
      </c>
      <c r="BS87" s="414">
        <f>IF(WWWW[[#This Row],[% of HH with access to Sanitary Pad]]&gt;=100%,1,0)</f>
        <v>0</v>
      </c>
      <c r="BT87" s="414">
        <f>IF(WWWW[[#This Row],[Total PoP ]]=0,0,IF(WWWW[[#This Row],['# Hygiene Promoters ]]=0,0,IF(WWWW[[#This Row],[Location Type 1]]="Village",IF(WWWW[[#This Row],[Total PoP ]]/WWWW[[#This Row],['# Hygiene Promoters ]]&lt;1000,1,0),IF(WWWW[[#This Row],[Total PoP ]]/WWWW[[#This Row],['# Hygiene Promoters ]]&lt;600,1,0))))</f>
        <v>1</v>
      </c>
      <c r="BU87" s="414">
        <f>IF(WWWW[[#This Row],[%HH with access to soap]]&gt;=100%,1,0)</f>
        <v>0</v>
      </c>
      <c r="BV87" s="414">
        <f>IF(WWWW[[#This Row],[% of HHs with access to Sanitary pad more than '#%]]+WWWW[[#This Row],[Ratio of Hyiene promoters to people less than '#]]+WWWW[[#This Row],[% of HHs with access to soap more than '#%]]&gt;=2,WWWW[[#This Row],[Total PoP ]],0)</f>
        <v>0</v>
      </c>
      <c r="BW87" s="346">
        <f>WWWW[[#This Row],['# people reached by regular dedicated hygiene promotion_5]]/WWWW[[#This Row],[Total PoP ]]</f>
        <v>1</v>
      </c>
      <c r="BX87" s="346">
        <f>IF(WWWW[[#This Row],['# HH received soaps]]/WWWW[[#This Row],[Total HH]]&gt;1,1,WWWW[[#This Row],['# HH received soaps]]/WWWW[[#This Row],[Total HH]])</f>
        <v>0</v>
      </c>
      <c r="BY87" s="346">
        <f>IF(WWWW[[#This Row],['# HH received Sanitary Pads]]/WWWW[[#This Row],[Total HH]]&gt;1,1,WWWW[[#This Row],['# HH received Sanitary Pads]]/WWWW[[#This Row],[Total HH]])</f>
        <v>0</v>
      </c>
      <c r="BZ87" s="720">
        <f>WWWW[[#This Row],['# HH received soaps]]*5</f>
        <v>0</v>
      </c>
      <c r="CA87" s="720">
        <f>WWWW[[#This Row],['# HH received Sanitary Pads]]*5</f>
        <v>0</v>
      </c>
      <c r="CB87" s="238">
        <f>IF(WWWW[[#This Row],['# People with access to soap]]&gt;WWWW[[#This Row],['# People with access to Sanity Pads]],WWWW[[#This Row],['# People with access to soap]],WWWW[[#This Row],['# People with access to Sanity Pads]])</f>
        <v>0</v>
      </c>
      <c r="CC87" s="236">
        <f>WWWW[[#This Row],[Total HH]]*WWWW[[#This Row],[%HHs with access to functional hand washing stations]]</f>
        <v>0</v>
      </c>
      <c r="CD87" s="240" t="str">
        <f>VLOOKUP(WWWW[[#This Row],[Site Name]],SiteDB6[],8,FALSE)</f>
        <v>Yes</v>
      </c>
      <c r="CE87" s="240" t="str">
        <f>VLOOKUP(WWWW[[#This Row],[Site Name]],SiteDB6[],9,FALSE)</f>
        <v>KMSS-MYT</v>
      </c>
      <c r="CF87" s="240" t="str">
        <f>VLOOKUP(WWWW[[#This Row],[Site Name]],SiteDB6[],10,FALSE)</f>
        <v>Camp</v>
      </c>
      <c r="CG87" s="240" t="str">
        <f>VLOOKUP(WWWW[[#This Row],[Site Name]],SiteDB6[],11,FALSE)</f>
        <v>Camp</v>
      </c>
      <c r="CH87" s="240" t="str">
        <f>VLOOKUP(WWWW[[#This Row],[Site Name]],SiteDB6[],12,FALSE)</f>
        <v>Camp</v>
      </c>
      <c r="CI87" s="240" t="str">
        <f>VLOOKUP(WWWW[[#This Row],[Site Name]],SiteDB6[],13,FALSE)</f>
        <v>GCA</v>
      </c>
      <c r="CJ87" s="240">
        <f>VLOOKUP(WWWW[[#This Row],[Site Name]],SiteDB6[],14,FALSE)</f>
        <v>25.410569299999999</v>
      </c>
      <c r="CK87" s="240">
        <f>VLOOKUP(WWWW[[#This Row],[Site Name]],SiteDB6[],15,FALSE)</f>
        <v>97.359320179999997</v>
      </c>
      <c r="CL87" s="240" t="str">
        <f>VLOOKUP(WWWW[[#This Row],[Site Name]],SiteDB6[],4,FALSE)</f>
        <v>MMR001CMP024</v>
      </c>
      <c r="CM87" s="235" t="str">
        <f t="shared" si="1"/>
        <v>Covered</v>
      </c>
      <c r="CN87" s="235"/>
    </row>
    <row r="88" spans="1:92" ht="15.75" customHeight="1" x14ac:dyDescent="0.25">
      <c r="A88" s="532" t="s">
        <v>1409</v>
      </c>
      <c r="B88" s="533" t="s">
        <v>348</v>
      </c>
      <c r="C88" s="533" t="s">
        <v>44</v>
      </c>
      <c r="D88" s="533" t="s">
        <v>351</v>
      </c>
      <c r="E88" s="533" t="s">
        <v>359</v>
      </c>
      <c r="F88" s="233">
        <v>21</v>
      </c>
      <c r="G88" s="414">
        <v>111</v>
      </c>
      <c r="H88" s="233"/>
      <c r="I88" s="233" t="s">
        <v>2601</v>
      </c>
      <c r="J88" s="234">
        <v>43344</v>
      </c>
      <c r="K88" s="233">
        <v>0</v>
      </c>
      <c r="L88" s="233" t="s">
        <v>48</v>
      </c>
      <c r="M88" s="235">
        <v>0.9</v>
      </c>
      <c r="N88" s="235">
        <v>0.9</v>
      </c>
      <c r="O88" s="609">
        <v>0</v>
      </c>
      <c r="P88" s="615">
        <v>0</v>
      </c>
      <c r="Q88" s="615">
        <v>0</v>
      </c>
      <c r="R88" s="604">
        <v>0</v>
      </c>
      <c r="S88" s="604">
        <v>0</v>
      </c>
      <c r="T88" s="604"/>
      <c r="U88" s="604"/>
      <c r="V88" s="604"/>
      <c r="W88" s="604"/>
      <c r="X88" s="604"/>
      <c r="Y88" s="604"/>
      <c r="Z88" s="628">
        <v>4</v>
      </c>
      <c r="AA88" s="628">
        <v>0</v>
      </c>
      <c r="AB88" s="629">
        <v>2</v>
      </c>
      <c r="AC88" s="628">
        <v>0</v>
      </c>
      <c r="AD88" s="628" t="s">
        <v>293</v>
      </c>
      <c r="AE88" s="631" t="s">
        <v>293</v>
      </c>
      <c r="AF88" s="631"/>
      <c r="AG88" s="628"/>
      <c r="AH88" s="628"/>
      <c r="AI88" s="659">
        <v>1</v>
      </c>
      <c r="AJ88" s="644" t="s">
        <v>301</v>
      </c>
      <c r="AK88" s="644">
        <v>0</v>
      </c>
      <c r="AL88" s="645">
        <v>2</v>
      </c>
      <c r="AM88" s="645">
        <v>2</v>
      </c>
      <c r="AN88" s="646">
        <v>21</v>
      </c>
      <c r="AO88" s="647">
        <v>21</v>
      </c>
      <c r="AP88" s="647"/>
      <c r="AQ88" s="658"/>
      <c r="AR88" s="235" t="str">
        <f>IFERROR(WWWW[[#This Row],['# of Water passed at source]]/WWWW[[#This Row],['# of Water tested at source]],"no test")</f>
        <v>no test</v>
      </c>
      <c r="AS88" s="237" t="str">
        <f>IFERROR(WWWW[[#This Row],['# of Water passed at HH]]/WWWW[[#This Row],['# of Water tested at HH]],"no test")</f>
        <v>no test</v>
      </c>
      <c r="AT88" s="237">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U88" s="237">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AV88" s="237">
        <f>IF(WWWW[[#This Row],[Location Type 1]]="Village",WWWW[[#This Row],[Access to safe drinking water for Village]],WWWW[[#This Row],[Access to safe drinking water for Camp]])</f>
        <v>0</v>
      </c>
      <c r="AW88" s="414">
        <f>WWWW[[#This Row],[%Equitable and continuous access to sufficient quantity of safe drinking water]]*WWWW[[#This Row],[Total PoP ]]</f>
        <v>0</v>
      </c>
      <c r="AX88" s="237">
        <f>IF((WWWW[[#This Row],['# Existing protected/fenced ponds ]]*250)/WWWW[[#This Row],[Total PoP ]]&gt;1,1,WWWW[[#This Row],['# Existing protected/fenced ponds ]]*250/WWWW[[#This Row],[Total PoP ]])</f>
        <v>0</v>
      </c>
      <c r="AY88" s="414">
        <f>WWWW[[#This Row],[Access to unimproved water points]]*WWWW[[#This Row],[Total PoP ]]</f>
        <v>0</v>
      </c>
      <c r="AZ88" s="237">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A88" s="414">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B88" s="414">
        <f>WWWW[[#This Row],['#people Equitable and continuous access to sufficient quantity of domestic water borehole n ponds_2]]/500</f>
        <v>0</v>
      </c>
      <c r="BC88" s="235">
        <f>1-WWWW[[#This Row],[%Equitable and continuous access to sufficient quantity of domestic water borehole n ponds]]</f>
        <v>1</v>
      </c>
      <c r="BD88" s="414">
        <f>WWWW[[#This Row],[%equitable and continuous access to sufficient quantity of safe drinking and domestic water''s GAP]]*WWWW[[#This Row],[Total PoP ]]</f>
        <v>111</v>
      </c>
      <c r="BE88" s="238">
        <f>IF(WWWW[[#This Row],[Total required water points]]-WWWW[[#This Row],['#Water points coverage]]&lt;0,0,WWWW[[#This Row],[Total required water points]]-WWWW[[#This Row],['#Water points coverage]])</f>
        <v>1</v>
      </c>
      <c r="BF88" s="238">
        <f>ROUND(IF(WWWW[[#This Row],[Total PoP ]]&lt;500,1,WWWW[[#This Row],[Total PoP ]]/500),0)</f>
        <v>1</v>
      </c>
      <c r="BG88" s="238" t="str">
        <f>IF(AND(WWWW[[#This Row],[%of Water samples which passed at water source]]="no test",WWWW[[#This Row],[%Water samples which passed at HH]]="no test"),"No Test","Tested")</f>
        <v>No Test</v>
      </c>
      <c r="BH88" s="238">
        <f>WWWW[[#This Row],['# Existing functional latrines]]+WWWW[[#This Row],['# Existing latrines dysfunctional]]</f>
        <v>4</v>
      </c>
      <c r="BI88" s="235">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0.72072072072072069</v>
      </c>
      <c r="BJ88" s="675">
        <f>WWWW[[#This Row],[% people access to functioning Latrine]]*WWWW[[#This Row],[Total PoP ]]</f>
        <v>80</v>
      </c>
      <c r="BK88" s="235">
        <f>IF(WWWW[[#This Row],[Location Type 1]]="camp",WWWW[[#This Row],['# potential required new latrines]]/(WWWW[[#This Row],[Total PoP ]]/20),WWWW[[#This Row],['# potential required new latrines]]/(WWWW[[#This Row],[Total PoP ]]/6))</f>
        <v>0.3603603603603604</v>
      </c>
      <c r="BL88" s="414">
        <f>IF(WWWW[[#This Row],[Total required Latrines]]-WWWW[[#This Row],[Total '# of latrine]]&lt;0,0,WWWW[[#This Row],[Total required Latrines]]-WWWW[[#This Row],[Total '# of latrine]])</f>
        <v>2</v>
      </c>
      <c r="BM88" s="238">
        <f>ROUND(IF(WWWW[[#This Row],[Location Type 1]]="camp",WWWW[[#This Row],[Total PoP ]]/20,WWWW[[#This Row],[Total PoP ]]/6),0)</f>
        <v>6</v>
      </c>
      <c r="BN88" s="239">
        <f>IF(OR(WWWW[[#This Row],['# Existing latrines dysfunctional]]="",WWWW[[#This Row],['# Existing latrines dysfunctional]]=0),0,WWWW[[#This Row],['# Existing latrines dysfunctional]]/WWWW[[#This Row],[Total '# of latrine]])</f>
        <v>0</v>
      </c>
      <c r="BO88" s="675">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40</v>
      </c>
      <c r="BP88" s="235">
        <f>WWWW[[#This Row],[People adopt basic personal and community hygiene practices]]/WWWW[[#This Row],[Total PoP ]]</f>
        <v>1</v>
      </c>
      <c r="BQ88" s="239">
        <f>1-WWWW[[#This Row],[Hygiene Coverage%]]</f>
        <v>0</v>
      </c>
      <c r="BR88" s="414">
        <f>IF(500*WWWW[[#This Row],['# Hygiene Promoters ]]&gt;WWWW[[#This Row],[Total PoP ]],WWWW[[#This Row],[Total PoP ]],500*WWWW[[#This Row],['# Hygiene Promoters ]])</f>
        <v>111</v>
      </c>
      <c r="BS88" s="414">
        <f>IF(WWWW[[#This Row],[% of HH with access to Sanitary Pad]]&gt;=100%,1,0)</f>
        <v>1</v>
      </c>
      <c r="BT88" s="414">
        <f>IF(WWWW[[#This Row],[Total PoP ]]=0,0,IF(WWWW[[#This Row],['# Hygiene Promoters ]]=0,0,IF(WWWW[[#This Row],[Location Type 1]]="Village",IF(WWWW[[#This Row],[Total PoP ]]/WWWW[[#This Row],['# Hygiene Promoters ]]&lt;1000,1,0),IF(WWWW[[#This Row],[Total PoP ]]/WWWW[[#This Row],['# Hygiene Promoters ]]&lt;600,1,0))))</f>
        <v>1</v>
      </c>
      <c r="BU88" s="414">
        <f>IF(WWWW[[#This Row],[%HH with access to soap]]&gt;=100%,1,0)</f>
        <v>1</v>
      </c>
      <c r="BV88" s="414">
        <f>IF(WWWW[[#This Row],[% of HHs with access to Sanitary pad more than '#%]]+WWWW[[#This Row],[Ratio of Hyiene promoters to people less than '#]]+WWWW[[#This Row],[% of HHs with access to soap more than '#%]]&gt;=2,WWWW[[#This Row],[Total PoP ]],0)</f>
        <v>111</v>
      </c>
      <c r="BW88" s="346">
        <f>WWWW[[#This Row],['# people reached by regular dedicated hygiene promotion_5]]/WWWW[[#This Row],[Total PoP ]]</f>
        <v>1</v>
      </c>
      <c r="BX88" s="346">
        <f>IF(WWWW[[#This Row],['# HH received soaps]]/WWWW[[#This Row],[Total HH]]&gt;1,1,WWWW[[#This Row],['# HH received soaps]]/WWWW[[#This Row],[Total HH]])</f>
        <v>1</v>
      </c>
      <c r="BY88" s="346">
        <f>IF(WWWW[[#This Row],['# HH received Sanitary Pads]]/WWWW[[#This Row],[Total HH]]&gt;1,1,WWWW[[#This Row],['# HH received Sanitary Pads]]/WWWW[[#This Row],[Total HH]])</f>
        <v>1</v>
      </c>
      <c r="BZ88" s="720">
        <f>WWWW[[#This Row],['# HH received soaps]]*5</f>
        <v>105</v>
      </c>
      <c r="CA88" s="720">
        <f>WWWW[[#This Row],['# HH received Sanitary Pads]]*5</f>
        <v>105</v>
      </c>
      <c r="CB88" s="238">
        <f>IF(WWWW[[#This Row],['# People with access to soap]]&gt;WWWW[[#This Row],['# People with access to Sanity Pads]],WWWW[[#This Row],['# People with access to soap]],WWWW[[#This Row],['# People with access to Sanity Pads]])</f>
        <v>105</v>
      </c>
      <c r="CC88" s="414">
        <f>WWWW[[#This Row],[Total HH]]*WWWW[[#This Row],[%HHs with access to functional hand washing stations]]</f>
        <v>21</v>
      </c>
      <c r="CD88" s="240" t="str">
        <f>VLOOKUP(WWWW[[#This Row],[Site Name]],SiteDB6[],8,FALSE)</f>
        <v>Yes</v>
      </c>
      <c r="CE88" s="240" t="str">
        <f>VLOOKUP(WWWW[[#This Row],[Site Name]],SiteDB6[],9,FALSE)</f>
        <v>KMSS-BMO</v>
      </c>
      <c r="CF88" s="240" t="str">
        <f>VLOOKUP(WWWW[[#This Row],[Site Name]],SiteDB6[],10,FALSE)</f>
        <v>Camp</v>
      </c>
      <c r="CG88" s="240" t="str">
        <f>VLOOKUP(WWWW[[#This Row],[Site Name]],SiteDB6[],11,FALSE)</f>
        <v>Camp</v>
      </c>
      <c r="CH88" s="240" t="str">
        <f>VLOOKUP(WWWW[[#This Row],[Site Name]],SiteDB6[],12,FALSE)</f>
        <v>Camp</v>
      </c>
      <c r="CI88" s="240" t="str">
        <f>VLOOKUP(WWWW[[#This Row],[Site Name]],SiteDB6[],13,FALSE)</f>
        <v>GCA</v>
      </c>
      <c r="CJ88" s="240">
        <f>VLOOKUP(WWWW[[#This Row],[Site Name]],SiteDB6[],14,FALSE)</f>
        <v>24.32638</v>
      </c>
      <c r="CK88" s="240">
        <f>VLOOKUP(WWWW[[#This Row],[Site Name]],SiteDB6[],15,FALSE)</f>
        <v>97.315860000000001</v>
      </c>
      <c r="CL88" s="240" t="str">
        <f>VLOOKUP(WWWW[[#This Row],[Site Name]],SiteDB6[],4,FALSE)</f>
        <v>MMR001CMP054</v>
      </c>
      <c r="CM88" s="235" t="str">
        <f t="shared" si="1"/>
        <v>Covered</v>
      </c>
      <c r="CN88" s="235"/>
    </row>
    <row r="89" spans="1:92" ht="15.75" customHeight="1" x14ac:dyDescent="0.25">
      <c r="A89" s="532" t="s">
        <v>1409</v>
      </c>
      <c r="B89" s="533" t="s">
        <v>43</v>
      </c>
      <c r="C89" s="533" t="s">
        <v>44</v>
      </c>
      <c r="D89" s="533" t="s">
        <v>304</v>
      </c>
      <c r="E89" s="533" t="s">
        <v>388</v>
      </c>
      <c r="F89" s="233">
        <v>48</v>
      </c>
      <c r="G89" s="414">
        <v>221</v>
      </c>
      <c r="H89" s="233"/>
      <c r="I89" s="233" t="s">
        <v>382</v>
      </c>
      <c r="J89" s="234">
        <v>43465</v>
      </c>
      <c r="K89" s="233">
        <v>0</v>
      </c>
      <c r="L89" s="233" t="s">
        <v>2578</v>
      </c>
      <c r="M89" s="235">
        <v>0.6</v>
      </c>
      <c r="N89" s="235">
        <v>0.1</v>
      </c>
      <c r="O89" s="609">
        <v>1</v>
      </c>
      <c r="P89" s="615">
        <v>1</v>
      </c>
      <c r="Q89" s="615">
        <v>4000</v>
      </c>
      <c r="R89" s="604">
        <v>0</v>
      </c>
      <c r="S89" s="604">
        <v>2</v>
      </c>
      <c r="T89" s="604">
        <v>1</v>
      </c>
      <c r="U89" s="604">
        <v>0</v>
      </c>
      <c r="V89" s="604">
        <v>15</v>
      </c>
      <c r="W89" s="604">
        <v>4</v>
      </c>
      <c r="X89" s="604">
        <v>0</v>
      </c>
      <c r="Y89" s="604"/>
      <c r="Z89" s="628">
        <v>8</v>
      </c>
      <c r="AA89" s="628">
        <v>0</v>
      </c>
      <c r="AB89" s="629">
        <v>0</v>
      </c>
      <c r="AC89" s="628">
        <v>16</v>
      </c>
      <c r="AD89" s="628" t="s">
        <v>293</v>
      </c>
      <c r="AE89" s="631" t="s">
        <v>293</v>
      </c>
      <c r="AF89" s="631">
        <v>0</v>
      </c>
      <c r="AG89" s="628">
        <v>0</v>
      </c>
      <c r="AH89" s="628"/>
      <c r="AI89" s="659">
        <v>0</v>
      </c>
      <c r="AJ89" s="650" t="s">
        <v>386</v>
      </c>
      <c r="AK89" s="644">
        <v>0</v>
      </c>
      <c r="AL89" s="645">
        <v>2</v>
      </c>
      <c r="AM89" s="645">
        <v>2</v>
      </c>
      <c r="AN89" s="646">
        <v>0</v>
      </c>
      <c r="AO89" s="647">
        <v>0</v>
      </c>
      <c r="AP89" s="647" t="s">
        <v>292</v>
      </c>
      <c r="AQ89" s="658"/>
      <c r="AR89" s="235">
        <f>IFERROR(WWWW[[#This Row],['# of Water passed at source]]/WWWW[[#This Row],['# of Water tested at source]],"no test")</f>
        <v>0</v>
      </c>
      <c r="AS89" s="237">
        <f>IFERROR(WWWW[[#This Row],['# of Water passed at HH]]/WWWW[[#This Row],['# of Water tested at HH]],"no test")</f>
        <v>0.26666666666666666</v>
      </c>
      <c r="AT89" s="237">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U89" s="237">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AV89" s="237">
        <f>IF(WWWW[[#This Row],[Location Type 1]]="Village",WWWW[[#This Row],[Access to safe drinking water for Village]],WWWW[[#This Row],[Access to safe drinking water for Camp]])</f>
        <v>1</v>
      </c>
      <c r="AW89" s="414">
        <f>WWWW[[#This Row],[%Equitable and continuous access to sufficient quantity of safe drinking water]]*WWWW[[#This Row],[Total PoP ]]</f>
        <v>221</v>
      </c>
      <c r="AX89" s="237">
        <f>IF((WWWW[[#This Row],['# Existing protected/fenced ponds ]]*250)/WWWW[[#This Row],[Total PoP ]]&gt;1,1,WWWW[[#This Row],['# Existing protected/fenced ponds ]]*250/WWWW[[#This Row],[Total PoP ]])</f>
        <v>0</v>
      </c>
      <c r="AY89" s="236">
        <f>WWWW[[#This Row],[Access to unimproved water points]]*WWWW[[#This Row],[Total PoP ]]</f>
        <v>0</v>
      </c>
      <c r="AZ89" s="237">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A89" s="414">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221</v>
      </c>
      <c r="BB89" s="414">
        <f>WWWW[[#This Row],['#people Equitable and continuous access to sufficient quantity of domestic water borehole n ponds_2]]/500</f>
        <v>0.442</v>
      </c>
      <c r="BC89" s="235">
        <f>1-WWWW[[#This Row],[%Equitable and continuous access to sufficient quantity of domestic water borehole n ponds]]</f>
        <v>0</v>
      </c>
      <c r="BD89" s="236">
        <f>WWWW[[#This Row],[%equitable and continuous access to sufficient quantity of safe drinking and domestic water''s GAP]]*WWWW[[#This Row],[Total PoP ]]</f>
        <v>0</v>
      </c>
      <c r="BE89" s="238">
        <f>IF(WWWW[[#This Row],[Total required water points]]-WWWW[[#This Row],['#Water points coverage]]&lt;0,0,WWWW[[#This Row],[Total required water points]]-WWWW[[#This Row],['#Water points coverage]])</f>
        <v>0.55800000000000005</v>
      </c>
      <c r="BF89" s="238">
        <f>ROUND(IF(WWWW[[#This Row],[Total PoP ]]&lt;500,1,WWWW[[#This Row],[Total PoP ]]/500),0)</f>
        <v>1</v>
      </c>
      <c r="BG89" s="238" t="str">
        <f>IF(AND(WWWW[[#This Row],[%of Water samples which passed at water source]]="no test",WWWW[[#This Row],[%Water samples which passed at HH]]="no test"),"No Test","Tested")</f>
        <v>Tested</v>
      </c>
      <c r="BH89" s="238">
        <f>WWWW[[#This Row],['# Existing functional latrines]]+WWWW[[#This Row],['# Existing latrines dysfunctional]]</f>
        <v>8</v>
      </c>
      <c r="BI89" s="235">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0.72398190045248867</v>
      </c>
      <c r="BJ89" s="675">
        <f>WWWW[[#This Row],[% people access to functioning Latrine]]*WWWW[[#This Row],[Total PoP ]]</f>
        <v>160</v>
      </c>
      <c r="BK89" s="235">
        <f>IF(WWWW[[#This Row],[Location Type 1]]="camp",WWWW[[#This Row],['# potential required new latrines]]/(WWWW[[#This Row],[Total PoP ]]/20),WWWW[[#This Row],['# potential required new latrines]]/(WWWW[[#This Row],[Total PoP ]]/6))</f>
        <v>0.27149321266968324</v>
      </c>
      <c r="BL89" s="236">
        <f>IF(WWWW[[#This Row],[Total required Latrines]]-WWWW[[#This Row],[Total '# of latrine]]&lt;0,0,WWWW[[#This Row],[Total required Latrines]]-WWWW[[#This Row],[Total '# of latrine]])</f>
        <v>3</v>
      </c>
      <c r="BM89" s="238">
        <f>ROUND(IF(WWWW[[#This Row],[Location Type 1]]="camp",WWWW[[#This Row],[Total PoP ]]/20,WWWW[[#This Row],[Total PoP ]]/6),0)</f>
        <v>11</v>
      </c>
      <c r="BN89" s="239">
        <f>IF(OR(WWWW[[#This Row],['# Existing latrines dysfunctional]]="",WWWW[[#This Row],['# Existing latrines dysfunctional]]=0),0,WWWW[[#This Row],['# Existing latrines dysfunctional]]/WWWW[[#This Row],[Total '# of latrine]])</f>
        <v>0</v>
      </c>
      <c r="BO89" s="675">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P89" s="235">
        <f>WWWW[[#This Row],[People adopt basic personal and community hygiene practices]]/WWWW[[#This Row],[Total PoP ]]</f>
        <v>0</v>
      </c>
      <c r="BQ89" s="239">
        <f>1-WWWW[[#This Row],[Hygiene Coverage%]]</f>
        <v>1</v>
      </c>
      <c r="BR89" s="414">
        <f>IF(500*WWWW[[#This Row],['# Hygiene Promoters ]]&gt;WWWW[[#This Row],[Total PoP ]],WWWW[[#This Row],[Total PoP ]],500*WWWW[[#This Row],['# Hygiene Promoters ]])</f>
        <v>221</v>
      </c>
      <c r="BS89" s="414">
        <f>IF(WWWW[[#This Row],[% of HH with access to Sanitary Pad]]&gt;=100%,1,0)</f>
        <v>0</v>
      </c>
      <c r="BT89" s="414">
        <f>IF(WWWW[[#This Row],[Total PoP ]]=0,0,IF(WWWW[[#This Row],['# Hygiene Promoters ]]=0,0,IF(WWWW[[#This Row],[Location Type 1]]="Village",IF(WWWW[[#This Row],[Total PoP ]]/WWWW[[#This Row],['# Hygiene Promoters ]]&lt;1000,1,0),IF(WWWW[[#This Row],[Total PoP ]]/WWWW[[#This Row],['# Hygiene Promoters ]]&lt;600,1,0))))</f>
        <v>1</v>
      </c>
      <c r="BU89" s="414">
        <f>IF(WWWW[[#This Row],[%HH with access to soap]]&gt;=100%,1,0)</f>
        <v>0</v>
      </c>
      <c r="BV89" s="414">
        <f>IF(WWWW[[#This Row],[% of HHs with access to Sanitary pad more than '#%]]+WWWW[[#This Row],[Ratio of Hyiene promoters to people less than '#]]+WWWW[[#This Row],[% of HHs with access to soap more than '#%]]&gt;=2,WWWW[[#This Row],[Total PoP ]],0)</f>
        <v>0</v>
      </c>
      <c r="BW89" s="346">
        <f>WWWW[[#This Row],['# people reached by regular dedicated hygiene promotion_5]]/WWWW[[#This Row],[Total PoP ]]</f>
        <v>1</v>
      </c>
      <c r="BX89" s="346">
        <f>IF(WWWW[[#This Row],['# HH received soaps]]/WWWW[[#This Row],[Total HH]]&gt;1,1,WWWW[[#This Row],['# HH received soaps]]/WWWW[[#This Row],[Total HH]])</f>
        <v>0</v>
      </c>
      <c r="BY89" s="346">
        <f>IF(WWWW[[#This Row],['# HH received Sanitary Pads]]/WWWW[[#This Row],[Total HH]]&gt;1,1,WWWW[[#This Row],['# HH received Sanitary Pads]]/WWWW[[#This Row],[Total HH]])</f>
        <v>0</v>
      </c>
      <c r="BZ89" s="720">
        <f>WWWW[[#This Row],['# HH received soaps]]*5</f>
        <v>0</v>
      </c>
      <c r="CA89" s="720">
        <f>WWWW[[#This Row],['# HH received Sanitary Pads]]*5</f>
        <v>0</v>
      </c>
      <c r="CB89" s="238">
        <f>IF(WWWW[[#This Row],['# People with access to soap]]&gt;WWWW[[#This Row],['# People with access to Sanity Pads]],WWWW[[#This Row],['# People with access to soap]],WWWW[[#This Row],['# People with access to Sanity Pads]])</f>
        <v>0</v>
      </c>
      <c r="CC89" s="236">
        <f>WWWW[[#This Row],[Total HH]]*WWWW[[#This Row],[%HHs with access to functional hand washing stations]]</f>
        <v>0</v>
      </c>
      <c r="CD89" s="240" t="str">
        <f>VLOOKUP(WWWW[[#This Row],[Site Name]],SiteDB6[],8,FALSE)</f>
        <v>Yes</v>
      </c>
      <c r="CE89" s="240" t="str">
        <f>VLOOKUP(WWWW[[#This Row],[Site Name]],SiteDB6[],9,FALSE)</f>
        <v>KMSS-MYT</v>
      </c>
      <c r="CF89" s="240" t="str">
        <f>VLOOKUP(WWWW[[#This Row],[Site Name]],SiteDB6[],10,FALSE)</f>
        <v>Camp</v>
      </c>
      <c r="CG89" s="240" t="str">
        <f>VLOOKUP(WWWW[[#This Row],[Site Name]],SiteDB6[],11,FALSE)</f>
        <v>Camp</v>
      </c>
      <c r="CH89" s="240" t="str">
        <f>VLOOKUP(WWWW[[#This Row],[Site Name]],SiteDB6[],12,FALSE)</f>
        <v>Camp</v>
      </c>
      <c r="CI89" s="240" t="str">
        <f>VLOOKUP(WWWW[[#This Row],[Site Name]],SiteDB6[],13,FALSE)</f>
        <v>GCA</v>
      </c>
      <c r="CJ89" s="240">
        <f>VLOOKUP(WWWW[[#This Row],[Site Name]],SiteDB6[],14,FALSE)</f>
        <v>25.613894999999999</v>
      </c>
      <c r="CK89" s="240">
        <f>VLOOKUP(WWWW[[#This Row],[Site Name]],SiteDB6[],15,FALSE)</f>
        <v>96.341352999999998</v>
      </c>
      <c r="CL89" s="240" t="str">
        <f>VLOOKUP(WWWW[[#This Row],[Site Name]],SiteDB6[],4,FALSE)</f>
        <v>MMR001CMP103</v>
      </c>
      <c r="CM89" s="235" t="str">
        <f t="shared" si="1"/>
        <v>Covered</v>
      </c>
      <c r="CN89" s="235"/>
    </row>
    <row r="90" spans="1:92" ht="15.75" customHeight="1" x14ac:dyDescent="0.25">
      <c r="A90" s="532" t="s">
        <v>1409</v>
      </c>
      <c r="B90" s="533" t="s">
        <v>297</v>
      </c>
      <c r="C90" s="533" t="s">
        <v>44</v>
      </c>
      <c r="D90" s="533" t="s">
        <v>308</v>
      </c>
      <c r="E90" s="533" t="s">
        <v>311</v>
      </c>
      <c r="F90" s="233">
        <v>11</v>
      </c>
      <c r="G90" s="414">
        <v>33</v>
      </c>
      <c r="H90" s="233"/>
      <c r="I90" s="233" t="s">
        <v>306</v>
      </c>
      <c r="J90" s="234">
        <v>43131</v>
      </c>
      <c r="K90" s="233">
        <v>0</v>
      </c>
      <c r="L90" s="233" t="s">
        <v>48</v>
      </c>
      <c r="M90" s="235">
        <v>0.8</v>
      </c>
      <c r="N90" s="235">
        <v>0.8</v>
      </c>
      <c r="O90" s="609">
        <v>1</v>
      </c>
      <c r="P90" s="615">
        <v>2</v>
      </c>
      <c r="Q90" s="615">
        <v>2000</v>
      </c>
      <c r="R90" s="604">
        <v>0</v>
      </c>
      <c r="S90" s="604">
        <v>0</v>
      </c>
      <c r="T90" s="604">
        <v>0</v>
      </c>
      <c r="U90" s="604">
        <v>0</v>
      </c>
      <c r="V90" s="604">
        <v>0</v>
      </c>
      <c r="W90" s="604">
        <v>0</v>
      </c>
      <c r="X90" s="604">
        <v>0</v>
      </c>
      <c r="Y90" s="604"/>
      <c r="Z90" s="628">
        <v>3</v>
      </c>
      <c r="AA90" s="628">
        <v>0</v>
      </c>
      <c r="AB90" s="629">
        <v>0</v>
      </c>
      <c r="AC90" s="628">
        <v>0</v>
      </c>
      <c r="AD90" s="628" t="s">
        <v>293</v>
      </c>
      <c r="AE90" s="631" t="s">
        <v>1379</v>
      </c>
      <c r="AF90" s="631"/>
      <c r="AG90" s="628"/>
      <c r="AH90" s="628"/>
      <c r="AI90" s="659">
        <v>0.6</v>
      </c>
      <c r="AJ90" s="650" t="s">
        <v>386</v>
      </c>
      <c r="AK90" s="644">
        <v>0</v>
      </c>
      <c r="AL90" s="645">
        <v>2</v>
      </c>
      <c r="AM90" s="645">
        <v>1</v>
      </c>
      <c r="AN90" s="646">
        <v>0</v>
      </c>
      <c r="AO90" s="647">
        <v>0</v>
      </c>
      <c r="AP90" s="647"/>
      <c r="AQ90" s="658"/>
      <c r="AR90" s="235" t="str">
        <f>IFERROR(WWWW[[#This Row],['# of Water passed at source]]/WWWW[[#This Row],['# of Water tested at source]],"no test")</f>
        <v>no test</v>
      </c>
      <c r="AS90" s="237" t="str">
        <f>IFERROR(WWWW[[#This Row],['# of Water passed at HH]]/WWWW[[#This Row],['# of Water tested at HH]],"no test")</f>
        <v>no test</v>
      </c>
      <c r="AT90" s="237">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U90" s="237">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AV90" s="237">
        <f>IF(WWWW[[#This Row],[Location Type 1]]="Village",WWWW[[#This Row],[Access to safe drinking water for Village]],WWWW[[#This Row],[Access to safe drinking water for Camp]])</f>
        <v>1</v>
      </c>
      <c r="AW90" s="414">
        <f>WWWW[[#This Row],[%Equitable and continuous access to sufficient quantity of safe drinking water]]*WWWW[[#This Row],[Total PoP ]]</f>
        <v>33</v>
      </c>
      <c r="AX90" s="237">
        <f>IF((WWWW[[#This Row],['# Existing protected/fenced ponds ]]*250)/WWWW[[#This Row],[Total PoP ]]&gt;1,1,WWWW[[#This Row],['# Existing protected/fenced ponds ]]*250/WWWW[[#This Row],[Total PoP ]])</f>
        <v>0</v>
      </c>
      <c r="AY90" s="236">
        <f>WWWW[[#This Row],[Access to unimproved water points]]*WWWW[[#This Row],[Total PoP ]]</f>
        <v>0</v>
      </c>
      <c r="AZ90" s="237">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A90" s="414">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33</v>
      </c>
      <c r="BB90" s="414">
        <f>WWWW[[#This Row],['#people Equitable and continuous access to sufficient quantity of domestic water borehole n ponds_2]]/500</f>
        <v>6.6000000000000003E-2</v>
      </c>
      <c r="BC90" s="235">
        <f>1-WWWW[[#This Row],[%Equitable and continuous access to sufficient quantity of domestic water borehole n ponds]]</f>
        <v>0</v>
      </c>
      <c r="BD90" s="236">
        <f>WWWW[[#This Row],[%equitable and continuous access to sufficient quantity of safe drinking and domestic water''s GAP]]*WWWW[[#This Row],[Total PoP ]]</f>
        <v>0</v>
      </c>
      <c r="BE90" s="238">
        <f>IF(WWWW[[#This Row],[Total required water points]]-WWWW[[#This Row],['#Water points coverage]]&lt;0,0,WWWW[[#This Row],[Total required water points]]-WWWW[[#This Row],['#Water points coverage]])</f>
        <v>0.93399999999999994</v>
      </c>
      <c r="BF90" s="238">
        <f>ROUND(IF(WWWW[[#This Row],[Total PoP ]]&lt;500,1,WWWW[[#This Row],[Total PoP ]]/500),0)</f>
        <v>1</v>
      </c>
      <c r="BG90" s="238" t="str">
        <f>IF(AND(WWWW[[#This Row],[%of Water samples which passed at water source]]="no test",WWWW[[#This Row],[%Water samples which passed at HH]]="no test"),"No Test","Tested")</f>
        <v>No Test</v>
      </c>
      <c r="BH90" s="238">
        <f>WWWW[[#This Row],['# Existing functional latrines]]+WWWW[[#This Row],['# Existing latrines dysfunctional]]</f>
        <v>3</v>
      </c>
      <c r="BI90" s="235">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1</v>
      </c>
      <c r="BJ90" s="675">
        <f>WWWW[[#This Row],[% people access to functioning Latrine]]*WWWW[[#This Row],[Total PoP ]]</f>
        <v>33</v>
      </c>
      <c r="BK90" s="235">
        <f>IF(WWWW[[#This Row],[Location Type 1]]="camp",WWWW[[#This Row],['# potential required new latrines]]/(WWWW[[#This Row],[Total PoP ]]/20),WWWW[[#This Row],['# potential required new latrines]]/(WWWW[[#This Row],[Total PoP ]]/6))</f>
        <v>0</v>
      </c>
      <c r="BL90" s="236">
        <f>IF(WWWW[[#This Row],[Total required Latrines]]-WWWW[[#This Row],[Total '# of latrine]]&lt;0,0,WWWW[[#This Row],[Total required Latrines]]-WWWW[[#This Row],[Total '# of latrine]])</f>
        <v>0</v>
      </c>
      <c r="BM90" s="238">
        <f>ROUND(IF(WWWW[[#This Row],[Location Type 1]]="camp",WWWW[[#This Row],[Total PoP ]]/20,WWWW[[#This Row],[Total PoP ]]/6),0)</f>
        <v>2</v>
      </c>
      <c r="BN90" s="239">
        <f>IF(OR(WWWW[[#This Row],['# Existing latrines dysfunctional]]="",WWWW[[#This Row],['# Existing latrines dysfunctional]]=0),0,WWWW[[#This Row],['# Existing latrines dysfunctional]]/WWWW[[#This Row],[Total '# of latrine]])</f>
        <v>0</v>
      </c>
      <c r="BO90" s="675">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P90" s="235">
        <f>WWWW[[#This Row],[People adopt basic personal and community hygiene practices]]/WWWW[[#This Row],[Total PoP ]]</f>
        <v>0</v>
      </c>
      <c r="BQ90" s="239">
        <f>1-WWWW[[#This Row],[Hygiene Coverage%]]</f>
        <v>1</v>
      </c>
      <c r="BR90" s="414">
        <f>IF(500*WWWW[[#This Row],['# Hygiene Promoters ]]&gt;WWWW[[#This Row],[Total PoP ]],WWWW[[#This Row],[Total PoP ]],500*WWWW[[#This Row],['# Hygiene Promoters ]])</f>
        <v>33</v>
      </c>
      <c r="BS90" s="414">
        <f>IF(WWWW[[#This Row],[% of HH with access to Sanitary Pad]]&gt;=100%,1,0)</f>
        <v>0</v>
      </c>
      <c r="BT90" s="414">
        <f>IF(WWWW[[#This Row],[Total PoP ]]=0,0,IF(WWWW[[#This Row],['# Hygiene Promoters ]]=0,0,IF(WWWW[[#This Row],[Location Type 1]]="Village",IF(WWWW[[#This Row],[Total PoP ]]/WWWW[[#This Row],['# Hygiene Promoters ]]&lt;1000,1,0),IF(WWWW[[#This Row],[Total PoP ]]/WWWW[[#This Row],['# Hygiene Promoters ]]&lt;600,1,0))))</f>
        <v>1</v>
      </c>
      <c r="BU90" s="414">
        <f>IF(WWWW[[#This Row],[%HH with access to soap]]&gt;=100%,1,0)</f>
        <v>0</v>
      </c>
      <c r="BV90" s="414">
        <f>IF(WWWW[[#This Row],[% of HHs with access to Sanitary pad more than '#%]]+WWWW[[#This Row],[Ratio of Hyiene promoters to people less than '#]]+WWWW[[#This Row],[% of HHs with access to soap more than '#%]]&gt;=2,WWWW[[#This Row],[Total PoP ]],0)</f>
        <v>0</v>
      </c>
      <c r="BW90" s="346">
        <f>WWWW[[#This Row],['# people reached by regular dedicated hygiene promotion_5]]/WWWW[[#This Row],[Total PoP ]]</f>
        <v>1</v>
      </c>
      <c r="BX90" s="346">
        <f>IF(WWWW[[#This Row],['# HH received soaps]]/WWWW[[#This Row],[Total HH]]&gt;1,1,WWWW[[#This Row],['# HH received soaps]]/WWWW[[#This Row],[Total HH]])</f>
        <v>0</v>
      </c>
      <c r="BY90" s="346">
        <f>IF(WWWW[[#This Row],['# HH received Sanitary Pads]]/WWWW[[#This Row],[Total HH]]&gt;1,1,WWWW[[#This Row],['# HH received Sanitary Pads]]/WWWW[[#This Row],[Total HH]])</f>
        <v>0</v>
      </c>
      <c r="BZ90" s="720">
        <f>WWWW[[#This Row],['# HH received soaps]]*5</f>
        <v>0</v>
      </c>
      <c r="CA90" s="720">
        <f>WWWW[[#This Row],['# HH received Sanitary Pads]]*5</f>
        <v>0</v>
      </c>
      <c r="CB90" s="238">
        <f>IF(WWWW[[#This Row],['# People with access to soap]]&gt;WWWW[[#This Row],['# People with access to Sanity Pads]],WWWW[[#This Row],['# People with access to soap]],WWWW[[#This Row],['# People with access to Sanity Pads]])</f>
        <v>0</v>
      </c>
      <c r="CC90" s="236">
        <f>WWWW[[#This Row],[Total HH]]*WWWW[[#This Row],[%HHs with access to functional hand washing stations]]</f>
        <v>6.6</v>
      </c>
      <c r="CD90" s="240" t="str">
        <f>VLOOKUP(WWWW[[#This Row],[Site Name]],SiteDB6[],8,FALSE)</f>
        <v>Yes</v>
      </c>
      <c r="CE90" s="240" t="str">
        <f>VLOOKUP(WWWW[[#This Row],[Site Name]],SiteDB6[],9,FALSE)</f>
        <v>KBC</v>
      </c>
      <c r="CF90" s="240" t="str">
        <f>VLOOKUP(WWWW[[#This Row],[Site Name]],SiteDB6[],10,FALSE)</f>
        <v>Camp</v>
      </c>
      <c r="CG90" s="240" t="str">
        <f>VLOOKUP(WWWW[[#This Row],[Site Name]],SiteDB6[],11,FALSE)</f>
        <v>Camp</v>
      </c>
      <c r="CH90" s="240" t="str">
        <f>VLOOKUP(WWWW[[#This Row],[Site Name]],SiteDB6[],12,FALSE)</f>
        <v>Camp</v>
      </c>
      <c r="CI90" s="240" t="str">
        <f>VLOOKUP(WWWW[[#This Row],[Site Name]],SiteDB6[],13,FALSE)</f>
        <v>GCA</v>
      </c>
      <c r="CJ90" s="240">
        <f>VLOOKUP(WWWW[[#This Row],[Site Name]],SiteDB6[],14,FALSE)</f>
        <v>25.30442</v>
      </c>
      <c r="CK90" s="240">
        <f>VLOOKUP(WWWW[[#This Row],[Site Name]],SiteDB6[],15,FALSE)</f>
        <v>96.948740000000001</v>
      </c>
      <c r="CL90" s="240" t="str">
        <f>VLOOKUP(WWWW[[#This Row],[Site Name]],SiteDB6[],4,FALSE)</f>
        <v>MMR001CMP079</v>
      </c>
      <c r="CM90" s="235" t="str">
        <f t="shared" si="1"/>
        <v>Covered</v>
      </c>
      <c r="CN90" s="235"/>
    </row>
    <row r="91" spans="1:92" ht="15.75" customHeight="1" x14ac:dyDescent="0.25">
      <c r="A91" s="532" t="s">
        <v>1409</v>
      </c>
      <c r="B91" s="533" t="s">
        <v>399</v>
      </c>
      <c r="C91" s="533" t="s">
        <v>44</v>
      </c>
      <c r="D91" s="533" t="s">
        <v>298</v>
      </c>
      <c r="E91" s="533" t="s">
        <v>430</v>
      </c>
      <c r="F91" s="233">
        <v>20</v>
      </c>
      <c r="G91" s="414">
        <v>86</v>
      </c>
      <c r="H91" s="233"/>
      <c r="I91" s="233" t="s">
        <v>401</v>
      </c>
      <c r="J91" s="234">
        <v>42947</v>
      </c>
      <c r="K91" s="233">
        <v>0</v>
      </c>
      <c r="L91" s="233" t="s">
        <v>48</v>
      </c>
      <c r="M91" s="235">
        <v>0.8</v>
      </c>
      <c r="N91" s="235">
        <v>1</v>
      </c>
      <c r="O91" s="609">
        <v>1</v>
      </c>
      <c r="P91" s="615">
        <v>1</v>
      </c>
      <c r="Q91" s="615">
        <v>0</v>
      </c>
      <c r="R91" s="604">
        <v>0</v>
      </c>
      <c r="S91" s="604">
        <v>1</v>
      </c>
      <c r="T91" s="604">
        <v>0</v>
      </c>
      <c r="U91" s="604">
        <v>0</v>
      </c>
      <c r="V91" s="604">
        <v>0</v>
      </c>
      <c r="W91" s="604">
        <v>0</v>
      </c>
      <c r="X91" s="604">
        <v>0</v>
      </c>
      <c r="Y91" s="604"/>
      <c r="Z91" s="628">
        <v>4</v>
      </c>
      <c r="AA91" s="628">
        <v>2</v>
      </c>
      <c r="AB91" s="629">
        <v>3</v>
      </c>
      <c r="AC91" s="628">
        <v>4</v>
      </c>
      <c r="AD91" s="628" t="s">
        <v>293</v>
      </c>
      <c r="AE91" s="631" t="s">
        <v>1379</v>
      </c>
      <c r="AF91" s="631">
        <v>0</v>
      </c>
      <c r="AG91" s="628">
        <v>0</v>
      </c>
      <c r="AH91" s="628"/>
      <c r="AI91" s="659">
        <v>0.5</v>
      </c>
      <c r="AJ91" s="650" t="s">
        <v>386</v>
      </c>
      <c r="AK91" s="644">
        <v>0</v>
      </c>
      <c r="AL91" s="645">
        <v>2</v>
      </c>
      <c r="AM91" s="645">
        <v>0</v>
      </c>
      <c r="AN91" s="646">
        <v>0</v>
      </c>
      <c r="AO91" s="647">
        <v>0</v>
      </c>
      <c r="AP91" s="647"/>
      <c r="AQ91" s="658"/>
      <c r="AR91" s="235" t="str">
        <f>IFERROR(WWWW[[#This Row],['# of Water passed at source]]/WWWW[[#This Row],['# of Water tested at source]],"no test")</f>
        <v>no test</v>
      </c>
      <c r="AS91" s="237" t="str">
        <f>IFERROR(WWWW[[#This Row],['# of Water passed at HH]]/WWWW[[#This Row],['# of Water tested at HH]],"no test")</f>
        <v>no test</v>
      </c>
      <c r="AT91" s="237">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U91" s="237">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AV91" s="237">
        <f>IF(WWWW[[#This Row],[Location Type 1]]="Village",WWWW[[#This Row],[Access to safe drinking water for Village]],WWWW[[#This Row],[Access to safe drinking water for Camp]])</f>
        <v>1</v>
      </c>
      <c r="AW91" s="414">
        <f>WWWW[[#This Row],[%Equitable and continuous access to sufficient quantity of safe drinking water]]*WWWW[[#This Row],[Total PoP ]]</f>
        <v>86</v>
      </c>
      <c r="AX91" s="237">
        <f>IF((WWWW[[#This Row],['# Existing protected/fenced ponds ]]*250)/WWWW[[#This Row],[Total PoP ]]&gt;1,1,WWWW[[#This Row],['# Existing protected/fenced ponds ]]*250/WWWW[[#This Row],[Total PoP ]])</f>
        <v>0</v>
      </c>
      <c r="AY91" s="236">
        <f>WWWW[[#This Row],[Access to unimproved water points]]*WWWW[[#This Row],[Total PoP ]]</f>
        <v>0</v>
      </c>
      <c r="AZ91" s="237">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A91" s="414">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86</v>
      </c>
      <c r="BB91" s="414">
        <f>WWWW[[#This Row],['#people Equitable and continuous access to sufficient quantity of domestic water borehole n ponds_2]]/500</f>
        <v>0.17199999999999999</v>
      </c>
      <c r="BC91" s="235">
        <f>1-WWWW[[#This Row],[%Equitable and continuous access to sufficient quantity of domestic water borehole n ponds]]</f>
        <v>0</v>
      </c>
      <c r="BD91" s="236">
        <f>WWWW[[#This Row],[%equitable and continuous access to sufficient quantity of safe drinking and domestic water''s GAP]]*WWWW[[#This Row],[Total PoP ]]</f>
        <v>0</v>
      </c>
      <c r="BE91" s="238">
        <f>IF(WWWW[[#This Row],[Total required water points]]-WWWW[[#This Row],['#Water points coverage]]&lt;0,0,WWWW[[#This Row],[Total required water points]]-WWWW[[#This Row],['#Water points coverage]])</f>
        <v>0.82800000000000007</v>
      </c>
      <c r="BF91" s="238">
        <f>ROUND(IF(WWWW[[#This Row],[Total PoP ]]&lt;500,1,WWWW[[#This Row],[Total PoP ]]/500),0)</f>
        <v>1</v>
      </c>
      <c r="BG91" s="238" t="str">
        <f>IF(AND(WWWW[[#This Row],[%of Water samples which passed at water source]]="no test",WWWW[[#This Row],[%Water samples which passed at HH]]="no test"),"No Test","Tested")</f>
        <v>No Test</v>
      </c>
      <c r="BH91" s="238">
        <f>WWWW[[#This Row],['# Existing functional latrines]]+WWWW[[#This Row],['# Existing latrines dysfunctional]]</f>
        <v>6</v>
      </c>
      <c r="BI91" s="235">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0.93023255813953487</v>
      </c>
      <c r="BJ91" s="675">
        <f>WWWW[[#This Row],[% people access to functioning Latrine]]*WWWW[[#This Row],[Total PoP ]]</f>
        <v>80</v>
      </c>
      <c r="BK91" s="235">
        <f>IF(WWWW[[#This Row],[Location Type 1]]="camp",WWWW[[#This Row],['# potential required new latrines]]/(WWWW[[#This Row],[Total PoP ]]/20),WWWW[[#This Row],['# potential required new latrines]]/(WWWW[[#This Row],[Total PoP ]]/6))</f>
        <v>0</v>
      </c>
      <c r="BL91" s="236">
        <f>IF(WWWW[[#This Row],[Total required Latrines]]-WWWW[[#This Row],[Total '# of latrine]]&lt;0,0,WWWW[[#This Row],[Total required Latrines]]-WWWW[[#This Row],[Total '# of latrine]])</f>
        <v>0</v>
      </c>
      <c r="BM91" s="238">
        <f>ROUND(IF(WWWW[[#This Row],[Location Type 1]]="camp",WWWW[[#This Row],[Total PoP ]]/20,WWWW[[#This Row],[Total PoP ]]/6),0)</f>
        <v>4</v>
      </c>
      <c r="BN91" s="239">
        <f>IF(OR(WWWW[[#This Row],['# Existing latrines dysfunctional]]="",WWWW[[#This Row],['# Existing latrines dysfunctional]]=0),0,WWWW[[#This Row],['# Existing latrines dysfunctional]]/WWWW[[#This Row],[Total '# of latrine]])</f>
        <v>0.33333333333333331</v>
      </c>
      <c r="BO91" s="675">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60</v>
      </c>
      <c r="BP91" s="235">
        <f>WWWW[[#This Row],[People adopt basic personal and community hygiene practices]]/WWWW[[#This Row],[Total PoP ]]</f>
        <v>0</v>
      </c>
      <c r="BQ91" s="239">
        <f>1-WWWW[[#This Row],[Hygiene Coverage%]]</f>
        <v>1</v>
      </c>
      <c r="BR91" s="414">
        <f>IF(500*WWWW[[#This Row],['# Hygiene Promoters ]]&gt;WWWW[[#This Row],[Total PoP ]],WWWW[[#This Row],[Total PoP ]],500*WWWW[[#This Row],['# Hygiene Promoters ]])</f>
        <v>0</v>
      </c>
      <c r="BS91" s="414">
        <f>IF(WWWW[[#This Row],[% of HH with access to Sanitary Pad]]&gt;=100%,1,0)</f>
        <v>0</v>
      </c>
      <c r="BT91" s="414">
        <f>IF(WWWW[[#This Row],[Total PoP ]]=0,0,IF(WWWW[[#This Row],['# Hygiene Promoters ]]=0,0,IF(WWWW[[#This Row],[Location Type 1]]="Village",IF(WWWW[[#This Row],[Total PoP ]]/WWWW[[#This Row],['# Hygiene Promoters ]]&lt;1000,1,0),IF(WWWW[[#This Row],[Total PoP ]]/WWWW[[#This Row],['# Hygiene Promoters ]]&lt;600,1,0))))</f>
        <v>0</v>
      </c>
      <c r="BU91" s="414">
        <f>IF(WWWW[[#This Row],[%HH with access to soap]]&gt;=100%,1,0)</f>
        <v>0</v>
      </c>
      <c r="BV91" s="414">
        <f>IF(WWWW[[#This Row],[% of HHs with access to Sanitary pad more than '#%]]+WWWW[[#This Row],[Ratio of Hyiene promoters to people less than '#]]+WWWW[[#This Row],[% of HHs with access to soap more than '#%]]&gt;=2,WWWW[[#This Row],[Total PoP ]],0)</f>
        <v>0</v>
      </c>
      <c r="BW91" s="346">
        <f>WWWW[[#This Row],['# people reached by regular dedicated hygiene promotion_5]]/WWWW[[#This Row],[Total PoP ]]</f>
        <v>0</v>
      </c>
      <c r="BX91" s="346">
        <f>IF(WWWW[[#This Row],['# HH received soaps]]/WWWW[[#This Row],[Total HH]]&gt;1,1,WWWW[[#This Row],['# HH received soaps]]/WWWW[[#This Row],[Total HH]])</f>
        <v>0</v>
      </c>
      <c r="BY91" s="346">
        <f>IF(WWWW[[#This Row],['# HH received Sanitary Pads]]/WWWW[[#This Row],[Total HH]]&gt;1,1,WWWW[[#This Row],['# HH received Sanitary Pads]]/WWWW[[#This Row],[Total HH]])</f>
        <v>0</v>
      </c>
      <c r="BZ91" s="720">
        <f>WWWW[[#This Row],['# HH received soaps]]*5</f>
        <v>0</v>
      </c>
      <c r="CA91" s="720">
        <f>WWWW[[#This Row],['# HH received Sanitary Pads]]*5</f>
        <v>0</v>
      </c>
      <c r="CB91" s="238">
        <f>IF(WWWW[[#This Row],['# People with access to soap]]&gt;WWWW[[#This Row],['# People with access to Sanity Pads]],WWWW[[#This Row],['# People with access to soap]],WWWW[[#This Row],['# People with access to Sanity Pads]])</f>
        <v>0</v>
      </c>
      <c r="CC91" s="236">
        <f>WWWW[[#This Row],[Total HH]]*WWWW[[#This Row],[%HHs with access to functional hand washing stations]]</f>
        <v>10</v>
      </c>
      <c r="CD91" s="240" t="str">
        <f>VLOOKUP(WWWW[[#This Row],[Site Name]],SiteDB6[],8,FALSE)</f>
        <v>Yes</v>
      </c>
      <c r="CE91" s="240" t="str">
        <f>VLOOKUP(WWWW[[#This Row],[Site Name]],SiteDB6[],9,FALSE)</f>
        <v>Shalom</v>
      </c>
      <c r="CF91" s="240" t="str">
        <f>VLOOKUP(WWWW[[#This Row],[Site Name]],SiteDB6[],10,FALSE)</f>
        <v>Camp</v>
      </c>
      <c r="CG91" s="240" t="str">
        <f>VLOOKUP(WWWW[[#This Row],[Site Name]],SiteDB6[],11,FALSE)</f>
        <v>Camp</v>
      </c>
      <c r="CH91" s="240" t="str">
        <f>VLOOKUP(WWWW[[#This Row],[Site Name]],SiteDB6[],12,FALSE)</f>
        <v>Camp</v>
      </c>
      <c r="CI91" s="240" t="str">
        <f>VLOOKUP(WWWW[[#This Row],[Site Name]],SiteDB6[],13,FALSE)</f>
        <v>GCA</v>
      </c>
      <c r="CJ91" s="240">
        <f>VLOOKUP(WWWW[[#This Row],[Site Name]],SiteDB6[],14,FALSE)</f>
        <v>25.351965</v>
      </c>
      <c r="CK91" s="240">
        <f>VLOOKUP(WWWW[[#This Row],[Site Name]],SiteDB6[],15,FALSE)</f>
        <v>97.345039</v>
      </c>
      <c r="CL91" s="240" t="str">
        <f>VLOOKUP(WWWW[[#This Row],[Site Name]],SiteDB6[],4,FALSE)</f>
        <v>MMR001CMP033</v>
      </c>
      <c r="CM91" s="235" t="str">
        <f t="shared" si="1"/>
        <v>Covered</v>
      </c>
      <c r="CN91" s="235"/>
    </row>
    <row r="92" spans="1:92" ht="15.75" customHeight="1" x14ac:dyDescent="0.25">
      <c r="A92" s="532" t="s">
        <v>1409</v>
      </c>
      <c r="B92" s="533" t="s">
        <v>297</v>
      </c>
      <c r="C92" s="533" t="s">
        <v>44</v>
      </c>
      <c r="D92" s="533" t="s">
        <v>313</v>
      </c>
      <c r="E92" s="533" t="s">
        <v>314</v>
      </c>
      <c r="F92" s="233">
        <v>19</v>
      </c>
      <c r="G92" s="414">
        <v>115</v>
      </c>
      <c r="H92" s="233"/>
      <c r="I92" s="233" t="s">
        <v>306</v>
      </c>
      <c r="J92" s="234">
        <v>43131</v>
      </c>
      <c r="K92" s="233">
        <v>0</v>
      </c>
      <c r="L92" s="233" t="s">
        <v>48</v>
      </c>
      <c r="M92" s="235">
        <v>0.6</v>
      </c>
      <c r="N92" s="235">
        <v>0.5</v>
      </c>
      <c r="O92" s="609">
        <v>0</v>
      </c>
      <c r="P92" s="615">
        <v>2</v>
      </c>
      <c r="Q92" s="615">
        <v>0</v>
      </c>
      <c r="R92" s="604">
        <v>0</v>
      </c>
      <c r="S92" s="604">
        <v>0</v>
      </c>
      <c r="T92" s="604">
        <v>0</v>
      </c>
      <c r="U92" s="604">
        <v>0</v>
      </c>
      <c r="V92" s="604">
        <v>0</v>
      </c>
      <c r="W92" s="604">
        <v>0</v>
      </c>
      <c r="X92" s="604">
        <v>0</v>
      </c>
      <c r="Y92" s="604"/>
      <c r="Z92" s="628">
        <v>5</v>
      </c>
      <c r="AA92" s="628">
        <v>0</v>
      </c>
      <c r="AB92" s="629">
        <v>0</v>
      </c>
      <c r="AC92" s="628">
        <v>0</v>
      </c>
      <c r="AD92" s="628" t="s">
        <v>293</v>
      </c>
      <c r="AE92" s="631" t="s">
        <v>1379</v>
      </c>
      <c r="AF92" s="631"/>
      <c r="AG92" s="628"/>
      <c r="AH92" s="628"/>
      <c r="AI92" s="659">
        <v>0.6</v>
      </c>
      <c r="AJ92" s="650" t="s">
        <v>386</v>
      </c>
      <c r="AK92" s="644">
        <v>0</v>
      </c>
      <c r="AL92" s="645">
        <v>2</v>
      </c>
      <c r="AM92" s="645">
        <v>1</v>
      </c>
      <c r="AN92" s="646">
        <v>0</v>
      </c>
      <c r="AO92" s="647">
        <v>0</v>
      </c>
      <c r="AP92" s="647"/>
      <c r="AQ92" s="658"/>
      <c r="AR92" s="235" t="str">
        <f>IFERROR(WWWW[[#This Row],['# of Water passed at source]]/WWWW[[#This Row],['# of Water tested at source]],"no test")</f>
        <v>no test</v>
      </c>
      <c r="AS92" s="237" t="str">
        <f>IFERROR(WWWW[[#This Row],['# of Water passed at HH]]/WWWW[[#This Row],['# of Water tested at HH]],"no test")</f>
        <v>no test</v>
      </c>
      <c r="AT92" s="237">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U92" s="237">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AV92" s="237">
        <f>IF(WWWW[[#This Row],[Location Type 1]]="Village",WWWW[[#This Row],[Access to safe drinking water for Village]],WWWW[[#This Row],[Access to safe drinking water for Camp]])</f>
        <v>1</v>
      </c>
      <c r="AW92" s="414">
        <f>WWWW[[#This Row],[%Equitable and continuous access to sufficient quantity of safe drinking water]]*WWWW[[#This Row],[Total PoP ]]</f>
        <v>115</v>
      </c>
      <c r="AX92" s="237">
        <f>IF((WWWW[[#This Row],['# Existing protected/fenced ponds ]]*250)/WWWW[[#This Row],[Total PoP ]]&gt;1,1,WWWW[[#This Row],['# Existing protected/fenced ponds ]]*250/WWWW[[#This Row],[Total PoP ]])</f>
        <v>0</v>
      </c>
      <c r="AY92" s="236">
        <f>WWWW[[#This Row],[Access to unimproved water points]]*WWWW[[#This Row],[Total PoP ]]</f>
        <v>0</v>
      </c>
      <c r="AZ92" s="237">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A92" s="414">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115</v>
      </c>
      <c r="BB92" s="414">
        <f>WWWW[[#This Row],['#people Equitable and continuous access to sufficient quantity of domestic water borehole n ponds_2]]/500</f>
        <v>0.23</v>
      </c>
      <c r="BC92" s="235">
        <f>1-WWWW[[#This Row],[%Equitable and continuous access to sufficient quantity of domestic water borehole n ponds]]</f>
        <v>0</v>
      </c>
      <c r="BD92" s="236">
        <f>WWWW[[#This Row],[%equitable and continuous access to sufficient quantity of safe drinking and domestic water''s GAP]]*WWWW[[#This Row],[Total PoP ]]</f>
        <v>0</v>
      </c>
      <c r="BE92" s="238">
        <f>IF(WWWW[[#This Row],[Total required water points]]-WWWW[[#This Row],['#Water points coverage]]&lt;0,0,WWWW[[#This Row],[Total required water points]]-WWWW[[#This Row],['#Water points coverage]])</f>
        <v>0.77</v>
      </c>
      <c r="BF92" s="238">
        <f>ROUND(IF(WWWW[[#This Row],[Total PoP ]]&lt;500,1,WWWW[[#This Row],[Total PoP ]]/500),0)</f>
        <v>1</v>
      </c>
      <c r="BG92" s="238" t="str">
        <f>IF(AND(WWWW[[#This Row],[%of Water samples which passed at water source]]="no test",WWWW[[#This Row],[%Water samples which passed at HH]]="no test"),"No Test","Tested")</f>
        <v>No Test</v>
      </c>
      <c r="BH92" s="238">
        <f>WWWW[[#This Row],['# Existing functional latrines]]+WWWW[[#This Row],['# Existing latrines dysfunctional]]</f>
        <v>5</v>
      </c>
      <c r="BI92" s="235">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0.86956521739130432</v>
      </c>
      <c r="BJ92" s="675">
        <f>WWWW[[#This Row],[% people access to functioning Latrine]]*WWWW[[#This Row],[Total PoP ]]</f>
        <v>100</v>
      </c>
      <c r="BK92" s="235">
        <f>IF(WWWW[[#This Row],[Location Type 1]]="camp",WWWW[[#This Row],['# potential required new latrines]]/(WWWW[[#This Row],[Total PoP ]]/20),WWWW[[#This Row],['# potential required new latrines]]/(WWWW[[#This Row],[Total PoP ]]/6))</f>
        <v>0.17391304347826086</v>
      </c>
      <c r="BL92" s="236">
        <f>IF(WWWW[[#This Row],[Total required Latrines]]-WWWW[[#This Row],[Total '# of latrine]]&lt;0,0,WWWW[[#This Row],[Total required Latrines]]-WWWW[[#This Row],[Total '# of latrine]])</f>
        <v>1</v>
      </c>
      <c r="BM92" s="238">
        <f>ROUND(IF(WWWW[[#This Row],[Location Type 1]]="camp",WWWW[[#This Row],[Total PoP ]]/20,WWWW[[#This Row],[Total PoP ]]/6),0)</f>
        <v>6</v>
      </c>
      <c r="BN92" s="239">
        <f>IF(OR(WWWW[[#This Row],['# Existing latrines dysfunctional]]="",WWWW[[#This Row],['# Existing latrines dysfunctional]]=0),0,WWWW[[#This Row],['# Existing latrines dysfunctional]]/WWWW[[#This Row],[Total '# of latrine]])</f>
        <v>0</v>
      </c>
      <c r="BO92" s="675">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P92" s="235">
        <f>WWWW[[#This Row],[People adopt basic personal and community hygiene practices]]/WWWW[[#This Row],[Total PoP ]]</f>
        <v>0</v>
      </c>
      <c r="BQ92" s="239">
        <f>1-WWWW[[#This Row],[Hygiene Coverage%]]</f>
        <v>1</v>
      </c>
      <c r="BR92" s="414">
        <f>IF(500*WWWW[[#This Row],['# Hygiene Promoters ]]&gt;WWWW[[#This Row],[Total PoP ]],WWWW[[#This Row],[Total PoP ]],500*WWWW[[#This Row],['# Hygiene Promoters ]])</f>
        <v>115</v>
      </c>
      <c r="BS92" s="414">
        <f>IF(WWWW[[#This Row],[% of HH with access to Sanitary Pad]]&gt;=100%,1,0)</f>
        <v>0</v>
      </c>
      <c r="BT92" s="414">
        <f>IF(WWWW[[#This Row],[Total PoP ]]=0,0,IF(WWWW[[#This Row],['# Hygiene Promoters ]]=0,0,IF(WWWW[[#This Row],[Location Type 1]]="Village",IF(WWWW[[#This Row],[Total PoP ]]/WWWW[[#This Row],['# Hygiene Promoters ]]&lt;1000,1,0),IF(WWWW[[#This Row],[Total PoP ]]/WWWW[[#This Row],['# Hygiene Promoters ]]&lt;600,1,0))))</f>
        <v>1</v>
      </c>
      <c r="BU92" s="414">
        <f>IF(WWWW[[#This Row],[%HH with access to soap]]&gt;=100%,1,0)</f>
        <v>0</v>
      </c>
      <c r="BV92" s="414">
        <f>IF(WWWW[[#This Row],[% of HHs with access to Sanitary pad more than '#%]]+WWWW[[#This Row],[Ratio of Hyiene promoters to people less than '#]]+WWWW[[#This Row],[% of HHs with access to soap more than '#%]]&gt;=2,WWWW[[#This Row],[Total PoP ]],0)</f>
        <v>0</v>
      </c>
      <c r="BW92" s="346">
        <f>WWWW[[#This Row],['# people reached by regular dedicated hygiene promotion_5]]/WWWW[[#This Row],[Total PoP ]]</f>
        <v>1</v>
      </c>
      <c r="BX92" s="346">
        <f>IF(WWWW[[#This Row],['# HH received soaps]]/WWWW[[#This Row],[Total HH]]&gt;1,1,WWWW[[#This Row],['# HH received soaps]]/WWWW[[#This Row],[Total HH]])</f>
        <v>0</v>
      </c>
      <c r="BY92" s="346">
        <f>IF(WWWW[[#This Row],['# HH received Sanitary Pads]]/WWWW[[#This Row],[Total HH]]&gt;1,1,WWWW[[#This Row],['# HH received Sanitary Pads]]/WWWW[[#This Row],[Total HH]])</f>
        <v>0</v>
      </c>
      <c r="BZ92" s="720">
        <f>WWWW[[#This Row],['# HH received soaps]]*5</f>
        <v>0</v>
      </c>
      <c r="CA92" s="720">
        <f>WWWW[[#This Row],['# HH received Sanitary Pads]]*5</f>
        <v>0</v>
      </c>
      <c r="CB92" s="238">
        <f>IF(WWWW[[#This Row],['# People with access to soap]]&gt;WWWW[[#This Row],['# People with access to Sanity Pads]],WWWW[[#This Row],['# People with access to soap]],WWWW[[#This Row],['# People with access to Sanity Pads]])</f>
        <v>0</v>
      </c>
      <c r="CC92" s="236">
        <f>WWWW[[#This Row],[Total HH]]*WWWW[[#This Row],[%HHs with access to functional hand washing stations]]</f>
        <v>11.4</v>
      </c>
      <c r="CD92" s="240" t="str">
        <f>VLOOKUP(WWWW[[#This Row],[Site Name]],SiteDB6[],8,FALSE)</f>
        <v>Yes</v>
      </c>
      <c r="CE92" s="240" t="str">
        <f>VLOOKUP(WWWW[[#This Row],[Site Name]],SiteDB6[],9,FALSE)</f>
        <v>KBC</v>
      </c>
      <c r="CF92" s="240" t="str">
        <f>VLOOKUP(WWWW[[#This Row],[Site Name]],SiteDB6[],10,FALSE)</f>
        <v>Camp</v>
      </c>
      <c r="CG92" s="240" t="str">
        <f>VLOOKUP(WWWW[[#This Row],[Site Name]],SiteDB6[],11,FALSE)</f>
        <v>Camp</v>
      </c>
      <c r="CH92" s="240" t="str">
        <f>VLOOKUP(WWWW[[#This Row],[Site Name]],SiteDB6[],12,FALSE)</f>
        <v>Camp</v>
      </c>
      <c r="CI92" s="240" t="str">
        <f>VLOOKUP(WWWW[[#This Row],[Site Name]],SiteDB6[],13,FALSE)</f>
        <v>GCA</v>
      </c>
      <c r="CJ92" s="240">
        <f>VLOOKUP(WWWW[[#This Row],[Site Name]],SiteDB6[],14,FALSE)</f>
        <v>24.998349999999999</v>
      </c>
      <c r="CK92" s="240">
        <f>VLOOKUP(WWWW[[#This Row],[Site Name]],SiteDB6[],15,FALSE)</f>
        <v>96.364949999999993</v>
      </c>
      <c r="CL92" s="240" t="str">
        <f>VLOOKUP(WWWW[[#This Row],[Site Name]],SiteDB6[],4,FALSE)</f>
        <v>MMR001CMP152</v>
      </c>
      <c r="CM92" s="235" t="str">
        <f t="shared" si="1"/>
        <v>Covered</v>
      </c>
      <c r="CN92" s="235"/>
    </row>
    <row r="93" spans="1:92" ht="15.75" customHeight="1" x14ac:dyDescent="0.25">
      <c r="A93" s="532" t="s">
        <v>1409</v>
      </c>
      <c r="B93" s="533" t="s">
        <v>297</v>
      </c>
      <c r="C93" s="533" t="s">
        <v>44</v>
      </c>
      <c r="D93" s="533" t="s">
        <v>340</v>
      </c>
      <c r="E93" s="533" t="s">
        <v>341</v>
      </c>
      <c r="F93" s="233">
        <v>127</v>
      </c>
      <c r="G93" s="414">
        <v>547</v>
      </c>
      <c r="H93" s="233"/>
      <c r="I93" s="233" t="s">
        <v>306</v>
      </c>
      <c r="J93" s="234">
        <v>43131</v>
      </c>
      <c r="K93" s="233">
        <v>0</v>
      </c>
      <c r="L93" s="233" t="s">
        <v>48</v>
      </c>
      <c r="M93" s="235">
        <v>0.5</v>
      </c>
      <c r="N93" s="235">
        <v>0.5</v>
      </c>
      <c r="O93" s="609">
        <v>0</v>
      </c>
      <c r="P93" s="615">
        <v>0</v>
      </c>
      <c r="Q93" s="615">
        <v>0</v>
      </c>
      <c r="R93" s="604">
        <v>0</v>
      </c>
      <c r="S93" s="604">
        <v>0</v>
      </c>
      <c r="T93" s="604">
        <v>0</v>
      </c>
      <c r="U93" s="604">
        <v>0</v>
      </c>
      <c r="V93" s="604">
        <v>0</v>
      </c>
      <c r="W93" s="604">
        <v>0</v>
      </c>
      <c r="X93" s="604">
        <v>0</v>
      </c>
      <c r="Y93" s="604"/>
      <c r="Z93" s="628">
        <v>74</v>
      </c>
      <c r="AA93" s="628">
        <v>0</v>
      </c>
      <c r="AB93" s="629">
        <v>0</v>
      </c>
      <c r="AC93" s="628">
        <v>0</v>
      </c>
      <c r="AD93" s="628" t="s">
        <v>342</v>
      </c>
      <c r="AE93" s="631" t="s">
        <v>293</v>
      </c>
      <c r="AF93" s="631"/>
      <c r="AG93" s="628"/>
      <c r="AH93" s="628"/>
      <c r="AI93" s="659">
        <v>0.2</v>
      </c>
      <c r="AJ93" s="644" t="s">
        <v>294</v>
      </c>
      <c r="AK93" s="644">
        <v>0</v>
      </c>
      <c r="AL93" s="645">
        <v>0</v>
      </c>
      <c r="AM93" s="645">
        <v>2</v>
      </c>
      <c r="AN93" s="646">
        <v>0</v>
      </c>
      <c r="AO93" s="647">
        <v>0</v>
      </c>
      <c r="AP93" s="647"/>
      <c r="AQ93" s="658"/>
      <c r="AR93" s="235" t="str">
        <f>IFERROR(WWWW[[#This Row],['# of Water passed at source]]/WWWW[[#This Row],['# of Water tested at source]],"no test")</f>
        <v>no test</v>
      </c>
      <c r="AS93" s="237" t="str">
        <f>IFERROR(WWWW[[#This Row],['# of Water passed at HH]]/WWWW[[#This Row],['# of Water tested at HH]],"no test")</f>
        <v>no test</v>
      </c>
      <c r="AT93" s="237">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U93" s="237">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AV93" s="237">
        <f>IF(WWWW[[#This Row],[Location Type 1]]="Village",WWWW[[#This Row],[Access to safe drinking water for Village]],WWWW[[#This Row],[Access to safe drinking water for Camp]])</f>
        <v>0</v>
      </c>
      <c r="AW93" s="414">
        <f>WWWW[[#This Row],[%Equitable and continuous access to sufficient quantity of safe drinking water]]*WWWW[[#This Row],[Total PoP ]]</f>
        <v>0</v>
      </c>
      <c r="AX93" s="237">
        <f>IF((WWWW[[#This Row],['# Existing protected/fenced ponds ]]*250)/WWWW[[#This Row],[Total PoP ]]&gt;1,1,WWWW[[#This Row],['# Existing protected/fenced ponds ]]*250/WWWW[[#This Row],[Total PoP ]])</f>
        <v>0</v>
      </c>
      <c r="AY93" s="414">
        <f>WWWW[[#This Row],[Access to unimproved water points]]*WWWW[[#This Row],[Total PoP ]]</f>
        <v>0</v>
      </c>
      <c r="AZ93" s="237">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A93" s="414">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B93" s="414">
        <f>WWWW[[#This Row],['#people Equitable and continuous access to sufficient quantity of domestic water borehole n ponds_2]]/500</f>
        <v>0</v>
      </c>
      <c r="BC93" s="235">
        <f>1-WWWW[[#This Row],[%Equitable and continuous access to sufficient quantity of domestic water borehole n ponds]]</f>
        <v>1</v>
      </c>
      <c r="BD93" s="414">
        <f>WWWW[[#This Row],[%equitable and continuous access to sufficient quantity of safe drinking and domestic water''s GAP]]*WWWW[[#This Row],[Total PoP ]]</f>
        <v>547</v>
      </c>
      <c r="BE93" s="238">
        <f>IF(WWWW[[#This Row],[Total required water points]]-WWWW[[#This Row],['#Water points coverage]]&lt;0,0,WWWW[[#This Row],[Total required water points]]-WWWW[[#This Row],['#Water points coverage]])</f>
        <v>1</v>
      </c>
      <c r="BF93" s="238">
        <f>ROUND(IF(WWWW[[#This Row],[Total PoP ]]&lt;500,1,WWWW[[#This Row],[Total PoP ]]/500),0)</f>
        <v>1</v>
      </c>
      <c r="BG93" s="238" t="str">
        <f>IF(AND(WWWW[[#This Row],[%of Water samples which passed at water source]]="no test",WWWW[[#This Row],[%Water samples which passed at HH]]="no test"),"No Test","Tested")</f>
        <v>No Test</v>
      </c>
      <c r="BH93" s="238">
        <f>WWWW[[#This Row],['# Existing functional latrines]]+WWWW[[#This Row],['# Existing latrines dysfunctional]]</f>
        <v>74</v>
      </c>
      <c r="BI93" s="235">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1</v>
      </c>
      <c r="BJ93" s="675">
        <f>WWWW[[#This Row],[% people access to functioning Latrine]]*WWWW[[#This Row],[Total PoP ]]</f>
        <v>547</v>
      </c>
      <c r="BK93" s="235">
        <f>IF(WWWW[[#This Row],[Location Type 1]]="camp",WWWW[[#This Row],['# potential required new latrines]]/(WWWW[[#This Row],[Total PoP ]]/20),WWWW[[#This Row],['# potential required new latrines]]/(WWWW[[#This Row],[Total PoP ]]/6))</f>
        <v>0</v>
      </c>
      <c r="BL93" s="236">
        <f>IF(WWWW[[#This Row],[Total required Latrines]]-WWWW[[#This Row],[Total '# of latrine]]&lt;0,0,WWWW[[#This Row],[Total required Latrines]]-WWWW[[#This Row],[Total '# of latrine]])</f>
        <v>0</v>
      </c>
      <c r="BM93" s="238">
        <f>ROUND(IF(WWWW[[#This Row],[Location Type 1]]="camp",WWWW[[#This Row],[Total PoP ]]/20,WWWW[[#This Row],[Total PoP ]]/6),0)</f>
        <v>27</v>
      </c>
      <c r="BN93" s="239">
        <f>IF(OR(WWWW[[#This Row],['# Existing latrines dysfunctional]]="",WWWW[[#This Row],['# Existing latrines dysfunctional]]=0),0,WWWW[[#This Row],['# Existing latrines dysfunctional]]/WWWW[[#This Row],[Total '# of latrine]])</f>
        <v>0</v>
      </c>
      <c r="BO93" s="675">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P93" s="235">
        <f>WWWW[[#This Row],[People adopt basic personal and community hygiene practices]]/WWWW[[#This Row],[Total PoP ]]</f>
        <v>0</v>
      </c>
      <c r="BQ93" s="239">
        <f>1-WWWW[[#This Row],[Hygiene Coverage%]]</f>
        <v>1</v>
      </c>
      <c r="BR93" s="414">
        <f>IF(500*WWWW[[#This Row],['# Hygiene Promoters ]]&gt;WWWW[[#This Row],[Total PoP ]],WWWW[[#This Row],[Total PoP ]],500*WWWW[[#This Row],['# Hygiene Promoters ]])</f>
        <v>547</v>
      </c>
      <c r="BS93" s="414">
        <f>IF(WWWW[[#This Row],[% of HH with access to Sanitary Pad]]&gt;=100%,1,0)</f>
        <v>0</v>
      </c>
      <c r="BT93" s="414">
        <f>IF(WWWW[[#This Row],[Total PoP ]]=0,0,IF(WWWW[[#This Row],['# Hygiene Promoters ]]=0,0,IF(WWWW[[#This Row],[Location Type 1]]="Village",IF(WWWW[[#This Row],[Total PoP ]]/WWWW[[#This Row],['# Hygiene Promoters ]]&lt;1000,1,0),IF(WWWW[[#This Row],[Total PoP ]]/WWWW[[#This Row],['# Hygiene Promoters ]]&lt;600,1,0))))</f>
        <v>1</v>
      </c>
      <c r="BU93" s="414">
        <f>IF(WWWW[[#This Row],[%HH with access to soap]]&gt;=100%,1,0)</f>
        <v>0</v>
      </c>
      <c r="BV93" s="414">
        <f>IF(WWWW[[#This Row],[% of HHs with access to Sanitary pad more than '#%]]+WWWW[[#This Row],[Ratio of Hyiene promoters to people less than '#]]+WWWW[[#This Row],[% of HHs with access to soap more than '#%]]&gt;=2,WWWW[[#This Row],[Total PoP ]],0)</f>
        <v>0</v>
      </c>
      <c r="BW93" s="346">
        <f>WWWW[[#This Row],['# people reached by regular dedicated hygiene promotion_5]]/WWWW[[#This Row],[Total PoP ]]</f>
        <v>1</v>
      </c>
      <c r="BX93" s="346">
        <f>IF(WWWW[[#This Row],['# HH received soaps]]/WWWW[[#This Row],[Total HH]]&gt;1,1,WWWW[[#This Row],['# HH received soaps]]/WWWW[[#This Row],[Total HH]])</f>
        <v>0</v>
      </c>
      <c r="BY93" s="346">
        <f>IF(WWWW[[#This Row],['# HH received Sanitary Pads]]/WWWW[[#This Row],[Total HH]]&gt;1,1,WWWW[[#This Row],['# HH received Sanitary Pads]]/WWWW[[#This Row],[Total HH]])</f>
        <v>0</v>
      </c>
      <c r="BZ93" s="720">
        <f>WWWW[[#This Row],['# HH received soaps]]*5</f>
        <v>0</v>
      </c>
      <c r="CA93" s="720">
        <f>WWWW[[#This Row],['# HH received Sanitary Pads]]*5</f>
        <v>0</v>
      </c>
      <c r="CB93" s="238">
        <f>IF(WWWW[[#This Row],['# People with access to soap]]&gt;WWWW[[#This Row],['# People with access to Sanity Pads]],WWWW[[#This Row],['# People with access to soap]],WWWW[[#This Row],['# People with access to Sanity Pads]])</f>
        <v>0</v>
      </c>
      <c r="CC93" s="414">
        <f>WWWW[[#This Row],[Total HH]]*WWWW[[#This Row],[%HHs with access to functional hand washing stations]]</f>
        <v>25.400000000000002</v>
      </c>
      <c r="CD93" s="240" t="str">
        <f>VLOOKUP(WWWW[[#This Row],[Site Name]],SiteDB6[],8,FALSE)</f>
        <v>Yes</v>
      </c>
      <c r="CE93" s="240" t="str">
        <f>VLOOKUP(WWWW[[#This Row],[Site Name]],SiteDB6[],9,FALSE)</f>
        <v>KBC</v>
      </c>
      <c r="CF93" s="240" t="str">
        <f>VLOOKUP(WWWW[[#This Row],[Site Name]],SiteDB6[],10,FALSE)</f>
        <v>Camp</v>
      </c>
      <c r="CG93" s="240" t="str">
        <f>VLOOKUP(WWWW[[#This Row],[Site Name]],SiteDB6[],11,FALSE)</f>
        <v>Camp</v>
      </c>
      <c r="CH93" s="240" t="str">
        <f>VLOOKUP(WWWW[[#This Row],[Site Name]],SiteDB6[],12,FALSE)</f>
        <v>Camp</v>
      </c>
      <c r="CI93" s="240" t="str">
        <f>VLOOKUP(WWWW[[#This Row],[Site Name]],SiteDB6[],13,FALSE)</f>
        <v>NGCA</v>
      </c>
      <c r="CJ93" s="240">
        <f>VLOOKUP(WWWW[[#This Row],[Site Name]],SiteDB6[],14,FALSE)</f>
        <v>26.569633</v>
      </c>
      <c r="CK93" s="240">
        <f>VLOOKUP(WWWW[[#This Row],[Site Name]],SiteDB6[],15,FALSE)</f>
        <v>97.745480999999998</v>
      </c>
      <c r="CL93" s="240" t="str">
        <f>VLOOKUP(WWWW[[#This Row],[Site Name]],SiteDB6[],4,FALSE)</f>
        <v>MMR001CMP238</v>
      </c>
      <c r="CM93" s="235" t="str">
        <f t="shared" si="1"/>
        <v>Covered</v>
      </c>
      <c r="CN93" s="235"/>
    </row>
    <row r="94" spans="1:92" ht="15.75" customHeight="1" x14ac:dyDescent="0.25">
      <c r="A94" s="532" t="s">
        <v>1409</v>
      </c>
      <c r="B94" s="533" t="s">
        <v>451</v>
      </c>
      <c r="C94" s="533" t="s">
        <v>44</v>
      </c>
      <c r="D94" s="533" t="s">
        <v>361</v>
      </c>
      <c r="E94" s="533" t="s">
        <v>455</v>
      </c>
      <c r="F94" s="233">
        <v>353</v>
      </c>
      <c r="G94" s="414">
        <v>1663</v>
      </c>
      <c r="H94" s="233"/>
      <c r="I94" s="233" t="s">
        <v>452</v>
      </c>
      <c r="J94" s="234">
        <v>43100</v>
      </c>
      <c r="K94" s="233">
        <v>0</v>
      </c>
      <c r="L94" s="233" t="s">
        <v>296</v>
      </c>
      <c r="M94" s="235">
        <v>0</v>
      </c>
      <c r="N94" s="235">
        <v>0</v>
      </c>
      <c r="O94" s="609">
        <v>0</v>
      </c>
      <c r="P94" s="615">
        <v>0</v>
      </c>
      <c r="Q94" s="615">
        <v>0</v>
      </c>
      <c r="R94" s="604">
        <v>0</v>
      </c>
      <c r="S94" s="604">
        <v>0</v>
      </c>
      <c r="T94" s="604">
        <v>0</v>
      </c>
      <c r="U94" s="604">
        <v>0</v>
      </c>
      <c r="V94" s="604">
        <v>0</v>
      </c>
      <c r="W94" s="604">
        <v>0</v>
      </c>
      <c r="X94" s="604">
        <v>0</v>
      </c>
      <c r="Y94" s="604"/>
      <c r="Z94" s="628">
        <v>100</v>
      </c>
      <c r="AA94" s="628">
        <v>10</v>
      </c>
      <c r="AB94" s="629">
        <v>0</v>
      </c>
      <c r="AC94" s="628">
        <v>0</v>
      </c>
      <c r="AD94" s="628" t="s">
        <v>342</v>
      </c>
      <c r="AE94" s="631" t="s">
        <v>342</v>
      </c>
      <c r="AF94" s="631">
        <v>0</v>
      </c>
      <c r="AG94" s="628">
        <v>0</v>
      </c>
      <c r="AH94" s="628"/>
      <c r="AI94" s="659">
        <v>0.24</v>
      </c>
      <c r="AJ94" s="644" t="s">
        <v>301</v>
      </c>
      <c r="AK94" s="644">
        <v>0</v>
      </c>
      <c r="AL94" s="645">
        <v>16</v>
      </c>
      <c r="AM94" s="645"/>
      <c r="AN94" s="646">
        <v>318</v>
      </c>
      <c r="AO94" s="647">
        <v>0</v>
      </c>
      <c r="AP94" s="647" t="s">
        <v>292</v>
      </c>
      <c r="AQ94" s="658"/>
      <c r="AR94" s="235" t="str">
        <f>IFERROR(WWWW[[#This Row],['# of Water passed at source]]/WWWW[[#This Row],['# of Water tested at source]],"no test")</f>
        <v>no test</v>
      </c>
      <c r="AS94" s="237" t="str">
        <f>IFERROR(WWWW[[#This Row],['# of Water passed at HH]]/WWWW[[#This Row],['# of Water tested at HH]],"no test")</f>
        <v>no test</v>
      </c>
      <c r="AT94" s="237">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U94" s="237">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AV94" s="237">
        <f>IF(WWWW[[#This Row],[Location Type 1]]="Village",WWWW[[#This Row],[Access to safe drinking water for Village]],WWWW[[#This Row],[Access to safe drinking water for Camp]])</f>
        <v>0</v>
      </c>
      <c r="AW94" s="414">
        <f>WWWW[[#This Row],[%Equitable and continuous access to sufficient quantity of safe drinking water]]*WWWW[[#This Row],[Total PoP ]]</f>
        <v>0</v>
      </c>
      <c r="AX94" s="237">
        <f>IF((WWWW[[#This Row],['# Existing protected/fenced ponds ]]*250)/WWWW[[#This Row],[Total PoP ]]&gt;1,1,WWWW[[#This Row],['# Existing protected/fenced ponds ]]*250/WWWW[[#This Row],[Total PoP ]])</f>
        <v>0</v>
      </c>
      <c r="AY94" s="414">
        <f>WWWW[[#This Row],[Access to unimproved water points]]*WWWW[[#This Row],[Total PoP ]]</f>
        <v>0</v>
      </c>
      <c r="AZ94" s="237">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A94" s="414">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B94" s="414">
        <f>WWWW[[#This Row],['#people Equitable and continuous access to sufficient quantity of domestic water borehole n ponds_2]]/500</f>
        <v>0</v>
      </c>
      <c r="BC94" s="235">
        <f>1-WWWW[[#This Row],[%Equitable and continuous access to sufficient quantity of domestic water borehole n ponds]]</f>
        <v>1</v>
      </c>
      <c r="BD94" s="414">
        <f>WWWW[[#This Row],[%equitable and continuous access to sufficient quantity of safe drinking and domestic water''s GAP]]*WWWW[[#This Row],[Total PoP ]]</f>
        <v>1663</v>
      </c>
      <c r="BE94" s="238">
        <f>IF(WWWW[[#This Row],[Total required water points]]-WWWW[[#This Row],['#Water points coverage]]&lt;0,0,WWWW[[#This Row],[Total required water points]]-WWWW[[#This Row],['#Water points coverage]])</f>
        <v>3</v>
      </c>
      <c r="BF94" s="238">
        <f>ROUND(IF(WWWW[[#This Row],[Total PoP ]]&lt;500,1,WWWW[[#This Row],[Total PoP ]]/500),0)</f>
        <v>3</v>
      </c>
      <c r="BG94" s="238" t="str">
        <f>IF(AND(WWWW[[#This Row],[%of Water samples which passed at water source]]="no test",WWWW[[#This Row],[%Water samples which passed at HH]]="no test"),"No Test","Tested")</f>
        <v>No Test</v>
      </c>
      <c r="BH94" s="238">
        <f>WWWW[[#This Row],['# Existing functional latrines]]+WWWW[[#This Row],['# Existing latrines dysfunctional]]</f>
        <v>110</v>
      </c>
      <c r="BI94" s="235">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1</v>
      </c>
      <c r="BJ94" s="675">
        <f>WWWW[[#This Row],[% people access to functioning Latrine]]*WWWW[[#This Row],[Total PoP ]]</f>
        <v>1663</v>
      </c>
      <c r="BK94" s="235">
        <f>IF(WWWW[[#This Row],[Location Type 1]]="camp",WWWW[[#This Row],['# potential required new latrines]]/(WWWW[[#This Row],[Total PoP ]]/20),WWWW[[#This Row],['# potential required new latrines]]/(WWWW[[#This Row],[Total PoP ]]/6))</f>
        <v>0</v>
      </c>
      <c r="BL94" s="414">
        <f>IF(WWWW[[#This Row],[Total required Latrines]]-WWWW[[#This Row],[Total '# of latrine]]&lt;0,0,WWWW[[#This Row],[Total required Latrines]]-WWWW[[#This Row],[Total '# of latrine]])</f>
        <v>0</v>
      </c>
      <c r="BM94" s="238">
        <f>ROUND(IF(WWWW[[#This Row],[Location Type 1]]="camp",WWWW[[#This Row],[Total PoP ]]/20,WWWW[[#This Row],[Total PoP ]]/6),0)</f>
        <v>83</v>
      </c>
      <c r="BN94" s="239">
        <f>IF(OR(WWWW[[#This Row],['# Existing latrines dysfunctional]]="",WWWW[[#This Row],['# Existing latrines dysfunctional]]=0),0,WWWW[[#This Row],['# Existing latrines dysfunctional]]/WWWW[[#This Row],[Total '# of latrine]])</f>
        <v>9.0909090909090912E-2</v>
      </c>
      <c r="BO94" s="675">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P94" s="235">
        <f>WWWW[[#This Row],[People adopt basic personal and community hygiene practices]]/WWWW[[#This Row],[Total PoP ]]</f>
        <v>0</v>
      </c>
      <c r="BQ94" s="239">
        <f>1-WWWW[[#This Row],[Hygiene Coverage%]]</f>
        <v>1</v>
      </c>
      <c r="BR94" s="414">
        <f>IF(500*WWWW[[#This Row],['# Hygiene Promoters ]]&gt;WWWW[[#This Row],[Total PoP ]],WWWW[[#This Row],[Total PoP ]],500*WWWW[[#This Row],['# Hygiene Promoters ]])</f>
        <v>0</v>
      </c>
      <c r="BS94" s="414">
        <f>IF(WWWW[[#This Row],[% of HH with access to Sanitary Pad]]&gt;=100%,1,0)</f>
        <v>0</v>
      </c>
      <c r="BT94" s="414">
        <f>IF(WWWW[[#This Row],[Total PoP ]]=0,0,IF(WWWW[[#This Row],['# Hygiene Promoters ]]=0,0,IF(WWWW[[#This Row],[Location Type 1]]="Village",IF(WWWW[[#This Row],[Total PoP ]]/WWWW[[#This Row],['# Hygiene Promoters ]]&lt;1000,1,0),IF(WWWW[[#This Row],[Total PoP ]]/WWWW[[#This Row],['# Hygiene Promoters ]]&lt;600,1,0))))</f>
        <v>0</v>
      </c>
      <c r="BU94" s="414">
        <f>IF(WWWW[[#This Row],[%HH with access to soap]]&gt;=100%,1,0)</f>
        <v>0</v>
      </c>
      <c r="BV94" s="414">
        <f>IF(WWWW[[#This Row],[% of HHs with access to Sanitary pad more than '#%]]+WWWW[[#This Row],[Ratio of Hyiene promoters to people less than '#]]+WWWW[[#This Row],[% of HHs with access to soap more than '#%]]&gt;=2,WWWW[[#This Row],[Total PoP ]],0)</f>
        <v>0</v>
      </c>
      <c r="BW94" s="346">
        <f>WWWW[[#This Row],['# people reached by regular dedicated hygiene promotion_5]]/WWWW[[#This Row],[Total PoP ]]</f>
        <v>0</v>
      </c>
      <c r="BX94" s="346">
        <f>IF(WWWW[[#This Row],['# HH received soaps]]/WWWW[[#This Row],[Total HH]]&gt;1,1,WWWW[[#This Row],['# HH received soaps]]/WWWW[[#This Row],[Total HH]])</f>
        <v>0.90084985835694054</v>
      </c>
      <c r="BY94" s="346">
        <f>IF(WWWW[[#This Row],['# HH received Sanitary Pads]]/WWWW[[#This Row],[Total HH]]&gt;1,1,WWWW[[#This Row],['# HH received Sanitary Pads]]/WWWW[[#This Row],[Total HH]])</f>
        <v>0</v>
      </c>
      <c r="BZ94" s="720">
        <f>WWWW[[#This Row],['# HH received soaps]]*5</f>
        <v>1590</v>
      </c>
      <c r="CA94" s="720">
        <f>WWWW[[#This Row],['# HH received Sanitary Pads]]*5</f>
        <v>0</v>
      </c>
      <c r="CB94" s="238">
        <f>IF(WWWW[[#This Row],['# People with access to soap]]&gt;WWWW[[#This Row],['# People with access to Sanity Pads]],WWWW[[#This Row],['# People with access to soap]],WWWW[[#This Row],['# People with access to Sanity Pads]])</f>
        <v>1590</v>
      </c>
      <c r="CC94" s="414">
        <f>WWWW[[#This Row],[Total HH]]*WWWW[[#This Row],[%HHs with access to functional hand washing stations]]</f>
        <v>84.72</v>
      </c>
      <c r="CD94" s="240" t="str">
        <f>VLOOKUP(WWWW[[#This Row],[Site Name]],SiteDB6[],8,FALSE)</f>
        <v>Yes</v>
      </c>
      <c r="CE94" s="240" t="str">
        <f>VLOOKUP(WWWW[[#This Row],[Site Name]],SiteDB6[],9,FALSE)</f>
        <v>KMSS-BMO</v>
      </c>
      <c r="CF94" s="240" t="str">
        <f>VLOOKUP(WWWW[[#This Row],[Site Name]],SiteDB6[],10,FALSE)</f>
        <v>Camp</v>
      </c>
      <c r="CG94" s="240" t="str">
        <f>VLOOKUP(WWWW[[#This Row],[Site Name]],SiteDB6[],11,FALSE)</f>
        <v>Camp</v>
      </c>
      <c r="CH94" s="240" t="str">
        <f>VLOOKUP(WWWW[[#This Row],[Site Name]],SiteDB6[],12,FALSE)</f>
        <v>Camp</v>
      </c>
      <c r="CI94" s="240" t="str">
        <f>VLOOKUP(WWWW[[#This Row],[Site Name]],SiteDB6[],13,FALSE)</f>
        <v>NGCA</v>
      </c>
      <c r="CJ94" s="240">
        <f>VLOOKUP(WWWW[[#This Row],[Site Name]],SiteDB6[],14,FALSE)</f>
        <v>24.378167000000001</v>
      </c>
      <c r="CK94" s="240">
        <f>VLOOKUP(WWWW[[#This Row],[Site Name]],SiteDB6[],15,FALSE)</f>
        <v>97.669366999999994</v>
      </c>
      <c r="CL94" s="240" t="str">
        <f>VLOOKUP(WWWW[[#This Row],[Site Name]],SiteDB6[],4,FALSE)</f>
        <v>MMR001CMP131</v>
      </c>
      <c r="CM94" s="235" t="str">
        <f t="shared" si="1"/>
        <v>Covered</v>
      </c>
      <c r="CN94" s="235"/>
    </row>
    <row r="95" spans="1:92" ht="15.75" customHeight="1" x14ac:dyDescent="0.25">
      <c r="A95" s="532" t="s">
        <v>1409</v>
      </c>
      <c r="B95" s="533" t="s">
        <v>297</v>
      </c>
      <c r="C95" s="533" t="s">
        <v>44</v>
      </c>
      <c r="D95" s="533" t="s">
        <v>315</v>
      </c>
      <c r="E95" s="533" t="s">
        <v>323</v>
      </c>
      <c r="F95" s="233">
        <v>67</v>
      </c>
      <c r="G95" s="414">
        <v>295</v>
      </c>
      <c r="H95" s="233"/>
      <c r="I95" s="233" t="s">
        <v>300</v>
      </c>
      <c r="J95" s="234">
        <v>43555</v>
      </c>
      <c r="K95" s="233">
        <v>0</v>
      </c>
      <c r="L95" s="233" t="s">
        <v>48</v>
      </c>
      <c r="M95" s="235">
        <v>0.6</v>
      </c>
      <c r="N95" s="235">
        <v>0.5</v>
      </c>
      <c r="O95" s="609">
        <v>1</v>
      </c>
      <c r="P95" s="615">
        <v>2</v>
      </c>
      <c r="Q95" s="615">
        <v>1500</v>
      </c>
      <c r="R95" s="604">
        <v>0</v>
      </c>
      <c r="S95" s="604">
        <v>0</v>
      </c>
      <c r="T95" s="604">
        <v>0</v>
      </c>
      <c r="U95" s="604">
        <v>0</v>
      </c>
      <c r="V95" s="604">
        <v>0</v>
      </c>
      <c r="W95" s="604">
        <v>0</v>
      </c>
      <c r="X95" s="604">
        <v>0</v>
      </c>
      <c r="Y95" s="604"/>
      <c r="Z95" s="628">
        <v>10</v>
      </c>
      <c r="AA95" s="628">
        <v>0</v>
      </c>
      <c r="AB95" s="629">
        <v>8</v>
      </c>
      <c r="AC95" s="628">
        <v>0</v>
      </c>
      <c r="AD95" s="628" t="s">
        <v>293</v>
      </c>
      <c r="AE95" s="631" t="s">
        <v>293</v>
      </c>
      <c r="AF95" s="631"/>
      <c r="AG95" s="628"/>
      <c r="AH95" s="628"/>
      <c r="AI95" s="659">
        <v>0.6</v>
      </c>
      <c r="AJ95" s="650" t="s">
        <v>386</v>
      </c>
      <c r="AK95" s="644">
        <v>0</v>
      </c>
      <c r="AL95" s="645">
        <v>2</v>
      </c>
      <c r="AM95" s="645">
        <v>1</v>
      </c>
      <c r="AN95" s="646">
        <v>0</v>
      </c>
      <c r="AO95" s="647">
        <v>0</v>
      </c>
      <c r="AP95" s="647"/>
      <c r="AQ95" s="658"/>
      <c r="AR95" s="235" t="str">
        <f>IFERROR(WWWW[[#This Row],['# of Water passed at source]]/WWWW[[#This Row],['# of Water tested at source]],"no test")</f>
        <v>no test</v>
      </c>
      <c r="AS95" s="237" t="str">
        <f>IFERROR(WWWW[[#This Row],['# of Water passed at HH]]/WWWW[[#This Row],['# of Water tested at HH]],"no test")</f>
        <v>no test</v>
      </c>
      <c r="AT95" s="237">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U95" s="237">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AV95" s="237">
        <f>IF(WWWW[[#This Row],[Location Type 1]]="Village",WWWW[[#This Row],[Access to safe drinking water for Village]],WWWW[[#This Row],[Access to safe drinking water for Camp]])</f>
        <v>1</v>
      </c>
      <c r="AW95" s="414">
        <f>WWWW[[#This Row],[%Equitable and continuous access to sufficient quantity of safe drinking water]]*WWWW[[#This Row],[Total PoP ]]</f>
        <v>295</v>
      </c>
      <c r="AX95" s="237">
        <f>IF((WWWW[[#This Row],['# Existing protected/fenced ponds ]]*250)/WWWW[[#This Row],[Total PoP ]]&gt;1,1,WWWW[[#This Row],['# Existing protected/fenced ponds ]]*250/WWWW[[#This Row],[Total PoP ]])</f>
        <v>0</v>
      </c>
      <c r="AY95" s="414">
        <f>WWWW[[#This Row],[Access to unimproved water points]]*WWWW[[#This Row],[Total PoP ]]</f>
        <v>0</v>
      </c>
      <c r="AZ95" s="237">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A95" s="414">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295</v>
      </c>
      <c r="BB95" s="414">
        <f>WWWW[[#This Row],['#people Equitable and continuous access to sufficient quantity of domestic water borehole n ponds_2]]/500</f>
        <v>0.59</v>
      </c>
      <c r="BC95" s="235">
        <f>1-WWWW[[#This Row],[%Equitable and continuous access to sufficient quantity of domestic water borehole n ponds]]</f>
        <v>0</v>
      </c>
      <c r="BD95" s="414">
        <f>WWWW[[#This Row],[%equitable and continuous access to sufficient quantity of safe drinking and domestic water''s GAP]]*WWWW[[#This Row],[Total PoP ]]</f>
        <v>0</v>
      </c>
      <c r="BE95" s="238">
        <f>IF(WWWW[[#This Row],[Total required water points]]-WWWW[[#This Row],['#Water points coverage]]&lt;0,0,WWWW[[#This Row],[Total required water points]]-WWWW[[#This Row],['#Water points coverage]])</f>
        <v>0.41000000000000003</v>
      </c>
      <c r="BF95" s="238">
        <f>ROUND(IF(WWWW[[#This Row],[Total PoP ]]&lt;500,1,WWWW[[#This Row],[Total PoP ]]/500),0)</f>
        <v>1</v>
      </c>
      <c r="BG95" s="238" t="str">
        <f>IF(AND(WWWW[[#This Row],[%of Water samples which passed at water source]]="no test",WWWW[[#This Row],[%Water samples which passed at HH]]="no test"),"No Test","Tested")</f>
        <v>No Test</v>
      </c>
      <c r="BH95" s="238">
        <f>WWWW[[#This Row],['# Existing functional latrines]]+WWWW[[#This Row],['# Existing latrines dysfunctional]]</f>
        <v>10</v>
      </c>
      <c r="BI95" s="235">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0.67796610169491522</v>
      </c>
      <c r="BJ95" s="675">
        <f>WWWW[[#This Row],[% people access to functioning Latrine]]*WWWW[[#This Row],[Total PoP ]]</f>
        <v>200</v>
      </c>
      <c r="BK95" s="235">
        <f>IF(WWWW[[#This Row],[Location Type 1]]="camp",WWWW[[#This Row],['# potential required new latrines]]/(WWWW[[#This Row],[Total PoP ]]/20),WWWW[[#This Row],['# potential required new latrines]]/(WWWW[[#This Row],[Total PoP ]]/6))</f>
        <v>0.33898305084745761</v>
      </c>
      <c r="BL95" s="414">
        <f>IF(WWWW[[#This Row],[Total required Latrines]]-WWWW[[#This Row],[Total '# of latrine]]&lt;0,0,WWWW[[#This Row],[Total required Latrines]]-WWWW[[#This Row],[Total '# of latrine]])</f>
        <v>5</v>
      </c>
      <c r="BM95" s="238">
        <f>ROUND(IF(WWWW[[#This Row],[Location Type 1]]="camp",WWWW[[#This Row],[Total PoP ]]/20,WWWW[[#This Row],[Total PoP ]]/6),0)</f>
        <v>15</v>
      </c>
      <c r="BN95" s="239">
        <f>IF(OR(WWWW[[#This Row],['# Existing latrines dysfunctional]]="",WWWW[[#This Row],['# Existing latrines dysfunctional]]=0),0,WWWW[[#This Row],['# Existing latrines dysfunctional]]/WWWW[[#This Row],[Total '# of latrine]])</f>
        <v>0</v>
      </c>
      <c r="BO95" s="675">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160</v>
      </c>
      <c r="BP95" s="235">
        <f>WWWW[[#This Row],[People adopt basic personal and community hygiene practices]]/WWWW[[#This Row],[Total PoP ]]</f>
        <v>0</v>
      </c>
      <c r="BQ95" s="239">
        <f>1-WWWW[[#This Row],[Hygiene Coverage%]]</f>
        <v>1</v>
      </c>
      <c r="BR95" s="414">
        <f>IF(500*WWWW[[#This Row],['# Hygiene Promoters ]]&gt;WWWW[[#This Row],[Total PoP ]],WWWW[[#This Row],[Total PoP ]],500*WWWW[[#This Row],['# Hygiene Promoters ]])</f>
        <v>295</v>
      </c>
      <c r="BS95" s="414">
        <f>IF(WWWW[[#This Row],[% of HH with access to Sanitary Pad]]&gt;=100%,1,0)</f>
        <v>0</v>
      </c>
      <c r="BT95" s="414">
        <f>IF(WWWW[[#This Row],[Total PoP ]]=0,0,IF(WWWW[[#This Row],['# Hygiene Promoters ]]=0,0,IF(WWWW[[#This Row],[Location Type 1]]="Village",IF(WWWW[[#This Row],[Total PoP ]]/WWWW[[#This Row],['# Hygiene Promoters ]]&lt;1000,1,0),IF(WWWW[[#This Row],[Total PoP ]]/WWWW[[#This Row],['# Hygiene Promoters ]]&lt;600,1,0))))</f>
        <v>1</v>
      </c>
      <c r="BU95" s="414">
        <f>IF(WWWW[[#This Row],[%HH with access to soap]]&gt;=100%,1,0)</f>
        <v>0</v>
      </c>
      <c r="BV95" s="414">
        <f>IF(WWWW[[#This Row],[% of HHs with access to Sanitary pad more than '#%]]+WWWW[[#This Row],[Ratio of Hyiene promoters to people less than '#]]+WWWW[[#This Row],[% of HHs with access to soap more than '#%]]&gt;=2,WWWW[[#This Row],[Total PoP ]],0)</f>
        <v>0</v>
      </c>
      <c r="BW95" s="346">
        <f>WWWW[[#This Row],['# people reached by regular dedicated hygiene promotion_5]]/WWWW[[#This Row],[Total PoP ]]</f>
        <v>1</v>
      </c>
      <c r="BX95" s="346">
        <f>IF(WWWW[[#This Row],['# HH received soaps]]/WWWW[[#This Row],[Total HH]]&gt;1,1,WWWW[[#This Row],['# HH received soaps]]/WWWW[[#This Row],[Total HH]])</f>
        <v>0</v>
      </c>
      <c r="BY95" s="346">
        <f>IF(WWWW[[#This Row],['# HH received Sanitary Pads]]/WWWW[[#This Row],[Total HH]]&gt;1,1,WWWW[[#This Row],['# HH received Sanitary Pads]]/WWWW[[#This Row],[Total HH]])</f>
        <v>0</v>
      </c>
      <c r="BZ95" s="720">
        <f>WWWW[[#This Row],['# HH received soaps]]*5</f>
        <v>0</v>
      </c>
      <c r="CA95" s="720">
        <f>WWWW[[#This Row],['# HH received Sanitary Pads]]*5</f>
        <v>0</v>
      </c>
      <c r="CB95" s="238">
        <f>IF(WWWW[[#This Row],['# People with access to soap]]&gt;WWWW[[#This Row],['# People with access to Sanity Pads]],WWWW[[#This Row],['# People with access to soap]],WWWW[[#This Row],['# People with access to Sanity Pads]])</f>
        <v>0</v>
      </c>
      <c r="CC95" s="414">
        <f>WWWW[[#This Row],[Total HH]]*WWWW[[#This Row],[%HHs with access to functional hand washing stations]]</f>
        <v>40.199999999999996</v>
      </c>
      <c r="CD95" s="240" t="str">
        <f>VLOOKUP(WWWW[[#This Row],[Site Name]],SiteDB6[],8,FALSE)</f>
        <v>Yes</v>
      </c>
      <c r="CE95" s="240" t="str">
        <f>VLOOKUP(WWWW[[#This Row],[Site Name]],SiteDB6[],9,FALSE)</f>
        <v>KBC</v>
      </c>
      <c r="CF95" s="240" t="str">
        <f>VLOOKUP(WWWW[[#This Row],[Site Name]],SiteDB6[],10,FALSE)</f>
        <v>Camp</v>
      </c>
      <c r="CG95" s="240" t="str">
        <f>VLOOKUP(WWWW[[#This Row],[Site Name]],SiteDB6[],11,FALSE)</f>
        <v>Camp</v>
      </c>
      <c r="CH95" s="240" t="str">
        <f>VLOOKUP(WWWW[[#This Row],[Site Name]],SiteDB6[],12,FALSE)</f>
        <v>Camp</v>
      </c>
      <c r="CI95" s="240" t="str">
        <f>VLOOKUP(WWWW[[#This Row],[Site Name]],SiteDB6[],13,FALSE)</f>
        <v>GCA</v>
      </c>
      <c r="CJ95" s="240">
        <f>VLOOKUP(WWWW[[#This Row],[Site Name]],SiteDB6[],14,FALSE)</f>
        <v>25.422194000000001</v>
      </c>
      <c r="CK95" s="240">
        <f>VLOOKUP(WWWW[[#This Row],[Site Name]],SiteDB6[],15,FALSE)</f>
        <v>97.394547000000003</v>
      </c>
      <c r="CL95" s="240" t="str">
        <f>VLOOKUP(WWWW[[#This Row],[Site Name]],SiteDB6[],4,FALSE)</f>
        <v>MMR001CMP002</v>
      </c>
      <c r="CM95" s="235" t="str">
        <f t="shared" si="1"/>
        <v>Covered</v>
      </c>
      <c r="CN95" s="235"/>
    </row>
    <row r="96" spans="1:92" ht="15.75" customHeight="1" x14ac:dyDescent="0.25">
      <c r="A96" s="532" t="s">
        <v>1409</v>
      </c>
      <c r="B96" s="533" t="s">
        <v>436</v>
      </c>
      <c r="C96" s="533" t="s">
        <v>44</v>
      </c>
      <c r="D96" s="533" t="s">
        <v>361</v>
      </c>
      <c r="E96" s="533" t="s">
        <v>444</v>
      </c>
      <c r="F96" s="233">
        <v>49</v>
      </c>
      <c r="G96" s="414">
        <v>300</v>
      </c>
      <c r="H96" s="233"/>
      <c r="I96" s="233" t="s">
        <v>401</v>
      </c>
      <c r="J96" s="234">
        <v>43220</v>
      </c>
      <c r="K96" s="233">
        <v>0</v>
      </c>
      <c r="L96" s="233" t="s">
        <v>48</v>
      </c>
      <c r="M96" s="235">
        <v>0.5</v>
      </c>
      <c r="N96" s="235">
        <v>0</v>
      </c>
      <c r="O96" s="609">
        <v>2</v>
      </c>
      <c r="P96" s="615">
        <v>0</v>
      </c>
      <c r="Q96" s="615">
        <v>12000</v>
      </c>
      <c r="R96" s="604">
        <v>0</v>
      </c>
      <c r="S96" s="604">
        <v>0</v>
      </c>
      <c r="T96" s="604"/>
      <c r="U96" s="604">
        <v>0</v>
      </c>
      <c r="V96" s="604">
        <v>3</v>
      </c>
      <c r="W96" s="604">
        <v>3</v>
      </c>
      <c r="X96" s="604">
        <v>0</v>
      </c>
      <c r="Y96" s="604"/>
      <c r="Z96" s="628">
        <v>22</v>
      </c>
      <c r="AA96" s="628">
        <v>0</v>
      </c>
      <c r="AB96" s="629">
        <v>16</v>
      </c>
      <c r="AC96" s="628">
        <v>0</v>
      </c>
      <c r="AD96" s="628" t="s">
        <v>293</v>
      </c>
      <c r="AE96" s="631" t="s">
        <v>293</v>
      </c>
      <c r="AF96" s="631">
        <v>0</v>
      </c>
      <c r="AG96" s="628">
        <v>0</v>
      </c>
      <c r="AH96" s="628"/>
      <c r="AI96" s="659">
        <v>1</v>
      </c>
      <c r="AJ96" s="644" t="s">
        <v>301</v>
      </c>
      <c r="AK96" s="644">
        <v>0</v>
      </c>
      <c r="AL96" s="645">
        <v>3</v>
      </c>
      <c r="AM96" s="645">
        <v>1</v>
      </c>
      <c r="AN96" s="646">
        <v>36</v>
      </c>
      <c r="AO96" s="647">
        <v>0</v>
      </c>
      <c r="AP96" s="647" t="s">
        <v>292</v>
      </c>
      <c r="AQ96" s="658"/>
      <c r="AR96" s="235" t="str">
        <f>IFERROR(WWWW[[#This Row],['# of Water passed at source]]/WWWW[[#This Row],['# of Water tested at source]],"no test")</f>
        <v>no test</v>
      </c>
      <c r="AS96" s="237">
        <f>IFERROR(WWWW[[#This Row],['# of Water passed at HH]]/WWWW[[#This Row],['# of Water tested at HH]],"no test")</f>
        <v>1</v>
      </c>
      <c r="AT96" s="237">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U96" s="237">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AV96" s="237">
        <f>IF(WWWW[[#This Row],[Location Type 1]]="Village",WWWW[[#This Row],[Access to safe drinking water for Village]],WWWW[[#This Row],[Access to safe drinking water for Camp]])</f>
        <v>1</v>
      </c>
      <c r="AW96" s="414">
        <f>WWWW[[#This Row],[%Equitable and continuous access to sufficient quantity of safe drinking water]]*WWWW[[#This Row],[Total PoP ]]</f>
        <v>300</v>
      </c>
      <c r="AX96" s="237">
        <f>IF((WWWW[[#This Row],['# Existing protected/fenced ponds ]]*250)/WWWW[[#This Row],[Total PoP ]]&gt;1,1,WWWW[[#This Row],['# Existing protected/fenced ponds ]]*250/WWWW[[#This Row],[Total PoP ]])</f>
        <v>0</v>
      </c>
      <c r="AY96" s="236">
        <f>WWWW[[#This Row],[Access to unimproved water points]]*WWWW[[#This Row],[Total PoP ]]</f>
        <v>0</v>
      </c>
      <c r="AZ96" s="237">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A96" s="414">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300</v>
      </c>
      <c r="BB96" s="414">
        <f>WWWW[[#This Row],['#people Equitable and continuous access to sufficient quantity of domestic water borehole n ponds_2]]/500</f>
        <v>0.6</v>
      </c>
      <c r="BC96" s="235">
        <f>1-WWWW[[#This Row],[%Equitable and continuous access to sufficient quantity of domestic water borehole n ponds]]</f>
        <v>0</v>
      </c>
      <c r="BD96" s="236">
        <f>WWWW[[#This Row],[%equitable and continuous access to sufficient quantity of safe drinking and domestic water''s GAP]]*WWWW[[#This Row],[Total PoP ]]</f>
        <v>0</v>
      </c>
      <c r="BE96" s="238">
        <f>IF(WWWW[[#This Row],[Total required water points]]-WWWW[[#This Row],['#Water points coverage]]&lt;0,0,WWWW[[#This Row],[Total required water points]]-WWWW[[#This Row],['#Water points coverage]])</f>
        <v>0.4</v>
      </c>
      <c r="BF96" s="238">
        <f>ROUND(IF(WWWW[[#This Row],[Total PoP ]]&lt;500,1,WWWW[[#This Row],[Total PoP ]]/500),0)</f>
        <v>1</v>
      </c>
      <c r="BG96" s="238" t="str">
        <f>IF(AND(WWWW[[#This Row],[%of Water samples which passed at water source]]="no test",WWWW[[#This Row],[%Water samples which passed at HH]]="no test"),"No Test","Tested")</f>
        <v>Tested</v>
      </c>
      <c r="BH96" s="238">
        <f>WWWW[[#This Row],['# Existing functional latrines]]+WWWW[[#This Row],['# Existing latrines dysfunctional]]</f>
        <v>22</v>
      </c>
      <c r="BI96" s="235">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1</v>
      </c>
      <c r="BJ96" s="675">
        <f>WWWW[[#This Row],[% people access to functioning Latrine]]*WWWW[[#This Row],[Total PoP ]]</f>
        <v>300</v>
      </c>
      <c r="BK96" s="235">
        <f>IF(WWWW[[#This Row],[Location Type 1]]="camp",WWWW[[#This Row],['# potential required new latrines]]/(WWWW[[#This Row],[Total PoP ]]/20),WWWW[[#This Row],['# potential required new latrines]]/(WWWW[[#This Row],[Total PoP ]]/6))</f>
        <v>0</v>
      </c>
      <c r="BL96" s="236">
        <f>IF(WWWW[[#This Row],[Total required Latrines]]-WWWW[[#This Row],[Total '# of latrine]]&lt;0,0,WWWW[[#This Row],[Total required Latrines]]-WWWW[[#This Row],[Total '# of latrine]])</f>
        <v>0</v>
      </c>
      <c r="BM96" s="238">
        <f>ROUND(IF(WWWW[[#This Row],[Location Type 1]]="camp",WWWW[[#This Row],[Total PoP ]]/20,WWWW[[#This Row],[Total PoP ]]/6),0)</f>
        <v>15</v>
      </c>
      <c r="BN96" s="239">
        <f>IF(OR(WWWW[[#This Row],['# Existing latrines dysfunctional]]="",WWWW[[#This Row],['# Existing latrines dysfunctional]]=0),0,WWWW[[#This Row],['# Existing latrines dysfunctional]]/WWWW[[#This Row],[Total '# of latrine]])</f>
        <v>0</v>
      </c>
      <c r="BO96" s="675">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300</v>
      </c>
      <c r="BP96" s="235">
        <f>WWWW[[#This Row],[People adopt basic personal and community hygiene practices]]/WWWW[[#This Row],[Total PoP ]]</f>
        <v>0</v>
      </c>
      <c r="BQ96" s="239">
        <f>1-WWWW[[#This Row],[Hygiene Coverage%]]</f>
        <v>1</v>
      </c>
      <c r="BR96" s="414">
        <f>IF(500*WWWW[[#This Row],['# Hygiene Promoters ]]&gt;WWWW[[#This Row],[Total PoP ]],WWWW[[#This Row],[Total PoP ]],500*WWWW[[#This Row],['# Hygiene Promoters ]])</f>
        <v>300</v>
      </c>
      <c r="BS96" s="414">
        <f>IF(WWWW[[#This Row],[% of HH with access to Sanitary Pad]]&gt;=100%,1,0)</f>
        <v>0</v>
      </c>
      <c r="BT96" s="414">
        <f>IF(WWWW[[#This Row],[Total PoP ]]=0,0,IF(WWWW[[#This Row],['# Hygiene Promoters ]]=0,0,IF(WWWW[[#This Row],[Location Type 1]]="Village",IF(WWWW[[#This Row],[Total PoP ]]/WWWW[[#This Row],['# Hygiene Promoters ]]&lt;1000,1,0),IF(WWWW[[#This Row],[Total PoP ]]/WWWW[[#This Row],['# Hygiene Promoters ]]&lt;600,1,0))))</f>
        <v>1</v>
      </c>
      <c r="BU96" s="414">
        <f>IF(WWWW[[#This Row],[%HH with access to soap]]&gt;=100%,1,0)</f>
        <v>0</v>
      </c>
      <c r="BV96" s="414">
        <f>IF(WWWW[[#This Row],[% of HHs with access to Sanitary pad more than '#%]]+WWWW[[#This Row],[Ratio of Hyiene promoters to people less than '#]]+WWWW[[#This Row],[% of HHs with access to soap more than '#%]]&gt;=2,WWWW[[#This Row],[Total PoP ]],0)</f>
        <v>0</v>
      </c>
      <c r="BW96" s="346">
        <f>WWWW[[#This Row],['# people reached by regular dedicated hygiene promotion_5]]/WWWW[[#This Row],[Total PoP ]]</f>
        <v>1</v>
      </c>
      <c r="BX96" s="346">
        <f>IF(WWWW[[#This Row],['# HH received soaps]]/WWWW[[#This Row],[Total HH]]&gt;1,1,WWWW[[#This Row],['# HH received soaps]]/WWWW[[#This Row],[Total HH]])</f>
        <v>0.73469387755102045</v>
      </c>
      <c r="BY96" s="346">
        <f>IF(WWWW[[#This Row],['# HH received Sanitary Pads]]/WWWW[[#This Row],[Total HH]]&gt;1,1,WWWW[[#This Row],['# HH received Sanitary Pads]]/WWWW[[#This Row],[Total HH]])</f>
        <v>0</v>
      </c>
      <c r="BZ96" s="720">
        <f>WWWW[[#This Row],['# HH received soaps]]*5</f>
        <v>180</v>
      </c>
      <c r="CA96" s="720">
        <f>WWWW[[#This Row],['# HH received Sanitary Pads]]*5</f>
        <v>0</v>
      </c>
      <c r="CB96" s="238">
        <f>IF(WWWW[[#This Row],['# People with access to soap]]&gt;WWWW[[#This Row],['# People with access to Sanity Pads]],WWWW[[#This Row],['# People with access to soap]],WWWW[[#This Row],['# People with access to Sanity Pads]])</f>
        <v>180</v>
      </c>
      <c r="CC96" s="236">
        <f>WWWW[[#This Row],[Total HH]]*WWWW[[#This Row],[%HHs with access to functional hand washing stations]]</f>
        <v>49</v>
      </c>
      <c r="CD96" s="240" t="str">
        <f>VLOOKUP(WWWW[[#This Row],[Site Name]],SiteDB6[],8,FALSE)</f>
        <v>Yes</v>
      </c>
      <c r="CE96" s="240" t="str">
        <f>VLOOKUP(WWWW[[#This Row],[Site Name]],SiteDB6[],9,FALSE)</f>
        <v>KBC</v>
      </c>
      <c r="CF96" s="240" t="str">
        <f>VLOOKUP(WWWW[[#This Row],[Site Name]],SiteDB6[],10,FALSE)</f>
        <v>Camp</v>
      </c>
      <c r="CG96" s="240" t="str">
        <f>VLOOKUP(WWWW[[#This Row],[Site Name]],SiteDB6[],11,FALSE)</f>
        <v>Camp</v>
      </c>
      <c r="CH96" s="240" t="str">
        <f>VLOOKUP(WWWW[[#This Row],[Site Name]],SiteDB6[],12,FALSE)</f>
        <v>Camp</v>
      </c>
      <c r="CI96" s="240" t="str">
        <f>VLOOKUP(WWWW[[#This Row],[Site Name]],SiteDB6[],13,FALSE)</f>
        <v>GCA</v>
      </c>
      <c r="CJ96" s="240">
        <f>VLOOKUP(WWWW[[#This Row],[Site Name]],SiteDB6[],14,FALSE)</f>
        <v>24.205417000000001</v>
      </c>
      <c r="CK96" s="240">
        <f>VLOOKUP(WWWW[[#This Row],[Site Name]],SiteDB6[],15,FALSE)</f>
        <v>97.724483000000006</v>
      </c>
      <c r="CL96" s="240" t="str">
        <f>VLOOKUP(WWWW[[#This Row],[Site Name]],SiteDB6[],4,FALSE)</f>
        <v>MMR001CMP072</v>
      </c>
      <c r="CM96" s="235" t="str">
        <f t="shared" si="1"/>
        <v>Covered</v>
      </c>
      <c r="CN96" s="235"/>
    </row>
    <row r="97" spans="1:92" ht="15.75" customHeight="1" x14ac:dyDescent="0.25">
      <c r="A97" s="532" t="s">
        <v>1409</v>
      </c>
      <c r="B97" s="533" t="s">
        <v>43</v>
      </c>
      <c r="C97" s="533" t="s">
        <v>44</v>
      </c>
      <c r="D97" s="533" t="s">
        <v>315</v>
      </c>
      <c r="E97" s="533" t="s">
        <v>392</v>
      </c>
      <c r="F97" s="233">
        <v>49</v>
      </c>
      <c r="G97" s="414">
        <v>289</v>
      </c>
      <c r="H97" s="233"/>
      <c r="I97" s="233" t="s">
        <v>382</v>
      </c>
      <c r="J97" s="234">
        <v>43465</v>
      </c>
      <c r="K97" s="233">
        <v>0</v>
      </c>
      <c r="L97" s="233" t="s">
        <v>2578</v>
      </c>
      <c r="M97" s="235">
        <v>0.6</v>
      </c>
      <c r="N97" s="235">
        <v>0.5</v>
      </c>
      <c r="O97" s="609">
        <v>2</v>
      </c>
      <c r="P97" s="615">
        <v>0</v>
      </c>
      <c r="Q97" s="615">
        <v>6000</v>
      </c>
      <c r="R97" s="604">
        <v>0</v>
      </c>
      <c r="S97" s="604">
        <v>0</v>
      </c>
      <c r="T97" s="604">
        <v>2</v>
      </c>
      <c r="U97" s="604">
        <v>2</v>
      </c>
      <c r="V97" s="604">
        <v>14</v>
      </c>
      <c r="W97" s="604">
        <v>1</v>
      </c>
      <c r="X97" s="604">
        <v>0</v>
      </c>
      <c r="Y97" s="604"/>
      <c r="Z97" s="628">
        <v>12</v>
      </c>
      <c r="AA97" s="628">
        <v>0</v>
      </c>
      <c r="AB97" s="629">
        <v>0</v>
      </c>
      <c r="AC97" s="628">
        <v>12</v>
      </c>
      <c r="AD97" s="628" t="s">
        <v>293</v>
      </c>
      <c r="AE97" s="631" t="s">
        <v>293</v>
      </c>
      <c r="AF97" s="631">
        <v>0</v>
      </c>
      <c r="AG97" s="628">
        <v>0</v>
      </c>
      <c r="AH97" s="628"/>
      <c r="AI97" s="659">
        <v>0</v>
      </c>
      <c r="AJ97" s="650" t="s">
        <v>386</v>
      </c>
      <c r="AK97" s="644">
        <v>0</v>
      </c>
      <c r="AL97" s="645">
        <v>3</v>
      </c>
      <c r="AM97" s="645">
        <v>2</v>
      </c>
      <c r="AN97" s="646">
        <v>0</v>
      </c>
      <c r="AO97" s="647">
        <v>0</v>
      </c>
      <c r="AP97" s="647" t="s">
        <v>292</v>
      </c>
      <c r="AQ97" s="658"/>
      <c r="AR97" s="235">
        <f>IFERROR(WWWW[[#This Row],['# of Water passed at source]]/WWWW[[#This Row],['# of Water tested at source]],"no test")</f>
        <v>1</v>
      </c>
      <c r="AS97" s="237">
        <f>IFERROR(WWWW[[#This Row],['# of Water passed at HH]]/WWWW[[#This Row],['# of Water tested at HH]],"no test")</f>
        <v>7.1428571428571425E-2</v>
      </c>
      <c r="AT97" s="237">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U97" s="237">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AV97" s="237">
        <f>IF(WWWW[[#This Row],[Location Type 1]]="Village",WWWW[[#This Row],[Access to safe drinking water for Village]],WWWW[[#This Row],[Access to safe drinking water for Camp]])</f>
        <v>1</v>
      </c>
      <c r="AW97" s="414">
        <f>WWWW[[#This Row],[%Equitable and continuous access to sufficient quantity of safe drinking water]]*WWWW[[#This Row],[Total PoP ]]</f>
        <v>289</v>
      </c>
      <c r="AX97" s="237">
        <f>IF((WWWW[[#This Row],['# Existing protected/fenced ponds ]]*250)/WWWW[[#This Row],[Total PoP ]]&gt;1,1,WWWW[[#This Row],['# Existing protected/fenced ponds ]]*250/WWWW[[#This Row],[Total PoP ]])</f>
        <v>0</v>
      </c>
      <c r="AY97" s="236">
        <f>WWWW[[#This Row],[Access to unimproved water points]]*WWWW[[#This Row],[Total PoP ]]</f>
        <v>0</v>
      </c>
      <c r="AZ97" s="237">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A97" s="414">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289</v>
      </c>
      <c r="BB97" s="414">
        <f>WWWW[[#This Row],['#people Equitable and continuous access to sufficient quantity of domestic water borehole n ponds_2]]/500</f>
        <v>0.57799999999999996</v>
      </c>
      <c r="BC97" s="235">
        <f>1-WWWW[[#This Row],[%Equitable and continuous access to sufficient quantity of domestic water borehole n ponds]]</f>
        <v>0</v>
      </c>
      <c r="BD97" s="236">
        <f>WWWW[[#This Row],[%equitable and continuous access to sufficient quantity of safe drinking and domestic water''s GAP]]*WWWW[[#This Row],[Total PoP ]]</f>
        <v>0</v>
      </c>
      <c r="BE97" s="238">
        <f>IF(WWWW[[#This Row],[Total required water points]]-WWWW[[#This Row],['#Water points coverage]]&lt;0,0,WWWW[[#This Row],[Total required water points]]-WWWW[[#This Row],['#Water points coverage]])</f>
        <v>0.42200000000000004</v>
      </c>
      <c r="BF97" s="238">
        <f>ROUND(IF(WWWW[[#This Row],[Total PoP ]]&lt;500,1,WWWW[[#This Row],[Total PoP ]]/500),0)</f>
        <v>1</v>
      </c>
      <c r="BG97" s="238" t="str">
        <f>IF(AND(WWWW[[#This Row],[%of Water samples which passed at water source]]="no test",WWWW[[#This Row],[%Water samples which passed at HH]]="no test"),"No Test","Tested")</f>
        <v>Tested</v>
      </c>
      <c r="BH97" s="238">
        <f>WWWW[[#This Row],['# Existing functional latrines]]+WWWW[[#This Row],['# Existing latrines dysfunctional]]</f>
        <v>12</v>
      </c>
      <c r="BI97" s="235">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0.83044982698961933</v>
      </c>
      <c r="BJ97" s="675">
        <f>WWWW[[#This Row],[% people access to functioning Latrine]]*WWWW[[#This Row],[Total PoP ]]</f>
        <v>240</v>
      </c>
      <c r="BK97" s="235">
        <f>IF(WWWW[[#This Row],[Location Type 1]]="camp",WWWW[[#This Row],['# potential required new latrines]]/(WWWW[[#This Row],[Total PoP ]]/20),WWWW[[#This Row],['# potential required new latrines]]/(WWWW[[#This Row],[Total PoP ]]/6))</f>
        <v>0.13840830449826991</v>
      </c>
      <c r="BL97" s="236">
        <f>IF(WWWW[[#This Row],[Total required Latrines]]-WWWW[[#This Row],[Total '# of latrine]]&lt;0,0,WWWW[[#This Row],[Total required Latrines]]-WWWW[[#This Row],[Total '# of latrine]])</f>
        <v>2</v>
      </c>
      <c r="BM97" s="238">
        <f>ROUND(IF(WWWW[[#This Row],[Location Type 1]]="camp",WWWW[[#This Row],[Total PoP ]]/20,WWWW[[#This Row],[Total PoP ]]/6),0)</f>
        <v>14</v>
      </c>
      <c r="BN97" s="239">
        <f>IF(OR(WWWW[[#This Row],['# Existing latrines dysfunctional]]="",WWWW[[#This Row],['# Existing latrines dysfunctional]]=0),0,WWWW[[#This Row],['# Existing latrines dysfunctional]]/WWWW[[#This Row],[Total '# of latrine]])</f>
        <v>0</v>
      </c>
      <c r="BO97" s="675">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P97" s="235">
        <f>WWWW[[#This Row],[People adopt basic personal and community hygiene practices]]/WWWW[[#This Row],[Total PoP ]]</f>
        <v>0</v>
      </c>
      <c r="BQ97" s="239">
        <f>1-WWWW[[#This Row],[Hygiene Coverage%]]</f>
        <v>1</v>
      </c>
      <c r="BR97" s="414">
        <f>IF(500*WWWW[[#This Row],['# Hygiene Promoters ]]&gt;WWWW[[#This Row],[Total PoP ]],WWWW[[#This Row],[Total PoP ]],500*WWWW[[#This Row],['# Hygiene Promoters ]])</f>
        <v>289</v>
      </c>
      <c r="BS97" s="414">
        <f>IF(WWWW[[#This Row],[% of HH with access to Sanitary Pad]]&gt;=100%,1,0)</f>
        <v>0</v>
      </c>
      <c r="BT97" s="414">
        <f>IF(WWWW[[#This Row],[Total PoP ]]=0,0,IF(WWWW[[#This Row],['# Hygiene Promoters ]]=0,0,IF(WWWW[[#This Row],[Location Type 1]]="Village",IF(WWWW[[#This Row],[Total PoP ]]/WWWW[[#This Row],['# Hygiene Promoters ]]&lt;1000,1,0),IF(WWWW[[#This Row],[Total PoP ]]/WWWW[[#This Row],['# Hygiene Promoters ]]&lt;600,1,0))))</f>
        <v>1</v>
      </c>
      <c r="BU97" s="414">
        <f>IF(WWWW[[#This Row],[%HH with access to soap]]&gt;=100%,1,0)</f>
        <v>0</v>
      </c>
      <c r="BV97" s="414">
        <f>IF(WWWW[[#This Row],[% of HHs with access to Sanitary pad more than '#%]]+WWWW[[#This Row],[Ratio of Hyiene promoters to people less than '#]]+WWWW[[#This Row],[% of HHs with access to soap more than '#%]]&gt;=2,WWWW[[#This Row],[Total PoP ]],0)</f>
        <v>0</v>
      </c>
      <c r="BW97" s="346">
        <f>WWWW[[#This Row],['# people reached by regular dedicated hygiene promotion_5]]/WWWW[[#This Row],[Total PoP ]]</f>
        <v>1</v>
      </c>
      <c r="BX97" s="346">
        <f>IF(WWWW[[#This Row],['# HH received soaps]]/WWWW[[#This Row],[Total HH]]&gt;1,1,WWWW[[#This Row],['# HH received soaps]]/WWWW[[#This Row],[Total HH]])</f>
        <v>0</v>
      </c>
      <c r="BY97" s="346">
        <f>IF(WWWW[[#This Row],['# HH received Sanitary Pads]]/WWWW[[#This Row],[Total HH]]&gt;1,1,WWWW[[#This Row],['# HH received Sanitary Pads]]/WWWW[[#This Row],[Total HH]])</f>
        <v>0</v>
      </c>
      <c r="BZ97" s="720">
        <f>WWWW[[#This Row],['# HH received soaps]]*5</f>
        <v>0</v>
      </c>
      <c r="CA97" s="720">
        <f>WWWW[[#This Row],['# HH received Sanitary Pads]]*5</f>
        <v>0</v>
      </c>
      <c r="CB97" s="238">
        <f>IF(WWWW[[#This Row],['# People with access to soap]]&gt;WWWW[[#This Row],['# People with access to Sanity Pads]],WWWW[[#This Row],['# People with access to soap]],WWWW[[#This Row],['# People with access to Sanity Pads]])</f>
        <v>0</v>
      </c>
      <c r="CC97" s="236">
        <f>WWWW[[#This Row],[Total HH]]*WWWW[[#This Row],[%HHs with access to functional hand washing stations]]</f>
        <v>0</v>
      </c>
      <c r="CD97" s="240" t="str">
        <f>VLOOKUP(WWWW[[#This Row],[Site Name]],SiteDB6[],8,FALSE)</f>
        <v>Yes</v>
      </c>
      <c r="CE97" s="240" t="str">
        <f>VLOOKUP(WWWW[[#This Row],[Site Name]],SiteDB6[],9,FALSE)</f>
        <v>KMSS-MYT</v>
      </c>
      <c r="CF97" s="240" t="str">
        <f>VLOOKUP(WWWW[[#This Row],[Site Name]],SiteDB6[],10,FALSE)</f>
        <v>Camp</v>
      </c>
      <c r="CG97" s="240" t="str">
        <f>VLOOKUP(WWWW[[#This Row],[Site Name]],SiteDB6[],11,FALSE)</f>
        <v>Camp</v>
      </c>
      <c r="CH97" s="240" t="str">
        <f>VLOOKUP(WWWW[[#This Row],[Site Name]],SiteDB6[],12,FALSE)</f>
        <v>Camp</v>
      </c>
      <c r="CI97" s="240" t="str">
        <f>VLOOKUP(WWWW[[#This Row],[Site Name]],SiteDB6[],13,FALSE)</f>
        <v>GCA</v>
      </c>
      <c r="CJ97" s="240">
        <f>VLOOKUP(WWWW[[#This Row],[Site Name]],SiteDB6[],14,FALSE)</f>
        <v>25.493819999999999</v>
      </c>
      <c r="CK97" s="240">
        <f>VLOOKUP(WWWW[[#This Row],[Site Name]],SiteDB6[],15,FALSE)</f>
        <v>97.4345</v>
      </c>
      <c r="CL97" s="240" t="str">
        <f>VLOOKUP(WWWW[[#This Row],[Site Name]],SiteDB6[],4,FALSE)</f>
        <v>MMR001CMP162</v>
      </c>
      <c r="CM97" s="235" t="str">
        <f t="shared" si="1"/>
        <v>Covered</v>
      </c>
      <c r="CN97" s="235"/>
    </row>
    <row r="98" spans="1:92" ht="15.75" customHeight="1" x14ac:dyDescent="0.25">
      <c r="A98" s="532" t="s">
        <v>1409</v>
      </c>
      <c r="B98" s="533" t="s">
        <v>451</v>
      </c>
      <c r="C98" s="533" t="s">
        <v>44</v>
      </c>
      <c r="D98" s="533" t="s">
        <v>361</v>
      </c>
      <c r="E98" s="533" t="s">
        <v>456</v>
      </c>
      <c r="F98" s="233">
        <v>663</v>
      </c>
      <c r="G98" s="414">
        <v>3411</v>
      </c>
      <c r="H98" s="233"/>
      <c r="I98" s="233" t="s">
        <v>452</v>
      </c>
      <c r="J98" s="234">
        <v>43100</v>
      </c>
      <c r="K98" s="233">
        <v>0</v>
      </c>
      <c r="L98" s="233" t="s">
        <v>296</v>
      </c>
      <c r="M98" s="235">
        <v>0</v>
      </c>
      <c r="N98" s="235">
        <v>0</v>
      </c>
      <c r="O98" s="609">
        <v>0</v>
      </c>
      <c r="P98" s="615">
        <v>0</v>
      </c>
      <c r="Q98" s="615">
        <v>0</v>
      </c>
      <c r="R98" s="604">
        <v>0</v>
      </c>
      <c r="S98" s="604">
        <v>0</v>
      </c>
      <c r="T98" s="604">
        <v>0</v>
      </c>
      <c r="U98" s="604">
        <v>0</v>
      </c>
      <c r="V98" s="604">
        <v>0</v>
      </c>
      <c r="W98" s="604">
        <v>0</v>
      </c>
      <c r="X98" s="604">
        <v>0</v>
      </c>
      <c r="Y98" s="604"/>
      <c r="Z98" s="628">
        <v>228</v>
      </c>
      <c r="AA98" s="628">
        <v>10</v>
      </c>
      <c r="AB98" s="629">
        <v>0</v>
      </c>
      <c r="AC98" s="628">
        <v>0</v>
      </c>
      <c r="AD98" s="628" t="s">
        <v>342</v>
      </c>
      <c r="AE98" s="631" t="s">
        <v>342</v>
      </c>
      <c r="AF98" s="631">
        <v>0</v>
      </c>
      <c r="AG98" s="628">
        <v>0</v>
      </c>
      <c r="AH98" s="628"/>
      <c r="AI98" s="659">
        <v>0.53</v>
      </c>
      <c r="AJ98" s="644" t="s">
        <v>301</v>
      </c>
      <c r="AK98" s="644">
        <v>0</v>
      </c>
      <c r="AL98" s="645">
        <v>13</v>
      </c>
      <c r="AM98" s="645"/>
      <c r="AN98" s="646">
        <v>597</v>
      </c>
      <c r="AO98" s="647">
        <v>0</v>
      </c>
      <c r="AP98" s="647" t="s">
        <v>292</v>
      </c>
      <c r="AQ98" s="658"/>
      <c r="AR98" s="235" t="str">
        <f>IFERROR(WWWW[[#This Row],['# of Water passed at source]]/WWWW[[#This Row],['# of Water tested at source]],"no test")</f>
        <v>no test</v>
      </c>
      <c r="AS98" s="237" t="str">
        <f>IFERROR(WWWW[[#This Row],['# of Water passed at HH]]/WWWW[[#This Row],['# of Water tested at HH]],"no test")</f>
        <v>no test</v>
      </c>
      <c r="AT98" s="237">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U98" s="237">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AV98" s="237">
        <f>IF(WWWW[[#This Row],[Location Type 1]]="Village",WWWW[[#This Row],[Access to safe drinking water for Village]],WWWW[[#This Row],[Access to safe drinking water for Camp]])</f>
        <v>0</v>
      </c>
      <c r="AW98" s="414">
        <f>WWWW[[#This Row],[%Equitable and continuous access to sufficient quantity of safe drinking water]]*WWWW[[#This Row],[Total PoP ]]</f>
        <v>0</v>
      </c>
      <c r="AX98" s="237">
        <f>IF((WWWW[[#This Row],['# Existing protected/fenced ponds ]]*250)/WWWW[[#This Row],[Total PoP ]]&gt;1,1,WWWW[[#This Row],['# Existing protected/fenced ponds ]]*250/WWWW[[#This Row],[Total PoP ]])</f>
        <v>0</v>
      </c>
      <c r="AY98" s="414">
        <f>WWWW[[#This Row],[Access to unimproved water points]]*WWWW[[#This Row],[Total PoP ]]</f>
        <v>0</v>
      </c>
      <c r="AZ98" s="237">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A98" s="414">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B98" s="414">
        <f>WWWW[[#This Row],['#people Equitable and continuous access to sufficient quantity of domestic water borehole n ponds_2]]/500</f>
        <v>0</v>
      </c>
      <c r="BC98" s="235">
        <f>1-WWWW[[#This Row],[%Equitable and continuous access to sufficient quantity of domestic water borehole n ponds]]</f>
        <v>1</v>
      </c>
      <c r="BD98" s="414">
        <f>WWWW[[#This Row],[%equitable and continuous access to sufficient quantity of safe drinking and domestic water''s GAP]]*WWWW[[#This Row],[Total PoP ]]</f>
        <v>3411</v>
      </c>
      <c r="BE98" s="238">
        <f>IF(WWWW[[#This Row],[Total required water points]]-WWWW[[#This Row],['#Water points coverage]]&lt;0,0,WWWW[[#This Row],[Total required water points]]-WWWW[[#This Row],['#Water points coverage]])</f>
        <v>7</v>
      </c>
      <c r="BF98" s="238">
        <f>ROUND(IF(WWWW[[#This Row],[Total PoP ]]&lt;500,1,WWWW[[#This Row],[Total PoP ]]/500),0)</f>
        <v>7</v>
      </c>
      <c r="BG98" s="238" t="str">
        <f>IF(AND(WWWW[[#This Row],[%of Water samples which passed at water source]]="no test",WWWW[[#This Row],[%Water samples which passed at HH]]="no test"),"No Test","Tested")</f>
        <v>No Test</v>
      </c>
      <c r="BH98" s="238">
        <f>WWWW[[#This Row],['# Existing functional latrines]]+WWWW[[#This Row],['# Existing latrines dysfunctional]]</f>
        <v>238</v>
      </c>
      <c r="BI98" s="235">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1</v>
      </c>
      <c r="BJ98" s="675">
        <f>WWWW[[#This Row],[% people access to functioning Latrine]]*WWWW[[#This Row],[Total PoP ]]</f>
        <v>3411</v>
      </c>
      <c r="BK98" s="235">
        <f>IF(WWWW[[#This Row],[Location Type 1]]="camp",WWWW[[#This Row],['# potential required new latrines]]/(WWWW[[#This Row],[Total PoP ]]/20),WWWW[[#This Row],['# potential required new latrines]]/(WWWW[[#This Row],[Total PoP ]]/6))</f>
        <v>0</v>
      </c>
      <c r="BL98" s="414">
        <f>IF(WWWW[[#This Row],[Total required Latrines]]-WWWW[[#This Row],[Total '# of latrine]]&lt;0,0,WWWW[[#This Row],[Total required Latrines]]-WWWW[[#This Row],[Total '# of latrine]])</f>
        <v>0</v>
      </c>
      <c r="BM98" s="238">
        <f>ROUND(IF(WWWW[[#This Row],[Location Type 1]]="camp",WWWW[[#This Row],[Total PoP ]]/20,WWWW[[#This Row],[Total PoP ]]/6),0)</f>
        <v>171</v>
      </c>
      <c r="BN98" s="239">
        <f>IF(OR(WWWW[[#This Row],['# Existing latrines dysfunctional]]="",WWWW[[#This Row],['# Existing latrines dysfunctional]]=0),0,WWWW[[#This Row],['# Existing latrines dysfunctional]]/WWWW[[#This Row],[Total '# of latrine]])</f>
        <v>4.2016806722689079E-2</v>
      </c>
      <c r="BO98" s="675">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P98" s="235">
        <f>WWWW[[#This Row],[People adopt basic personal and community hygiene practices]]/WWWW[[#This Row],[Total PoP ]]</f>
        <v>0</v>
      </c>
      <c r="BQ98" s="239">
        <f>1-WWWW[[#This Row],[Hygiene Coverage%]]</f>
        <v>1</v>
      </c>
      <c r="BR98" s="414">
        <f>IF(500*WWWW[[#This Row],['# Hygiene Promoters ]]&gt;WWWW[[#This Row],[Total PoP ]],WWWW[[#This Row],[Total PoP ]],500*WWWW[[#This Row],['# Hygiene Promoters ]])</f>
        <v>0</v>
      </c>
      <c r="BS98" s="414">
        <f>IF(WWWW[[#This Row],[% of HH with access to Sanitary Pad]]&gt;=100%,1,0)</f>
        <v>0</v>
      </c>
      <c r="BT98" s="414">
        <f>IF(WWWW[[#This Row],[Total PoP ]]=0,0,IF(WWWW[[#This Row],['# Hygiene Promoters ]]=0,0,IF(WWWW[[#This Row],[Location Type 1]]="Village",IF(WWWW[[#This Row],[Total PoP ]]/WWWW[[#This Row],['# Hygiene Promoters ]]&lt;1000,1,0),IF(WWWW[[#This Row],[Total PoP ]]/WWWW[[#This Row],['# Hygiene Promoters ]]&lt;600,1,0))))</f>
        <v>0</v>
      </c>
      <c r="BU98" s="414">
        <f>IF(WWWW[[#This Row],[%HH with access to soap]]&gt;=100%,1,0)</f>
        <v>0</v>
      </c>
      <c r="BV98" s="414">
        <f>IF(WWWW[[#This Row],[% of HHs with access to Sanitary pad more than '#%]]+WWWW[[#This Row],[Ratio of Hyiene promoters to people less than '#]]+WWWW[[#This Row],[% of HHs with access to soap more than '#%]]&gt;=2,WWWW[[#This Row],[Total PoP ]],0)</f>
        <v>0</v>
      </c>
      <c r="BW98" s="346">
        <f>WWWW[[#This Row],['# people reached by regular dedicated hygiene promotion_5]]/WWWW[[#This Row],[Total PoP ]]</f>
        <v>0</v>
      </c>
      <c r="BX98" s="346">
        <f>IF(WWWW[[#This Row],['# HH received soaps]]/WWWW[[#This Row],[Total HH]]&gt;1,1,WWWW[[#This Row],['# HH received soaps]]/WWWW[[#This Row],[Total HH]])</f>
        <v>0.90045248868778283</v>
      </c>
      <c r="BY98" s="346">
        <f>IF(WWWW[[#This Row],['# HH received Sanitary Pads]]/WWWW[[#This Row],[Total HH]]&gt;1,1,WWWW[[#This Row],['# HH received Sanitary Pads]]/WWWW[[#This Row],[Total HH]])</f>
        <v>0</v>
      </c>
      <c r="BZ98" s="720">
        <f>WWWW[[#This Row],['# HH received soaps]]*5</f>
        <v>2985</v>
      </c>
      <c r="CA98" s="720">
        <f>WWWW[[#This Row],['# HH received Sanitary Pads]]*5</f>
        <v>0</v>
      </c>
      <c r="CB98" s="238">
        <f>IF(WWWW[[#This Row],['# People with access to soap]]&gt;WWWW[[#This Row],['# People with access to Sanity Pads]],WWWW[[#This Row],['# People with access to soap]],WWWW[[#This Row],['# People with access to Sanity Pads]])</f>
        <v>2985</v>
      </c>
      <c r="CC98" s="414">
        <f>WWWW[[#This Row],[Total HH]]*WWWW[[#This Row],[%HHs with access to functional hand washing stations]]</f>
        <v>351.39000000000004</v>
      </c>
      <c r="CD98" s="240" t="str">
        <f>VLOOKUP(WWWW[[#This Row],[Site Name]],SiteDB6[],8,FALSE)</f>
        <v>Yes</v>
      </c>
      <c r="CE98" s="240" t="str">
        <f>VLOOKUP(WWWW[[#This Row],[Site Name]],SiteDB6[],9,FALSE)</f>
        <v>KMSS-BMO</v>
      </c>
      <c r="CF98" s="240" t="str">
        <f>VLOOKUP(WWWW[[#This Row],[Site Name]],SiteDB6[],10,FALSE)</f>
        <v>Camp</v>
      </c>
      <c r="CG98" s="240" t="str">
        <f>VLOOKUP(WWWW[[#This Row],[Site Name]],SiteDB6[],11,FALSE)</f>
        <v>Camp</v>
      </c>
      <c r="CH98" s="240" t="str">
        <f>VLOOKUP(WWWW[[#This Row],[Site Name]],SiteDB6[],12,FALSE)</f>
        <v>Camp</v>
      </c>
      <c r="CI98" s="240" t="str">
        <f>VLOOKUP(WWWW[[#This Row],[Site Name]],SiteDB6[],13,FALSE)</f>
        <v>NGCA</v>
      </c>
      <c r="CJ98" s="240">
        <f>VLOOKUP(WWWW[[#This Row],[Site Name]],SiteDB6[],14,FALSE)</f>
        <v>24.2744</v>
      </c>
      <c r="CK98" s="240">
        <f>VLOOKUP(WWWW[[#This Row],[Site Name]],SiteDB6[],15,FALSE)</f>
        <v>97.752667000000002</v>
      </c>
      <c r="CL98" s="240" t="str">
        <f>VLOOKUP(WWWW[[#This Row],[Site Name]],SiteDB6[],4,FALSE)</f>
        <v>MMR001CMP126</v>
      </c>
      <c r="CM98" s="235" t="str">
        <f t="shared" si="1"/>
        <v>Covered</v>
      </c>
      <c r="CN98" s="235"/>
    </row>
    <row r="99" spans="1:92" ht="15.75" customHeight="1" x14ac:dyDescent="0.25">
      <c r="A99" s="532" t="s">
        <v>1409</v>
      </c>
      <c r="B99" s="533" t="s">
        <v>297</v>
      </c>
      <c r="C99" s="533" t="s">
        <v>44</v>
      </c>
      <c r="D99" s="533" t="s">
        <v>298</v>
      </c>
      <c r="E99" s="533" t="s">
        <v>336</v>
      </c>
      <c r="F99" s="233">
        <v>183</v>
      </c>
      <c r="G99" s="414">
        <v>895</v>
      </c>
      <c r="H99" s="233"/>
      <c r="I99" s="233" t="s">
        <v>306</v>
      </c>
      <c r="J99" s="234" t="s">
        <v>2577</v>
      </c>
      <c r="K99" s="233">
        <v>0</v>
      </c>
      <c r="L99" s="233" t="s">
        <v>48</v>
      </c>
      <c r="M99" s="235">
        <v>0.6</v>
      </c>
      <c r="N99" s="235">
        <v>0.5</v>
      </c>
      <c r="O99" s="609">
        <v>0</v>
      </c>
      <c r="P99" s="615">
        <v>0</v>
      </c>
      <c r="Q99" s="615">
        <v>194400</v>
      </c>
      <c r="R99" s="604">
        <v>0</v>
      </c>
      <c r="S99" s="604">
        <v>0</v>
      </c>
      <c r="T99" s="604">
        <v>0</v>
      </c>
      <c r="U99" s="604">
        <v>0</v>
      </c>
      <c r="V99" s="604">
        <v>0</v>
      </c>
      <c r="W99" s="604">
        <v>0</v>
      </c>
      <c r="X99" s="604">
        <v>0</v>
      </c>
      <c r="Y99" s="604"/>
      <c r="Z99" s="628">
        <v>150</v>
      </c>
      <c r="AA99" s="628">
        <v>0</v>
      </c>
      <c r="AB99" s="629">
        <v>0</v>
      </c>
      <c r="AC99" s="628">
        <v>0</v>
      </c>
      <c r="AD99" s="628" t="s">
        <v>293</v>
      </c>
      <c r="AE99" s="631" t="s">
        <v>293</v>
      </c>
      <c r="AF99" s="631"/>
      <c r="AG99" s="628"/>
      <c r="AH99" s="628"/>
      <c r="AI99" s="659">
        <v>0.6</v>
      </c>
      <c r="AJ99" s="644" t="s">
        <v>294</v>
      </c>
      <c r="AK99" s="644">
        <v>150</v>
      </c>
      <c r="AL99" s="645">
        <v>4</v>
      </c>
      <c r="AM99" s="645">
        <v>3</v>
      </c>
      <c r="AN99" s="646">
        <v>0</v>
      </c>
      <c r="AO99" s="647">
        <v>0</v>
      </c>
      <c r="AP99" s="647"/>
      <c r="AQ99" s="658"/>
      <c r="AR99" s="235" t="str">
        <f>IFERROR(WWWW[[#This Row],['# of Water passed at source]]/WWWW[[#This Row],['# of Water tested at source]],"no test")</f>
        <v>no test</v>
      </c>
      <c r="AS99" s="237" t="str">
        <f>IFERROR(WWWW[[#This Row],['# of Water passed at HH]]/WWWW[[#This Row],['# of Water tested at HH]],"no test")</f>
        <v>no test</v>
      </c>
      <c r="AT99" s="237">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U99" s="237">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AV99" s="237">
        <f>IF(WWWW[[#This Row],[Location Type 1]]="Village",WWWW[[#This Row],[Access to safe drinking water for Village]],WWWW[[#This Row],[Access to safe drinking water for Camp]])</f>
        <v>1</v>
      </c>
      <c r="AW99" s="414">
        <f>WWWW[[#This Row],[%Equitable and continuous access to sufficient quantity of safe drinking water]]*WWWW[[#This Row],[Total PoP ]]</f>
        <v>895</v>
      </c>
      <c r="AX99" s="237">
        <f>IF((WWWW[[#This Row],['# Existing protected/fenced ponds ]]*250)/WWWW[[#This Row],[Total PoP ]]&gt;1,1,WWWW[[#This Row],['# Existing protected/fenced ponds ]]*250/WWWW[[#This Row],[Total PoP ]])</f>
        <v>0</v>
      </c>
      <c r="AY99" s="414">
        <f>WWWW[[#This Row],[Access to unimproved water points]]*WWWW[[#This Row],[Total PoP ]]</f>
        <v>0</v>
      </c>
      <c r="AZ99" s="237">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A99" s="414">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895</v>
      </c>
      <c r="BB99" s="414">
        <f>WWWW[[#This Row],['#people Equitable and continuous access to sufficient quantity of domestic water borehole n ponds_2]]/500</f>
        <v>1.79</v>
      </c>
      <c r="BC99" s="235">
        <f>1-WWWW[[#This Row],[%Equitable and continuous access to sufficient quantity of domestic water borehole n ponds]]</f>
        <v>0</v>
      </c>
      <c r="BD99" s="414">
        <f>WWWW[[#This Row],[%equitable and continuous access to sufficient quantity of safe drinking and domestic water''s GAP]]*WWWW[[#This Row],[Total PoP ]]</f>
        <v>0</v>
      </c>
      <c r="BE99" s="238">
        <f>IF(WWWW[[#This Row],[Total required water points]]-WWWW[[#This Row],['#Water points coverage]]&lt;0,0,WWWW[[#This Row],[Total required water points]]-WWWW[[#This Row],['#Water points coverage]])</f>
        <v>0.20999999999999996</v>
      </c>
      <c r="BF99" s="238">
        <f>ROUND(IF(WWWW[[#This Row],[Total PoP ]]&lt;500,1,WWWW[[#This Row],[Total PoP ]]/500),0)</f>
        <v>2</v>
      </c>
      <c r="BG99" s="238" t="str">
        <f>IF(AND(WWWW[[#This Row],[%of Water samples which passed at water source]]="no test",WWWW[[#This Row],[%Water samples which passed at HH]]="no test"),"No Test","Tested")</f>
        <v>No Test</v>
      </c>
      <c r="BH99" s="238">
        <f>WWWW[[#This Row],['# Existing functional latrines]]+WWWW[[#This Row],['# Existing latrines dysfunctional]]</f>
        <v>150</v>
      </c>
      <c r="BI99" s="235">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1</v>
      </c>
      <c r="BJ99" s="675">
        <f>WWWW[[#This Row],[% people access to functioning Latrine]]*WWWW[[#This Row],[Total PoP ]]</f>
        <v>895</v>
      </c>
      <c r="BK99" s="235">
        <f>IF(WWWW[[#This Row],[Location Type 1]]="camp",WWWW[[#This Row],['# potential required new latrines]]/(WWWW[[#This Row],[Total PoP ]]/20),WWWW[[#This Row],['# potential required new latrines]]/(WWWW[[#This Row],[Total PoP ]]/6))</f>
        <v>0</v>
      </c>
      <c r="BL99" s="414">
        <f>IF(WWWW[[#This Row],[Total required Latrines]]-WWWW[[#This Row],[Total '# of latrine]]&lt;0,0,WWWW[[#This Row],[Total required Latrines]]-WWWW[[#This Row],[Total '# of latrine]])</f>
        <v>0</v>
      </c>
      <c r="BM99" s="238">
        <f>ROUND(IF(WWWW[[#This Row],[Location Type 1]]="camp",WWWW[[#This Row],[Total PoP ]]/20,WWWW[[#This Row],[Total PoP ]]/6),0)</f>
        <v>149</v>
      </c>
      <c r="BN99" s="239">
        <f>IF(OR(WWWW[[#This Row],['# Existing latrines dysfunctional]]="",WWWW[[#This Row],['# Existing latrines dysfunctional]]=0),0,WWWW[[#This Row],['# Existing latrines dysfunctional]]/WWWW[[#This Row],[Total '# of latrine]])</f>
        <v>0</v>
      </c>
      <c r="BO99" s="675">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P99" s="235">
        <f>WWWW[[#This Row],[People adopt basic personal and community hygiene practices]]/WWWW[[#This Row],[Total PoP ]]</f>
        <v>0</v>
      </c>
      <c r="BQ99" s="239">
        <f>1-WWWW[[#This Row],[Hygiene Coverage%]]</f>
        <v>1</v>
      </c>
      <c r="BR99" s="414">
        <f>IF(500*WWWW[[#This Row],['# Hygiene Promoters ]]&gt;WWWW[[#This Row],[Total PoP ]],WWWW[[#This Row],[Total PoP ]],500*WWWW[[#This Row],['# Hygiene Promoters ]])</f>
        <v>895</v>
      </c>
      <c r="BS99" s="414">
        <f>IF(WWWW[[#This Row],[% of HH with access to Sanitary Pad]]&gt;=100%,1,0)</f>
        <v>0</v>
      </c>
      <c r="BT99" s="414">
        <f>IF(WWWW[[#This Row],[Total PoP ]]=0,0,IF(WWWW[[#This Row],['# Hygiene Promoters ]]=0,0,IF(WWWW[[#This Row],[Location Type 1]]="Village",IF(WWWW[[#This Row],[Total PoP ]]/WWWW[[#This Row],['# Hygiene Promoters ]]&lt;1000,1,0),IF(WWWW[[#This Row],[Total PoP ]]/WWWW[[#This Row],['# Hygiene Promoters ]]&lt;600,1,0))))</f>
        <v>1</v>
      </c>
      <c r="BU99" s="414">
        <f>IF(WWWW[[#This Row],[%HH with access to soap]]&gt;=100%,1,0)</f>
        <v>0</v>
      </c>
      <c r="BV99" s="414">
        <f>IF(WWWW[[#This Row],[% of HHs with access to Sanitary pad more than '#%]]+WWWW[[#This Row],[Ratio of Hyiene promoters to people less than '#]]+WWWW[[#This Row],[% of HHs with access to soap more than '#%]]&gt;=2,WWWW[[#This Row],[Total PoP ]],0)</f>
        <v>0</v>
      </c>
      <c r="BW99" s="346">
        <f>WWWW[[#This Row],['# people reached by regular dedicated hygiene promotion_5]]/WWWW[[#This Row],[Total PoP ]]</f>
        <v>1</v>
      </c>
      <c r="BX99" s="346">
        <f>IF(WWWW[[#This Row],['# HH received soaps]]/WWWW[[#This Row],[Total HH]]&gt;1,1,WWWW[[#This Row],['# HH received soaps]]/WWWW[[#This Row],[Total HH]])</f>
        <v>0</v>
      </c>
      <c r="BY99" s="346">
        <f>IF(WWWW[[#This Row],['# HH received Sanitary Pads]]/WWWW[[#This Row],[Total HH]]&gt;1,1,WWWW[[#This Row],['# HH received Sanitary Pads]]/WWWW[[#This Row],[Total HH]])</f>
        <v>0</v>
      </c>
      <c r="BZ99" s="720">
        <f>WWWW[[#This Row],['# HH received soaps]]*5</f>
        <v>0</v>
      </c>
      <c r="CA99" s="720">
        <f>WWWW[[#This Row],['# HH received Sanitary Pads]]*5</f>
        <v>0</v>
      </c>
      <c r="CB99" s="238">
        <f>IF(WWWW[[#This Row],['# People with access to soap]]&gt;WWWW[[#This Row],['# People with access to Sanity Pads]],WWWW[[#This Row],['# People with access to soap]],WWWW[[#This Row],['# People with access to Sanity Pads]])</f>
        <v>0</v>
      </c>
      <c r="CC99" s="414">
        <f>WWWW[[#This Row],[Total HH]]*WWWW[[#This Row],[%HHs with access to functional hand washing stations]]</f>
        <v>109.8</v>
      </c>
      <c r="CD99" s="240" t="str">
        <f>VLOOKUP(WWWW[[#This Row],[Site Name]],SiteDB6[],8,FALSE)</f>
        <v>Yes</v>
      </c>
      <c r="CE99" s="240" t="str">
        <f>VLOOKUP(WWWW[[#This Row],[Site Name]],SiteDB6[],9,FALSE)</f>
        <v>KBC</v>
      </c>
      <c r="CF99" s="240" t="str">
        <f>VLOOKUP(WWWW[[#This Row],[Site Name]],SiteDB6[],10,FALSE)</f>
        <v>Camp</v>
      </c>
      <c r="CG99" s="240" t="str">
        <f>VLOOKUP(WWWW[[#This Row],[Site Name]],SiteDB6[],11,FALSE)</f>
        <v>Village Type Camp</v>
      </c>
      <c r="CH99" s="240" t="str">
        <f>VLOOKUP(WWWW[[#This Row],[Site Name]],SiteDB6[],12,FALSE)</f>
        <v>Camp</v>
      </c>
      <c r="CI99" s="240" t="str">
        <f>VLOOKUP(WWWW[[#This Row],[Site Name]],SiteDB6[],13,FALSE)</f>
        <v>NGCA</v>
      </c>
      <c r="CJ99" s="240">
        <f>VLOOKUP(WWWW[[#This Row],[Site Name]],SiteDB6[],14,FALSE)</f>
        <v>24.831944</v>
      </c>
      <c r="CK99" s="240">
        <f>VLOOKUP(WWWW[[#This Row],[Site Name]],SiteDB6[],15,FALSE)</f>
        <v>97.751389000000003</v>
      </c>
      <c r="CL99" s="240" t="str">
        <f>VLOOKUP(WWWW[[#This Row],[Site Name]],SiteDB6[],4,FALSE)</f>
        <v>MMR001CMP120</v>
      </c>
      <c r="CM99" s="235" t="str">
        <f t="shared" si="1"/>
        <v>Covered</v>
      </c>
      <c r="CN99" s="235"/>
    </row>
    <row r="100" spans="1:92" ht="15.75" customHeight="1" x14ac:dyDescent="0.25">
      <c r="A100" s="532" t="s">
        <v>1409</v>
      </c>
      <c r="B100" s="533" t="s">
        <v>43</v>
      </c>
      <c r="C100" s="533" t="s">
        <v>44</v>
      </c>
      <c r="D100" s="533" t="s">
        <v>302</v>
      </c>
      <c r="E100" s="533" t="s">
        <v>381</v>
      </c>
      <c r="F100" s="233">
        <v>57</v>
      </c>
      <c r="G100" s="414">
        <v>267</v>
      </c>
      <c r="H100" s="233"/>
      <c r="I100" s="233" t="s">
        <v>382</v>
      </c>
      <c r="J100" s="234">
        <v>43465</v>
      </c>
      <c r="K100" s="233">
        <v>0</v>
      </c>
      <c r="L100" s="233" t="s">
        <v>2578</v>
      </c>
      <c r="M100" s="235">
        <v>0.6</v>
      </c>
      <c r="N100" s="235">
        <v>0.3</v>
      </c>
      <c r="O100" s="609">
        <v>0</v>
      </c>
      <c r="P100" s="615">
        <v>0</v>
      </c>
      <c r="Q100" s="615">
        <v>4000</v>
      </c>
      <c r="R100" s="604">
        <v>0</v>
      </c>
      <c r="S100" s="604">
        <v>4</v>
      </c>
      <c r="T100" s="604">
        <v>0</v>
      </c>
      <c r="U100" s="604">
        <v>0</v>
      </c>
      <c r="V100" s="604">
        <v>0</v>
      </c>
      <c r="W100" s="604">
        <v>0</v>
      </c>
      <c r="X100" s="604">
        <v>0</v>
      </c>
      <c r="Y100" s="604" t="s">
        <v>383</v>
      </c>
      <c r="Z100" s="628">
        <v>12</v>
      </c>
      <c r="AA100" s="628">
        <v>0</v>
      </c>
      <c r="AB100" s="629">
        <v>0</v>
      </c>
      <c r="AC100" s="628">
        <v>8</v>
      </c>
      <c r="AD100" s="628" t="s">
        <v>293</v>
      </c>
      <c r="AE100" s="631" t="s">
        <v>1379</v>
      </c>
      <c r="AF100" s="631">
        <v>0</v>
      </c>
      <c r="AG100" s="628">
        <v>0</v>
      </c>
      <c r="AH100" s="628"/>
      <c r="AI100" s="659">
        <v>0</v>
      </c>
      <c r="AJ100" s="650" t="s">
        <v>386</v>
      </c>
      <c r="AK100" s="644">
        <v>0</v>
      </c>
      <c r="AL100" s="645">
        <v>3</v>
      </c>
      <c r="AM100" s="645">
        <v>1</v>
      </c>
      <c r="AN100" s="646">
        <v>0</v>
      </c>
      <c r="AO100" s="647">
        <v>0</v>
      </c>
      <c r="AP100" s="647" t="s">
        <v>292</v>
      </c>
      <c r="AQ100" s="658"/>
      <c r="AR100" s="235" t="str">
        <f>IFERROR(WWWW[[#This Row],['# of Water passed at source]]/WWWW[[#This Row],['# of Water tested at source]],"no test")</f>
        <v>no test</v>
      </c>
      <c r="AS100" s="237" t="str">
        <f>IFERROR(WWWW[[#This Row],['# of Water passed at HH]]/WWWW[[#This Row],['# of Water tested at HH]],"no test")</f>
        <v>no test</v>
      </c>
      <c r="AT100" s="237">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0.99875156054931347</v>
      </c>
      <c r="AU100" s="237">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0.99875156054931347</v>
      </c>
      <c r="AV100" s="237">
        <f>IF(WWWW[[#This Row],[Location Type 1]]="Village",WWWW[[#This Row],[Access to safe drinking water for Village]],WWWW[[#This Row],[Access to safe drinking water for Camp]])</f>
        <v>0.99875156054931347</v>
      </c>
      <c r="AW100" s="414">
        <f>WWWW[[#This Row],[%Equitable and continuous access to sufficient quantity of safe drinking water]]*WWWW[[#This Row],[Total PoP ]]</f>
        <v>266.66666666666669</v>
      </c>
      <c r="AX100" s="237">
        <f>IF((WWWW[[#This Row],['# Existing protected/fenced ponds ]]*250)/WWWW[[#This Row],[Total PoP ]]&gt;1,1,WWWW[[#This Row],['# Existing protected/fenced ponds ]]*250/WWWW[[#This Row],[Total PoP ]])</f>
        <v>0</v>
      </c>
      <c r="AY100" s="236">
        <f>WWWW[[#This Row],[Access to unimproved water points]]*WWWW[[#This Row],[Total PoP ]]</f>
        <v>0</v>
      </c>
      <c r="AZ100" s="237">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0.99875156054931347</v>
      </c>
      <c r="BA100" s="414">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266.66666666666669</v>
      </c>
      <c r="BB100" s="414">
        <f>WWWW[[#This Row],['#people Equitable and continuous access to sufficient quantity of domestic water borehole n ponds_2]]/500</f>
        <v>0.53333333333333333</v>
      </c>
      <c r="BC100" s="235">
        <f>1-WWWW[[#This Row],[%Equitable and continuous access to sufficient quantity of domestic water borehole n ponds]]</f>
        <v>1.2484394506865337E-3</v>
      </c>
      <c r="BD100" s="236">
        <f>WWWW[[#This Row],[%equitable and continuous access to sufficient quantity of safe drinking and domestic water''s GAP]]*WWWW[[#This Row],[Total PoP ]]</f>
        <v>0.3333333333333045</v>
      </c>
      <c r="BE100" s="238">
        <f>IF(WWWW[[#This Row],[Total required water points]]-WWWW[[#This Row],['#Water points coverage]]&lt;0,0,WWWW[[#This Row],[Total required water points]]-WWWW[[#This Row],['#Water points coverage]])</f>
        <v>0.46666666666666667</v>
      </c>
      <c r="BF100" s="238">
        <f>ROUND(IF(WWWW[[#This Row],[Total PoP ]]&lt;500,1,WWWW[[#This Row],[Total PoP ]]/500),0)</f>
        <v>1</v>
      </c>
      <c r="BG100" s="238" t="str">
        <f>IF(AND(WWWW[[#This Row],[%of Water samples which passed at water source]]="no test",WWWW[[#This Row],[%Water samples which passed at HH]]="no test"),"No Test","Tested")</f>
        <v>No Test</v>
      </c>
      <c r="BH100" s="238">
        <f>WWWW[[#This Row],['# Existing functional latrines]]+WWWW[[#This Row],['# Existing latrines dysfunctional]]</f>
        <v>12</v>
      </c>
      <c r="BI100" s="235">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0.898876404494382</v>
      </c>
      <c r="BJ100" s="675">
        <f>WWWW[[#This Row],[% people access to functioning Latrine]]*WWWW[[#This Row],[Total PoP ]]</f>
        <v>240</v>
      </c>
      <c r="BK100" s="235">
        <f>IF(WWWW[[#This Row],[Location Type 1]]="camp",WWWW[[#This Row],['# potential required new latrines]]/(WWWW[[#This Row],[Total PoP ]]/20),WWWW[[#This Row],['# potential required new latrines]]/(WWWW[[#This Row],[Total PoP ]]/6))</f>
        <v>7.4906367041198504E-2</v>
      </c>
      <c r="BL100" s="236">
        <f>IF(WWWW[[#This Row],[Total required Latrines]]-WWWW[[#This Row],[Total '# of latrine]]&lt;0,0,WWWW[[#This Row],[Total required Latrines]]-WWWW[[#This Row],[Total '# of latrine]])</f>
        <v>1</v>
      </c>
      <c r="BM100" s="238">
        <f>ROUND(IF(WWWW[[#This Row],[Location Type 1]]="camp",WWWW[[#This Row],[Total PoP ]]/20,WWWW[[#This Row],[Total PoP ]]/6),0)</f>
        <v>13</v>
      </c>
      <c r="BN100" s="239">
        <f>IF(OR(WWWW[[#This Row],['# Existing latrines dysfunctional]]="",WWWW[[#This Row],['# Existing latrines dysfunctional]]=0),0,WWWW[[#This Row],['# Existing latrines dysfunctional]]/WWWW[[#This Row],[Total '# of latrine]])</f>
        <v>0</v>
      </c>
      <c r="BO100" s="675">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P100" s="235">
        <f>WWWW[[#This Row],[People adopt basic personal and community hygiene practices]]/WWWW[[#This Row],[Total PoP ]]</f>
        <v>0</v>
      </c>
      <c r="BQ100" s="239">
        <f>1-WWWW[[#This Row],[Hygiene Coverage%]]</f>
        <v>1</v>
      </c>
      <c r="BR100" s="414">
        <f>IF(500*WWWW[[#This Row],['# Hygiene Promoters ]]&gt;WWWW[[#This Row],[Total PoP ]],WWWW[[#This Row],[Total PoP ]],500*WWWW[[#This Row],['# Hygiene Promoters ]])</f>
        <v>267</v>
      </c>
      <c r="BS100" s="414">
        <f>IF(WWWW[[#This Row],[% of HH with access to Sanitary Pad]]&gt;=100%,1,0)</f>
        <v>0</v>
      </c>
      <c r="BT100" s="414">
        <f>IF(WWWW[[#This Row],[Total PoP ]]=0,0,IF(WWWW[[#This Row],['# Hygiene Promoters ]]=0,0,IF(WWWW[[#This Row],[Location Type 1]]="Village",IF(WWWW[[#This Row],[Total PoP ]]/WWWW[[#This Row],['# Hygiene Promoters ]]&lt;1000,1,0),IF(WWWW[[#This Row],[Total PoP ]]/WWWW[[#This Row],['# Hygiene Promoters ]]&lt;600,1,0))))</f>
        <v>1</v>
      </c>
      <c r="BU100" s="414">
        <f>IF(WWWW[[#This Row],[%HH with access to soap]]&gt;=100%,1,0)</f>
        <v>0</v>
      </c>
      <c r="BV100" s="414">
        <f>IF(WWWW[[#This Row],[% of HHs with access to Sanitary pad more than '#%]]+WWWW[[#This Row],[Ratio of Hyiene promoters to people less than '#]]+WWWW[[#This Row],[% of HHs with access to soap more than '#%]]&gt;=2,WWWW[[#This Row],[Total PoP ]],0)</f>
        <v>0</v>
      </c>
      <c r="BW100" s="346">
        <f>WWWW[[#This Row],['# people reached by regular dedicated hygiene promotion_5]]/WWWW[[#This Row],[Total PoP ]]</f>
        <v>1</v>
      </c>
      <c r="BX100" s="346">
        <f>IF(WWWW[[#This Row],['# HH received soaps]]/WWWW[[#This Row],[Total HH]]&gt;1,1,WWWW[[#This Row],['# HH received soaps]]/WWWW[[#This Row],[Total HH]])</f>
        <v>0</v>
      </c>
      <c r="BY100" s="346">
        <f>IF(WWWW[[#This Row],['# HH received Sanitary Pads]]/WWWW[[#This Row],[Total HH]]&gt;1,1,WWWW[[#This Row],['# HH received Sanitary Pads]]/WWWW[[#This Row],[Total HH]])</f>
        <v>0</v>
      </c>
      <c r="BZ100" s="720">
        <f>WWWW[[#This Row],['# HH received soaps]]*5</f>
        <v>0</v>
      </c>
      <c r="CA100" s="720">
        <f>WWWW[[#This Row],['# HH received Sanitary Pads]]*5</f>
        <v>0</v>
      </c>
      <c r="CB100" s="238">
        <f>IF(WWWW[[#This Row],['# People with access to soap]]&gt;WWWW[[#This Row],['# People with access to Sanity Pads]],WWWW[[#This Row],['# People with access to soap]],WWWW[[#This Row],['# People with access to Sanity Pads]])</f>
        <v>0</v>
      </c>
      <c r="CC100" s="236">
        <f>WWWW[[#This Row],[Total HH]]*WWWW[[#This Row],[%HHs with access to functional hand washing stations]]</f>
        <v>0</v>
      </c>
      <c r="CD100" s="240" t="str">
        <f>VLOOKUP(WWWW[[#This Row],[Site Name]],SiteDB6[],8,FALSE)</f>
        <v>Yes</v>
      </c>
      <c r="CE100" s="240" t="str">
        <f>VLOOKUP(WWWW[[#This Row],[Site Name]],SiteDB6[],9,FALSE)</f>
        <v>KMSS-MYT</v>
      </c>
      <c r="CF100" s="240" t="str">
        <f>VLOOKUP(WWWW[[#This Row],[Site Name]],SiteDB6[],10,FALSE)</f>
        <v>Camp</v>
      </c>
      <c r="CG100" s="240" t="str">
        <f>VLOOKUP(WWWW[[#This Row],[Site Name]],SiteDB6[],11,FALSE)</f>
        <v>Camp</v>
      </c>
      <c r="CH100" s="240" t="str">
        <f>VLOOKUP(WWWW[[#This Row],[Site Name]],SiteDB6[],12,FALSE)</f>
        <v>Camp</v>
      </c>
      <c r="CI100" s="240" t="str">
        <f>VLOOKUP(WWWW[[#This Row],[Site Name]],SiteDB6[],13,FALSE)</f>
        <v>GCA</v>
      </c>
      <c r="CJ100" s="240">
        <f>VLOOKUP(WWWW[[#This Row],[Site Name]],SiteDB6[],14,FALSE)</f>
        <v>25.60867</v>
      </c>
      <c r="CK100" s="240">
        <f>VLOOKUP(WWWW[[#This Row],[Site Name]],SiteDB6[],15,FALSE)</f>
        <v>98.377780000000001</v>
      </c>
      <c r="CL100" s="240" t="str">
        <f>VLOOKUP(WWWW[[#This Row],[Site Name]],SiteDB6[],4,FALSE)</f>
        <v>MMR001CMP210</v>
      </c>
      <c r="CM100" s="235" t="str">
        <f t="shared" si="1"/>
        <v>Covered</v>
      </c>
      <c r="CN100" s="235"/>
    </row>
    <row r="101" spans="1:92" ht="15.75" customHeight="1" x14ac:dyDescent="0.25">
      <c r="A101" s="532" t="s">
        <v>1409</v>
      </c>
      <c r="B101" s="533" t="s">
        <v>436</v>
      </c>
      <c r="C101" s="533" t="s">
        <v>44</v>
      </c>
      <c r="D101" s="533" t="s">
        <v>351</v>
      </c>
      <c r="E101" s="533" t="s">
        <v>439</v>
      </c>
      <c r="F101" s="233">
        <v>147</v>
      </c>
      <c r="G101" s="414">
        <v>777</v>
      </c>
      <c r="H101" s="233"/>
      <c r="I101" s="233" t="s">
        <v>401</v>
      </c>
      <c r="J101" s="234">
        <v>43220</v>
      </c>
      <c r="K101" s="233">
        <v>0</v>
      </c>
      <c r="L101" s="233" t="s">
        <v>48</v>
      </c>
      <c r="M101" s="235">
        <v>0.6</v>
      </c>
      <c r="N101" s="235">
        <v>0</v>
      </c>
      <c r="O101" s="609">
        <v>0</v>
      </c>
      <c r="P101" s="615">
        <v>4</v>
      </c>
      <c r="Q101" s="615">
        <v>1890000</v>
      </c>
      <c r="R101" s="604">
        <v>0</v>
      </c>
      <c r="S101" s="604">
        <v>0</v>
      </c>
      <c r="T101" s="604"/>
      <c r="U101" s="604"/>
      <c r="V101" s="604">
        <v>9</v>
      </c>
      <c r="W101" s="604">
        <v>9</v>
      </c>
      <c r="X101" s="604"/>
      <c r="Y101" s="604"/>
      <c r="Z101" s="628">
        <v>45</v>
      </c>
      <c r="AA101" s="628">
        <v>0</v>
      </c>
      <c r="AB101" s="629">
        <v>26</v>
      </c>
      <c r="AC101" s="628">
        <v>0</v>
      </c>
      <c r="AD101" s="628" t="s">
        <v>293</v>
      </c>
      <c r="AE101" s="631" t="s">
        <v>293</v>
      </c>
      <c r="AF101" s="631">
        <v>0</v>
      </c>
      <c r="AG101" s="628">
        <v>0</v>
      </c>
      <c r="AH101" s="628"/>
      <c r="AI101" s="659">
        <v>1</v>
      </c>
      <c r="AJ101" s="644" t="s">
        <v>301</v>
      </c>
      <c r="AK101" s="644">
        <v>0</v>
      </c>
      <c r="AL101" s="645">
        <v>8</v>
      </c>
      <c r="AM101" s="645">
        <v>110</v>
      </c>
      <c r="AN101" s="646">
        <v>0</v>
      </c>
      <c r="AO101" s="647"/>
      <c r="AP101" s="647"/>
      <c r="AQ101" s="658"/>
      <c r="AR101" s="235" t="str">
        <f>IFERROR(WWWW[[#This Row],['# of Water passed at source]]/WWWW[[#This Row],['# of Water tested at source]],"no test")</f>
        <v>no test</v>
      </c>
      <c r="AS101" s="237">
        <f>IFERROR(WWWW[[#This Row],['# of Water passed at HH]]/WWWW[[#This Row],['# of Water tested at HH]],"no test")</f>
        <v>1</v>
      </c>
      <c r="AT101" s="237">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U101" s="237">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AV101" s="237">
        <f>IF(WWWW[[#This Row],[Location Type 1]]="Village",WWWW[[#This Row],[Access to safe drinking water for Village]],WWWW[[#This Row],[Access to safe drinking water for Camp]])</f>
        <v>1</v>
      </c>
      <c r="AW101" s="414">
        <f>WWWW[[#This Row],[%Equitable and continuous access to sufficient quantity of safe drinking water]]*WWWW[[#This Row],[Total PoP ]]</f>
        <v>777</v>
      </c>
      <c r="AX101" s="237">
        <f>IF((WWWW[[#This Row],['# Existing protected/fenced ponds ]]*250)/WWWW[[#This Row],[Total PoP ]]&gt;1,1,WWWW[[#This Row],['# Existing protected/fenced ponds ]]*250/WWWW[[#This Row],[Total PoP ]])</f>
        <v>0</v>
      </c>
      <c r="AY101" s="414">
        <f>WWWW[[#This Row],[Access to unimproved water points]]*WWWW[[#This Row],[Total PoP ]]</f>
        <v>0</v>
      </c>
      <c r="AZ101" s="237">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A101" s="414">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777</v>
      </c>
      <c r="BB101" s="414">
        <f>WWWW[[#This Row],['#people Equitable and continuous access to sufficient quantity of domestic water borehole n ponds_2]]/500</f>
        <v>1.554</v>
      </c>
      <c r="BC101" s="235">
        <f>1-WWWW[[#This Row],[%Equitable and continuous access to sufficient quantity of domestic water borehole n ponds]]</f>
        <v>0</v>
      </c>
      <c r="BD101" s="414">
        <f>WWWW[[#This Row],[%equitable and continuous access to sufficient quantity of safe drinking and domestic water''s GAP]]*WWWW[[#This Row],[Total PoP ]]</f>
        <v>0</v>
      </c>
      <c r="BE101" s="238">
        <f>IF(WWWW[[#This Row],[Total required water points]]-WWWW[[#This Row],['#Water points coverage]]&lt;0,0,WWWW[[#This Row],[Total required water points]]-WWWW[[#This Row],['#Water points coverage]])</f>
        <v>0.44599999999999995</v>
      </c>
      <c r="BF101" s="238">
        <f>ROUND(IF(WWWW[[#This Row],[Total PoP ]]&lt;500,1,WWWW[[#This Row],[Total PoP ]]/500),0)</f>
        <v>2</v>
      </c>
      <c r="BG101" s="238" t="str">
        <f>IF(AND(WWWW[[#This Row],[%of Water samples which passed at water source]]="no test",WWWW[[#This Row],[%Water samples which passed at HH]]="no test"),"No Test","Tested")</f>
        <v>Tested</v>
      </c>
      <c r="BH101" s="238">
        <f>WWWW[[#This Row],['# Existing functional latrines]]+WWWW[[#This Row],['# Existing latrines dysfunctional]]</f>
        <v>45</v>
      </c>
      <c r="BI101" s="235">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1</v>
      </c>
      <c r="BJ101" s="675">
        <f>WWWW[[#This Row],[% people access to functioning Latrine]]*WWWW[[#This Row],[Total PoP ]]</f>
        <v>777</v>
      </c>
      <c r="BK101" s="235">
        <f>IF(WWWW[[#This Row],[Location Type 1]]="camp",WWWW[[#This Row],['# potential required new latrines]]/(WWWW[[#This Row],[Total PoP ]]/20),WWWW[[#This Row],['# potential required new latrines]]/(WWWW[[#This Row],[Total PoP ]]/6))</f>
        <v>0</v>
      </c>
      <c r="BL101" s="414">
        <f>IF(WWWW[[#This Row],[Total required Latrines]]-WWWW[[#This Row],[Total '# of latrine]]&lt;0,0,WWWW[[#This Row],[Total required Latrines]]-WWWW[[#This Row],[Total '# of latrine]])</f>
        <v>0</v>
      </c>
      <c r="BM101" s="238">
        <f>ROUND(IF(WWWW[[#This Row],[Location Type 1]]="camp",WWWW[[#This Row],[Total PoP ]]/20,WWWW[[#This Row],[Total PoP ]]/6),0)</f>
        <v>39</v>
      </c>
      <c r="BN101" s="239">
        <f>IF(OR(WWWW[[#This Row],['# Existing latrines dysfunctional]]="",WWWW[[#This Row],['# Existing latrines dysfunctional]]=0),0,WWWW[[#This Row],['# Existing latrines dysfunctional]]/WWWW[[#This Row],[Total '# of latrine]])</f>
        <v>0</v>
      </c>
      <c r="BO101" s="675">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520</v>
      </c>
      <c r="BP101" s="235">
        <f>WWWW[[#This Row],[People adopt basic personal and community hygiene practices]]/WWWW[[#This Row],[Total PoP ]]</f>
        <v>0</v>
      </c>
      <c r="BQ101" s="239">
        <f>1-WWWW[[#This Row],[Hygiene Coverage%]]</f>
        <v>1</v>
      </c>
      <c r="BR101" s="414">
        <f>IF(500*WWWW[[#This Row],['# Hygiene Promoters ]]&gt;WWWW[[#This Row],[Total PoP ]],WWWW[[#This Row],[Total PoP ]],500*WWWW[[#This Row],['# Hygiene Promoters ]])</f>
        <v>777</v>
      </c>
      <c r="BS101" s="414">
        <f>IF(WWWW[[#This Row],[% of HH with access to Sanitary Pad]]&gt;=100%,1,0)</f>
        <v>0</v>
      </c>
      <c r="BT101" s="414">
        <f>IF(WWWW[[#This Row],[Total PoP ]]=0,0,IF(WWWW[[#This Row],['# Hygiene Promoters ]]=0,0,IF(WWWW[[#This Row],[Location Type 1]]="Village",IF(WWWW[[#This Row],[Total PoP ]]/WWWW[[#This Row],['# Hygiene Promoters ]]&lt;1000,1,0),IF(WWWW[[#This Row],[Total PoP ]]/WWWW[[#This Row],['# Hygiene Promoters ]]&lt;600,1,0))))</f>
        <v>1</v>
      </c>
      <c r="BU101" s="414">
        <f>IF(WWWW[[#This Row],[%HH with access to soap]]&gt;=100%,1,0)</f>
        <v>0</v>
      </c>
      <c r="BV101" s="414">
        <f>IF(WWWW[[#This Row],[% of HHs with access to Sanitary pad more than '#%]]+WWWW[[#This Row],[Ratio of Hyiene promoters to people less than '#]]+WWWW[[#This Row],[% of HHs with access to soap more than '#%]]&gt;=2,WWWW[[#This Row],[Total PoP ]],0)</f>
        <v>0</v>
      </c>
      <c r="BW101" s="346">
        <f>WWWW[[#This Row],['# people reached by regular dedicated hygiene promotion_5]]/WWWW[[#This Row],[Total PoP ]]</f>
        <v>1</v>
      </c>
      <c r="BX101" s="346">
        <f>IF(WWWW[[#This Row],['# HH received soaps]]/WWWW[[#This Row],[Total HH]]&gt;1,1,WWWW[[#This Row],['# HH received soaps]]/WWWW[[#This Row],[Total HH]])</f>
        <v>0</v>
      </c>
      <c r="BY101" s="346">
        <f>IF(WWWW[[#This Row],['# HH received Sanitary Pads]]/WWWW[[#This Row],[Total HH]]&gt;1,1,WWWW[[#This Row],['# HH received Sanitary Pads]]/WWWW[[#This Row],[Total HH]])</f>
        <v>0</v>
      </c>
      <c r="BZ101" s="720">
        <f>WWWW[[#This Row],['# HH received soaps]]*5</f>
        <v>0</v>
      </c>
      <c r="CA101" s="720">
        <f>WWWW[[#This Row],['# HH received Sanitary Pads]]*5</f>
        <v>0</v>
      </c>
      <c r="CB101" s="238">
        <f>IF(WWWW[[#This Row],['# People with access to soap]]&gt;WWWW[[#This Row],['# People with access to Sanity Pads]],WWWW[[#This Row],['# People with access to soap]],WWWW[[#This Row],['# People with access to Sanity Pads]])</f>
        <v>0</v>
      </c>
      <c r="CC101" s="414">
        <f>WWWW[[#This Row],[Total HH]]*WWWW[[#This Row],[%HHs with access to functional hand washing stations]]</f>
        <v>147</v>
      </c>
      <c r="CD101" s="240" t="str">
        <f>VLOOKUP(WWWW[[#This Row],[Site Name]],SiteDB6[],8,FALSE)</f>
        <v>Yes</v>
      </c>
      <c r="CE101" s="240" t="str">
        <f>VLOOKUP(WWWW[[#This Row],[Site Name]],SiteDB6[],9,FALSE)</f>
        <v>KBC</v>
      </c>
      <c r="CF101" s="240" t="str">
        <f>VLOOKUP(WWWW[[#This Row],[Site Name]],SiteDB6[],10,FALSE)</f>
        <v>Camp</v>
      </c>
      <c r="CG101" s="240" t="str">
        <f>VLOOKUP(WWWW[[#This Row],[Site Name]],SiteDB6[],11,FALSE)</f>
        <v>Camp</v>
      </c>
      <c r="CH101" s="240" t="str">
        <f>VLOOKUP(WWWW[[#This Row],[Site Name]],SiteDB6[],12,FALSE)</f>
        <v>Camp</v>
      </c>
      <c r="CI101" s="240" t="str">
        <f>VLOOKUP(WWWW[[#This Row],[Site Name]],SiteDB6[],13,FALSE)</f>
        <v>GCA</v>
      </c>
      <c r="CJ101" s="240">
        <f>VLOOKUP(WWWW[[#This Row],[Site Name]],SiteDB6[],14,FALSE)</f>
        <v>24.222349999999999</v>
      </c>
      <c r="CK101" s="240">
        <f>VLOOKUP(WWWW[[#This Row],[Site Name]],SiteDB6[],15,FALSE)</f>
        <v>97.252650000000003</v>
      </c>
      <c r="CL101" s="240" t="str">
        <f>VLOOKUP(WWWW[[#This Row],[Site Name]],SiteDB6[],4,FALSE)</f>
        <v>MMR001CMP193</v>
      </c>
      <c r="CM101" s="235" t="str">
        <f t="shared" si="1"/>
        <v>Covered</v>
      </c>
      <c r="CN101" s="235"/>
    </row>
    <row r="102" spans="1:92" ht="15.75" customHeight="1" x14ac:dyDescent="0.25">
      <c r="A102" s="532" t="s">
        <v>1409</v>
      </c>
      <c r="B102" s="533" t="s">
        <v>43</v>
      </c>
      <c r="C102" s="533" t="s">
        <v>44</v>
      </c>
      <c r="D102" s="533" t="s">
        <v>298</v>
      </c>
      <c r="E102" s="533" t="s">
        <v>395</v>
      </c>
      <c r="F102" s="233">
        <v>89</v>
      </c>
      <c r="G102" s="414">
        <v>550</v>
      </c>
      <c r="H102" s="233"/>
      <c r="I102" s="233" t="s">
        <v>382</v>
      </c>
      <c r="J102" s="234">
        <v>43465</v>
      </c>
      <c r="K102" s="233">
        <v>0</v>
      </c>
      <c r="L102" s="233" t="s">
        <v>2578</v>
      </c>
      <c r="M102" s="235">
        <v>0.5</v>
      </c>
      <c r="N102" s="235">
        <v>0.1</v>
      </c>
      <c r="O102" s="609">
        <v>0</v>
      </c>
      <c r="P102" s="615">
        <v>0</v>
      </c>
      <c r="Q102" s="615">
        <v>10000</v>
      </c>
      <c r="R102" s="604">
        <v>0</v>
      </c>
      <c r="S102" s="604">
        <v>10</v>
      </c>
      <c r="T102" s="604">
        <v>0</v>
      </c>
      <c r="U102" s="604">
        <v>0</v>
      </c>
      <c r="V102" s="604">
        <v>0</v>
      </c>
      <c r="W102" s="604">
        <v>0</v>
      </c>
      <c r="X102" s="604">
        <v>0</v>
      </c>
      <c r="Y102" s="604"/>
      <c r="Z102" s="628">
        <v>98</v>
      </c>
      <c r="AA102" s="628">
        <v>0</v>
      </c>
      <c r="AB102" s="629">
        <v>0</v>
      </c>
      <c r="AC102" s="628">
        <v>27</v>
      </c>
      <c r="AD102" s="628" t="s">
        <v>293</v>
      </c>
      <c r="AE102" s="631" t="s">
        <v>1379</v>
      </c>
      <c r="AF102" s="631">
        <v>0</v>
      </c>
      <c r="AG102" s="628">
        <v>0</v>
      </c>
      <c r="AH102" s="628"/>
      <c r="AI102" s="659">
        <v>0</v>
      </c>
      <c r="AJ102" s="650" t="s">
        <v>386</v>
      </c>
      <c r="AK102" s="644">
        <v>0</v>
      </c>
      <c r="AL102" s="645">
        <v>2</v>
      </c>
      <c r="AM102" s="645">
        <v>2</v>
      </c>
      <c r="AN102" s="646">
        <v>0</v>
      </c>
      <c r="AO102" s="647">
        <v>0</v>
      </c>
      <c r="AP102" s="647" t="s">
        <v>292</v>
      </c>
      <c r="AQ102" s="658"/>
      <c r="AR102" s="235" t="str">
        <f>IFERROR(WWWW[[#This Row],['# of Water passed at source]]/WWWW[[#This Row],['# of Water tested at source]],"no test")</f>
        <v>no test</v>
      </c>
      <c r="AS102" s="237" t="str">
        <f>IFERROR(WWWW[[#This Row],['# of Water passed at HH]]/WWWW[[#This Row],['# of Water tested at HH]],"no test")</f>
        <v>no test</v>
      </c>
      <c r="AT102" s="237">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U102" s="237">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AV102" s="237">
        <f>IF(WWWW[[#This Row],[Location Type 1]]="Village",WWWW[[#This Row],[Access to safe drinking water for Village]],WWWW[[#This Row],[Access to safe drinking water for Camp]])</f>
        <v>1</v>
      </c>
      <c r="AW102" s="414">
        <f>WWWW[[#This Row],[%Equitable and continuous access to sufficient quantity of safe drinking water]]*WWWW[[#This Row],[Total PoP ]]</f>
        <v>550</v>
      </c>
      <c r="AX102" s="237">
        <f>IF((WWWW[[#This Row],['# Existing protected/fenced ponds ]]*250)/WWWW[[#This Row],[Total PoP ]]&gt;1,1,WWWW[[#This Row],['# Existing protected/fenced ponds ]]*250/WWWW[[#This Row],[Total PoP ]])</f>
        <v>0</v>
      </c>
      <c r="AY102" s="414">
        <f>WWWW[[#This Row],[Access to unimproved water points]]*WWWW[[#This Row],[Total PoP ]]</f>
        <v>0</v>
      </c>
      <c r="AZ102" s="237">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A102" s="414">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550</v>
      </c>
      <c r="BB102" s="414">
        <f>WWWW[[#This Row],['#people Equitable and continuous access to sufficient quantity of domestic water borehole n ponds_2]]/500</f>
        <v>1.1000000000000001</v>
      </c>
      <c r="BC102" s="235">
        <f>1-WWWW[[#This Row],[%Equitable and continuous access to sufficient quantity of domestic water borehole n ponds]]</f>
        <v>0</v>
      </c>
      <c r="BD102" s="414">
        <f>WWWW[[#This Row],[%equitable and continuous access to sufficient quantity of safe drinking and domestic water''s GAP]]*WWWW[[#This Row],[Total PoP ]]</f>
        <v>0</v>
      </c>
      <c r="BE102" s="238">
        <f>IF(WWWW[[#This Row],[Total required water points]]-WWWW[[#This Row],['#Water points coverage]]&lt;0,0,WWWW[[#This Row],[Total required water points]]-WWWW[[#This Row],['#Water points coverage]])</f>
        <v>0</v>
      </c>
      <c r="BF102" s="238">
        <f>ROUND(IF(WWWW[[#This Row],[Total PoP ]]&lt;500,1,WWWW[[#This Row],[Total PoP ]]/500),0)</f>
        <v>1</v>
      </c>
      <c r="BG102" s="238" t="str">
        <f>IF(AND(WWWW[[#This Row],[%of Water samples which passed at water source]]="no test",WWWW[[#This Row],[%Water samples which passed at HH]]="no test"),"No Test","Tested")</f>
        <v>No Test</v>
      </c>
      <c r="BH102" s="238">
        <f>WWWW[[#This Row],['# Existing functional latrines]]+WWWW[[#This Row],['# Existing latrines dysfunctional]]</f>
        <v>98</v>
      </c>
      <c r="BI102" s="235">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1</v>
      </c>
      <c r="BJ102" s="675">
        <f>WWWW[[#This Row],[% people access to functioning Latrine]]*WWWW[[#This Row],[Total PoP ]]</f>
        <v>550</v>
      </c>
      <c r="BK102" s="235">
        <f>IF(WWWW[[#This Row],[Location Type 1]]="camp",WWWW[[#This Row],['# potential required new latrines]]/(WWWW[[#This Row],[Total PoP ]]/20),WWWW[[#This Row],['# potential required new latrines]]/(WWWW[[#This Row],[Total PoP ]]/6))</f>
        <v>0</v>
      </c>
      <c r="BL102" s="414">
        <f>IF(WWWW[[#This Row],[Total required Latrines]]-WWWW[[#This Row],[Total '# of latrine]]&lt;0,0,WWWW[[#This Row],[Total required Latrines]]-WWWW[[#This Row],[Total '# of latrine]])</f>
        <v>0</v>
      </c>
      <c r="BM102" s="238">
        <f>ROUND(IF(WWWW[[#This Row],[Location Type 1]]="camp",WWWW[[#This Row],[Total PoP ]]/20,WWWW[[#This Row],[Total PoP ]]/6),0)</f>
        <v>28</v>
      </c>
      <c r="BN102" s="239">
        <f>IF(OR(WWWW[[#This Row],['# Existing latrines dysfunctional]]="",WWWW[[#This Row],['# Existing latrines dysfunctional]]=0),0,WWWW[[#This Row],['# Existing latrines dysfunctional]]/WWWW[[#This Row],[Total '# of latrine]])</f>
        <v>0</v>
      </c>
      <c r="BO102" s="675">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P102" s="235">
        <f>WWWW[[#This Row],[People adopt basic personal and community hygiene practices]]/WWWW[[#This Row],[Total PoP ]]</f>
        <v>0</v>
      </c>
      <c r="BQ102" s="239">
        <f>1-WWWW[[#This Row],[Hygiene Coverage%]]</f>
        <v>1</v>
      </c>
      <c r="BR102" s="414">
        <f>IF(500*WWWW[[#This Row],['# Hygiene Promoters ]]&gt;WWWW[[#This Row],[Total PoP ]],WWWW[[#This Row],[Total PoP ]],500*WWWW[[#This Row],['# Hygiene Promoters ]])</f>
        <v>550</v>
      </c>
      <c r="BS102" s="414">
        <f>IF(WWWW[[#This Row],[% of HH with access to Sanitary Pad]]&gt;=100%,1,0)</f>
        <v>0</v>
      </c>
      <c r="BT102" s="414">
        <f>IF(WWWW[[#This Row],[Total PoP ]]=0,0,IF(WWWW[[#This Row],['# Hygiene Promoters ]]=0,0,IF(WWWW[[#This Row],[Location Type 1]]="Village",IF(WWWW[[#This Row],[Total PoP ]]/WWWW[[#This Row],['# Hygiene Promoters ]]&lt;1000,1,0),IF(WWWW[[#This Row],[Total PoP ]]/WWWW[[#This Row],['# Hygiene Promoters ]]&lt;600,1,0))))</f>
        <v>1</v>
      </c>
      <c r="BU102" s="414">
        <f>IF(WWWW[[#This Row],[%HH with access to soap]]&gt;=100%,1,0)</f>
        <v>0</v>
      </c>
      <c r="BV102" s="414">
        <f>IF(WWWW[[#This Row],[% of HHs with access to Sanitary pad more than '#%]]+WWWW[[#This Row],[Ratio of Hyiene promoters to people less than '#]]+WWWW[[#This Row],[% of HHs with access to soap more than '#%]]&gt;=2,WWWW[[#This Row],[Total PoP ]],0)</f>
        <v>0</v>
      </c>
      <c r="BW102" s="346">
        <f>WWWW[[#This Row],['# people reached by regular dedicated hygiene promotion_5]]/WWWW[[#This Row],[Total PoP ]]</f>
        <v>1</v>
      </c>
      <c r="BX102" s="346">
        <f>IF(WWWW[[#This Row],['# HH received soaps]]/WWWW[[#This Row],[Total HH]]&gt;1,1,WWWW[[#This Row],['# HH received soaps]]/WWWW[[#This Row],[Total HH]])</f>
        <v>0</v>
      </c>
      <c r="BY102" s="346">
        <f>IF(WWWW[[#This Row],['# HH received Sanitary Pads]]/WWWW[[#This Row],[Total HH]]&gt;1,1,WWWW[[#This Row],['# HH received Sanitary Pads]]/WWWW[[#This Row],[Total HH]])</f>
        <v>0</v>
      </c>
      <c r="BZ102" s="720">
        <f>WWWW[[#This Row],['# HH received soaps]]*5</f>
        <v>0</v>
      </c>
      <c r="CA102" s="720">
        <f>WWWW[[#This Row],['# HH received Sanitary Pads]]*5</f>
        <v>0</v>
      </c>
      <c r="CB102" s="238">
        <f>IF(WWWW[[#This Row],['# People with access to soap]]&gt;WWWW[[#This Row],['# People with access to Sanity Pads]],WWWW[[#This Row],['# People with access to soap]],WWWW[[#This Row],['# People with access to Sanity Pads]])</f>
        <v>0</v>
      </c>
      <c r="CC102" s="414">
        <f>WWWW[[#This Row],[Total HH]]*WWWW[[#This Row],[%HHs with access to functional hand washing stations]]</f>
        <v>0</v>
      </c>
      <c r="CD102" s="240" t="str">
        <f>VLOOKUP(WWWW[[#This Row],[Site Name]],SiteDB6[],8,FALSE)</f>
        <v>Yes</v>
      </c>
      <c r="CE102" s="240" t="str">
        <f>VLOOKUP(WWWW[[#This Row],[Site Name]],SiteDB6[],9,FALSE)</f>
        <v>KMSS-MYT</v>
      </c>
      <c r="CF102" s="240" t="str">
        <f>VLOOKUP(WWWW[[#This Row],[Site Name]],SiteDB6[],10,FALSE)</f>
        <v>Camp</v>
      </c>
      <c r="CG102" s="240" t="str">
        <f>VLOOKUP(WWWW[[#This Row],[Site Name]],SiteDB6[],11,FALSE)</f>
        <v>Camp</v>
      </c>
      <c r="CH102" s="240" t="str">
        <f>VLOOKUP(WWWW[[#This Row],[Site Name]],SiteDB6[],12,FALSE)</f>
        <v>Camp</v>
      </c>
      <c r="CI102" s="240" t="str">
        <f>VLOOKUP(WWWW[[#This Row],[Site Name]],SiteDB6[],13,FALSE)</f>
        <v>NGCA</v>
      </c>
      <c r="CJ102" s="240">
        <f>VLOOKUP(WWWW[[#This Row],[Site Name]],SiteDB6[],14,FALSE)</f>
        <v>25.265277999999999</v>
      </c>
      <c r="CK102" s="240">
        <f>VLOOKUP(WWWW[[#This Row],[Site Name]],SiteDB6[],15,FALSE)</f>
        <v>97.990555999999998</v>
      </c>
      <c r="CL102" s="240" t="str">
        <f>VLOOKUP(WWWW[[#This Row],[Site Name]],SiteDB6[],4,FALSE)</f>
        <v>MMR001CMP160</v>
      </c>
      <c r="CM102" s="235" t="str">
        <f t="shared" si="1"/>
        <v>Covered</v>
      </c>
      <c r="CN102" s="235"/>
    </row>
    <row r="103" spans="1:92" ht="15.75" customHeight="1" x14ac:dyDescent="0.25">
      <c r="A103" s="532" t="s">
        <v>1409</v>
      </c>
      <c r="B103" s="533" t="s">
        <v>399</v>
      </c>
      <c r="C103" s="533" t="s">
        <v>44</v>
      </c>
      <c r="D103" s="533" t="s">
        <v>298</v>
      </c>
      <c r="E103" s="533" t="s">
        <v>431</v>
      </c>
      <c r="F103" s="233">
        <v>115</v>
      </c>
      <c r="G103" s="414">
        <v>460</v>
      </c>
      <c r="H103" s="233"/>
      <c r="I103" s="233" t="s">
        <v>401</v>
      </c>
      <c r="J103" s="234">
        <v>42947</v>
      </c>
      <c r="K103" s="233">
        <v>0</v>
      </c>
      <c r="L103" s="233" t="s">
        <v>48</v>
      </c>
      <c r="M103" s="235">
        <v>0.6</v>
      </c>
      <c r="N103" s="235">
        <v>1</v>
      </c>
      <c r="O103" s="609">
        <v>5</v>
      </c>
      <c r="P103" s="615">
        <v>0</v>
      </c>
      <c r="Q103" s="615">
        <v>1000</v>
      </c>
      <c r="R103" s="604">
        <v>0</v>
      </c>
      <c r="S103" s="604">
        <v>3</v>
      </c>
      <c r="T103" s="604">
        <v>0</v>
      </c>
      <c r="U103" s="604">
        <v>0</v>
      </c>
      <c r="V103" s="604">
        <v>0</v>
      </c>
      <c r="W103" s="604">
        <v>0</v>
      </c>
      <c r="X103" s="604">
        <v>0</v>
      </c>
      <c r="Y103" s="604"/>
      <c r="Z103" s="628">
        <v>4</v>
      </c>
      <c r="AA103" s="628">
        <v>0</v>
      </c>
      <c r="AB103" s="629">
        <v>6</v>
      </c>
      <c r="AC103" s="628">
        <v>4</v>
      </c>
      <c r="AD103" s="628" t="s">
        <v>293</v>
      </c>
      <c r="AE103" s="631" t="s">
        <v>293</v>
      </c>
      <c r="AF103" s="631">
        <v>0</v>
      </c>
      <c r="AG103" s="628">
        <v>0</v>
      </c>
      <c r="AH103" s="628"/>
      <c r="AI103" s="659">
        <v>0.5</v>
      </c>
      <c r="AJ103" s="650" t="s">
        <v>386</v>
      </c>
      <c r="AK103" s="644">
        <v>0</v>
      </c>
      <c r="AL103" s="645">
        <v>2</v>
      </c>
      <c r="AM103" s="645">
        <v>0</v>
      </c>
      <c r="AN103" s="646">
        <v>0</v>
      </c>
      <c r="AO103" s="647">
        <v>0</v>
      </c>
      <c r="AP103" s="647"/>
      <c r="AQ103" s="658"/>
      <c r="AR103" s="235" t="str">
        <f>IFERROR(WWWW[[#This Row],['# of Water passed at source]]/WWWW[[#This Row],['# of Water tested at source]],"no test")</f>
        <v>no test</v>
      </c>
      <c r="AS103" s="237" t="str">
        <f>IFERROR(WWWW[[#This Row],['# of Water passed at HH]]/WWWW[[#This Row],['# of Water tested at HH]],"no test")</f>
        <v>no test</v>
      </c>
      <c r="AT103" s="237">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U103" s="237">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AV103" s="237">
        <f>IF(WWWW[[#This Row],[Location Type 1]]="Village",WWWW[[#This Row],[Access to safe drinking water for Village]],WWWW[[#This Row],[Access to safe drinking water for Camp]])</f>
        <v>1</v>
      </c>
      <c r="AW103" s="414">
        <f>WWWW[[#This Row],[%Equitable and continuous access to sufficient quantity of safe drinking water]]*WWWW[[#This Row],[Total PoP ]]</f>
        <v>460</v>
      </c>
      <c r="AX103" s="237">
        <f>IF((WWWW[[#This Row],['# Existing protected/fenced ponds ]]*250)/WWWW[[#This Row],[Total PoP ]]&gt;1,1,WWWW[[#This Row],['# Existing protected/fenced ponds ]]*250/WWWW[[#This Row],[Total PoP ]])</f>
        <v>0</v>
      </c>
      <c r="AY103" s="414">
        <f>WWWW[[#This Row],[Access to unimproved water points]]*WWWW[[#This Row],[Total PoP ]]</f>
        <v>0</v>
      </c>
      <c r="AZ103" s="237">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A103" s="414">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460</v>
      </c>
      <c r="BB103" s="414">
        <f>WWWW[[#This Row],['#people Equitable and continuous access to sufficient quantity of domestic water borehole n ponds_2]]/500</f>
        <v>0.92</v>
      </c>
      <c r="BC103" s="235">
        <f>1-WWWW[[#This Row],[%Equitable and continuous access to sufficient quantity of domestic water borehole n ponds]]</f>
        <v>0</v>
      </c>
      <c r="BD103" s="414">
        <f>WWWW[[#This Row],[%equitable and continuous access to sufficient quantity of safe drinking and domestic water''s GAP]]*WWWW[[#This Row],[Total PoP ]]</f>
        <v>0</v>
      </c>
      <c r="BE103" s="238">
        <f>IF(WWWW[[#This Row],[Total required water points]]-WWWW[[#This Row],['#Water points coverage]]&lt;0,0,WWWW[[#This Row],[Total required water points]]-WWWW[[#This Row],['#Water points coverage]])</f>
        <v>7.999999999999996E-2</v>
      </c>
      <c r="BF103" s="238">
        <f>ROUND(IF(WWWW[[#This Row],[Total PoP ]]&lt;500,1,WWWW[[#This Row],[Total PoP ]]/500),0)</f>
        <v>1</v>
      </c>
      <c r="BG103" s="238" t="str">
        <f>IF(AND(WWWW[[#This Row],[%of Water samples which passed at water source]]="no test",WWWW[[#This Row],[%Water samples which passed at HH]]="no test"),"No Test","Tested")</f>
        <v>No Test</v>
      </c>
      <c r="BH103" s="238">
        <f>WWWW[[#This Row],['# Existing functional latrines]]+WWWW[[#This Row],['# Existing latrines dysfunctional]]</f>
        <v>4</v>
      </c>
      <c r="BI103" s="235">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0.17391304347826086</v>
      </c>
      <c r="BJ103" s="675">
        <f>WWWW[[#This Row],[% people access to functioning Latrine]]*WWWW[[#This Row],[Total PoP ]]</f>
        <v>80</v>
      </c>
      <c r="BK103" s="235">
        <f>IF(WWWW[[#This Row],[Location Type 1]]="camp",WWWW[[#This Row],['# potential required new latrines]]/(WWWW[[#This Row],[Total PoP ]]/20),WWWW[[#This Row],['# potential required new latrines]]/(WWWW[[#This Row],[Total PoP ]]/6))</f>
        <v>0.82608695652173914</v>
      </c>
      <c r="BL103" s="414">
        <f>IF(WWWW[[#This Row],[Total required Latrines]]-WWWW[[#This Row],[Total '# of latrine]]&lt;0,0,WWWW[[#This Row],[Total required Latrines]]-WWWW[[#This Row],[Total '# of latrine]])</f>
        <v>19</v>
      </c>
      <c r="BM103" s="238">
        <f>ROUND(IF(WWWW[[#This Row],[Location Type 1]]="camp",WWWW[[#This Row],[Total PoP ]]/20,WWWW[[#This Row],[Total PoP ]]/6),0)</f>
        <v>23</v>
      </c>
      <c r="BN103" s="239">
        <f>IF(OR(WWWW[[#This Row],['# Existing latrines dysfunctional]]="",WWWW[[#This Row],['# Existing latrines dysfunctional]]=0),0,WWWW[[#This Row],['# Existing latrines dysfunctional]]/WWWW[[#This Row],[Total '# of latrine]])</f>
        <v>0</v>
      </c>
      <c r="BO103" s="675">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120</v>
      </c>
      <c r="BP103" s="235">
        <f>WWWW[[#This Row],[People adopt basic personal and community hygiene practices]]/WWWW[[#This Row],[Total PoP ]]</f>
        <v>0</v>
      </c>
      <c r="BQ103" s="239">
        <f>1-WWWW[[#This Row],[Hygiene Coverage%]]</f>
        <v>1</v>
      </c>
      <c r="BR103" s="414">
        <f>IF(500*WWWW[[#This Row],['# Hygiene Promoters ]]&gt;WWWW[[#This Row],[Total PoP ]],WWWW[[#This Row],[Total PoP ]],500*WWWW[[#This Row],['# Hygiene Promoters ]])</f>
        <v>0</v>
      </c>
      <c r="BS103" s="414">
        <f>IF(WWWW[[#This Row],[% of HH with access to Sanitary Pad]]&gt;=100%,1,0)</f>
        <v>0</v>
      </c>
      <c r="BT103" s="414">
        <f>IF(WWWW[[#This Row],[Total PoP ]]=0,0,IF(WWWW[[#This Row],['# Hygiene Promoters ]]=0,0,IF(WWWW[[#This Row],[Location Type 1]]="Village",IF(WWWW[[#This Row],[Total PoP ]]/WWWW[[#This Row],['# Hygiene Promoters ]]&lt;1000,1,0),IF(WWWW[[#This Row],[Total PoP ]]/WWWW[[#This Row],['# Hygiene Promoters ]]&lt;600,1,0))))</f>
        <v>0</v>
      </c>
      <c r="BU103" s="414">
        <f>IF(WWWW[[#This Row],[%HH with access to soap]]&gt;=100%,1,0)</f>
        <v>0</v>
      </c>
      <c r="BV103" s="414">
        <f>IF(WWWW[[#This Row],[% of HHs with access to Sanitary pad more than '#%]]+WWWW[[#This Row],[Ratio of Hyiene promoters to people less than '#]]+WWWW[[#This Row],[% of HHs with access to soap more than '#%]]&gt;=2,WWWW[[#This Row],[Total PoP ]],0)</f>
        <v>0</v>
      </c>
      <c r="BW103" s="346">
        <f>WWWW[[#This Row],['# people reached by regular dedicated hygiene promotion_5]]/WWWW[[#This Row],[Total PoP ]]</f>
        <v>0</v>
      </c>
      <c r="BX103" s="346">
        <f>IF(WWWW[[#This Row],['# HH received soaps]]/WWWW[[#This Row],[Total HH]]&gt;1,1,WWWW[[#This Row],['# HH received soaps]]/WWWW[[#This Row],[Total HH]])</f>
        <v>0</v>
      </c>
      <c r="BY103" s="346">
        <f>IF(WWWW[[#This Row],['# HH received Sanitary Pads]]/WWWW[[#This Row],[Total HH]]&gt;1,1,WWWW[[#This Row],['# HH received Sanitary Pads]]/WWWW[[#This Row],[Total HH]])</f>
        <v>0</v>
      </c>
      <c r="BZ103" s="720">
        <f>WWWW[[#This Row],['# HH received soaps]]*5</f>
        <v>0</v>
      </c>
      <c r="CA103" s="720">
        <f>WWWW[[#This Row],['# HH received Sanitary Pads]]*5</f>
        <v>0</v>
      </c>
      <c r="CB103" s="238">
        <f>IF(WWWW[[#This Row],['# People with access to soap]]&gt;WWWW[[#This Row],['# People with access to Sanity Pads]],WWWW[[#This Row],['# People with access to soap]],WWWW[[#This Row],['# People with access to Sanity Pads]])</f>
        <v>0</v>
      </c>
      <c r="CC103" s="414">
        <f>WWWW[[#This Row],[Total HH]]*WWWW[[#This Row],[%HHs with access to functional hand washing stations]]</f>
        <v>57.5</v>
      </c>
      <c r="CD103" s="240" t="str">
        <f>VLOOKUP(WWWW[[#This Row],[Site Name]],SiteDB6[],8,FALSE)</f>
        <v>Yes</v>
      </c>
      <c r="CE103" s="240" t="str">
        <f>VLOOKUP(WWWW[[#This Row],[Site Name]],SiteDB6[],9,FALSE)</f>
        <v>Shalom</v>
      </c>
      <c r="CF103" s="240" t="str">
        <f>VLOOKUP(WWWW[[#This Row],[Site Name]],SiteDB6[],10,FALSE)</f>
        <v>Camp</v>
      </c>
      <c r="CG103" s="240" t="str">
        <f>VLOOKUP(WWWW[[#This Row],[Site Name]],SiteDB6[],11,FALSE)</f>
        <v>Camp</v>
      </c>
      <c r="CH103" s="240" t="str">
        <f>VLOOKUP(WWWW[[#This Row],[Site Name]],SiteDB6[],12,FALSE)</f>
        <v>Camp</v>
      </c>
      <c r="CI103" s="240" t="str">
        <f>VLOOKUP(WWWW[[#This Row],[Site Name]],SiteDB6[],13,FALSE)</f>
        <v>GCA</v>
      </c>
      <c r="CJ103" s="240">
        <f>VLOOKUP(WWWW[[#This Row],[Site Name]],SiteDB6[],14,FALSE)</f>
        <v>25.3540362037037</v>
      </c>
      <c r="CK103" s="240">
        <f>VLOOKUP(WWWW[[#This Row],[Site Name]],SiteDB6[],15,FALSE)</f>
        <v>97.441166388888902</v>
      </c>
      <c r="CL103" s="240" t="str">
        <f>VLOOKUP(WWWW[[#This Row],[Site Name]],SiteDB6[],4,FALSE)</f>
        <v>MMR001CMP032</v>
      </c>
      <c r="CM103" s="235" t="str">
        <f t="shared" si="1"/>
        <v>Covered</v>
      </c>
      <c r="CN103" s="235"/>
    </row>
    <row r="104" spans="1:92" ht="15.75" customHeight="1" x14ac:dyDescent="0.25">
      <c r="A104" s="532" t="s">
        <v>1409</v>
      </c>
      <c r="B104" s="533" t="s">
        <v>297</v>
      </c>
      <c r="C104" s="533" t="s">
        <v>44</v>
      </c>
      <c r="D104" s="533" t="s">
        <v>298</v>
      </c>
      <c r="E104" s="533" t="s">
        <v>337</v>
      </c>
      <c r="F104" s="233">
        <v>64</v>
      </c>
      <c r="G104" s="414">
        <v>322</v>
      </c>
      <c r="H104" s="233"/>
      <c r="I104" s="233" t="s">
        <v>300</v>
      </c>
      <c r="J104" s="234">
        <v>43555</v>
      </c>
      <c r="K104" s="233">
        <v>0</v>
      </c>
      <c r="L104" s="233" t="s">
        <v>48</v>
      </c>
      <c r="M104" s="235">
        <v>0.6</v>
      </c>
      <c r="N104" s="235">
        <v>0.5</v>
      </c>
      <c r="O104" s="609">
        <v>1</v>
      </c>
      <c r="P104" s="615">
        <v>0</v>
      </c>
      <c r="Q104" s="615">
        <v>0</v>
      </c>
      <c r="R104" s="604">
        <v>0</v>
      </c>
      <c r="S104" s="604">
        <v>0</v>
      </c>
      <c r="T104" s="604">
        <v>0</v>
      </c>
      <c r="U104" s="604">
        <v>0</v>
      </c>
      <c r="V104" s="604">
        <v>0</v>
      </c>
      <c r="W104" s="604">
        <v>0</v>
      </c>
      <c r="X104" s="604">
        <v>0</v>
      </c>
      <c r="Y104" s="604"/>
      <c r="Z104" s="628">
        <v>10</v>
      </c>
      <c r="AA104" s="628">
        <v>0</v>
      </c>
      <c r="AB104" s="629">
        <v>0</v>
      </c>
      <c r="AC104" s="628">
        <v>0</v>
      </c>
      <c r="AD104" s="628" t="s">
        <v>293</v>
      </c>
      <c r="AE104" s="631" t="s">
        <v>293</v>
      </c>
      <c r="AF104" s="631"/>
      <c r="AG104" s="628"/>
      <c r="AH104" s="628"/>
      <c r="AI104" s="659">
        <v>0.6</v>
      </c>
      <c r="AJ104" s="650" t="s">
        <v>386</v>
      </c>
      <c r="AK104" s="644">
        <v>0</v>
      </c>
      <c r="AL104" s="645">
        <v>2</v>
      </c>
      <c r="AM104" s="645">
        <v>1</v>
      </c>
      <c r="AN104" s="646">
        <v>0</v>
      </c>
      <c r="AO104" s="647">
        <v>0</v>
      </c>
      <c r="AP104" s="647"/>
      <c r="AQ104" s="658"/>
      <c r="AR104" s="235" t="str">
        <f>IFERROR(WWWW[[#This Row],['# of Water passed at source]]/WWWW[[#This Row],['# of Water tested at source]],"no test")</f>
        <v>no test</v>
      </c>
      <c r="AS104" s="237" t="str">
        <f>IFERROR(WWWW[[#This Row],['# of Water passed at HH]]/WWWW[[#This Row],['# of Water tested at HH]],"no test")</f>
        <v>no test</v>
      </c>
      <c r="AT104" s="237">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U104" s="237">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0.77639751552795033</v>
      </c>
      <c r="AV104" s="237">
        <f>IF(WWWW[[#This Row],[Location Type 1]]="Village",WWWW[[#This Row],[Access to safe drinking water for Village]],WWWW[[#This Row],[Access to safe drinking water for Camp]])</f>
        <v>1</v>
      </c>
      <c r="AW104" s="414">
        <f>WWWW[[#This Row],[%Equitable and continuous access to sufficient quantity of safe drinking water]]*WWWW[[#This Row],[Total PoP ]]</f>
        <v>322</v>
      </c>
      <c r="AX104" s="237">
        <f>IF((WWWW[[#This Row],['# Existing protected/fenced ponds ]]*250)/WWWW[[#This Row],[Total PoP ]]&gt;1,1,WWWW[[#This Row],['# Existing protected/fenced ponds ]]*250/WWWW[[#This Row],[Total PoP ]])</f>
        <v>0</v>
      </c>
      <c r="AY104" s="414">
        <f>WWWW[[#This Row],[Access to unimproved water points]]*WWWW[[#This Row],[Total PoP ]]</f>
        <v>0</v>
      </c>
      <c r="AZ104" s="237">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A104" s="414">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322</v>
      </c>
      <c r="BB104" s="414">
        <f>WWWW[[#This Row],['#people Equitable and continuous access to sufficient quantity of domestic water borehole n ponds_2]]/500</f>
        <v>0.64400000000000002</v>
      </c>
      <c r="BC104" s="235">
        <f>1-WWWW[[#This Row],[%Equitable and continuous access to sufficient quantity of domestic water borehole n ponds]]</f>
        <v>0</v>
      </c>
      <c r="BD104" s="414">
        <f>WWWW[[#This Row],[%equitable and continuous access to sufficient quantity of safe drinking and domestic water''s GAP]]*WWWW[[#This Row],[Total PoP ]]</f>
        <v>0</v>
      </c>
      <c r="BE104" s="238">
        <f>IF(WWWW[[#This Row],[Total required water points]]-WWWW[[#This Row],['#Water points coverage]]&lt;0,0,WWWW[[#This Row],[Total required water points]]-WWWW[[#This Row],['#Water points coverage]])</f>
        <v>0.35599999999999998</v>
      </c>
      <c r="BF104" s="238">
        <f>ROUND(IF(WWWW[[#This Row],[Total PoP ]]&lt;500,1,WWWW[[#This Row],[Total PoP ]]/500),0)</f>
        <v>1</v>
      </c>
      <c r="BG104" s="238" t="str">
        <f>IF(AND(WWWW[[#This Row],[%of Water samples which passed at water source]]="no test",WWWW[[#This Row],[%Water samples which passed at HH]]="no test"),"No Test","Tested")</f>
        <v>No Test</v>
      </c>
      <c r="BH104" s="238">
        <f>WWWW[[#This Row],['# Existing functional latrines]]+WWWW[[#This Row],['# Existing latrines dysfunctional]]</f>
        <v>10</v>
      </c>
      <c r="BI104" s="235">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0.6211180124223602</v>
      </c>
      <c r="BJ104" s="675">
        <f>WWWW[[#This Row],[% people access to functioning Latrine]]*WWWW[[#This Row],[Total PoP ]]</f>
        <v>199.99999999999997</v>
      </c>
      <c r="BK104" s="235">
        <f>IF(WWWW[[#This Row],[Location Type 1]]="camp",WWWW[[#This Row],['# potential required new latrines]]/(WWWW[[#This Row],[Total PoP ]]/20),WWWW[[#This Row],['# potential required new latrines]]/(WWWW[[#This Row],[Total PoP ]]/6))</f>
        <v>0.37267080745341613</v>
      </c>
      <c r="BL104" s="414">
        <f>IF(WWWW[[#This Row],[Total required Latrines]]-WWWW[[#This Row],[Total '# of latrine]]&lt;0,0,WWWW[[#This Row],[Total required Latrines]]-WWWW[[#This Row],[Total '# of latrine]])</f>
        <v>6</v>
      </c>
      <c r="BM104" s="238">
        <f>ROUND(IF(WWWW[[#This Row],[Location Type 1]]="camp",WWWW[[#This Row],[Total PoP ]]/20,WWWW[[#This Row],[Total PoP ]]/6),0)</f>
        <v>16</v>
      </c>
      <c r="BN104" s="239">
        <f>IF(OR(WWWW[[#This Row],['# Existing latrines dysfunctional]]="",WWWW[[#This Row],['# Existing latrines dysfunctional]]=0),0,WWWW[[#This Row],['# Existing latrines dysfunctional]]/WWWW[[#This Row],[Total '# of latrine]])</f>
        <v>0</v>
      </c>
      <c r="BO104" s="675">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P104" s="235">
        <f>WWWW[[#This Row],[People adopt basic personal and community hygiene practices]]/WWWW[[#This Row],[Total PoP ]]</f>
        <v>0</v>
      </c>
      <c r="BQ104" s="239">
        <f>1-WWWW[[#This Row],[Hygiene Coverage%]]</f>
        <v>1</v>
      </c>
      <c r="BR104" s="414">
        <f>IF(500*WWWW[[#This Row],['# Hygiene Promoters ]]&gt;WWWW[[#This Row],[Total PoP ]],WWWW[[#This Row],[Total PoP ]],500*WWWW[[#This Row],['# Hygiene Promoters ]])</f>
        <v>322</v>
      </c>
      <c r="BS104" s="414">
        <f>IF(WWWW[[#This Row],[% of HH with access to Sanitary Pad]]&gt;=100%,1,0)</f>
        <v>0</v>
      </c>
      <c r="BT104" s="414">
        <f>IF(WWWW[[#This Row],[Total PoP ]]=0,0,IF(WWWW[[#This Row],['# Hygiene Promoters ]]=0,0,IF(WWWW[[#This Row],[Location Type 1]]="Village",IF(WWWW[[#This Row],[Total PoP ]]/WWWW[[#This Row],['# Hygiene Promoters ]]&lt;1000,1,0),IF(WWWW[[#This Row],[Total PoP ]]/WWWW[[#This Row],['# Hygiene Promoters ]]&lt;600,1,0))))</f>
        <v>1</v>
      </c>
      <c r="BU104" s="414">
        <f>IF(WWWW[[#This Row],[%HH with access to soap]]&gt;=100%,1,0)</f>
        <v>0</v>
      </c>
      <c r="BV104" s="414">
        <f>IF(WWWW[[#This Row],[% of HHs with access to Sanitary pad more than '#%]]+WWWW[[#This Row],[Ratio of Hyiene promoters to people less than '#]]+WWWW[[#This Row],[% of HHs with access to soap more than '#%]]&gt;=2,WWWW[[#This Row],[Total PoP ]],0)</f>
        <v>0</v>
      </c>
      <c r="BW104" s="346">
        <f>WWWW[[#This Row],['# people reached by regular dedicated hygiene promotion_5]]/WWWW[[#This Row],[Total PoP ]]</f>
        <v>1</v>
      </c>
      <c r="BX104" s="346">
        <f>IF(WWWW[[#This Row],['# HH received soaps]]/WWWW[[#This Row],[Total HH]]&gt;1,1,WWWW[[#This Row],['# HH received soaps]]/WWWW[[#This Row],[Total HH]])</f>
        <v>0</v>
      </c>
      <c r="BY104" s="346">
        <f>IF(WWWW[[#This Row],['# HH received Sanitary Pads]]/WWWW[[#This Row],[Total HH]]&gt;1,1,WWWW[[#This Row],['# HH received Sanitary Pads]]/WWWW[[#This Row],[Total HH]])</f>
        <v>0</v>
      </c>
      <c r="BZ104" s="720">
        <f>WWWW[[#This Row],['# HH received soaps]]*5</f>
        <v>0</v>
      </c>
      <c r="CA104" s="720">
        <f>WWWW[[#This Row],['# HH received Sanitary Pads]]*5</f>
        <v>0</v>
      </c>
      <c r="CB104" s="238">
        <f>IF(WWWW[[#This Row],['# People with access to soap]]&gt;WWWW[[#This Row],['# People with access to Sanity Pads]],WWWW[[#This Row],['# People with access to soap]],WWWW[[#This Row],['# People with access to Sanity Pads]])</f>
        <v>0</v>
      </c>
      <c r="CC104" s="414">
        <f>WWWW[[#This Row],[Total HH]]*WWWW[[#This Row],[%HHs with access to functional hand washing stations]]</f>
        <v>38.4</v>
      </c>
      <c r="CD104" s="240" t="str">
        <f>VLOOKUP(WWWW[[#This Row],[Site Name]],SiteDB6[],8,FALSE)</f>
        <v>Yes</v>
      </c>
      <c r="CE104" s="240" t="str">
        <f>VLOOKUP(WWWW[[#This Row],[Site Name]],SiteDB6[],9,FALSE)</f>
        <v>KBC</v>
      </c>
      <c r="CF104" s="240" t="str">
        <f>VLOOKUP(WWWW[[#This Row],[Site Name]],SiteDB6[],10,FALSE)</f>
        <v>Camp</v>
      </c>
      <c r="CG104" s="240" t="str">
        <f>VLOOKUP(WWWW[[#This Row],[Site Name]],SiteDB6[],11,FALSE)</f>
        <v>Camp</v>
      </c>
      <c r="CH104" s="240" t="str">
        <f>VLOOKUP(WWWW[[#This Row],[Site Name]],SiteDB6[],12,FALSE)</f>
        <v>Camp</v>
      </c>
      <c r="CI104" s="240" t="str">
        <f>VLOOKUP(WWWW[[#This Row],[Site Name]],SiteDB6[],13,FALSE)</f>
        <v>GCA</v>
      </c>
      <c r="CJ104" s="240">
        <f>VLOOKUP(WWWW[[#This Row],[Site Name]],SiteDB6[],14,FALSE)</f>
        <v>25.351724999999998</v>
      </c>
      <c r="CK104" s="240">
        <f>VLOOKUP(WWWW[[#This Row],[Site Name]],SiteDB6[],15,FALSE)</f>
        <v>97.438432380952406</v>
      </c>
      <c r="CL104" s="240" t="str">
        <f>VLOOKUP(WWWW[[#This Row],[Site Name]],SiteDB6[],4,FALSE)</f>
        <v>MMR001CMP025</v>
      </c>
      <c r="CM104" s="235" t="str">
        <f t="shared" si="1"/>
        <v>Covered</v>
      </c>
      <c r="CN104" s="235"/>
    </row>
    <row r="105" spans="1:92" ht="15.75" customHeight="1" x14ac:dyDescent="0.25">
      <c r="A105" s="532" t="s">
        <v>1409</v>
      </c>
      <c r="B105" s="533" t="s">
        <v>399</v>
      </c>
      <c r="C105" s="533" t="s">
        <v>44</v>
      </c>
      <c r="D105" s="533" t="s">
        <v>298</v>
      </c>
      <c r="E105" s="533" t="s">
        <v>432</v>
      </c>
      <c r="F105" s="233">
        <v>29</v>
      </c>
      <c r="G105" s="414">
        <v>159</v>
      </c>
      <c r="H105" s="233"/>
      <c r="I105" s="233" t="s">
        <v>401</v>
      </c>
      <c r="J105" s="234">
        <v>42947</v>
      </c>
      <c r="K105" s="233">
        <v>0</v>
      </c>
      <c r="L105" s="233" t="s">
        <v>48</v>
      </c>
      <c r="M105" s="235">
        <v>0.8</v>
      </c>
      <c r="N105" s="235">
        <v>1</v>
      </c>
      <c r="O105" s="609">
        <v>2</v>
      </c>
      <c r="P105" s="615">
        <v>0</v>
      </c>
      <c r="Q105" s="615">
        <v>2000</v>
      </c>
      <c r="R105" s="604">
        <v>0</v>
      </c>
      <c r="S105" s="604">
        <v>2</v>
      </c>
      <c r="T105" s="604">
        <v>0</v>
      </c>
      <c r="U105" s="604">
        <v>0</v>
      </c>
      <c r="V105" s="604">
        <v>0</v>
      </c>
      <c r="W105" s="604">
        <v>0</v>
      </c>
      <c r="X105" s="604">
        <v>0</v>
      </c>
      <c r="Y105" s="604"/>
      <c r="Z105" s="628">
        <v>3</v>
      </c>
      <c r="AA105" s="628">
        <v>1</v>
      </c>
      <c r="AB105" s="629">
        <v>9</v>
      </c>
      <c r="AC105" s="628">
        <v>3</v>
      </c>
      <c r="AD105" s="628" t="s">
        <v>293</v>
      </c>
      <c r="AE105" s="631" t="s">
        <v>1379</v>
      </c>
      <c r="AF105" s="631">
        <v>0</v>
      </c>
      <c r="AG105" s="628">
        <v>0</v>
      </c>
      <c r="AH105" s="628"/>
      <c r="AI105" s="659">
        <v>0.5</v>
      </c>
      <c r="AJ105" s="650" t="s">
        <v>386</v>
      </c>
      <c r="AK105" s="644">
        <v>0</v>
      </c>
      <c r="AL105" s="645">
        <v>5</v>
      </c>
      <c r="AM105" s="645">
        <v>0</v>
      </c>
      <c r="AN105" s="646">
        <v>0</v>
      </c>
      <c r="AO105" s="647">
        <v>0</v>
      </c>
      <c r="AP105" s="647"/>
      <c r="AQ105" s="658"/>
      <c r="AR105" s="235" t="str">
        <f>IFERROR(WWWW[[#This Row],['# of Water passed at source]]/WWWW[[#This Row],['# of Water tested at source]],"no test")</f>
        <v>no test</v>
      </c>
      <c r="AS105" s="237" t="str">
        <f>IFERROR(WWWW[[#This Row],['# of Water passed at HH]]/WWWW[[#This Row],['# of Water tested at HH]],"no test")</f>
        <v>no test</v>
      </c>
      <c r="AT105" s="237">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U105" s="237">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AV105" s="237">
        <f>IF(WWWW[[#This Row],[Location Type 1]]="Village",WWWW[[#This Row],[Access to safe drinking water for Village]],WWWW[[#This Row],[Access to safe drinking water for Camp]])</f>
        <v>1</v>
      </c>
      <c r="AW105" s="414">
        <f>WWWW[[#This Row],[%Equitable and continuous access to sufficient quantity of safe drinking water]]*WWWW[[#This Row],[Total PoP ]]</f>
        <v>159</v>
      </c>
      <c r="AX105" s="237">
        <f>IF((WWWW[[#This Row],['# Existing protected/fenced ponds ]]*250)/WWWW[[#This Row],[Total PoP ]]&gt;1,1,WWWW[[#This Row],['# Existing protected/fenced ponds ]]*250/WWWW[[#This Row],[Total PoP ]])</f>
        <v>0</v>
      </c>
      <c r="AY105" s="414">
        <f>WWWW[[#This Row],[Access to unimproved water points]]*WWWW[[#This Row],[Total PoP ]]</f>
        <v>0</v>
      </c>
      <c r="AZ105" s="237">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A105" s="414">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159</v>
      </c>
      <c r="BB105" s="414">
        <f>WWWW[[#This Row],['#people Equitable and continuous access to sufficient quantity of domestic water borehole n ponds_2]]/500</f>
        <v>0.318</v>
      </c>
      <c r="BC105" s="235">
        <f>1-WWWW[[#This Row],[%Equitable and continuous access to sufficient quantity of domestic water borehole n ponds]]</f>
        <v>0</v>
      </c>
      <c r="BD105" s="414">
        <f>WWWW[[#This Row],[%equitable and continuous access to sufficient quantity of safe drinking and domestic water''s GAP]]*WWWW[[#This Row],[Total PoP ]]</f>
        <v>0</v>
      </c>
      <c r="BE105" s="238">
        <f>IF(WWWW[[#This Row],[Total required water points]]-WWWW[[#This Row],['#Water points coverage]]&lt;0,0,WWWW[[#This Row],[Total required water points]]-WWWW[[#This Row],['#Water points coverage]])</f>
        <v>0.68199999999999994</v>
      </c>
      <c r="BF105" s="238">
        <f>ROUND(IF(WWWW[[#This Row],[Total PoP ]]&lt;500,1,WWWW[[#This Row],[Total PoP ]]/500),0)</f>
        <v>1</v>
      </c>
      <c r="BG105" s="238" t="str">
        <f>IF(AND(WWWW[[#This Row],[%of Water samples which passed at water source]]="no test",WWWW[[#This Row],[%Water samples which passed at HH]]="no test"),"No Test","Tested")</f>
        <v>No Test</v>
      </c>
      <c r="BH105" s="238">
        <f>WWWW[[#This Row],['# Existing functional latrines]]+WWWW[[#This Row],['# Existing latrines dysfunctional]]</f>
        <v>4</v>
      </c>
      <c r="BI105" s="235">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0.37735849056603776</v>
      </c>
      <c r="BJ105" s="675">
        <f>WWWW[[#This Row],[% people access to functioning Latrine]]*WWWW[[#This Row],[Total PoP ]]</f>
        <v>60.000000000000007</v>
      </c>
      <c r="BK105" s="235">
        <f>IF(WWWW[[#This Row],[Location Type 1]]="camp",WWWW[[#This Row],['# potential required new latrines]]/(WWWW[[#This Row],[Total PoP ]]/20),WWWW[[#This Row],['# potential required new latrines]]/(WWWW[[#This Row],[Total PoP ]]/6))</f>
        <v>0.50314465408805031</v>
      </c>
      <c r="BL105" s="414">
        <f>IF(WWWW[[#This Row],[Total required Latrines]]-WWWW[[#This Row],[Total '# of latrine]]&lt;0,0,WWWW[[#This Row],[Total required Latrines]]-WWWW[[#This Row],[Total '# of latrine]])</f>
        <v>4</v>
      </c>
      <c r="BM105" s="238">
        <f>ROUND(IF(WWWW[[#This Row],[Location Type 1]]="camp",WWWW[[#This Row],[Total PoP ]]/20,WWWW[[#This Row],[Total PoP ]]/6),0)</f>
        <v>8</v>
      </c>
      <c r="BN105" s="239">
        <f>IF(OR(WWWW[[#This Row],['# Existing latrines dysfunctional]]="",WWWW[[#This Row],['# Existing latrines dysfunctional]]=0),0,WWWW[[#This Row],['# Existing latrines dysfunctional]]/WWWW[[#This Row],[Total '# of latrine]])</f>
        <v>0.25</v>
      </c>
      <c r="BO105" s="675">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159</v>
      </c>
      <c r="BP105" s="235">
        <f>WWWW[[#This Row],[People adopt basic personal and community hygiene practices]]/WWWW[[#This Row],[Total PoP ]]</f>
        <v>0</v>
      </c>
      <c r="BQ105" s="239">
        <f>1-WWWW[[#This Row],[Hygiene Coverage%]]</f>
        <v>1</v>
      </c>
      <c r="BR105" s="414">
        <f>IF(500*WWWW[[#This Row],['# Hygiene Promoters ]]&gt;WWWW[[#This Row],[Total PoP ]],WWWW[[#This Row],[Total PoP ]],500*WWWW[[#This Row],['# Hygiene Promoters ]])</f>
        <v>0</v>
      </c>
      <c r="BS105" s="414">
        <f>IF(WWWW[[#This Row],[% of HH with access to Sanitary Pad]]&gt;=100%,1,0)</f>
        <v>0</v>
      </c>
      <c r="BT105" s="414">
        <f>IF(WWWW[[#This Row],[Total PoP ]]=0,0,IF(WWWW[[#This Row],['# Hygiene Promoters ]]=0,0,IF(WWWW[[#This Row],[Location Type 1]]="Village",IF(WWWW[[#This Row],[Total PoP ]]/WWWW[[#This Row],['# Hygiene Promoters ]]&lt;1000,1,0),IF(WWWW[[#This Row],[Total PoP ]]/WWWW[[#This Row],['# Hygiene Promoters ]]&lt;600,1,0))))</f>
        <v>0</v>
      </c>
      <c r="BU105" s="414">
        <f>IF(WWWW[[#This Row],[%HH with access to soap]]&gt;=100%,1,0)</f>
        <v>0</v>
      </c>
      <c r="BV105" s="414">
        <f>IF(WWWW[[#This Row],[% of HHs with access to Sanitary pad more than '#%]]+WWWW[[#This Row],[Ratio of Hyiene promoters to people less than '#]]+WWWW[[#This Row],[% of HHs with access to soap more than '#%]]&gt;=2,WWWW[[#This Row],[Total PoP ]],0)</f>
        <v>0</v>
      </c>
      <c r="BW105" s="346">
        <f>WWWW[[#This Row],['# people reached by regular dedicated hygiene promotion_5]]/WWWW[[#This Row],[Total PoP ]]</f>
        <v>0</v>
      </c>
      <c r="BX105" s="346">
        <f>IF(WWWW[[#This Row],['# HH received soaps]]/WWWW[[#This Row],[Total HH]]&gt;1,1,WWWW[[#This Row],['# HH received soaps]]/WWWW[[#This Row],[Total HH]])</f>
        <v>0</v>
      </c>
      <c r="BY105" s="346">
        <f>IF(WWWW[[#This Row],['# HH received Sanitary Pads]]/WWWW[[#This Row],[Total HH]]&gt;1,1,WWWW[[#This Row],['# HH received Sanitary Pads]]/WWWW[[#This Row],[Total HH]])</f>
        <v>0</v>
      </c>
      <c r="BZ105" s="720">
        <f>WWWW[[#This Row],['# HH received soaps]]*5</f>
        <v>0</v>
      </c>
      <c r="CA105" s="720">
        <f>WWWW[[#This Row],['# HH received Sanitary Pads]]*5</f>
        <v>0</v>
      </c>
      <c r="CB105" s="238">
        <f>IF(WWWW[[#This Row],['# People with access to soap]]&gt;WWWW[[#This Row],['# People with access to Sanity Pads]],WWWW[[#This Row],['# People with access to soap]],WWWW[[#This Row],['# People with access to Sanity Pads]])</f>
        <v>0</v>
      </c>
      <c r="CC105" s="414">
        <f>WWWW[[#This Row],[Total HH]]*WWWW[[#This Row],[%HHs with access to functional hand washing stations]]</f>
        <v>14.5</v>
      </c>
      <c r="CD105" s="240" t="str">
        <f>VLOOKUP(WWWW[[#This Row],[Site Name]],SiteDB6[],8,FALSE)</f>
        <v>Yes</v>
      </c>
      <c r="CE105" s="240" t="str">
        <f>VLOOKUP(WWWW[[#This Row],[Site Name]],SiteDB6[],9,FALSE)</f>
        <v>Shalom</v>
      </c>
      <c r="CF105" s="240" t="str">
        <f>VLOOKUP(WWWW[[#This Row],[Site Name]],SiteDB6[],10,FALSE)</f>
        <v>Camp</v>
      </c>
      <c r="CG105" s="240" t="str">
        <f>VLOOKUP(WWWW[[#This Row],[Site Name]],SiteDB6[],11,FALSE)</f>
        <v>Camp</v>
      </c>
      <c r="CH105" s="240" t="str">
        <f>VLOOKUP(WWWW[[#This Row],[Site Name]],SiteDB6[],12,FALSE)</f>
        <v>Camp</v>
      </c>
      <c r="CI105" s="240" t="str">
        <f>VLOOKUP(WWWW[[#This Row],[Site Name]],SiteDB6[],13,FALSE)</f>
        <v>GCA</v>
      </c>
      <c r="CJ105" s="240">
        <f>VLOOKUP(WWWW[[#This Row],[Site Name]],SiteDB6[],14,FALSE)</f>
        <v>25.345918166666699</v>
      </c>
      <c r="CK105" s="240">
        <f>VLOOKUP(WWWW[[#This Row],[Site Name]],SiteDB6[],15,FALSE)</f>
        <v>97.437472666666693</v>
      </c>
      <c r="CL105" s="240" t="str">
        <f>VLOOKUP(WWWW[[#This Row],[Site Name]],SiteDB6[],4,FALSE)</f>
        <v>MMR001CMP030</v>
      </c>
      <c r="CM105" s="235" t="str">
        <f t="shared" si="1"/>
        <v>Covered</v>
      </c>
      <c r="CN105" s="235"/>
    </row>
    <row r="106" spans="1:92" ht="15.75" customHeight="1" x14ac:dyDescent="0.25">
      <c r="A106" s="532" t="s">
        <v>1409</v>
      </c>
      <c r="B106" s="533" t="s">
        <v>399</v>
      </c>
      <c r="C106" s="533" t="s">
        <v>44</v>
      </c>
      <c r="D106" s="533" t="s">
        <v>298</v>
      </c>
      <c r="E106" s="533" t="s">
        <v>433</v>
      </c>
      <c r="F106" s="233">
        <v>90</v>
      </c>
      <c r="G106" s="414">
        <v>492</v>
      </c>
      <c r="H106" s="233"/>
      <c r="I106" s="233" t="s">
        <v>401</v>
      </c>
      <c r="J106" s="234">
        <v>42947</v>
      </c>
      <c r="K106" s="233">
        <v>0</v>
      </c>
      <c r="L106" s="233" t="s">
        <v>48</v>
      </c>
      <c r="M106" s="235">
        <v>0.75</v>
      </c>
      <c r="N106" s="235">
        <v>1</v>
      </c>
      <c r="O106" s="609">
        <v>1</v>
      </c>
      <c r="P106" s="615">
        <v>0</v>
      </c>
      <c r="Q106" s="615">
        <v>2000</v>
      </c>
      <c r="R106" s="604">
        <v>0</v>
      </c>
      <c r="S106" s="604">
        <v>3</v>
      </c>
      <c r="T106" s="604">
        <v>0</v>
      </c>
      <c r="U106" s="604">
        <v>0</v>
      </c>
      <c r="V106" s="604">
        <v>0</v>
      </c>
      <c r="W106" s="604">
        <v>0</v>
      </c>
      <c r="X106" s="604">
        <v>0</v>
      </c>
      <c r="Y106" s="604"/>
      <c r="Z106" s="628">
        <v>16</v>
      </c>
      <c r="AA106" s="628">
        <v>3</v>
      </c>
      <c r="AB106" s="629">
        <v>6</v>
      </c>
      <c r="AC106" s="628">
        <v>16</v>
      </c>
      <c r="AD106" s="628" t="s">
        <v>293</v>
      </c>
      <c r="AE106" s="631" t="s">
        <v>293</v>
      </c>
      <c r="AF106" s="631">
        <v>0</v>
      </c>
      <c r="AG106" s="628">
        <v>0</v>
      </c>
      <c r="AH106" s="628"/>
      <c r="AI106" s="659">
        <v>0.5</v>
      </c>
      <c r="AJ106" s="650" t="s">
        <v>386</v>
      </c>
      <c r="AK106" s="644">
        <v>0</v>
      </c>
      <c r="AL106" s="645">
        <v>4</v>
      </c>
      <c r="AM106" s="645">
        <v>0</v>
      </c>
      <c r="AN106" s="646">
        <v>0</v>
      </c>
      <c r="AO106" s="647">
        <v>0</v>
      </c>
      <c r="AP106" s="647"/>
      <c r="AQ106" s="658"/>
      <c r="AR106" s="235" t="str">
        <f>IFERROR(WWWW[[#This Row],['# of Water passed at source]]/WWWW[[#This Row],['# of Water tested at source]],"no test")</f>
        <v>no test</v>
      </c>
      <c r="AS106" s="237" t="str">
        <f>IFERROR(WWWW[[#This Row],['# of Water passed at HH]]/WWWW[[#This Row],['# of Water tested at HH]],"no test")</f>
        <v>no test</v>
      </c>
      <c r="AT106" s="237">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U106" s="237">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0.77913279132791335</v>
      </c>
      <c r="AV106" s="237">
        <f>IF(WWWW[[#This Row],[Location Type 1]]="Village",WWWW[[#This Row],[Access to safe drinking water for Village]],WWWW[[#This Row],[Access to safe drinking water for Camp]])</f>
        <v>1</v>
      </c>
      <c r="AW106" s="414">
        <f>WWWW[[#This Row],[%Equitable and continuous access to sufficient quantity of safe drinking water]]*WWWW[[#This Row],[Total PoP ]]</f>
        <v>492</v>
      </c>
      <c r="AX106" s="237">
        <f>IF((WWWW[[#This Row],['# Existing protected/fenced ponds ]]*250)/WWWW[[#This Row],[Total PoP ]]&gt;1,1,WWWW[[#This Row],['# Existing protected/fenced ponds ]]*250/WWWW[[#This Row],[Total PoP ]])</f>
        <v>0</v>
      </c>
      <c r="AY106" s="414">
        <f>WWWW[[#This Row],[Access to unimproved water points]]*WWWW[[#This Row],[Total PoP ]]</f>
        <v>0</v>
      </c>
      <c r="AZ106" s="237">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A106" s="414">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492</v>
      </c>
      <c r="BB106" s="414">
        <f>WWWW[[#This Row],['#people Equitable and continuous access to sufficient quantity of domestic water borehole n ponds_2]]/500</f>
        <v>0.98399999999999999</v>
      </c>
      <c r="BC106" s="235">
        <f>1-WWWW[[#This Row],[%Equitable and continuous access to sufficient quantity of domestic water borehole n ponds]]</f>
        <v>0</v>
      </c>
      <c r="BD106" s="414">
        <f>WWWW[[#This Row],[%equitable and continuous access to sufficient quantity of safe drinking and domestic water''s GAP]]*WWWW[[#This Row],[Total PoP ]]</f>
        <v>0</v>
      </c>
      <c r="BE106" s="238">
        <f>IF(WWWW[[#This Row],[Total required water points]]-WWWW[[#This Row],['#Water points coverage]]&lt;0,0,WWWW[[#This Row],[Total required water points]]-WWWW[[#This Row],['#Water points coverage]])</f>
        <v>1.6000000000000014E-2</v>
      </c>
      <c r="BF106" s="238">
        <f>ROUND(IF(WWWW[[#This Row],[Total PoP ]]&lt;500,1,WWWW[[#This Row],[Total PoP ]]/500),0)</f>
        <v>1</v>
      </c>
      <c r="BG106" s="238" t="str">
        <f>IF(AND(WWWW[[#This Row],[%of Water samples which passed at water source]]="no test",WWWW[[#This Row],[%Water samples which passed at HH]]="no test"),"No Test","Tested")</f>
        <v>No Test</v>
      </c>
      <c r="BH106" s="238">
        <f>WWWW[[#This Row],['# Existing functional latrines]]+WWWW[[#This Row],['# Existing latrines dysfunctional]]</f>
        <v>19</v>
      </c>
      <c r="BI106" s="235">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0.65040650406504064</v>
      </c>
      <c r="BJ106" s="675">
        <f>WWWW[[#This Row],[% people access to functioning Latrine]]*WWWW[[#This Row],[Total PoP ]]</f>
        <v>320</v>
      </c>
      <c r="BK106" s="235">
        <f>IF(WWWW[[#This Row],[Location Type 1]]="camp",WWWW[[#This Row],['# potential required new latrines]]/(WWWW[[#This Row],[Total PoP ]]/20),WWWW[[#This Row],['# potential required new latrines]]/(WWWW[[#This Row],[Total PoP ]]/6))</f>
        <v>0.24390243902439024</v>
      </c>
      <c r="BL106" s="414">
        <f>IF(WWWW[[#This Row],[Total required Latrines]]-WWWW[[#This Row],[Total '# of latrine]]&lt;0,0,WWWW[[#This Row],[Total required Latrines]]-WWWW[[#This Row],[Total '# of latrine]])</f>
        <v>6</v>
      </c>
      <c r="BM106" s="238">
        <f>ROUND(IF(WWWW[[#This Row],[Location Type 1]]="camp",WWWW[[#This Row],[Total PoP ]]/20,WWWW[[#This Row],[Total PoP ]]/6),0)</f>
        <v>25</v>
      </c>
      <c r="BN106" s="239">
        <f>IF(OR(WWWW[[#This Row],['# Existing latrines dysfunctional]]="",WWWW[[#This Row],['# Existing latrines dysfunctional]]=0),0,WWWW[[#This Row],['# Existing latrines dysfunctional]]/WWWW[[#This Row],[Total '# of latrine]])</f>
        <v>0.15789473684210525</v>
      </c>
      <c r="BO106" s="675">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120</v>
      </c>
      <c r="BP106" s="235">
        <f>WWWW[[#This Row],[People adopt basic personal and community hygiene practices]]/WWWW[[#This Row],[Total PoP ]]</f>
        <v>0</v>
      </c>
      <c r="BQ106" s="239">
        <f>1-WWWW[[#This Row],[Hygiene Coverage%]]</f>
        <v>1</v>
      </c>
      <c r="BR106" s="414">
        <f>IF(500*WWWW[[#This Row],['# Hygiene Promoters ]]&gt;WWWW[[#This Row],[Total PoP ]],WWWW[[#This Row],[Total PoP ]],500*WWWW[[#This Row],['# Hygiene Promoters ]])</f>
        <v>0</v>
      </c>
      <c r="BS106" s="414">
        <f>IF(WWWW[[#This Row],[% of HH with access to Sanitary Pad]]&gt;=100%,1,0)</f>
        <v>0</v>
      </c>
      <c r="BT106" s="414">
        <f>IF(WWWW[[#This Row],[Total PoP ]]=0,0,IF(WWWW[[#This Row],['# Hygiene Promoters ]]=0,0,IF(WWWW[[#This Row],[Location Type 1]]="Village",IF(WWWW[[#This Row],[Total PoP ]]/WWWW[[#This Row],['# Hygiene Promoters ]]&lt;1000,1,0),IF(WWWW[[#This Row],[Total PoP ]]/WWWW[[#This Row],['# Hygiene Promoters ]]&lt;600,1,0))))</f>
        <v>0</v>
      </c>
      <c r="BU106" s="414">
        <f>IF(WWWW[[#This Row],[%HH with access to soap]]&gt;=100%,1,0)</f>
        <v>0</v>
      </c>
      <c r="BV106" s="414">
        <f>IF(WWWW[[#This Row],[% of HHs with access to Sanitary pad more than '#%]]+WWWW[[#This Row],[Ratio of Hyiene promoters to people less than '#]]+WWWW[[#This Row],[% of HHs with access to soap more than '#%]]&gt;=2,WWWW[[#This Row],[Total PoP ]],0)</f>
        <v>0</v>
      </c>
      <c r="BW106" s="346">
        <f>WWWW[[#This Row],['# people reached by regular dedicated hygiene promotion_5]]/WWWW[[#This Row],[Total PoP ]]</f>
        <v>0</v>
      </c>
      <c r="BX106" s="346">
        <f>IF(WWWW[[#This Row],['# HH received soaps]]/WWWW[[#This Row],[Total HH]]&gt;1,1,WWWW[[#This Row],['# HH received soaps]]/WWWW[[#This Row],[Total HH]])</f>
        <v>0</v>
      </c>
      <c r="BY106" s="346">
        <f>IF(WWWW[[#This Row],['# HH received Sanitary Pads]]/WWWW[[#This Row],[Total HH]]&gt;1,1,WWWW[[#This Row],['# HH received Sanitary Pads]]/WWWW[[#This Row],[Total HH]])</f>
        <v>0</v>
      </c>
      <c r="BZ106" s="720">
        <f>WWWW[[#This Row],['# HH received soaps]]*5</f>
        <v>0</v>
      </c>
      <c r="CA106" s="720">
        <f>WWWW[[#This Row],['# HH received Sanitary Pads]]*5</f>
        <v>0</v>
      </c>
      <c r="CB106" s="238">
        <f>IF(WWWW[[#This Row],['# People with access to soap]]&gt;WWWW[[#This Row],['# People with access to Sanity Pads]],WWWW[[#This Row],['# People with access to soap]],WWWW[[#This Row],['# People with access to Sanity Pads]])</f>
        <v>0</v>
      </c>
      <c r="CC106" s="414">
        <f>WWWW[[#This Row],[Total HH]]*WWWW[[#This Row],[%HHs with access to functional hand washing stations]]</f>
        <v>45</v>
      </c>
      <c r="CD106" s="240" t="str">
        <f>VLOOKUP(WWWW[[#This Row],[Site Name]],SiteDB6[],8,FALSE)</f>
        <v>Yes</v>
      </c>
      <c r="CE106" s="240" t="str">
        <f>VLOOKUP(WWWW[[#This Row],[Site Name]],SiteDB6[],9,FALSE)</f>
        <v>Shalom</v>
      </c>
      <c r="CF106" s="240" t="str">
        <f>VLOOKUP(WWWW[[#This Row],[Site Name]],SiteDB6[],10,FALSE)</f>
        <v>Camp</v>
      </c>
      <c r="CG106" s="240" t="str">
        <f>VLOOKUP(WWWW[[#This Row],[Site Name]],SiteDB6[],11,FALSE)</f>
        <v>Camp</v>
      </c>
      <c r="CH106" s="240" t="str">
        <f>VLOOKUP(WWWW[[#This Row],[Site Name]],SiteDB6[],12,FALSE)</f>
        <v>Camp</v>
      </c>
      <c r="CI106" s="240" t="str">
        <f>VLOOKUP(WWWW[[#This Row],[Site Name]],SiteDB6[],13,FALSE)</f>
        <v>GCA</v>
      </c>
      <c r="CJ106" s="240">
        <f>VLOOKUP(WWWW[[#This Row],[Site Name]],SiteDB6[],14,FALSE)</f>
        <v>25.350809000000002</v>
      </c>
      <c r="CK106" s="240">
        <f>VLOOKUP(WWWW[[#This Row],[Site Name]],SiteDB6[],15,FALSE)</f>
        <v>97.432495000000003</v>
      </c>
      <c r="CL106" s="240" t="str">
        <f>VLOOKUP(WWWW[[#This Row],[Site Name]],SiteDB6[],4,FALSE)</f>
        <v>MMR001CMP026</v>
      </c>
      <c r="CM106" s="235" t="str">
        <f t="shared" si="1"/>
        <v>Covered</v>
      </c>
      <c r="CN106" s="235"/>
    </row>
    <row r="107" spans="1:92" ht="15.75" customHeight="1" x14ac:dyDescent="0.25">
      <c r="A107" s="532" t="s">
        <v>1409</v>
      </c>
      <c r="B107" s="533" t="s">
        <v>399</v>
      </c>
      <c r="C107" s="533" t="s">
        <v>44</v>
      </c>
      <c r="D107" s="533" t="s">
        <v>304</v>
      </c>
      <c r="E107" s="533" t="s">
        <v>419</v>
      </c>
      <c r="F107" s="233">
        <v>10</v>
      </c>
      <c r="G107" s="414">
        <v>37</v>
      </c>
      <c r="H107" s="233"/>
      <c r="I107" s="233" t="s">
        <v>401</v>
      </c>
      <c r="J107" s="234">
        <v>42947</v>
      </c>
      <c r="K107" s="233">
        <v>0</v>
      </c>
      <c r="L107" s="233" t="s">
        <v>48</v>
      </c>
      <c r="M107" s="235">
        <v>0.5</v>
      </c>
      <c r="N107" s="235">
        <v>0</v>
      </c>
      <c r="O107" s="609">
        <v>1</v>
      </c>
      <c r="P107" s="615">
        <v>1</v>
      </c>
      <c r="Q107" s="615">
        <v>0</v>
      </c>
      <c r="R107" s="604">
        <v>0</v>
      </c>
      <c r="S107" s="604">
        <v>2</v>
      </c>
      <c r="T107" s="604">
        <v>0</v>
      </c>
      <c r="U107" s="604">
        <v>0</v>
      </c>
      <c r="V107" s="604">
        <v>0</v>
      </c>
      <c r="W107" s="604">
        <v>0</v>
      </c>
      <c r="X107" s="604">
        <v>0</v>
      </c>
      <c r="Y107" s="604"/>
      <c r="Z107" s="628">
        <v>2</v>
      </c>
      <c r="AA107" s="628">
        <v>2</v>
      </c>
      <c r="AB107" s="629">
        <v>0</v>
      </c>
      <c r="AC107" s="628">
        <v>2</v>
      </c>
      <c r="AD107" s="628" t="s">
        <v>293</v>
      </c>
      <c r="AE107" s="631" t="s">
        <v>293</v>
      </c>
      <c r="AF107" s="631">
        <v>0</v>
      </c>
      <c r="AG107" s="628">
        <v>0</v>
      </c>
      <c r="AH107" s="628"/>
      <c r="AI107" s="659">
        <v>0.5</v>
      </c>
      <c r="AJ107" s="650" t="s">
        <v>386</v>
      </c>
      <c r="AK107" s="644">
        <v>0</v>
      </c>
      <c r="AL107" s="645">
        <v>2</v>
      </c>
      <c r="AM107" s="645">
        <v>0</v>
      </c>
      <c r="AN107" s="646">
        <v>0</v>
      </c>
      <c r="AO107" s="647">
        <v>0</v>
      </c>
      <c r="AP107" s="647"/>
      <c r="AQ107" s="658"/>
      <c r="AR107" s="235" t="str">
        <f>IFERROR(WWWW[[#This Row],['# of Water passed at source]]/WWWW[[#This Row],['# of Water tested at source]],"no test")</f>
        <v>no test</v>
      </c>
      <c r="AS107" s="237" t="str">
        <f>IFERROR(WWWW[[#This Row],['# of Water passed at HH]]/WWWW[[#This Row],['# of Water tested at HH]],"no test")</f>
        <v>no test</v>
      </c>
      <c r="AT107" s="237">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U107" s="237">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AV107" s="237">
        <f>IF(WWWW[[#This Row],[Location Type 1]]="Village",WWWW[[#This Row],[Access to safe drinking water for Village]],WWWW[[#This Row],[Access to safe drinking water for Camp]])</f>
        <v>1</v>
      </c>
      <c r="AW107" s="414">
        <f>WWWW[[#This Row],[%Equitable and continuous access to sufficient quantity of safe drinking water]]*WWWW[[#This Row],[Total PoP ]]</f>
        <v>37</v>
      </c>
      <c r="AX107" s="237">
        <f>IF((WWWW[[#This Row],['# Existing protected/fenced ponds ]]*250)/WWWW[[#This Row],[Total PoP ]]&gt;1,1,WWWW[[#This Row],['# Existing protected/fenced ponds ]]*250/WWWW[[#This Row],[Total PoP ]])</f>
        <v>0</v>
      </c>
      <c r="AY107" s="414">
        <f>WWWW[[#This Row],[Access to unimproved water points]]*WWWW[[#This Row],[Total PoP ]]</f>
        <v>0</v>
      </c>
      <c r="AZ107" s="237">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A107" s="414">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37</v>
      </c>
      <c r="BB107" s="414">
        <f>WWWW[[#This Row],['#people Equitable and continuous access to sufficient quantity of domestic water borehole n ponds_2]]/500</f>
        <v>7.3999999999999996E-2</v>
      </c>
      <c r="BC107" s="235">
        <f>1-WWWW[[#This Row],[%Equitable and continuous access to sufficient quantity of domestic water borehole n ponds]]</f>
        <v>0</v>
      </c>
      <c r="BD107" s="414">
        <f>WWWW[[#This Row],[%equitable and continuous access to sufficient quantity of safe drinking and domestic water''s GAP]]*WWWW[[#This Row],[Total PoP ]]</f>
        <v>0</v>
      </c>
      <c r="BE107" s="238">
        <f>IF(WWWW[[#This Row],[Total required water points]]-WWWW[[#This Row],['#Water points coverage]]&lt;0,0,WWWW[[#This Row],[Total required water points]]-WWWW[[#This Row],['#Water points coverage]])</f>
        <v>0.92600000000000005</v>
      </c>
      <c r="BF107" s="238">
        <f>ROUND(IF(WWWW[[#This Row],[Total PoP ]]&lt;500,1,WWWW[[#This Row],[Total PoP ]]/500),0)</f>
        <v>1</v>
      </c>
      <c r="BG107" s="238" t="str">
        <f>IF(AND(WWWW[[#This Row],[%of Water samples which passed at water source]]="no test",WWWW[[#This Row],[%Water samples which passed at HH]]="no test"),"No Test","Tested")</f>
        <v>No Test</v>
      </c>
      <c r="BH107" s="238">
        <f>WWWW[[#This Row],['# Existing functional latrines]]+WWWW[[#This Row],['# Existing latrines dysfunctional]]</f>
        <v>4</v>
      </c>
      <c r="BI107" s="235">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1</v>
      </c>
      <c r="BJ107" s="675">
        <f>WWWW[[#This Row],[% people access to functioning Latrine]]*WWWW[[#This Row],[Total PoP ]]</f>
        <v>37</v>
      </c>
      <c r="BK107" s="235">
        <f>IF(WWWW[[#This Row],[Location Type 1]]="camp",WWWW[[#This Row],['# potential required new latrines]]/(WWWW[[#This Row],[Total PoP ]]/20),WWWW[[#This Row],['# potential required new latrines]]/(WWWW[[#This Row],[Total PoP ]]/6))</f>
        <v>0</v>
      </c>
      <c r="BL107" s="414">
        <f>IF(WWWW[[#This Row],[Total required Latrines]]-WWWW[[#This Row],[Total '# of latrine]]&lt;0,0,WWWW[[#This Row],[Total required Latrines]]-WWWW[[#This Row],[Total '# of latrine]])</f>
        <v>0</v>
      </c>
      <c r="BM107" s="238">
        <f>ROUND(IF(WWWW[[#This Row],[Location Type 1]]="camp",WWWW[[#This Row],[Total PoP ]]/20,WWWW[[#This Row],[Total PoP ]]/6),0)</f>
        <v>2</v>
      </c>
      <c r="BN107" s="239">
        <f>IF(OR(WWWW[[#This Row],['# Existing latrines dysfunctional]]="",WWWW[[#This Row],['# Existing latrines dysfunctional]]=0),0,WWWW[[#This Row],['# Existing latrines dysfunctional]]/WWWW[[#This Row],[Total '# of latrine]])</f>
        <v>0.5</v>
      </c>
      <c r="BO107" s="675">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P107" s="235">
        <f>WWWW[[#This Row],[People adopt basic personal and community hygiene practices]]/WWWW[[#This Row],[Total PoP ]]</f>
        <v>0</v>
      </c>
      <c r="BQ107" s="239">
        <f>1-WWWW[[#This Row],[Hygiene Coverage%]]</f>
        <v>1</v>
      </c>
      <c r="BR107" s="414">
        <f>IF(500*WWWW[[#This Row],['# Hygiene Promoters ]]&gt;WWWW[[#This Row],[Total PoP ]],WWWW[[#This Row],[Total PoP ]],500*WWWW[[#This Row],['# Hygiene Promoters ]])</f>
        <v>0</v>
      </c>
      <c r="BS107" s="414">
        <f>IF(WWWW[[#This Row],[% of HH with access to Sanitary Pad]]&gt;=100%,1,0)</f>
        <v>0</v>
      </c>
      <c r="BT107" s="414">
        <f>IF(WWWW[[#This Row],[Total PoP ]]=0,0,IF(WWWW[[#This Row],['# Hygiene Promoters ]]=0,0,IF(WWWW[[#This Row],[Location Type 1]]="Village",IF(WWWW[[#This Row],[Total PoP ]]/WWWW[[#This Row],['# Hygiene Promoters ]]&lt;1000,1,0),IF(WWWW[[#This Row],[Total PoP ]]/WWWW[[#This Row],['# Hygiene Promoters ]]&lt;600,1,0))))</f>
        <v>0</v>
      </c>
      <c r="BU107" s="414">
        <f>IF(WWWW[[#This Row],[%HH with access to soap]]&gt;=100%,1,0)</f>
        <v>0</v>
      </c>
      <c r="BV107" s="414">
        <f>IF(WWWW[[#This Row],[% of HHs with access to Sanitary pad more than '#%]]+WWWW[[#This Row],[Ratio of Hyiene promoters to people less than '#]]+WWWW[[#This Row],[% of HHs with access to soap more than '#%]]&gt;=2,WWWW[[#This Row],[Total PoP ]],0)</f>
        <v>0</v>
      </c>
      <c r="BW107" s="346">
        <f>WWWW[[#This Row],['# people reached by regular dedicated hygiene promotion_5]]/WWWW[[#This Row],[Total PoP ]]</f>
        <v>0</v>
      </c>
      <c r="BX107" s="346">
        <f>IF(WWWW[[#This Row],['# HH received soaps]]/WWWW[[#This Row],[Total HH]]&gt;1,1,WWWW[[#This Row],['# HH received soaps]]/WWWW[[#This Row],[Total HH]])</f>
        <v>0</v>
      </c>
      <c r="BY107" s="346">
        <f>IF(WWWW[[#This Row],['# HH received Sanitary Pads]]/WWWW[[#This Row],[Total HH]]&gt;1,1,WWWW[[#This Row],['# HH received Sanitary Pads]]/WWWW[[#This Row],[Total HH]])</f>
        <v>0</v>
      </c>
      <c r="BZ107" s="720">
        <f>WWWW[[#This Row],['# HH received soaps]]*5</f>
        <v>0</v>
      </c>
      <c r="CA107" s="720">
        <f>WWWW[[#This Row],['# HH received Sanitary Pads]]*5</f>
        <v>0</v>
      </c>
      <c r="CB107" s="238">
        <f>IF(WWWW[[#This Row],['# People with access to soap]]&gt;WWWW[[#This Row],['# People with access to Sanity Pads]],WWWW[[#This Row],['# People with access to soap]],WWWW[[#This Row],['# People with access to Sanity Pads]])</f>
        <v>0</v>
      </c>
      <c r="CC107" s="414">
        <f>WWWW[[#This Row],[Total HH]]*WWWW[[#This Row],[%HHs with access to functional hand washing stations]]</f>
        <v>5</v>
      </c>
      <c r="CD107" s="240" t="str">
        <f>VLOOKUP(WWWW[[#This Row],[Site Name]],SiteDB6[],8,FALSE)</f>
        <v>Yes</v>
      </c>
      <c r="CE107" s="240" t="str">
        <f>VLOOKUP(WWWW[[#This Row],[Site Name]],SiteDB6[],9,FALSE)</f>
        <v>Shalom</v>
      </c>
      <c r="CF107" s="240" t="str">
        <f>VLOOKUP(WWWW[[#This Row],[Site Name]],SiteDB6[],10,FALSE)</f>
        <v>Camp</v>
      </c>
      <c r="CG107" s="240" t="str">
        <f>VLOOKUP(WWWW[[#This Row],[Site Name]],SiteDB6[],11,FALSE)</f>
        <v>Camp</v>
      </c>
      <c r="CH107" s="240" t="str">
        <f>VLOOKUP(WWWW[[#This Row],[Site Name]],SiteDB6[],12,FALSE)</f>
        <v>Camp</v>
      </c>
      <c r="CI107" s="240" t="str">
        <f>VLOOKUP(WWWW[[#This Row],[Site Name]],SiteDB6[],13,FALSE)</f>
        <v>GCA</v>
      </c>
      <c r="CJ107" s="240">
        <f>VLOOKUP(WWWW[[#This Row],[Site Name]],SiteDB6[],14,FALSE)</f>
        <v>25.56551</v>
      </c>
      <c r="CK107" s="240">
        <f>VLOOKUP(WWWW[[#This Row],[Site Name]],SiteDB6[],15,FALSE)</f>
        <v>96.279200000000003</v>
      </c>
      <c r="CL107" s="240" t="str">
        <f>VLOOKUP(WWWW[[#This Row],[Site Name]],SiteDB6[],4,FALSE)</f>
        <v>MMR001CMP182</v>
      </c>
      <c r="CM107" s="235" t="str">
        <f t="shared" si="1"/>
        <v>Covered</v>
      </c>
      <c r="CN107" s="235"/>
    </row>
    <row r="108" spans="1:92" ht="15.75" customHeight="1" x14ac:dyDescent="0.25">
      <c r="A108" s="532" t="s">
        <v>1409</v>
      </c>
      <c r="B108" s="533" t="s">
        <v>436</v>
      </c>
      <c r="C108" s="533" t="s">
        <v>44</v>
      </c>
      <c r="D108" s="533" t="s">
        <v>351</v>
      </c>
      <c r="E108" s="533" t="s">
        <v>440</v>
      </c>
      <c r="F108" s="233">
        <v>637</v>
      </c>
      <c r="G108" s="414">
        <v>3974</v>
      </c>
      <c r="H108" s="233"/>
      <c r="I108" s="233" t="s">
        <v>401</v>
      </c>
      <c r="J108" s="234">
        <v>43220</v>
      </c>
      <c r="K108" s="233">
        <v>0</v>
      </c>
      <c r="L108" s="233" t="s">
        <v>48</v>
      </c>
      <c r="M108" s="235">
        <v>0.63</v>
      </c>
      <c r="N108" s="235">
        <v>0</v>
      </c>
      <c r="O108" s="609">
        <v>0</v>
      </c>
      <c r="P108" s="615">
        <v>22</v>
      </c>
      <c r="Q108" s="615">
        <v>1452600</v>
      </c>
      <c r="R108" s="604">
        <v>0</v>
      </c>
      <c r="S108" s="604">
        <v>0</v>
      </c>
      <c r="T108" s="604"/>
      <c r="U108" s="604"/>
      <c r="V108" s="604">
        <v>9</v>
      </c>
      <c r="W108" s="604">
        <v>5</v>
      </c>
      <c r="X108" s="604"/>
      <c r="Y108" s="604"/>
      <c r="Z108" s="628">
        <v>160</v>
      </c>
      <c r="AA108" s="628">
        <v>0</v>
      </c>
      <c r="AB108" s="629">
        <v>75</v>
      </c>
      <c r="AC108" s="628">
        <v>0</v>
      </c>
      <c r="AD108" s="628" t="s">
        <v>293</v>
      </c>
      <c r="AE108" s="631" t="s">
        <v>293</v>
      </c>
      <c r="AF108" s="631">
        <v>0</v>
      </c>
      <c r="AG108" s="628">
        <v>0</v>
      </c>
      <c r="AH108" s="628"/>
      <c r="AI108" s="659">
        <v>1</v>
      </c>
      <c r="AJ108" s="644" t="s">
        <v>301</v>
      </c>
      <c r="AK108" s="644">
        <v>0</v>
      </c>
      <c r="AL108" s="645">
        <v>12</v>
      </c>
      <c r="AM108" s="645">
        <v>477</v>
      </c>
      <c r="AN108" s="646">
        <v>0</v>
      </c>
      <c r="AO108" s="647"/>
      <c r="AP108" s="647"/>
      <c r="AQ108" s="658"/>
      <c r="AR108" s="235" t="str">
        <f>IFERROR(WWWW[[#This Row],['# of Water passed at source]]/WWWW[[#This Row],['# of Water tested at source]],"no test")</f>
        <v>no test</v>
      </c>
      <c r="AS108" s="237">
        <f>IFERROR(WWWW[[#This Row],['# of Water passed at HH]]/WWWW[[#This Row],['# of Water tested at HH]],"no test")</f>
        <v>0.55555555555555558</v>
      </c>
      <c r="AT108" s="237">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U108" s="237">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AV108" s="237">
        <f>IF(WWWW[[#This Row],[Location Type 1]]="Village",WWWW[[#This Row],[Access to safe drinking water for Village]],WWWW[[#This Row],[Access to safe drinking water for Camp]])</f>
        <v>1</v>
      </c>
      <c r="AW108" s="414">
        <f>WWWW[[#This Row],[%Equitable and continuous access to sufficient quantity of safe drinking water]]*WWWW[[#This Row],[Total PoP ]]</f>
        <v>3974</v>
      </c>
      <c r="AX108" s="237">
        <f>IF((WWWW[[#This Row],['# Existing protected/fenced ponds ]]*250)/WWWW[[#This Row],[Total PoP ]]&gt;1,1,WWWW[[#This Row],['# Existing protected/fenced ponds ]]*250/WWWW[[#This Row],[Total PoP ]])</f>
        <v>0</v>
      </c>
      <c r="AY108" s="414">
        <f>WWWW[[#This Row],[Access to unimproved water points]]*WWWW[[#This Row],[Total PoP ]]</f>
        <v>0</v>
      </c>
      <c r="AZ108" s="237">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A108" s="414">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3974</v>
      </c>
      <c r="BB108" s="414">
        <f>WWWW[[#This Row],['#people Equitable and continuous access to sufficient quantity of domestic water borehole n ponds_2]]/500</f>
        <v>7.9480000000000004</v>
      </c>
      <c r="BC108" s="235">
        <f>1-WWWW[[#This Row],[%Equitable and continuous access to sufficient quantity of domestic water borehole n ponds]]</f>
        <v>0</v>
      </c>
      <c r="BD108" s="414">
        <f>WWWW[[#This Row],[%equitable and continuous access to sufficient quantity of safe drinking and domestic water''s GAP]]*WWWW[[#This Row],[Total PoP ]]</f>
        <v>0</v>
      </c>
      <c r="BE108" s="238">
        <f>IF(WWWW[[#This Row],[Total required water points]]-WWWW[[#This Row],['#Water points coverage]]&lt;0,0,WWWW[[#This Row],[Total required water points]]-WWWW[[#This Row],['#Water points coverage]])</f>
        <v>5.1999999999999602E-2</v>
      </c>
      <c r="BF108" s="238">
        <f>ROUND(IF(WWWW[[#This Row],[Total PoP ]]&lt;500,1,WWWW[[#This Row],[Total PoP ]]/500),0)</f>
        <v>8</v>
      </c>
      <c r="BG108" s="238" t="str">
        <f>IF(AND(WWWW[[#This Row],[%of Water samples which passed at water source]]="no test",WWWW[[#This Row],[%Water samples which passed at HH]]="no test"),"No Test","Tested")</f>
        <v>Tested</v>
      </c>
      <c r="BH108" s="238">
        <f>WWWW[[#This Row],['# Existing functional latrines]]+WWWW[[#This Row],['# Existing latrines dysfunctional]]</f>
        <v>160</v>
      </c>
      <c r="BI108" s="235">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0.80523402113739306</v>
      </c>
      <c r="BJ108" s="675">
        <f>WWWW[[#This Row],[% people access to functioning Latrine]]*WWWW[[#This Row],[Total PoP ]]</f>
        <v>3200</v>
      </c>
      <c r="BK108" s="235">
        <f>IF(WWWW[[#This Row],[Location Type 1]]="camp",WWWW[[#This Row],['# potential required new latrines]]/(WWWW[[#This Row],[Total PoP ]]/20),WWWW[[#This Row],['# potential required new latrines]]/(WWWW[[#This Row],[Total PoP ]]/6))</f>
        <v>0.19627579265223957</v>
      </c>
      <c r="BL108" s="414">
        <f>IF(WWWW[[#This Row],[Total required Latrines]]-WWWW[[#This Row],[Total '# of latrine]]&lt;0,0,WWWW[[#This Row],[Total required Latrines]]-WWWW[[#This Row],[Total '# of latrine]])</f>
        <v>39</v>
      </c>
      <c r="BM108" s="238">
        <f>ROUND(IF(WWWW[[#This Row],[Location Type 1]]="camp",WWWW[[#This Row],[Total PoP ]]/20,WWWW[[#This Row],[Total PoP ]]/6),0)</f>
        <v>199</v>
      </c>
      <c r="BN108" s="239">
        <f>IF(OR(WWWW[[#This Row],['# Existing latrines dysfunctional]]="",WWWW[[#This Row],['# Existing latrines dysfunctional]]=0),0,WWWW[[#This Row],['# Existing latrines dysfunctional]]/WWWW[[#This Row],[Total '# of latrine]])</f>
        <v>0</v>
      </c>
      <c r="BO108" s="675">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1500</v>
      </c>
      <c r="BP108" s="235">
        <f>WWWW[[#This Row],[People adopt basic personal and community hygiene practices]]/WWWW[[#This Row],[Total PoP ]]</f>
        <v>0</v>
      </c>
      <c r="BQ108" s="239">
        <f>1-WWWW[[#This Row],[Hygiene Coverage%]]</f>
        <v>1</v>
      </c>
      <c r="BR108" s="414">
        <f>IF(500*WWWW[[#This Row],['# Hygiene Promoters ]]&gt;WWWW[[#This Row],[Total PoP ]],WWWW[[#This Row],[Total PoP ]],500*WWWW[[#This Row],['# Hygiene Promoters ]])</f>
        <v>3974</v>
      </c>
      <c r="BS108" s="414">
        <f>IF(WWWW[[#This Row],[% of HH with access to Sanitary Pad]]&gt;=100%,1,0)</f>
        <v>0</v>
      </c>
      <c r="BT108" s="414">
        <f>IF(WWWW[[#This Row],[Total PoP ]]=0,0,IF(WWWW[[#This Row],['# Hygiene Promoters ]]=0,0,IF(WWWW[[#This Row],[Location Type 1]]="Village",IF(WWWW[[#This Row],[Total PoP ]]/WWWW[[#This Row],['# Hygiene Promoters ]]&lt;1000,1,0),IF(WWWW[[#This Row],[Total PoP ]]/WWWW[[#This Row],['# Hygiene Promoters ]]&lt;600,1,0))))</f>
        <v>1</v>
      </c>
      <c r="BU108" s="414">
        <f>IF(WWWW[[#This Row],[%HH with access to soap]]&gt;=100%,1,0)</f>
        <v>0</v>
      </c>
      <c r="BV108" s="414">
        <f>IF(WWWW[[#This Row],[% of HHs with access to Sanitary pad more than '#%]]+WWWW[[#This Row],[Ratio of Hyiene promoters to people less than '#]]+WWWW[[#This Row],[% of HHs with access to soap more than '#%]]&gt;=2,WWWW[[#This Row],[Total PoP ]],0)</f>
        <v>0</v>
      </c>
      <c r="BW108" s="346">
        <f>WWWW[[#This Row],['# people reached by regular dedicated hygiene promotion_5]]/WWWW[[#This Row],[Total PoP ]]</f>
        <v>1</v>
      </c>
      <c r="BX108" s="346">
        <f>IF(WWWW[[#This Row],['# HH received soaps]]/WWWW[[#This Row],[Total HH]]&gt;1,1,WWWW[[#This Row],['# HH received soaps]]/WWWW[[#This Row],[Total HH]])</f>
        <v>0</v>
      </c>
      <c r="BY108" s="346">
        <f>IF(WWWW[[#This Row],['# HH received Sanitary Pads]]/WWWW[[#This Row],[Total HH]]&gt;1,1,WWWW[[#This Row],['# HH received Sanitary Pads]]/WWWW[[#This Row],[Total HH]])</f>
        <v>0</v>
      </c>
      <c r="BZ108" s="720">
        <f>WWWW[[#This Row],['# HH received soaps]]*5</f>
        <v>0</v>
      </c>
      <c r="CA108" s="720">
        <f>WWWW[[#This Row],['# HH received Sanitary Pads]]*5</f>
        <v>0</v>
      </c>
      <c r="CB108" s="238">
        <f>IF(WWWW[[#This Row],['# People with access to soap]]&gt;WWWW[[#This Row],['# People with access to Sanity Pads]],WWWW[[#This Row],['# People with access to soap]],WWWW[[#This Row],['# People with access to Sanity Pads]])</f>
        <v>0</v>
      </c>
      <c r="CC108" s="414">
        <f>WWWW[[#This Row],[Total HH]]*WWWW[[#This Row],[%HHs with access to functional hand washing stations]]</f>
        <v>637</v>
      </c>
      <c r="CD108" s="240" t="str">
        <f>VLOOKUP(WWWW[[#This Row],[Site Name]],SiteDB6[],8,FALSE)</f>
        <v>Yes</v>
      </c>
      <c r="CE108" s="240" t="str">
        <f>VLOOKUP(WWWW[[#This Row],[Site Name]],SiteDB6[],9,FALSE)</f>
        <v>KBC</v>
      </c>
      <c r="CF108" s="240" t="str">
        <f>VLOOKUP(WWWW[[#This Row],[Site Name]],SiteDB6[],10,FALSE)</f>
        <v>Camp</v>
      </c>
      <c r="CG108" s="240" t="str">
        <f>VLOOKUP(WWWW[[#This Row],[Site Name]],SiteDB6[],11,FALSE)</f>
        <v>Camp</v>
      </c>
      <c r="CH108" s="240" t="str">
        <f>VLOOKUP(WWWW[[#This Row],[Site Name]],SiteDB6[],12,FALSE)</f>
        <v>Camp</v>
      </c>
      <c r="CI108" s="240" t="str">
        <f>VLOOKUP(WWWW[[#This Row],[Site Name]],SiteDB6[],13,FALSE)</f>
        <v>GCA</v>
      </c>
      <c r="CJ108" s="240">
        <f>VLOOKUP(WWWW[[#This Row],[Site Name]],SiteDB6[],14,FALSE)</f>
        <v>24.268292826086999</v>
      </c>
      <c r="CK108" s="240">
        <f>VLOOKUP(WWWW[[#This Row],[Site Name]],SiteDB6[],15,FALSE)</f>
        <v>97.229116811594196</v>
      </c>
      <c r="CL108" s="240" t="str">
        <f>VLOOKUP(WWWW[[#This Row],[Site Name]],SiteDB6[],4,FALSE)</f>
        <v>MMR001CMP047</v>
      </c>
      <c r="CM108" s="235" t="str">
        <f t="shared" si="1"/>
        <v>Covered</v>
      </c>
      <c r="CN108" s="235"/>
    </row>
    <row r="109" spans="1:92" ht="15.75" customHeight="1" x14ac:dyDescent="0.25">
      <c r="A109" s="532" t="s">
        <v>1409</v>
      </c>
      <c r="B109" s="533" t="s">
        <v>399</v>
      </c>
      <c r="C109" s="533" t="s">
        <v>44</v>
      </c>
      <c r="D109" s="533" t="s">
        <v>304</v>
      </c>
      <c r="E109" s="533" t="s">
        <v>420</v>
      </c>
      <c r="F109" s="233">
        <v>8</v>
      </c>
      <c r="G109" s="414">
        <v>25</v>
      </c>
      <c r="H109" s="233"/>
      <c r="I109" s="233" t="s">
        <v>401</v>
      </c>
      <c r="J109" s="234">
        <v>42947</v>
      </c>
      <c r="K109" s="233">
        <v>0</v>
      </c>
      <c r="L109" s="233" t="s">
        <v>48</v>
      </c>
      <c r="M109" s="235">
        <v>0</v>
      </c>
      <c r="N109" s="235">
        <v>0</v>
      </c>
      <c r="O109" s="609">
        <v>1</v>
      </c>
      <c r="P109" s="615">
        <v>0</v>
      </c>
      <c r="Q109" s="615">
        <v>1000</v>
      </c>
      <c r="R109" s="604">
        <v>0</v>
      </c>
      <c r="S109" s="604">
        <v>1</v>
      </c>
      <c r="T109" s="604">
        <v>0</v>
      </c>
      <c r="U109" s="604">
        <v>0</v>
      </c>
      <c r="V109" s="604">
        <v>0</v>
      </c>
      <c r="W109" s="604">
        <v>0</v>
      </c>
      <c r="X109" s="604">
        <v>0</v>
      </c>
      <c r="Y109" s="604"/>
      <c r="Z109" s="628">
        <v>0</v>
      </c>
      <c r="AA109" s="628">
        <v>0</v>
      </c>
      <c r="AB109" s="629">
        <v>0</v>
      </c>
      <c r="AC109" s="628">
        <v>0</v>
      </c>
      <c r="AD109" s="628" t="s">
        <v>293</v>
      </c>
      <c r="AE109" s="631" t="s">
        <v>1379</v>
      </c>
      <c r="AF109" s="631">
        <v>0</v>
      </c>
      <c r="AG109" s="628">
        <v>0</v>
      </c>
      <c r="AH109" s="628"/>
      <c r="AI109" s="659">
        <v>0.6</v>
      </c>
      <c r="AJ109" s="650" t="s">
        <v>386</v>
      </c>
      <c r="AK109" s="644">
        <v>0</v>
      </c>
      <c r="AL109" s="645">
        <v>0</v>
      </c>
      <c r="AM109" s="645">
        <v>0</v>
      </c>
      <c r="AN109" s="646">
        <v>0</v>
      </c>
      <c r="AO109" s="647">
        <v>0</v>
      </c>
      <c r="AP109" s="647"/>
      <c r="AQ109" s="658"/>
      <c r="AR109" s="235" t="str">
        <f>IFERROR(WWWW[[#This Row],['# of Water passed at source]]/WWWW[[#This Row],['# of Water tested at source]],"no test")</f>
        <v>no test</v>
      </c>
      <c r="AS109" s="237" t="str">
        <f>IFERROR(WWWW[[#This Row],['# of Water passed at HH]]/WWWW[[#This Row],['# of Water tested at HH]],"no test")</f>
        <v>no test</v>
      </c>
      <c r="AT109" s="237">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U109" s="237">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AV109" s="237">
        <f>IF(WWWW[[#This Row],[Location Type 1]]="Village",WWWW[[#This Row],[Access to safe drinking water for Village]],WWWW[[#This Row],[Access to safe drinking water for Camp]])</f>
        <v>1</v>
      </c>
      <c r="AW109" s="414">
        <f>WWWW[[#This Row],[%Equitable and continuous access to sufficient quantity of safe drinking water]]*WWWW[[#This Row],[Total PoP ]]</f>
        <v>25</v>
      </c>
      <c r="AX109" s="237">
        <f>IF((WWWW[[#This Row],['# Existing protected/fenced ponds ]]*250)/WWWW[[#This Row],[Total PoP ]]&gt;1,1,WWWW[[#This Row],['# Existing protected/fenced ponds ]]*250/WWWW[[#This Row],[Total PoP ]])</f>
        <v>0</v>
      </c>
      <c r="AY109" s="236">
        <f>WWWW[[#This Row],[Access to unimproved water points]]*WWWW[[#This Row],[Total PoP ]]</f>
        <v>0</v>
      </c>
      <c r="AZ109" s="237">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A109" s="414">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25</v>
      </c>
      <c r="BB109" s="414">
        <f>WWWW[[#This Row],['#people Equitable and continuous access to sufficient quantity of domestic water borehole n ponds_2]]/500</f>
        <v>0.05</v>
      </c>
      <c r="BC109" s="235">
        <f>1-WWWW[[#This Row],[%Equitable and continuous access to sufficient quantity of domestic water borehole n ponds]]</f>
        <v>0</v>
      </c>
      <c r="BD109" s="236">
        <f>WWWW[[#This Row],[%equitable and continuous access to sufficient quantity of safe drinking and domestic water''s GAP]]*WWWW[[#This Row],[Total PoP ]]</f>
        <v>0</v>
      </c>
      <c r="BE109" s="238">
        <f>IF(WWWW[[#This Row],[Total required water points]]-WWWW[[#This Row],['#Water points coverage]]&lt;0,0,WWWW[[#This Row],[Total required water points]]-WWWW[[#This Row],['#Water points coverage]])</f>
        <v>0.95</v>
      </c>
      <c r="BF109" s="238">
        <f>ROUND(IF(WWWW[[#This Row],[Total PoP ]]&lt;500,1,WWWW[[#This Row],[Total PoP ]]/500),0)</f>
        <v>1</v>
      </c>
      <c r="BG109" s="238" t="str">
        <f>IF(AND(WWWW[[#This Row],[%of Water samples which passed at water source]]="no test",WWWW[[#This Row],[%Water samples which passed at HH]]="no test"),"No Test","Tested")</f>
        <v>No Test</v>
      </c>
      <c r="BH109" s="238">
        <f>WWWW[[#This Row],['# Existing functional latrines]]+WWWW[[#This Row],['# Existing latrines dysfunctional]]</f>
        <v>0</v>
      </c>
      <c r="BI109" s="235">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J109" s="675">
        <f>WWWW[[#This Row],[% people access to functioning Latrine]]*WWWW[[#This Row],[Total PoP ]]</f>
        <v>0</v>
      </c>
      <c r="BK109" s="235">
        <f>IF(WWWW[[#This Row],[Location Type 1]]="camp",WWWW[[#This Row],['# potential required new latrines]]/(WWWW[[#This Row],[Total PoP ]]/20),WWWW[[#This Row],['# potential required new latrines]]/(WWWW[[#This Row],[Total PoP ]]/6))</f>
        <v>0.8</v>
      </c>
      <c r="BL109" s="236">
        <f>IF(WWWW[[#This Row],[Total required Latrines]]-WWWW[[#This Row],[Total '# of latrine]]&lt;0,0,WWWW[[#This Row],[Total required Latrines]]-WWWW[[#This Row],[Total '# of latrine]])</f>
        <v>1</v>
      </c>
      <c r="BM109" s="238">
        <f>ROUND(IF(WWWW[[#This Row],[Location Type 1]]="camp",WWWW[[#This Row],[Total PoP ]]/20,WWWW[[#This Row],[Total PoP ]]/6),0)</f>
        <v>1</v>
      </c>
      <c r="BN109" s="239">
        <f>IF(OR(WWWW[[#This Row],['# Existing latrines dysfunctional]]="",WWWW[[#This Row],['# Existing latrines dysfunctional]]=0),0,WWWW[[#This Row],['# Existing latrines dysfunctional]]/WWWW[[#This Row],[Total '# of latrine]])</f>
        <v>0</v>
      </c>
      <c r="BO109" s="675">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P109" s="235">
        <f>WWWW[[#This Row],[People adopt basic personal and community hygiene practices]]/WWWW[[#This Row],[Total PoP ]]</f>
        <v>0</v>
      </c>
      <c r="BQ109" s="239">
        <f>1-WWWW[[#This Row],[Hygiene Coverage%]]</f>
        <v>1</v>
      </c>
      <c r="BR109" s="414">
        <f>IF(500*WWWW[[#This Row],['# Hygiene Promoters ]]&gt;WWWW[[#This Row],[Total PoP ]],WWWW[[#This Row],[Total PoP ]],500*WWWW[[#This Row],['# Hygiene Promoters ]])</f>
        <v>0</v>
      </c>
      <c r="BS109" s="414">
        <f>IF(WWWW[[#This Row],[% of HH with access to Sanitary Pad]]&gt;=100%,1,0)</f>
        <v>0</v>
      </c>
      <c r="BT109" s="414">
        <f>IF(WWWW[[#This Row],[Total PoP ]]=0,0,IF(WWWW[[#This Row],['# Hygiene Promoters ]]=0,0,IF(WWWW[[#This Row],[Location Type 1]]="Village",IF(WWWW[[#This Row],[Total PoP ]]/WWWW[[#This Row],['# Hygiene Promoters ]]&lt;1000,1,0),IF(WWWW[[#This Row],[Total PoP ]]/WWWW[[#This Row],['# Hygiene Promoters ]]&lt;600,1,0))))</f>
        <v>0</v>
      </c>
      <c r="BU109" s="414">
        <f>IF(WWWW[[#This Row],[%HH with access to soap]]&gt;=100%,1,0)</f>
        <v>0</v>
      </c>
      <c r="BV109" s="414">
        <f>IF(WWWW[[#This Row],[% of HHs with access to Sanitary pad more than '#%]]+WWWW[[#This Row],[Ratio of Hyiene promoters to people less than '#]]+WWWW[[#This Row],[% of HHs with access to soap more than '#%]]&gt;=2,WWWW[[#This Row],[Total PoP ]],0)</f>
        <v>0</v>
      </c>
      <c r="BW109" s="346">
        <f>WWWW[[#This Row],['# people reached by regular dedicated hygiene promotion_5]]/WWWW[[#This Row],[Total PoP ]]</f>
        <v>0</v>
      </c>
      <c r="BX109" s="346">
        <f>IF(WWWW[[#This Row],['# HH received soaps]]/WWWW[[#This Row],[Total HH]]&gt;1,1,WWWW[[#This Row],['# HH received soaps]]/WWWW[[#This Row],[Total HH]])</f>
        <v>0</v>
      </c>
      <c r="BY109" s="346">
        <f>IF(WWWW[[#This Row],['# HH received Sanitary Pads]]/WWWW[[#This Row],[Total HH]]&gt;1,1,WWWW[[#This Row],['# HH received Sanitary Pads]]/WWWW[[#This Row],[Total HH]])</f>
        <v>0</v>
      </c>
      <c r="BZ109" s="720">
        <f>WWWW[[#This Row],['# HH received soaps]]*5</f>
        <v>0</v>
      </c>
      <c r="CA109" s="720">
        <f>WWWW[[#This Row],['# HH received Sanitary Pads]]*5</f>
        <v>0</v>
      </c>
      <c r="CB109" s="238">
        <f>IF(WWWW[[#This Row],['# People with access to soap]]&gt;WWWW[[#This Row],['# People with access to Sanity Pads]],WWWW[[#This Row],['# People with access to soap]],WWWW[[#This Row],['# People with access to Sanity Pads]])</f>
        <v>0</v>
      </c>
      <c r="CC109" s="236">
        <f>WWWW[[#This Row],[Total HH]]*WWWW[[#This Row],[%HHs with access to functional hand washing stations]]</f>
        <v>4.8</v>
      </c>
      <c r="CD109" s="240" t="str">
        <f>VLOOKUP(WWWW[[#This Row],[Site Name]],SiteDB6[],8,FALSE)</f>
        <v>Yes</v>
      </c>
      <c r="CE109" s="240" t="str">
        <f>VLOOKUP(WWWW[[#This Row],[Site Name]],SiteDB6[],9,FALSE)</f>
        <v>KBC</v>
      </c>
      <c r="CF109" s="240" t="str">
        <f>VLOOKUP(WWWW[[#This Row],[Site Name]],SiteDB6[],10,FALSE)</f>
        <v>Camp</v>
      </c>
      <c r="CG109" s="240" t="str">
        <f>VLOOKUP(WWWW[[#This Row],[Site Name]],SiteDB6[],11,FALSE)</f>
        <v>Camp</v>
      </c>
      <c r="CH109" s="240" t="str">
        <f>VLOOKUP(WWWW[[#This Row],[Site Name]],SiteDB6[],12,FALSE)</f>
        <v>Closed Camp</v>
      </c>
      <c r="CI109" s="240" t="str">
        <f>VLOOKUP(WWWW[[#This Row],[Site Name]],SiteDB6[],13,FALSE)</f>
        <v>GCA</v>
      </c>
      <c r="CJ109" s="240">
        <f>VLOOKUP(WWWW[[#This Row],[Site Name]],SiteDB6[],14,FALSE)</f>
        <v>25.668399999999998</v>
      </c>
      <c r="CK109" s="240">
        <f>VLOOKUP(WWWW[[#This Row],[Site Name]],SiteDB6[],15,FALSE)</f>
        <v>96.353030000000004</v>
      </c>
      <c r="CL109" s="240" t="str">
        <f>VLOOKUP(WWWW[[#This Row],[Site Name]],SiteDB6[],4,FALSE)</f>
        <v>MMR001CMP183</v>
      </c>
      <c r="CM109" s="235" t="str">
        <f t="shared" si="1"/>
        <v>Covered</v>
      </c>
      <c r="CN109" s="235"/>
    </row>
    <row r="110" spans="1:92" ht="15.75" customHeight="1" x14ac:dyDescent="0.25">
      <c r="A110" s="532" t="s">
        <v>1409</v>
      </c>
      <c r="B110" s="533" t="s">
        <v>297</v>
      </c>
      <c r="C110" s="533" t="s">
        <v>44</v>
      </c>
      <c r="D110" s="533" t="s">
        <v>340</v>
      </c>
      <c r="E110" s="533" t="s">
        <v>343</v>
      </c>
      <c r="F110" s="233">
        <v>68</v>
      </c>
      <c r="G110" s="414">
        <v>268</v>
      </c>
      <c r="H110" s="233"/>
      <c r="I110" s="233" t="s">
        <v>306</v>
      </c>
      <c r="J110" s="234">
        <v>43131</v>
      </c>
      <c r="K110" s="233">
        <v>0</v>
      </c>
      <c r="L110" s="233" t="s">
        <v>48</v>
      </c>
      <c r="M110" s="235">
        <v>0.4</v>
      </c>
      <c r="N110" s="235">
        <v>0.5</v>
      </c>
      <c r="O110" s="609">
        <v>0</v>
      </c>
      <c r="P110" s="615">
        <v>0</v>
      </c>
      <c r="Q110" s="615">
        <v>0</v>
      </c>
      <c r="R110" s="604">
        <v>0</v>
      </c>
      <c r="S110" s="604">
        <v>0</v>
      </c>
      <c r="T110" s="604">
        <v>0</v>
      </c>
      <c r="U110" s="604">
        <v>0</v>
      </c>
      <c r="V110" s="604">
        <v>0</v>
      </c>
      <c r="W110" s="604">
        <v>0</v>
      </c>
      <c r="X110" s="604">
        <v>0</v>
      </c>
      <c r="Y110" s="604"/>
      <c r="Z110" s="628">
        <v>65</v>
      </c>
      <c r="AA110" s="628">
        <v>0</v>
      </c>
      <c r="AB110" s="629">
        <v>0</v>
      </c>
      <c r="AC110" s="628">
        <v>0</v>
      </c>
      <c r="AD110" s="628" t="s">
        <v>342</v>
      </c>
      <c r="AE110" s="631" t="s">
        <v>293</v>
      </c>
      <c r="AF110" s="631"/>
      <c r="AG110" s="628"/>
      <c r="AH110" s="628"/>
      <c r="AI110" s="659">
        <v>0.2</v>
      </c>
      <c r="AJ110" s="644" t="s">
        <v>294</v>
      </c>
      <c r="AK110" s="644">
        <v>0</v>
      </c>
      <c r="AL110" s="645">
        <v>0</v>
      </c>
      <c r="AM110" s="645">
        <v>1</v>
      </c>
      <c r="AN110" s="646">
        <v>0</v>
      </c>
      <c r="AO110" s="647">
        <v>0</v>
      </c>
      <c r="AP110" s="647"/>
      <c r="AQ110" s="658"/>
      <c r="AR110" s="235" t="str">
        <f>IFERROR(WWWW[[#This Row],['# of Water passed at source]]/WWWW[[#This Row],['# of Water tested at source]],"no test")</f>
        <v>no test</v>
      </c>
      <c r="AS110" s="237" t="str">
        <f>IFERROR(WWWW[[#This Row],['# of Water passed at HH]]/WWWW[[#This Row],['# of Water tested at HH]],"no test")</f>
        <v>no test</v>
      </c>
      <c r="AT110" s="237">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U110" s="237">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AV110" s="237">
        <f>IF(WWWW[[#This Row],[Location Type 1]]="Village",WWWW[[#This Row],[Access to safe drinking water for Village]],WWWW[[#This Row],[Access to safe drinking water for Camp]])</f>
        <v>0</v>
      </c>
      <c r="AW110" s="414">
        <f>WWWW[[#This Row],[%Equitable and continuous access to sufficient quantity of safe drinking water]]*WWWW[[#This Row],[Total PoP ]]</f>
        <v>0</v>
      </c>
      <c r="AX110" s="237">
        <f>IF((WWWW[[#This Row],['# Existing protected/fenced ponds ]]*250)/WWWW[[#This Row],[Total PoP ]]&gt;1,1,WWWW[[#This Row],['# Existing protected/fenced ponds ]]*250/WWWW[[#This Row],[Total PoP ]])</f>
        <v>0</v>
      </c>
      <c r="AY110" s="414">
        <f>WWWW[[#This Row],[Access to unimproved water points]]*WWWW[[#This Row],[Total PoP ]]</f>
        <v>0</v>
      </c>
      <c r="AZ110" s="237">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A110" s="414">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B110" s="414">
        <f>WWWW[[#This Row],['#people Equitable and continuous access to sufficient quantity of domestic water borehole n ponds_2]]/500</f>
        <v>0</v>
      </c>
      <c r="BC110" s="235">
        <f>1-WWWW[[#This Row],[%Equitable and continuous access to sufficient quantity of domestic water borehole n ponds]]</f>
        <v>1</v>
      </c>
      <c r="BD110" s="414">
        <f>WWWW[[#This Row],[%equitable and continuous access to sufficient quantity of safe drinking and domestic water''s GAP]]*WWWW[[#This Row],[Total PoP ]]</f>
        <v>268</v>
      </c>
      <c r="BE110" s="238">
        <f>IF(WWWW[[#This Row],[Total required water points]]-WWWW[[#This Row],['#Water points coverage]]&lt;0,0,WWWW[[#This Row],[Total required water points]]-WWWW[[#This Row],['#Water points coverage]])</f>
        <v>1</v>
      </c>
      <c r="BF110" s="238">
        <f>ROUND(IF(WWWW[[#This Row],[Total PoP ]]&lt;500,1,WWWW[[#This Row],[Total PoP ]]/500),0)</f>
        <v>1</v>
      </c>
      <c r="BG110" s="238" t="str">
        <f>IF(AND(WWWW[[#This Row],[%of Water samples which passed at water source]]="no test",WWWW[[#This Row],[%Water samples which passed at HH]]="no test"),"No Test","Tested")</f>
        <v>No Test</v>
      </c>
      <c r="BH110" s="238">
        <f>WWWW[[#This Row],['# Existing functional latrines]]+WWWW[[#This Row],['# Existing latrines dysfunctional]]</f>
        <v>65</v>
      </c>
      <c r="BI110" s="235">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1</v>
      </c>
      <c r="BJ110" s="675">
        <f>WWWW[[#This Row],[% people access to functioning Latrine]]*WWWW[[#This Row],[Total PoP ]]</f>
        <v>268</v>
      </c>
      <c r="BK110" s="235">
        <f>IF(WWWW[[#This Row],[Location Type 1]]="camp",WWWW[[#This Row],['# potential required new latrines]]/(WWWW[[#This Row],[Total PoP ]]/20),WWWW[[#This Row],['# potential required new latrines]]/(WWWW[[#This Row],[Total PoP ]]/6))</f>
        <v>0</v>
      </c>
      <c r="BL110" s="414">
        <f>IF(WWWW[[#This Row],[Total required Latrines]]-WWWW[[#This Row],[Total '# of latrine]]&lt;0,0,WWWW[[#This Row],[Total required Latrines]]-WWWW[[#This Row],[Total '# of latrine]])</f>
        <v>0</v>
      </c>
      <c r="BM110" s="238">
        <f>ROUND(IF(WWWW[[#This Row],[Location Type 1]]="camp",WWWW[[#This Row],[Total PoP ]]/20,WWWW[[#This Row],[Total PoP ]]/6),0)</f>
        <v>13</v>
      </c>
      <c r="BN110" s="239">
        <f>IF(OR(WWWW[[#This Row],['# Existing latrines dysfunctional]]="",WWWW[[#This Row],['# Existing latrines dysfunctional]]=0),0,WWWW[[#This Row],['# Existing latrines dysfunctional]]/WWWW[[#This Row],[Total '# of latrine]])</f>
        <v>0</v>
      </c>
      <c r="BO110" s="675">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P110" s="235">
        <f>WWWW[[#This Row],[People adopt basic personal and community hygiene practices]]/WWWW[[#This Row],[Total PoP ]]</f>
        <v>0</v>
      </c>
      <c r="BQ110" s="239">
        <f>1-WWWW[[#This Row],[Hygiene Coverage%]]</f>
        <v>1</v>
      </c>
      <c r="BR110" s="414">
        <f>IF(500*WWWW[[#This Row],['# Hygiene Promoters ]]&gt;WWWW[[#This Row],[Total PoP ]],WWWW[[#This Row],[Total PoP ]],500*WWWW[[#This Row],['# Hygiene Promoters ]])</f>
        <v>268</v>
      </c>
      <c r="BS110" s="414">
        <f>IF(WWWW[[#This Row],[% of HH with access to Sanitary Pad]]&gt;=100%,1,0)</f>
        <v>0</v>
      </c>
      <c r="BT110" s="414">
        <f>IF(WWWW[[#This Row],[Total PoP ]]=0,0,IF(WWWW[[#This Row],['# Hygiene Promoters ]]=0,0,IF(WWWW[[#This Row],[Location Type 1]]="Village",IF(WWWW[[#This Row],[Total PoP ]]/WWWW[[#This Row],['# Hygiene Promoters ]]&lt;1000,1,0),IF(WWWW[[#This Row],[Total PoP ]]/WWWW[[#This Row],['# Hygiene Promoters ]]&lt;600,1,0))))</f>
        <v>1</v>
      </c>
      <c r="BU110" s="414">
        <f>IF(WWWW[[#This Row],[%HH with access to soap]]&gt;=100%,1,0)</f>
        <v>0</v>
      </c>
      <c r="BV110" s="414">
        <f>IF(WWWW[[#This Row],[% of HHs with access to Sanitary pad more than '#%]]+WWWW[[#This Row],[Ratio of Hyiene promoters to people less than '#]]+WWWW[[#This Row],[% of HHs with access to soap more than '#%]]&gt;=2,WWWW[[#This Row],[Total PoP ]],0)</f>
        <v>0</v>
      </c>
      <c r="BW110" s="346">
        <f>WWWW[[#This Row],['# people reached by regular dedicated hygiene promotion_5]]/WWWW[[#This Row],[Total PoP ]]</f>
        <v>1</v>
      </c>
      <c r="BX110" s="346">
        <f>IF(WWWW[[#This Row],['# HH received soaps]]/WWWW[[#This Row],[Total HH]]&gt;1,1,WWWW[[#This Row],['# HH received soaps]]/WWWW[[#This Row],[Total HH]])</f>
        <v>0</v>
      </c>
      <c r="BY110" s="346">
        <f>IF(WWWW[[#This Row],['# HH received Sanitary Pads]]/WWWW[[#This Row],[Total HH]]&gt;1,1,WWWW[[#This Row],['# HH received Sanitary Pads]]/WWWW[[#This Row],[Total HH]])</f>
        <v>0</v>
      </c>
      <c r="BZ110" s="720">
        <f>WWWW[[#This Row],['# HH received soaps]]*5</f>
        <v>0</v>
      </c>
      <c r="CA110" s="720">
        <f>WWWW[[#This Row],['# HH received Sanitary Pads]]*5</f>
        <v>0</v>
      </c>
      <c r="CB110" s="238">
        <f>IF(WWWW[[#This Row],['# People with access to soap]]&gt;WWWW[[#This Row],['# People with access to Sanity Pads]],WWWW[[#This Row],['# People with access to soap]],WWWW[[#This Row],['# People with access to Sanity Pads]])</f>
        <v>0</v>
      </c>
      <c r="CC110" s="414">
        <f>WWWW[[#This Row],[Total HH]]*WWWW[[#This Row],[%HHs with access to functional hand washing stations]]</f>
        <v>13.600000000000001</v>
      </c>
      <c r="CD110" s="240" t="str">
        <f>VLOOKUP(WWWW[[#This Row],[Site Name]],SiteDB6[],8,FALSE)</f>
        <v>Yes</v>
      </c>
      <c r="CE110" s="240" t="str">
        <f>VLOOKUP(WWWW[[#This Row],[Site Name]],SiteDB6[],9,FALSE)</f>
        <v>KBC</v>
      </c>
      <c r="CF110" s="240" t="str">
        <f>VLOOKUP(WWWW[[#This Row],[Site Name]],SiteDB6[],10,FALSE)</f>
        <v>Camp</v>
      </c>
      <c r="CG110" s="240" t="str">
        <f>VLOOKUP(WWWW[[#This Row],[Site Name]],SiteDB6[],11,FALSE)</f>
        <v>Camp</v>
      </c>
      <c r="CH110" s="240" t="str">
        <f>VLOOKUP(WWWW[[#This Row],[Site Name]],SiteDB6[],12,FALSE)</f>
        <v>Camp</v>
      </c>
      <c r="CI110" s="240" t="str">
        <f>VLOOKUP(WWWW[[#This Row],[Site Name]],SiteDB6[],13,FALSE)</f>
        <v>NGCA</v>
      </c>
      <c r="CJ110" s="240">
        <f>VLOOKUP(WWWW[[#This Row],[Site Name]],SiteDB6[],14,FALSE)</f>
        <v>26.548506</v>
      </c>
      <c r="CK110" s="240">
        <f>VLOOKUP(WWWW[[#This Row],[Site Name]],SiteDB6[],15,FALSE)</f>
        <v>97.75609</v>
      </c>
      <c r="CL110" s="240" t="str">
        <f>VLOOKUP(WWWW[[#This Row],[Site Name]],SiteDB6[],4,FALSE)</f>
        <v>MMR001CMP239</v>
      </c>
      <c r="CM110" s="235" t="str">
        <f t="shared" si="1"/>
        <v>Covered</v>
      </c>
      <c r="CN110" s="235"/>
    </row>
    <row r="111" spans="1:92" ht="15.75" customHeight="1" x14ac:dyDescent="0.25">
      <c r="A111" s="532" t="s">
        <v>1409</v>
      </c>
      <c r="B111" s="533" t="s">
        <v>297</v>
      </c>
      <c r="C111" s="533" t="s">
        <v>44</v>
      </c>
      <c r="D111" s="533" t="s">
        <v>308</v>
      </c>
      <c r="E111" s="533" t="s">
        <v>312</v>
      </c>
      <c r="F111" s="233">
        <v>28</v>
      </c>
      <c r="G111" s="414">
        <v>129</v>
      </c>
      <c r="H111" s="233"/>
      <c r="I111" s="233" t="s">
        <v>306</v>
      </c>
      <c r="J111" s="234">
        <v>43131</v>
      </c>
      <c r="K111" s="233">
        <v>0</v>
      </c>
      <c r="L111" s="233" t="s">
        <v>48</v>
      </c>
      <c r="M111" s="235">
        <v>0.8</v>
      </c>
      <c r="N111" s="235">
        <v>0.8</v>
      </c>
      <c r="O111" s="609">
        <v>1</v>
      </c>
      <c r="P111" s="615">
        <v>2</v>
      </c>
      <c r="Q111" s="615">
        <v>3000</v>
      </c>
      <c r="R111" s="604">
        <v>0</v>
      </c>
      <c r="S111" s="604">
        <v>0</v>
      </c>
      <c r="T111" s="604">
        <v>0</v>
      </c>
      <c r="U111" s="604">
        <v>0</v>
      </c>
      <c r="V111" s="604">
        <v>0</v>
      </c>
      <c r="W111" s="604">
        <v>0</v>
      </c>
      <c r="X111" s="604">
        <v>0</v>
      </c>
      <c r="Y111" s="604"/>
      <c r="Z111" s="628">
        <v>8</v>
      </c>
      <c r="AA111" s="628">
        <v>0</v>
      </c>
      <c r="AB111" s="629">
        <v>0</v>
      </c>
      <c r="AC111" s="628">
        <v>0</v>
      </c>
      <c r="AD111" s="628" t="s">
        <v>293</v>
      </c>
      <c r="AE111" s="631" t="s">
        <v>1379</v>
      </c>
      <c r="AF111" s="631"/>
      <c r="AG111" s="628"/>
      <c r="AH111" s="628"/>
      <c r="AI111" s="659">
        <v>0.6</v>
      </c>
      <c r="AJ111" s="650" t="s">
        <v>386</v>
      </c>
      <c r="AK111" s="644">
        <v>0</v>
      </c>
      <c r="AL111" s="645">
        <v>2</v>
      </c>
      <c r="AM111" s="645">
        <v>1</v>
      </c>
      <c r="AN111" s="646">
        <v>0</v>
      </c>
      <c r="AO111" s="647">
        <v>0</v>
      </c>
      <c r="AP111" s="647"/>
      <c r="AQ111" s="658"/>
      <c r="AR111" s="235" t="str">
        <f>IFERROR(WWWW[[#This Row],['# of Water passed at source]]/WWWW[[#This Row],['# of Water tested at source]],"no test")</f>
        <v>no test</v>
      </c>
      <c r="AS111" s="237" t="str">
        <f>IFERROR(WWWW[[#This Row],['# of Water passed at HH]]/WWWW[[#This Row],['# of Water tested at HH]],"no test")</f>
        <v>no test</v>
      </c>
      <c r="AT111" s="237">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U111" s="237">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AV111" s="237">
        <f>IF(WWWW[[#This Row],[Location Type 1]]="Village",WWWW[[#This Row],[Access to safe drinking water for Village]],WWWW[[#This Row],[Access to safe drinking water for Camp]])</f>
        <v>1</v>
      </c>
      <c r="AW111" s="414">
        <f>WWWW[[#This Row],[%Equitable and continuous access to sufficient quantity of safe drinking water]]*WWWW[[#This Row],[Total PoP ]]</f>
        <v>129</v>
      </c>
      <c r="AX111" s="237">
        <f>IF((WWWW[[#This Row],['# Existing protected/fenced ponds ]]*250)/WWWW[[#This Row],[Total PoP ]]&gt;1,1,WWWW[[#This Row],['# Existing protected/fenced ponds ]]*250/WWWW[[#This Row],[Total PoP ]])</f>
        <v>0</v>
      </c>
      <c r="AY111" s="414">
        <f>WWWW[[#This Row],[Access to unimproved water points]]*WWWW[[#This Row],[Total PoP ]]</f>
        <v>0</v>
      </c>
      <c r="AZ111" s="237">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A111" s="414">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129</v>
      </c>
      <c r="BB111" s="414">
        <f>WWWW[[#This Row],['#people Equitable and continuous access to sufficient quantity of domestic water borehole n ponds_2]]/500</f>
        <v>0.25800000000000001</v>
      </c>
      <c r="BC111" s="235">
        <f>1-WWWW[[#This Row],[%Equitable and continuous access to sufficient quantity of domestic water borehole n ponds]]</f>
        <v>0</v>
      </c>
      <c r="BD111" s="414">
        <f>WWWW[[#This Row],[%equitable and continuous access to sufficient quantity of safe drinking and domestic water''s GAP]]*WWWW[[#This Row],[Total PoP ]]</f>
        <v>0</v>
      </c>
      <c r="BE111" s="238">
        <f>IF(WWWW[[#This Row],[Total required water points]]-WWWW[[#This Row],['#Water points coverage]]&lt;0,0,WWWW[[#This Row],[Total required water points]]-WWWW[[#This Row],['#Water points coverage]])</f>
        <v>0.74199999999999999</v>
      </c>
      <c r="BF111" s="238">
        <f>ROUND(IF(WWWW[[#This Row],[Total PoP ]]&lt;500,1,WWWW[[#This Row],[Total PoP ]]/500),0)</f>
        <v>1</v>
      </c>
      <c r="BG111" s="238" t="str">
        <f>IF(AND(WWWW[[#This Row],[%of Water samples which passed at water source]]="no test",WWWW[[#This Row],[%Water samples which passed at HH]]="no test"),"No Test","Tested")</f>
        <v>No Test</v>
      </c>
      <c r="BH111" s="238">
        <f>WWWW[[#This Row],['# Existing functional latrines]]+WWWW[[#This Row],['# Existing latrines dysfunctional]]</f>
        <v>8</v>
      </c>
      <c r="BI111" s="235">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1</v>
      </c>
      <c r="BJ111" s="675">
        <f>WWWW[[#This Row],[% people access to functioning Latrine]]*WWWW[[#This Row],[Total PoP ]]</f>
        <v>129</v>
      </c>
      <c r="BK111" s="235">
        <f>IF(WWWW[[#This Row],[Location Type 1]]="camp",WWWW[[#This Row],['# potential required new latrines]]/(WWWW[[#This Row],[Total PoP ]]/20),WWWW[[#This Row],['# potential required new latrines]]/(WWWW[[#This Row],[Total PoP ]]/6))</f>
        <v>0</v>
      </c>
      <c r="BL111" s="414">
        <f>IF(WWWW[[#This Row],[Total required Latrines]]-WWWW[[#This Row],[Total '# of latrine]]&lt;0,0,WWWW[[#This Row],[Total required Latrines]]-WWWW[[#This Row],[Total '# of latrine]])</f>
        <v>0</v>
      </c>
      <c r="BM111" s="238">
        <f>ROUND(IF(WWWW[[#This Row],[Location Type 1]]="camp",WWWW[[#This Row],[Total PoP ]]/20,WWWW[[#This Row],[Total PoP ]]/6),0)</f>
        <v>6</v>
      </c>
      <c r="BN111" s="239">
        <f>IF(OR(WWWW[[#This Row],['# Existing latrines dysfunctional]]="",WWWW[[#This Row],['# Existing latrines dysfunctional]]=0),0,WWWW[[#This Row],['# Existing latrines dysfunctional]]/WWWW[[#This Row],[Total '# of latrine]])</f>
        <v>0</v>
      </c>
      <c r="BO111" s="675">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P111" s="235">
        <f>WWWW[[#This Row],[People adopt basic personal and community hygiene practices]]/WWWW[[#This Row],[Total PoP ]]</f>
        <v>0</v>
      </c>
      <c r="BQ111" s="239">
        <f>1-WWWW[[#This Row],[Hygiene Coverage%]]</f>
        <v>1</v>
      </c>
      <c r="BR111" s="414">
        <f>IF(500*WWWW[[#This Row],['# Hygiene Promoters ]]&gt;WWWW[[#This Row],[Total PoP ]],WWWW[[#This Row],[Total PoP ]],500*WWWW[[#This Row],['# Hygiene Promoters ]])</f>
        <v>129</v>
      </c>
      <c r="BS111" s="414">
        <f>IF(WWWW[[#This Row],[% of HH with access to Sanitary Pad]]&gt;=100%,1,0)</f>
        <v>0</v>
      </c>
      <c r="BT111" s="414">
        <f>IF(WWWW[[#This Row],[Total PoP ]]=0,0,IF(WWWW[[#This Row],['# Hygiene Promoters ]]=0,0,IF(WWWW[[#This Row],[Location Type 1]]="Village",IF(WWWW[[#This Row],[Total PoP ]]/WWWW[[#This Row],['# Hygiene Promoters ]]&lt;1000,1,0),IF(WWWW[[#This Row],[Total PoP ]]/WWWW[[#This Row],['# Hygiene Promoters ]]&lt;600,1,0))))</f>
        <v>1</v>
      </c>
      <c r="BU111" s="414">
        <f>IF(WWWW[[#This Row],[%HH with access to soap]]&gt;=100%,1,0)</f>
        <v>0</v>
      </c>
      <c r="BV111" s="414">
        <f>IF(WWWW[[#This Row],[% of HHs with access to Sanitary pad more than '#%]]+WWWW[[#This Row],[Ratio of Hyiene promoters to people less than '#]]+WWWW[[#This Row],[% of HHs with access to soap more than '#%]]&gt;=2,WWWW[[#This Row],[Total PoP ]],0)</f>
        <v>0</v>
      </c>
      <c r="BW111" s="346">
        <f>WWWW[[#This Row],['# people reached by regular dedicated hygiene promotion_5]]/WWWW[[#This Row],[Total PoP ]]</f>
        <v>1</v>
      </c>
      <c r="BX111" s="346">
        <f>IF(WWWW[[#This Row],['# HH received soaps]]/WWWW[[#This Row],[Total HH]]&gt;1,1,WWWW[[#This Row],['# HH received soaps]]/WWWW[[#This Row],[Total HH]])</f>
        <v>0</v>
      </c>
      <c r="BY111" s="346">
        <f>IF(WWWW[[#This Row],['# HH received Sanitary Pads]]/WWWW[[#This Row],[Total HH]]&gt;1,1,WWWW[[#This Row],['# HH received Sanitary Pads]]/WWWW[[#This Row],[Total HH]])</f>
        <v>0</v>
      </c>
      <c r="BZ111" s="720">
        <f>WWWW[[#This Row],['# HH received soaps]]*5</f>
        <v>0</v>
      </c>
      <c r="CA111" s="720">
        <f>WWWW[[#This Row],['# HH received Sanitary Pads]]*5</f>
        <v>0</v>
      </c>
      <c r="CB111" s="238">
        <f>IF(WWWW[[#This Row],['# People with access to soap]]&gt;WWWW[[#This Row],['# People with access to Sanity Pads]],WWWW[[#This Row],['# People with access to soap]],WWWW[[#This Row],['# People with access to Sanity Pads]])</f>
        <v>0</v>
      </c>
      <c r="CC111" s="414">
        <f>WWWW[[#This Row],[Total HH]]*WWWW[[#This Row],[%HHs with access to functional hand washing stations]]</f>
        <v>16.8</v>
      </c>
      <c r="CD111" s="240" t="str">
        <f>VLOOKUP(WWWW[[#This Row],[Site Name]],SiteDB6[],8,FALSE)</f>
        <v>Yes</v>
      </c>
      <c r="CE111" s="240" t="str">
        <f>VLOOKUP(WWWW[[#This Row],[Site Name]],SiteDB6[],9,FALSE)</f>
        <v>KBC</v>
      </c>
      <c r="CF111" s="240" t="str">
        <f>VLOOKUP(WWWW[[#This Row],[Site Name]],SiteDB6[],10,FALSE)</f>
        <v>Camp</v>
      </c>
      <c r="CG111" s="240" t="str">
        <f>VLOOKUP(WWWW[[#This Row],[Site Name]],SiteDB6[],11,FALSE)</f>
        <v>Camp</v>
      </c>
      <c r="CH111" s="240" t="str">
        <f>VLOOKUP(WWWW[[#This Row],[Site Name]],SiteDB6[],12,FALSE)</f>
        <v>Camp</v>
      </c>
      <c r="CI111" s="240" t="str">
        <f>VLOOKUP(WWWW[[#This Row],[Site Name]],SiteDB6[],13,FALSE)</f>
        <v>GCA</v>
      </c>
      <c r="CJ111" s="240">
        <f>VLOOKUP(WWWW[[#This Row],[Site Name]],SiteDB6[],14,FALSE)</f>
        <v>25.225000000000001</v>
      </c>
      <c r="CK111" s="240">
        <f>VLOOKUP(WWWW[[#This Row],[Site Name]],SiteDB6[],15,FALSE)</f>
        <v>96.793999999999997</v>
      </c>
      <c r="CL111" s="240" t="str">
        <f>VLOOKUP(WWWW[[#This Row],[Site Name]],SiteDB6[],4,FALSE)</f>
        <v>MMR001CMP236</v>
      </c>
      <c r="CM111" s="235" t="str">
        <f t="shared" si="1"/>
        <v>Covered</v>
      </c>
      <c r="CN111" s="235"/>
    </row>
    <row r="112" spans="1:92" ht="15.75" customHeight="1" x14ac:dyDescent="0.25">
      <c r="A112" s="532" t="s">
        <v>1409</v>
      </c>
      <c r="B112" s="533" t="s">
        <v>43</v>
      </c>
      <c r="C112" s="533" t="s">
        <v>44</v>
      </c>
      <c r="D112" s="533" t="s">
        <v>302</v>
      </c>
      <c r="E112" s="533" t="s">
        <v>384</v>
      </c>
      <c r="F112" s="233">
        <v>30</v>
      </c>
      <c r="G112" s="414">
        <v>173</v>
      </c>
      <c r="H112" s="233"/>
      <c r="I112" s="233" t="s">
        <v>385</v>
      </c>
      <c r="J112" s="234">
        <v>43465</v>
      </c>
      <c r="K112" s="233">
        <v>0</v>
      </c>
      <c r="L112" s="233" t="s">
        <v>2578</v>
      </c>
      <c r="M112" s="235">
        <v>0.4</v>
      </c>
      <c r="N112" s="235">
        <v>0.3</v>
      </c>
      <c r="O112" s="609">
        <v>0</v>
      </c>
      <c r="P112" s="615">
        <v>0</v>
      </c>
      <c r="Q112" s="615">
        <v>2000</v>
      </c>
      <c r="R112" s="604">
        <v>0</v>
      </c>
      <c r="S112" s="604">
        <v>2</v>
      </c>
      <c r="T112" s="604">
        <v>0</v>
      </c>
      <c r="U112" s="604">
        <v>0</v>
      </c>
      <c r="V112" s="604">
        <v>0</v>
      </c>
      <c r="W112" s="604">
        <v>0</v>
      </c>
      <c r="X112" s="604">
        <v>0</v>
      </c>
      <c r="Y112" s="604"/>
      <c r="Z112" s="628">
        <v>10</v>
      </c>
      <c r="AA112" s="628">
        <v>0</v>
      </c>
      <c r="AB112" s="629">
        <v>0</v>
      </c>
      <c r="AC112" s="628">
        <v>0</v>
      </c>
      <c r="AD112" s="628" t="s">
        <v>293</v>
      </c>
      <c r="AE112" s="631" t="s">
        <v>1379</v>
      </c>
      <c r="AF112" s="631">
        <v>0</v>
      </c>
      <c r="AG112" s="628">
        <v>0</v>
      </c>
      <c r="AH112" s="628"/>
      <c r="AI112" s="659">
        <v>0</v>
      </c>
      <c r="AJ112" s="650" t="s">
        <v>386</v>
      </c>
      <c r="AK112" s="644">
        <v>0</v>
      </c>
      <c r="AL112" s="645">
        <v>0</v>
      </c>
      <c r="AM112" s="645">
        <v>1</v>
      </c>
      <c r="AN112" s="646">
        <v>0</v>
      </c>
      <c r="AO112" s="647">
        <v>0</v>
      </c>
      <c r="AP112" s="647" t="s">
        <v>292</v>
      </c>
      <c r="AQ112" s="658"/>
      <c r="AR112" s="235" t="str">
        <f>IFERROR(WWWW[[#This Row],['# of Water passed at source]]/WWWW[[#This Row],['# of Water tested at source]],"no test")</f>
        <v>no test</v>
      </c>
      <c r="AS112" s="237" t="str">
        <f>IFERROR(WWWW[[#This Row],['# of Water passed at HH]]/WWWW[[#This Row],['# of Water tested at HH]],"no test")</f>
        <v>no test</v>
      </c>
      <c r="AT112" s="237">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0.77071290944123316</v>
      </c>
      <c r="AU112" s="237">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0.77071290944123316</v>
      </c>
      <c r="AV112" s="237">
        <f>IF(WWWW[[#This Row],[Location Type 1]]="Village",WWWW[[#This Row],[Access to safe drinking water for Village]],WWWW[[#This Row],[Access to safe drinking water for Camp]])</f>
        <v>0.77071290944123316</v>
      </c>
      <c r="AW112" s="414">
        <f>WWWW[[#This Row],[%Equitable and continuous access to sufficient quantity of safe drinking water]]*WWWW[[#This Row],[Total PoP ]]</f>
        <v>133.33333333333334</v>
      </c>
      <c r="AX112" s="237">
        <f>IF((WWWW[[#This Row],['# Existing protected/fenced ponds ]]*250)/WWWW[[#This Row],[Total PoP ]]&gt;1,1,WWWW[[#This Row],['# Existing protected/fenced ponds ]]*250/WWWW[[#This Row],[Total PoP ]])</f>
        <v>0</v>
      </c>
      <c r="AY112" s="414">
        <f>WWWW[[#This Row],[Access to unimproved water points]]*WWWW[[#This Row],[Total PoP ]]</f>
        <v>0</v>
      </c>
      <c r="AZ112" s="237">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0.77071290944123316</v>
      </c>
      <c r="BA112" s="414">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133.33333333333334</v>
      </c>
      <c r="BB112" s="414">
        <f>WWWW[[#This Row],['#people Equitable and continuous access to sufficient quantity of domestic water borehole n ponds_2]]/500</f>
        <v>0.26666666666666666</v>
      </c>
      <c r="BC112" s="235">
        <f>1-WWWW[[#This Row],[%Equitable and continuous access to sufficient quantity of domestic water borehole n ponds]]</f>
        <v>0.22928709055876684</v>
      </c>
      <c r="BD112" s="414">
        <f>WWWW[[#This Row],[%equitable and continuous access to sufficient quantity of safe drinking and domestic water''s GAP]]*WWWW[[#This Row],[Total PoP ]]</f>
        <v>39.666666666666664</v>
      </c>
      <c r="BE112" s="238">
        <f>IF(WWWW[[#This Row],[Total required water points]]-WWWW[[#This Row],['#Water points coverage]]&lt;0,0,WWWW[[#This Row],[Total required water points]]-WWWW[[#This Row],['#Water points coverage]])</f>
        <v>0.73333333333333339</v>
      </c>
      <c r="BF112" s="238">
        <f>ROUND(IF(WWWW[[#This Row],[Total PoP ]]&lt;500,1,WWWW[[#This Row],[Total PoP ]]/500),0)</f>
        <v>1</v>
      </c>
      <c r="BG112" s="238" t="str">
        <f>IF(AND(WWWW[[#This Row],[%of Water samples which passed at water source]]="no test",WWWW[[#This Row],[%Water samples which passed at HH]]="no test"),"No Test","Tested")</f>
        <v>No Test</v>
      </c>
      <c r="BH112" s="238">
        <f>WWWW[[#This Row],['# Existing functional latrines]]+WWWW[[#This Row],['# Existing latrines dysfunctional]]</f>
        <v>10</v>
      </c>
      <c r="BI112" s="235">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1</v>
      </c>
      <c r="BJ112" s="675">
        <f>WWWW[[#This Row],[% people access to functioning Latrine]]*WWWW[[#This Row],[Total PoP ]]</f>
        <v>173</v>
      </c>
      <c r="BK112" s="235">
        <f>IF(WWWW[[#This Row],[Location Type 1]]="camp",WWWW[[#This Row],['# potential required new latrines]]/(WWWW[[#This Row],[Total PoP ]]/20),WWWW[[#This Row],['# potential required new latrines]]/(WWWW[[#This Row],[Total PoP ]]/6))</f>
        <v>0</v>
      </c>
      <c r="BL112" s="414">
        <f>IF(WWWW[[#This Row],[Total required Latrines]]-WWWW[[#This Row],[Total '# of latrine]]&lt;0,0,WWWW[[#This Row],[Total required Latrines]]-WWWW[[#This Row],[Total '# of latrine]])</f>
        <v>0</v>
      </c>
      <c r="BM112" s="238">
        <f>ROUND(IF(WWWW[[#This Row],[Location Type 1]]="camp",WWWW[[#This Row],[Total PoP ]]/20,WWWW[[#This Row],[Total PoP ]]/6),0)</f>
        <v>9</v>
      </c>
      <c r="BN112" s="239">
        <f>IF(OR(WWWW[[#This Row],['# Existing latrines dysfunctional]]="",WWWW[[#This Row],['# Existing latrines dysfunctional]]=0),0,WWWW[[#This Row],['# Existing latrines dysfunctional]]/WWWW[[#This Row],[Total '# of latrine]])</f>
        <v>0</v>
      </c>
      <c r="BO112" s="675">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P112" s="235">
        <f>WWWW[[#This Row],[People adopt basic personal and community hygiene practices]]/WWWW[[#This Row],[Total PoP ]]</f>
        <v>0</v>
      </c>
      <c r="BQ112" s="239">
        <f>1-WWWW[[#This Row],[Hygiene Coverage%]]</f>
        <v>1</v>
      </c>
      <c r="BR112" s="414">
        <f>IF(500*WWWW[[#This Row],['# Hygiene Promoters ]]&gt;WWWW[[#This Row],[Total PoP ]],WWWW[[#This Row],[Total PoP ]],500*WWWW[[#This Row],['# Hygiene Promoters ]])</f>
        <v>173</v>
      </c>
      <c r="BS112" s="414">
        <f>IF(WWWW[[#This Row],[% of HH with access to Sanitary Pad]]&gt;=100%,1,0)</f>
        <v>0</v>
      </c>
      <c r="BT112" s="414">
        <f>IF(WWWW[[#This Row],[Total PoP ]]=0,0,IF(WWWW[[#This Row],['# Hygiene Promoters ]]=0,0,IF(WWWW[[#This Row],[Location Type 1]]="Village",IF(WWWW[[#This Row],[Total PoP ]]/WWWW[[#This Row],['# Hygiene Promoters ]]&lt;1000,1,0),IF(WWWW[[#This Row],[Total PoP ]]/WWWW[[#This Row],['# Hygiene Promoters ]]&lt;600,1,0))))</f>
        <v>1</v>
      </c>
      <c r="BU112" s="414">
        <f>IF(WWWW[[#This Row],[%HH with access to soap]]&gt;=100%,1,0)</f>
        <v>0</v>
      </c>
      <c r="BV112" s="414">
        <f>IF(WWWW[[#This Row],[% of HHs with access to Sanitary pad more than '#%]]+WWWW[[#This Row],[Ratio of Hyiene promoters to people less than '#]]+WWWW[[#This Row],[% of HHs with access to soap more than '#%]]&gt;=2,WWWW[[#This Row],[Total PoP ]],0)</f>
        <v>0</v>
      </c>
      <c r="BW112" s="346">
        <f>WWWW[[#This Row],['# people reached by regular dedicated hygiene promotion_5]]/WWWW[[#This Row],[Total PoP ]]</f>
        <v>1</v>
      </c>
      <c r="BX112" s="346">
        <f>IF(WWWW[[#This Row],['# HH received soaps]]/WWWW[[#This Row],[Total HH]]&gt;1,1,WWWW[[#This Row],['# HH received soaps]]/WWWW[[#This Row],[Total HH]])</f>
        <v>0</v>
      </c>
      <c r="BY112" s="346">
        <f>IF(WWWW[[#This Row],['# HH received Sanitary Pads]]/WWWW[[#This Row],[Total HH]]&gt;1,1,WWWW[[#This Row],['# HH received Sanitary Pads]]/WWWW[[#This Row],[Total HH]])</f>
        <v>0</v>
      </c>
      <c r="BZ112" s="720">
        <f>WWWW[[#This Row],['# HH received soaps]]*5</f>
        <v>0</v>
      </c>
      <c r="CA112" s="720">
        <f>WWWW[[#This Row],['# HH received Sanitary Pads]]*5</f>
        <v>0</v>
      </c>
      <c r="CB112" s="238">
        <f>IF(WWWW[[#This Row],['# People with access to soap]]&gt;WWWW[[#This Row],['# People with access to Sanity Pads]],WWWW[[#This Row],['# People with access to soap]],WWWW[[#This Row],['# People with access to Sanity Pads]])</f>
        <v>0</v>
      </c>
      <c r="CC112" s="414">
        <f>WWWW[[#This Row],[Total HH]]*WWWW[[#This Row],[%HHs with access to functional hand washing stations]]</f>
        <v>0</v>
      </c>
      <c r="CD112" s="240" t="str">
        <f>VLOOKUP(WWWW[[#This Row],[Site Name]],SiteDB6[],8,FALSE)</f>
        <v>Yes</v>
      </c>
      <c r="CE112" s="240" t="str">
        <f>VLOOKUP(WWWW[[#This Row],[Site Name]],SiteDB6[],9,FALSE)</f>
        <v>KMSS-MYT</v>
      </c>
      <c r="CF112" s="240" t="str">
        <f>VLOOKUP(WWWW[[#This Row],[Site Name]],SiteDB6[],10,FALSE)</f>
        <v>Camp</v>
      </c>
      <c r="CG112" s="240" t="str">
        <f>VLOOKUP(WWWW[[#This Row],[Site Name]],SiteDB6[],11,FALSE)</f>
        <v>Camp</v>
      </c>
      <c r="CH112" s="240" t="str">
        <f>VLOOKUP(WWWW[[#This Row],[Site Name]],SiteDB6[],12,FALSE)</f>
        <v>Camp</v>
      </c>
      <c r="CI112" s="240" t="str">
        <f>VLOOKUP(WWWW[[#This Row],[Site Name]],SiteDB6[],13,FALSE)</f>
        <v>GCA</v>
      </c>
      <c r="CJ112" s="240">
        <f>VLOOKUP(WWWW[[#This Row],[Site Name]],SiteDB6[],14,FALSE)</f>
        <v>25.645959999999999</v>
      </c>
      <c r="CK112" s="240">
        <f>VLOOKUP(WWWW[[#This Row],[Site Name]],SiteDB6[],15,FALSE)</f>
        <v>98.356260000000006</v>
      </c>
      <c r="CL112" s="240" t="str">
        <f>VLOOKUP(WWWW[[#This Row],[Site Name]],SiteDB6[],4,FALSE)</f>
        <v>MMR001CMP225</v>
      </c>
      <c r="CM112" s="235" t="str">
        <f t="shared" si="1"/>
        <v>Covered</v>
      </c>
      <c r="CN112" s="235"/>
    </row>
    <row r="113" spans="1:92" ht="15.75" customHeight="1" x14ac:dyDescent="0.25">
      <c r="A113" s="532" t="s">
        <v>1409</v>
      </c>
      <c r="B113" s="533" t="s">
        <v>436</v>
      </c>
      <c r="C113" s="533" t="s">
        <v>44</v>
      </c>
      <c r="D113" s="533" t="s">
        <v>361</v>
      </c>
      <c r="E113" s="533" t="s">
        <v>446</v>
      </c>
      <c r="F113" s="233">
        <v>77</v>
      </c>
      <c r="G113" s="414">
        <v>485</v>
      </c>
      <c r="H113" s="233"/>
      <c r="I113" s="233" t="s">
        <v>401</v>
      </c>
      <c r="J113" s="234">
        <v>43220</v>
      </c>
      <c r="K113" s="233">
        <v>0</v>
      </c>
      <c r="L113" s="233" t="s">
        <v>48</v>
      </c>
      <c r="M113" s="235">
        <v>1</v>
      </c>
      <c r="N113" s="235">
        <v>0</v>
      </c>
      <c r="O113" s="609">
        <v>1</v>
      </c>
      <c r="P113" s="615">
        <v>1</v>
      </c>
      <c r="Q113" s="615">
        <v>73500</v>
      </c>
      <c r="R113" s="604">
        <v>0</v>
      </c>
      <c r="S113" s="604">
        <v>0</v>
      </c>
      <c r="T113" s="604"/>
      <c r="U113" s="604">
        <v>0</v>
      </c>
      <c r="V113" s="604">
        <v>6</v>
      </c>
      <c r="W113" s="604">
        <v>6</v>
      </c>
      <c r="X113" s="604">
        <v>0</v>
      </c>
      <c r="Y113" s="604"/>
      <c r="Z113" s="628">
        <v>27</v>
      </c>
      <c r="AA113" s="628">
        <v>0</v>
      </c>
      <c r="AB113" s="629">
        <v>21</v>
      </c>
      <c r="AC113" s="628">
        <v>0</v>
      </c>
      <c r="AD113" s="628" t="s">
        <v>293</v>
      </c>
      <c r="AE113" s="631" t="s">
        <v>293</v>
      </c>
      <c r="AF113" s="631">
        <v>0</v>
      </c>
      <c r="AG113" s="628">
        <v>0</v>
      </c>
      <c r="AH113" s="628"/>
      <c r="AI113" s="659">
        <v>1</v>
      </c>
      <c r="AJ113" s="644" t="s">
        <v>301</v>
      </c>
      <c r="AK113" s="644">
        <v>0</v>
      </c>
      <c r="AL113" s="645">
        <v>2</v>
      </c>
      <c r="AM113" s="645">
        <v>2</v>
      </c>
      <c r="AN113" s="646">
        <v>57</v>
      </c>
      <c r="AO113" s="647">
        <v>0</v>
      </c>
      <c r="AP113" s="647" t="s">
        <v>292</v>
      </c>
      <c r="AQ113" s="658"/>
      <c r="AR113" s="235" t="str">
        <f>IFERROR(WWWW[[#This Row],['# of Water passed at source]]/WWWW[[#This Row],['# of Water tested at source]],"no test")</f>
        <v>no test</v>
      </c>
      <c r="AS113" s="237">
        <f>IFERROR(WWWW[[#This Row],['# of Water passed at HH]]/WWWW[[#This Row],['# of Water tested at HH]],"no test")</f>
        <v>1</v>
      </c>
      <c r="AT113" s="237">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U113" s="237">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AV113" s="237">
        <f>IF(WWWW[[#This Row],[Location Type 1]]="Village",WWWW[[#This Row],[Access to safe drinking water for Village]],WWWW[[#This Row],[Access to safe drinking water for Camp]])</f>
        <v>1</v>
      </c>
      <c r="AW113" s="414">
        <f>WWWW[[#This Row],[%Equitable and continuous access to sufficient quantity of safe drinking water]]*WWWW[[#This Row],[Total PoP ]]</f>
        <v>485</v>
      </c>
      <c r="AX113" s="237">
        <f>IF((WWWW[[#This Row],['# Existing protected/fenced ponds ]]*250)/WWWW[[#This Row],[Total PoP ]]&gt;1,1,WWWW[[#This Row],['# Existing protected/fenced ponds ]]*250/WWWW[[#This Row],[Total PoP ]])</f>
        <v>0</v>
      </c>
      <c r="AY113" s="414">
        <f>WWWW[[#This Row],[Access to unimproved water points]]*WWWW[[#This Row],[Total PoP ]]</f>
        <v>0</v>
      </c>
      <c r="AZ113" s="237">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A113" s="414">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485</v>
      </c>
      <c r="BB113" s="414">
        <f>WWWW[[#This Row],['#people Equitable and continuous access to sufficient quantity of domestic water borehole n ponds_2]]/500</f>
        <v>0.97</v>
      </c>
      <c r="BC113" s="235">
        <f>1-WWWW[[#This Row],[%Equitable and continuous access to sufficient quantity of domestic water borehole n ponds]]</f>
        <v>0</v>
      </c>
      <c r="BD113" s="414">
        <f>WWWW[[#This Row],[%equitable and continuous access to sufficient quantity of safe drinking and domestic water''s GAP]]*WWWW[[#This Row],[Total PoP ]]</f>
        <v>0</v>
      </c>
      <c r="BE113" s="238">
        <f>IF(WWWW[[#This Row],[Total required water points]]-WWWW[[#This Row],['#Water points coverage]]&lt;0,0,WWWW[[#This Row],[Total required water points]]-WWWW[[#This Row],['#Water points coverage]])</f>
        <v>3.0000000000000027E-2</v>
      </c>
      <c r="BF113" s="238">
        <f>ROUND(IF(WWWW[[#This Row],[Total PoP ]]&lt;500,1,WWWW[[#This Row],[Total PoP ]]/500),0)</f>
        <v>1</v>
      </c>
      <c r="BG113" s="238" t="str">
        <f>IF(AND(WWWW[[#This Row],[%of Water samples which passed at water source]]="no test",WWWW[[#This Row],[%Water samples which passed at HH]]="no test"),"No Test","Tested")</f>
        <v>Tested</v>
      </c>
      <c r="BH113" s="238">
        <f>WWWW[[#This Row],['# Existing functional latrines]]+WWWW[[#This Row],['# Existing latrines dysfunctional]]</f>
        <v>27</v>
      </c>
      <c r="BI113" s="235">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1</v>
      </c>
      <c r="BJ113" s="675">
        <f>WWWW[[#This Row],[% people access to functioning Latrine]]*WWWW[[#This Row],[Total PoP ]]</f>
        <v>485</v>
      </c>
      <c r="BK113" s="235">
        <f>IF(WWWW[[#This Row],[Location Type 1]]="camp",WWWW[[#This Row],['# potential required new latrines]]/(WWWW[[#This Row],[Total PoP ]]/20),WWWW[[#This Row],['# potential required new latrines]]/(WWWW[[#This Row],[Total PoP ]]/6))</f>
        <v>0</v>
      </c>
      <c r="BL113" s="414">
        <f>IF(WWWW[[#This Row],[Total required Latrines]]-WWWW[[#This Row],[Total '# of latrine]]&lt;0,0,WWWW[[#This Row],[Total required Latrines]]-WWWW[[#This Row],[Total '# of latrine]])</f>
        <v>0</v>
      </c>
      <c r="BM113" s="238">
        <f>ROUND(IF(WWWW[[#This Row],[Location Type 1]]="camp",WWWW[[#This Row],[Total PoP ]]/20,WWWW[[#This Row],[Total PoP ]]/6),0)</f>
        <v>24</v>
      </c>
      <c r="BN113" s="239">
        <f>IF(OR(WWWW[[#This Row],['# Existing latrines dysfunctional]]="",WWWW[[#This Row],['# Existing latrines dysfunctional]]=0),0,WWWW[[#This Row],['# Existing latrines dysfunctional]]/WWWW[[#This Row],[Total '# of latrine]])</f>
        <v>0</v>
      </c>
      <c r="BO113" s="675">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420</v>
      </c>
      <c r="BP113" s="235">
        <f>WWWW[[#This Row],[People adopt basic personal and community hygiene practices]]/WWWW[[#This Row],[Total PoP ]]</f>
        <v>0</v>
      </c>
      <c r="BQ113" s="239">
        <f>1-WWWW[[#This Row],[Hygiene Coverage%]]</f>
        <v>1</v>
      </c>
      <c r="BR113" s="414">
        <f>IF(500*WWWW[[#This Row],['# Hygiene Promoters ]]&gt;WWWW[[#This Row],[Total PoP ]],WWWW[[#This Row],[Total PoP ]],500*WWWW[[#This Row],['# Hygiene Promoters ]])</f>
        <v>485</v>
      </c>
      <c r="BS113" s="414">
        <f>IF(WWWW[[#This Row],[% of HH with access to Sanitary Pad]]&gt;=100%,1,0)</f>
        <v>0</v>
      </c>
      <c r="BT113" s="414">
        <f>IF(WWWW[[#This Row],[Total PoP ]]=0,0,IF(WWWW[[#This Row],['# Hygiene Promoters ]]=0,0,IF(WWWW[[#This Row],[Location Type 1]]="Village",IF(WWWW[[#This Row],[Total PoP ]]/WWWW[[#This Row],['# Hygiene Promoters ]]&lt;1000,1,0),IF(WWWW[[#This Row],[Total PoP ]]/WWWW[[#This Row],['# Hygiene Promoters ]]&lt;600,1,0))))</f>
        <v>1</v>
      </c>
      <c r="BU113" s="414">
        <f>IF(WWWW[[#This Row],[%HH with access to soap]]&gt;=100%,1,0)</f>
        <v>0</v>
      </c>
      <c r="BV113" s="414">
        <f>IF(WWWW[[#This Row],[% of HHs with access to Sanitary pad more than '#%]]+WWWW[[#This Row],[Ratio of Hyiene promoters to people less than '#]]+WWWW[[#This Row],[% of HHs with access to soap more than '#%]]&gt;=2,WWWW[[#This Row],[Total PoP ]],0)</f>
        <v>0</v>
      </c>
      <c r="BW113" s="346">
        <f>WWWW[[#This Row],['# people reached by regular dedicated hygiene promotion_5]]/WWWW[[#This Row],[Total PoP ]]</f>
        <v>1</v>
      </c>
      <c r="BX113" s="346">
        <f>IF(WWWW[[#This Row],['# HH received soaps]]/WWWW[[#This Row],[Total HH]]&gt;1,1,WWWW[[#This Row],['# HH received soaps]]/WWWW[[#This Row],[Total HH]])</f>
        <v>0.74025974025974028</v>
      </c>
      <c r="BY113" s="346">
        <f>IF(WWWW[[#This Row],['# HH received Sanitary Pads]]/WWWW[[#This Row],[Total HH]]&gt;1,1,WWWW[[#This Row],['# HH received Sanitary Pads]]/WWWW[[#This Row],[Total HH]])</f>
        <v>0</v>
      </c>
      <c r="BZ113" s="720">
        <f>WWWW[[#This Row],['# HH received soaps]]*5</f>
        <v>285</v>
      </c>
      <c r="CA113" s="720">
        <f>WWWW[[#This Row],['# HH received Sanitary Pads]]*5</f>
        <v>0</v>
      </c>
      <c r="CB113" s="238">
        <f>IF(WWWW[[#This Row],['# People with access to soap]]&gt;WWWW[[#This Row],['# People with access to Sanity Pads]],WWWW[[#This Row],['# People with access to soap]],WWWW[[#This Row],['# People with access to Sanity Pads]])</f>
        <v>285</v>
      </c>
      <c r="CC113" s="414">
        <f>WWWW[[#This Row],[Total HH]]*WWWW[[#This Row],[%HHs with access to functional hand washing stations]]</f>
        <v>77</v>
      </c>
      <c r="CD113" s="240" t="str">
        <f>VLOOKUP(WWWW[[#This Row],[Site Name]],SiteDB6[],8,FALSE)</f>
        <v>Yes</v>
      </c>
      <c r="CE113" s="240" t="str">
        <f>VLOOKUP(WWWW[[#This Row],[Site Name]],SiteDB6[],9,FALSE)</f>
        <v>KBC</v>
      </c>
      <c r="CF113" s="240" t="str">
        <f>VLOOKUP(WWWW[[#This Row],[Site Name]],SiteDB6[],10,FALSE)</f>
        <v>Camp</v>
      </c>
      <c r="CG113" s="240" t="str">
        <f>VLOOKUP(WWWW[[#This Row],[Site Name]],SiteDB6[],11,FALSE)</f>
        <v>Camp</v>
      </c>
      <c r="CH113" s="240" t="str">
        <f>VLOOKUP(WWWW[[#This Row],[Site Name]],SiteDB6[],12,FALSE)</f>
        <v>Camp</v>
      </c>
      <c r="CI113" s="240" t="str">
        <f>VLOOKUP(WWWW[[#This Row],[Site Name]],SiteDB6[],13,FALSE)</f>
        <v>GCA</v>
      </c>
      <c r="CJ113" s="240">
        <f>VLOOKUP(WWWW[[#This Row],[Site Name]],SiteDB6[],14,FALSE)</f>
        <v>24.207332999999998</v>
      </c>
      <c r="CK113" s="240">
        <f>VLOOKUP(WWWW[[#This Row],[Site Name]],SiteDB6[],15,FALSE)</f>
        <v>97.710864000000001</v>
      </c>
      <c r="CL113" s="240" t="str">
        <f>VLOOKUP(WWWW[[#This Row],[Site Name]],SiteDB6[],4,FALSE)</f>
        <v>MMR001CMP073</v>
      </c>
      <c r="CM113" s="235" t="str">
        <f t="shared" si="1"/>
        <v>Covered</v>
      </c>
      <c r="CN113" s="235"/>
    </row>
    <row r="114" spans="1:92" ht="15.75" customHeight="1" x14ac:dyDescent="0.25">
      <c r="A114" s="532" t="s">
        <v>1409</v>
      </c>
      <c r="B114" s="533" t="s">
        <v>297</v>
      </c>
      <c r="C114" s="533" t="s">
        <v>44</v>
      </c>
      <c r="D114" s="533" t="s">
        <v>298</v>
      </c>
      <c r="E114" s="533" t="s">
        <v>299</v>
      </c>
      <c r="F114" s="233">
        <v>413</v>
      </c>
      <c r="G114" s="414">
        <v>1893</v>
      </c>
      <c r="H114" s="233"/>
      <c r="I114" s="233" t="s">
        <v>300</v>
      </c>
      <c r="J114" s="234">
        <v>43555</v>
      </c>
      <c r="K114" s="233">
        <v>0</v>
      </c>
      <c r="L114" s="233" t="s">
        <v>48</v>
      </c>
      <c r="M114" s="235">
        <v>0.8</v>
      </c>
      <c r="N114" s="235">
        <v>0.5</v>
      </c>
      <c r="O114" s="609">
        <v>0</v>
      </c>
      <c r="P114" s="615">
        <v>0</v>
      </c>
      <c r="Q114" s="615">
        <v>38880</v>
      </c>
      <c r="R114" s="604">
        <v>0</v>
      </c>
      <c r="S114" s="604">
        <v>0</v>
      </c>
      <c r="T114" s="604">
        <v>0</v>
      </c>
      <c r="U114" s="604">
        <v>0</v>
      </c>
      <c r="V114" s="604">
        <v>0</v>
      </c>
      <c r="W114" s="604">
        <v>0</v>
      </c>
      <c r="X114" s="604">
        <v>0</v>
      </c>
      <c r="Y114" s="604"/>
      <c r="Z114" s="628">
        <v>413</v>
      </c>
      <c r="AA114" s="628">
        <v>0</v>
      </c>
      <c r="AB114" s="629">
        <v>0</v>
      </c>
      <c r="AC114" s="628">
        <v>0</v>
      </c>
      <c r="AD114" s="628" t="s">
        <v>293</v>
      </c>
      <c r="AE114" s="631" t="s">
        <v>293</v>
      </c>
      <c r="AF114" s="631"/>
      <c r="AG114" s="628">
        <v>30</v>
      </c>
      <c r="AH114" s="628"/>
      <c r="AI114" s="659">
        <v>1</v>
      </c>
      <c r="AJ114" s="644" t="s">
        <v>294</v>
      </c>
      <c r="AK114" s="644">
        <v>400</v>
      </c>
      <c r="AL114" s="645">
        <v>9</v>
      </c>
      <c r="AM114" s="645">
        <v>6</v>
      </c>
      <c r="AN114" s="646">
        <v>0</v>
      </c>
      <c r="AO114" s="647">
        <v>0</v>
      </c>
      <c r="AP114" s="647"/>
      <c r="AQ114" s="658"/>
      <c r="AR114" s="235" t="str">
        <f>IFERROR(WWWW[[#This Row],['# of Water passed at source]]/WWWW[[#This Row],['# of Water tested at source]],"no test")</f>
        <v>no test</v>
      </c>
      <c r="AS114" s="237" t="str">
        <f>IFERROR(WWWW[[#This Row],['# of Water passed at HH]]/WWWW[[#This Row],['# of Water tested at HH]],"no test")</f>
        <v>no test</v>
      </c>
      <c r="AT114" s="237">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U114" s="237">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AV114" s="237">
        <f>IF(WWWW[[#This Row],[Location Type 1]]="Village",WWWW[[#This Row],[Access to safe drinking water for Village]],WWWW[[#This Row],[Access to safe drinking water for Camp]])</f>
        <v>1</v>
      </c>
      <c r="AW114" s="414">
        <f>WWWW[[#This Row],[%Equitable and continuous access to sufficient quantity of safe drinking water]]*WWWW[[#This Row],[Total PoP ]]</f>
        <v>1893</v>
      </c>
      <c r="AX114" s="237">
        <f>IF((WWWW[[#This Row],['# Existing protected/fenced ponds ]]*250)/WWWW[[#This Row],[Total PoP ]]&gt;1,1,WWWW[[#This Row],['# Existing protected/fenced ponds ]]*250/WWWW[[#This Row],[Total PoP ]])</f>
        <v>0</v>
      </c>
      <c r="AY114" s="414">
        <f>WWWW[[#This Row],[Access to unimproved water points]]*WWWW[[#This Row],[Total PoP ]]</f>
        <v>0</v>
      </c>
      <c r="AZ114" s="237">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A114" s="414">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1893</v>
      </c>
      <c r="BB114" s="414">
        <f>WWWW[[#This Row],['#people Equitable and continuous access to sufficient quantity of domestic water borehole n ponds_2]]/500</f>
        <v>3.786</v>
      </c>
      <c r="BC114" s="235">
        <f>1-WWWW[[#This Row],[%Equitable and continuous access to sufficient quantity of domestic water borehole n ponds]]</f>
        <v>0</v>
      </c>
      <c r="BD114" s="414">
        <f>WWWW[[#This Row],[%equitable and continuous access to sufficient quantity of safe drinking and domestic water''s GAP]]*WWWW[[#This Row],[Total PoP ]]</f>
        <v>0</v>
      </c>
      <c r="BE114" s="238">
        <f>IF(WWWW[[#This Row],[Total required water points]]-WWWW[[#This Row],['#Water points coverage]]&lt;0,0,WWWW[[#This Row],[Total required water points]]-WWWW[[#This Row],['#Water points coverage]])</f>
        <v>0.21399999999999997</v>
      </c>
      <c r="BF114" s="238">
        <f>ROUND(IF(WWWW[[#This Row],[Total PoP ]]&lt;500,1,WWWW[[#This Row],[Total PoP ]]/500),0)</f>
        <v>4</v>
      </c>
      <c r="BG114" s="238" t="str">
        <f>IF(AND(WWWW[[#This Row],[%of Water samples which passed at water source]]="no test",WWWW[[#This Row],[%Water samples which passed at HH]]="no test"),"No Test","Tested")</f>
        <v>No Test</v>
      </c>
      <c r="BH114" s="238">
        <f>WWWW[[#This Row],['# Existing functional latrines]]+WWWW[[#This Row],['# Existing latrines dysfunctional]]</f>
        <v>413</v>
      </c>
      <c r="BI114" s="235">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1</v>
      </c>
      <c r="BJ114" s="675">
        <f>WWWW[[#This Row],[% people access to functioning Latrine]]*WWWW[[#This Row],[Total PoP ]]</f>
        <v>1893</v>
      </c>
      <c r="BK114" s="235">
        <f>IF(WWWW[[#This Row],[Location Type 1]]="camp",WWWW[[#This Row],['# potential required new latrines]]/(WWWW[[#This Row],[Total PoP ]]/20),WWWW[[#This Row],['# potential required new latrines]]/(WWWW[[#This Row],[Total PoP ]]/6))</f>
        <v>0</v>
      </c>
      <c r="BL114" s="414">
        <f>IF(WWWW[[#This Row],[Total required Latrines]]-WWWW[[#This Row],[Total '# of latrine]]&lt;0,0,WWWW[[#This Row],[Total required Latrines]]-WWWW[[#This Row],[Total '# of latrine]])</f>
        <v>0</v>
      </c>
      <c r="BM114" s="238">
        <f>ROUND(IF(WWWW[[#This Row],[Location Type 1]]="camp",WWWW[[#This Row],[Total PoP ]]/20,WWWW[[#This Row],[Total PoP ]]/6),0)</f>
        <v>95</v>
      </c>
      <c r="BN114" s="239">
        <f>IF(OR(WWWW[[#This Row],['# Existing latrines dysfunctional]]="",WWWW[[#This Row],['# Existing latrines dysfunctional]]=0),0,WWWW[[#This Row],['# Existing latrines dysfunctional]]/WWWW[[#This Row],[Total '# of latrine]])</f>
        <v>0</v>
      </c>
      <c r="BO114" s="675">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P114" s="235">
        <f>WWWW[[#This Row],[People adopt basic personal and community hygiene practices]]/WWWW[[#This Row],[Total PoP ]]</f>
        <v>0</v>
      </c>
      <c r="BQ114" s="239">
        <f>1-WWWW[[#This Row],[Hygiene Coverage%]]</f>
        <v>1</v>
      </c>
      <c r="BR114" s="414">
        <f>IF(500*WWWW[[#This Row],['# Hygiene Promoters ]]&gt;WWWW[[#This Row],[Total PoP ]],WWWW[[#This Row],[Total PoP ]],500*WWWW[[#This Row],['# Hygiene Promoters ]])</f>
        <v>1893</v>
      </c>
      <c r="BS114" s="414">
        <f>IF(WWWW[[#This Row],[% of HH with access to Sanitary Pad]]&gt;=100%,1,0)</f>
        <v>0</v>
      </c>
      <c r="BT114" s="414">
        <f>IF(WWWW[[#This Row],[Total PoP ]]=0,0,IF(WWWW[[#This Row],['# Hygiene Promoters ]]=0,0,IF(WWWW[[#This Row],[Location Type 1]]="Village",IF(WWWW[[#This Row],[Total PoP ]]/WWWW[[#This Row],['# Hygiene Promoters ]]&lt;1000,1,0),IF(WWWW[[#This Row],[Total PoP ]]/WWWW[[#This Row],['# Hygiene Promoters ]]&lt;600,1,0))))</f>
        <v>1</v>
      </c>
      <c r="BU114" s="414">
        <f>IF(WWWW[[#This Row],[%HH with access to soap]]&gt;=100%,1,0)</f>
        <v>0</v>
      </c>
      <c r="BV114" s="414">
        <f>IF(WWWW[[#This Row],[% of HHs with access to Sanitary pad more than '#%]]+WWWW[[#This Row],[Ratio of Hyiene promoters to people less than '#]]+WWWW[[#This Row],[% of HHs with access to soap more than '#%]]&gt;=2,WWWW[[#This Row],[Total PoP ]],0)</f>
        <v>0</v>
      </c>
      <c r="BW114" s="346">
        <f>WWWW[[#This Row],['# people reached by regular dedicated hygiene promotion_5]]/WWWW[[#This Row],[Total PoP ]]</f>
        <v>1</v>
      </c>
      <c r="BX114" s="346">
        <f>IF(WWWW[[#This Row],['# HH received soaps]]/WWWW[[#This Row],[Total HH]]&gt;1,1,WWWW[[#This Row],['# HH received soaps]]/WWWW[[#This Row],[Total HH]])</f>
        <v>0</v>
      </c>
      <c r="BY114" s="346">
        <f>IF(WWWW[[#This Row],['# HH received Sanitary Pads]]/WWWW[[#This Row],[Total HH]]&gt;1,1,WWWW[[#This Row],['# HH received Sanitary Pads]]/WWWW[[#This Row],[Total HH]])</f>
        <v>0</v>
      </c>
      <c r="BZ114" s="720">
        <f>WWWW[[#This Row],['# HH received soaps]]*5</f>
        <v>0</v>
      </c>
      <c r="CA114" s="720">
        <f>WWWW[[#This Row],['# HH received Sanitary Pads]]*5</f>
        <v>0</v>
      </c>
      <c r="CB114" s="238">
        <f>IF(WWWW[[#This Row],['# People with access to soap]]&gt;WWWW[[#This Row],['# People with access to Sanity Pads]],WWWW[[#This Row],['# People with access to soap]],WWWW[[#This Row],['# People with access to Sanity Pads]])</f>
        <v>0</v>
      </c>
      <c r="CC114" s="414">
        <f>WWWW[[#This Row],[Total HH]]*WWWW[[#This Row],[%HHs with access to functional hand washing stations]]</f>
        <v>413</v>
      </c>
      <c r="CD114" s="240" t="str">
        <f>VLOOKUP(WWWW[[#This Row],[Site Name]],SiteDB6[],8,FALSE)</f>
        <v>Yes</v>
      </c>
      <c r="CE114" s="240" t="str">
        <f>VLOOKUP(WWWW[[#This Row],[Site Name]],SiteDB6[],9,FALSE)</f>
        <v>KBC</v>
      </c>
      <c r="CF114" s="240" t="str">
        <f>VLOOKUP(WWWW[[#This Row],[Site Name]],SiteDB6[],10,FALSE)</f>
        <v>Camp</v>
      </c>
      <c r="CG114" s="240" t="str">
        <f>VLOOKUP(WWWW[[#This Row],[Site Name]],SiteDB6[],11,FALSE)</f>
        <v>Camp</v>
      </c>
      <c r="CH114" s="240" t="str">
        <f>VLOOKUP(WWWW[[#This Row],[Site Name]],SiteDB6[],12,FALSE)</f>
        <v>Camp</v>
      </c>
      <c r="CI114" s="240" t="str">
        <f>VLOOKUP(WWWW[[#This Row],[Site Name]],SiteDB6[],13,FALSE)</f>
        <v>NGCA</v>
      </c>
      <c r="CJ114" s="240">
        <f>VLOOKUP(WWWW[[#This Row],[Site Name]],SiteDB6[],14,FALSE)</f>
        <v>0</v>
      </c>
      <c r="CK114" s="240">
        <f>VLOOKUP(WWWW[[#This Row],[Site Name]],SiteDB6[],15,FALSE)</f>
        <v>0</v>
      </c>
      <c r="CL114" s="240" t="str">
        <f>VLOOKUP(WWWW[[#This Row],[Site Name]],SiteDB6[],4,FALSE)</f>
        <v>MMR001CMP249</v>
      </c>
      <c r="CM114" s="235" t="str">
        <f t="shared" si="1"/>
        <v>Covered</v>
      </c>
      <c r="CN114" s="235"/>
    </row>
    <row r="115" spans="1:92" ht="15.75" customHeight="1" x14ac:dyDescent="0.25">
      <c r="A115" s="532" t="s">
        <v>1409</v>
      </c>
      <c r="B115" s="533" t="s">
        <v>297</v>
      </c>
      <c r="C115" s="533" t="s">
        <v>44</v>
      </c>
      <c r="D115" s="533" t="s">
        <v>304</v>
      </c>
      <c r="E115" s="533" t="s">
        <v>344</v>
      </c>
      <c r="F115" s="233">
        <v>30</v>
      </c>
      <c r="G115" s="414">
        <v>120</v>
      </c>
      <c r="H115" s="233"/>
      <c r="I115" s="233" t="s">
        <v>306</v>
      </c>
      <c r="J115" s="234">
        <v>43131</v>
      </c>
      <c r="K115" s="233">
        <v>0</v>
      </c>
      <c r="L115" s="233" t="s">
        <v>48</v>
      </c>
      <c r="M115" s="235">
        <v>0.4</v>
      </c>
      <c r="N115" s="235">
        <v>0.5</v>
      </c>
      <c r="O115" s="609">
        <v>1</v>
      </c>
      <c r="P115" s="615">
        <v>1</v>
      </c>
      <c r="Q115" s="615">
        <v>0</v>
      </c>
      <c r="R115" s="604">
        <v>0</v>
      </c>
      <c r="S115" s="604">
        <v>0</v>
      </c>
      <c r="T115" s="604">
        <v>0</v>
      </c>
      <c r="U115" s="604">
        <v>0</v>
      </c>
      <c r="V115" s="604">
        <v>0</v>
      </c>
      <c r="W115" s="604">
        <v>0</v>
      </c>
      <c r="X115" s="604">
        <v>0</v>
      </c>
      <c r="Y115" s="604"/>
      <c r="Z115" s="628">
        <v>8</v>
      </c>
      <c r="AA115" s="628">
        <v>0</v>
      </c>
      <c r="AB115" s="629">
        <v>0</v>
      </c>
      <c r="AC115" s="628">
        <v>0</v>
      </c>
      <c r="AD115" s="628" t="s">
        <v>342</v>
      </c>
      <c r="AE115" s="631" t="s">
        <v>1379</v>
      </c>
      <c r="AF115" s="631"/>
      <c r="AG115" s="628"/>
      <c r="AH115" s="628"/>
      <c r="AI115" s="659">
        <v>0.2</v>
      </c>
      <c r="AJ115" s="650" t="s">
        <v>386</v>
      </c>
      <c r="AK115" s="644">
        <v>0</v>
      </c>
      <c r="AL115" s="645">
        <v>2</v>
      </c>
      <c r="AM115" s="645">
        <v>1</v>
      </c>
      <c r="AN115" s="646">
        <v>0</v>
      </c>
      <c r="AO115" s="647">
        <v>0</v>
      </c>
      <c r="AP115" s="647"/>
      <c r="AQ115" s="658"/>
      <c r="AR115" s="235" t="str">
        <f>IFERROR(WWWW[[#This Row],['# of Water passed at source]]/WWWW[[#This Row],['# of Water tested at source]],"no test")</f>
        <v>no test</v>
      </c>
      <c r="AS115" s="237" t="str">
        <f>IFERROR(WWWW[[#This Row],['# of Water passed at HH]]/WWWW[[#This Row],['# of Water tested at HH]],"no test")</f>
        <v>no test</v>
      </c>
      <c r="AT115" s="237">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U115" s="237">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AV115" s="237">
        <f>IF(WWWW[[#This Row],[Location Type 1]]="Village",WWWW[[#This Row],[Access to safe drinking water for Village]],WWWW[[#This Row],[Access to safe drinking water for Camp]])</f>
        <v>1</v>
      </c>
      <c r="AW115" s="414">
        <f>WWWW[[#This Row],[%Equitable and continuous access to sufficient quantity of safe drinking water]]*WWWW[[#This Row],[Total PoP ]]</f>
        <v>120</v>
      </c>
      <c r="AX115" s="237">
        <f>IF((WWWW[[#This Row],['# Existing protected/fenced ponds ]]*250)/WWWW[[#This Row],[Total PoP ]]&gt;1,1,WWWW[[#This Row],['# Existing protected/fenced ponds ]]*250/WWWW[[#This Row],[Total PoP ]])</f>
        <v>0</v>
      </c>
      <c r="AY115" s="414">
        <f>WWWW[[#This Row],[Access to unimproved water points]]*WWWW[[#This Row],[Total PoP ]]</f>
        <v>0</v>
      </c>
      <c r="AZ115" s="237">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A115" s="414">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120</v>
      </c>
      <c r="BB115" s="414">
        <f>WWWW[[#This Row],['#people Equitable and continuous access to sufficient quantity of domestic water borehole n ponds_2]]/500</f>
        <v>0.24</v>
      </c>
      <c r="BC115" s="235">
        <f>1-WWWW[[#This Row],[%Equitable and continuous access to sufficient quantity of domestic water borehole n ponds]]</f>
        <v>0</v>
      </c>
      <c r="BD115" s="414">
        <f>WWWW[[#This Row],[%equitable and continuous access to sufficient quantity of safe drinking and domestic water''s GAP]]*WWWW[[#This Row],[Total PoP ]]</f>
        <v>0</v>
      </c>
      <c r="BE115" s="238">
        <f>IF(WWWW[[#This Row],[Total required water points]]-WWWW[[#This Row],['#Water points coverage]]&lt;0,0,WWWW[[#This Row],[Total required water points]]-WWWW[[#This Row],['#Water points coverage]])</f>
        <v>0.76</v>
      </c>
      <c r="BF115" s="238">
        <f>ROUND(IF(WWWW[[#This Row],[Total PoP ]]&lt;500,1,WWWW[[#This Row],[Total PoP ]]/500),0)</f>
        <v>1</v>
      </c>
      <c r="BG115" s="238" t="str">
        <f>IF(AND(WWWW[[#This Row],[%of Water samples which passed at water source]]="no test",WWWW[[#This Row],[%Water samples which passed at HH]]="no test"),"No Test","Tested")</f>
        <v>No Test</v>
      </c>
      <c r="BH115" s="238">
        <f>WWWW[[#This Row],['# Existing functional latrines]]+WWWW[[#This Row],['# Existing latrines dysfunctional]]</f>
        <v>8</v>
      </c>
      <c r="BI115" s="235">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1</v>
      </c>
      <c r="BJ115" s="675">
        <f>WWWW[[#This Row],[% people access to functioning Latrine]]*WWWW[[#This Row],[Total PoP ]]</f>
        <v>120</v>
      </c>
      <c r="BK115" s="235">
        <f>IF(WWWW[[#This Row],[Location Type 1]]="camp",WWWW[[#This Row],['# potential required new latrines]]/(WWWW[[#This Row],[Total PoP ]]/20),WWWW[[#This Row],['# potential required new latrines]]/(WWWW[[#This Row],[Total PoP ]]/6))</f>
        <v>0</v>
      </c>
      <c r="BL115" s="414">
        <f>IF(WWWW[[#This Row],[Total required Latrines]]-WWWW[[#This Row],[Total '# of latrine]]&lt;0,0,WWWW[[#This Row],[Total required Latrines]]-WWWW[[#This Row],[Total '# of latrine]])</f>
        <v>0</v>
      </c>
      <c r="BM115" s="238">
        <f>ROUND(IF(WWWW[[#This Row],[Location Type 1]]="camp",WWWW[[#This Row],[Total PoP ]]/20,WWWW[[#This Row],[Total PoP ]]/6),0)</f>
        <v>6</v>
      </c>
      <c r="BN115" s="239">
        <f>IF(OR(WWWW[[#This Row],['# Existing latrines dysfunctional]]="",WWWW[[#This Row],['# Existing latrines dysfunctional]]=0),0,WWWW[[#This Row],['# Existing latrines dysfunctional]]/WWWW[[#This Row],[Total '# of latrine]])</f>
        <v>0</v>
      </c>
      <c r="BO115" s="675">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P115" s="235">
        <f>WWWW[[#This Row],[People adopt basic personal and community hygiene practices]]/WWWW[[#This Row],[Total PoP ]]</f>
        <v>0</v>
      </c>
      <c r="BQ115" s="239">
        <f>1-WWWW[[#This Row],[Hygiene Coverage%]]</f>
        <v>1</v>
      </c>
      <c r="BR115" s="414">
        <f>IF(500*WWWW[[#This Row],['# Hygiene Promoters ]]&gt;WWWW[[#This Row],[Total PoP ]],WWWW[[#This Row],[Total PoP ]],500*WWWW[[#This Row],['# Hygiene Promoters ]])</f>
        <v>120</v>
      </c>
      <c r="BS115" s="414">
        <f>IF(WWWW[[#This Row],[% of HH with access to Sanitary Pad]]&gt;=100%,1,0)</f>
        <v>0</v>
      </c>
      <c r="BT115" s="414">
        <f>IF(WWWW[[#This Row],[Total PoP ]]=0,0,IF(WWWW[[#This Row],['# Hygiene Promoters ]]=0,0,IF(WWWW[[#This Row],[Location Type 1]]="Village",IF(WWWW[[#This Row],[Total PoP ]]/WWWW[[#This Row],['# Hygiene Promoters ]]&lt;1000,1,0),IF(WWWW[[#This Row],[Total PoP ]]/WWWW[[#This Row],['# Hygiene Promoters ]]&lt;600,1,0))))</f>
        <v>1</v>
      </c>
      <c r="BU115" s="414">
        <f>IF(WWWW[[#This Row],[%HH with access to soap]]&gt;=100%,1,0)</f>
        <v>0</v>
      </c>
      <c r="BV115" s="414">
        <f>IF(WWWW[[#This Row],[% of HHs with access to Sanitary pad more than '#%]]+WWWW[[#This Row],[Ratio of Hyiene promoters to people less than '#]]+WWWW[[#This Row],[% of HHs with access to soap more than '#%]]&gt;=2,WWWW[[#This Row],[Total PoP ]],0)</f>
        <v>0</v>
      </c>
      <c r="BW115" s="346">
        <f>WWWW[[#This Row],['# people reached by regular dedicated hygiene promotion_5]]/WWWW[[#This Row],[Total PoP ]]</f>
        <v>1</v>
      </c>
      <c r="BX115" s="346">
        <f>IF(WWWW[[#This Row],['# HH received soaps]]/WWWW[[#This Row],[Total HH]]&gt;1,1,WWWW[[#This Row],['# HH received soaps]]/WWWW[[#This Row],[Total HH]])</f>
        <v>0</v>
      </c>
      <c r="BY115" s="346">
        <f>IF(WWWW[[#This Row],['# HH received Sanitary Pads]]/WWWW[[#This Row],[Total HH]]&gt;1,1,WWWW[[#This Row],['# HH received Sanitary Pads]]/WWWW[[#This Row],[Total HH]])</f>
        <v>0</v>
      </c>
      <c r="BZ115" s="720">
        <f>WWWW[[#This Row],['# HH received soaps]]*5</f>
        <v>0</v>
      </c>
      <c r="CA115" s="720">
        <f>WWWW[[#This Row],['# HH received Sanitary Pads]]*5</f>
        <v>0</v>
      </c>
      <c r="CB115" s="238">
        <f>IF(WWWW[[#This Row],['# People with access to soap]]&gt;WWWW[[#This Row],['# People with access to Sanity Pads]],WWWW[[#This Row],['# People with access to soap]],WWWW[[#This Row],['# People with access to Sanity Pads]])</f>
        <v>0</v>
      </c>
      <c r="CC115" s="414">
        <f>WWWW[[#This Row],[Total HH]]*WWWW[[#This Row],[%HHs with access to functional hand washing stations]]</f>
        <v>6</v>
      </c>
      <c r="CD115" s="240" t="str">
        <f>VLOOKUP(WWWW[[#This Row],[Site Name]],SiteDB6[],8,FALSE)</f>
        <v>Yes</v>
      </c>
      <c r="CE115" s="240" t="str">
        <f>VLOOKUP(WWWW[[#This Row],[Site Name]],SiteDB6[],9,FALSE)</f>
        <v>KBC</v>
      </c>
      <c r="CF115" s="240" t="str">
        <f>VLOOKUP(WWWW[[#This Row],[Site Name]],SiteDB6[],10,FALSE)</f>
        <v>Camp</v>
      </c>
      <c r="CG115" s="240" t="str">
        <f>VLOOKUP(WWWW[[#This Row],[Site Name]],SiteDB6[],11,FALSE)</f>
        <v>Camp</v>
      </c>
      <c r="CH115" s="240" t="str">
        <f>VLOOKUP(WWWW[[#This Row],[Site Name]],SiteDB6[],12,FALSE)</f>
        <v>Camp</v>
      </c>
      <c r="CI115" s="240" t="str">
        <f>VLOOKUP(WWWW[[#This Row],[Site Name]],SiteDB6[],13,FALSE)</f>
        <v>GCA</v>
      </c>
      <c r="CJ115" s="240">
        <f>VLOOKUP(WWWW[[#This Row],[Site Name]],SiteDB6[],14,FALSE)</f>
        <v>25.920006000000001</v>
      </c>
      <c r="CK115" s="240">
        <f>VLOOKUP(WWWW[[#This Row],[Site Name]],SiteDB6[],15,FALSE)</f>
        <v>96.662092000000001</v>
      </c>
      <c r="CL115" s="240" t="str">
        <f>VLOOKUP(WWWW[[#This Row],[Site Name]],SiteDB6[],4,FALSE)</f>
        <v>MMR001CMP244</v>
      </c>
      <c r="CM115" s="235" t="str">
        <f t="shared" si="1"/>
        <v>Covered</v>
      </c>
      <c r="CN115" s="235"/>
    </row>
    <row r="116" spans="1:92" ht="15.75" customHeight="1" x14ac:dyDescent="0.25">
      <c r="A116" s="532" t="s">
        <v>1409</v>
      </c>
      <c r="B116" s="533" t="s">
        <v>297</v>
      </c>
      <c r="C116" s="533" t="s">
        <v>44</v>
      </c>
      <c r="D116" s="533" t="s">
        <v>304</v>
      </c>
      <c r="E116" s="533" t="s">
        <v>345</v>
      </c>
      <c r="F116" s="233">
        <v>6</v>
      </c>
      <c r="G116" s="414">
        <v>15</v>
      </c>
      <c r="H116" s="233"/>
      <c r="I116" s="233" t="s">
        <v>306</v>
      </c>
      <c r="J116" s="234">
        <v>43131</v>
      </c>
      <c r="K116" s="233">
        <v>0</v>
      </c>
      <c r="L116" s="233" t="s">
        <v>48</v>
      </c>
      <c r="M116" s="235">
        <v>0.4</v>
      </c>
      <c r="N116" s="235">
        <v>0.5</v>
      </c>
      <c r="O116" s="609">
        <v>0</v>
      </c>
      <c r="P116" s="615">
        <v>1</v>
      </c>
      <c r="Q116" s="615">
        <v>0</v>
      </c>
      <c r="R116" s="604">
        <v>0</v>
      </c>
      <c r="S116" s="604">
        <v>0</v>
      </c>
      <c r="T116" s="604">
        <v>0</v>
      </c>
      <c r="U116" s="604">
        <v>0</v>
      </c>
      <c r="V116" s="604">
        <v>0</v>
      </c>
      <c r="W116" s="604">
        <v>0</v>
      </c>
      <c r="X116" s="604">
        <v>0</v>
      </c>
      <c r="Y116" s="604"/>
      <c r="Z116" s="628">
        <v>2</v>
      </c>
      <c r="AA116" s="628">
        <v>0</v>
      </c>
      <c r="AB116" s="629">
        <v>0</v>
      </c>
      <c r="AC116" s="628">
        <v>0</v>
      </c>
      <c r="AD116" s="628" t="s">
        <v>342</v>
      </c>
      <c r="AE116" s="631" t="s">
        <v>293</v>
      </c>
      <c r="AF116" s="631"/>
      <c r="AG116" s="628"/>
      <c r="AH116" s="628"/>
      <c r="AI116" s="659">
        <v>0.2</v>
      </c>
      <c r="AJ116" s="650" t="s">
        <v>386</v>
      </c>
      <c r="AK116" s="644">
        <v>0</v>
      </c>
      <c r="AL116" s="645">
        <v>1</v>
      </c>
      <c r="AM116" s="645">
        <v>1</v>
      </c>
      <c r="AN116" s="646">
        <v>0</v>
      </c>
      <c r="AO116" s="647">
        <v>0</v>
      </c>
      <c r="AP116" s="647"/>
      <c r="AQ116" s="658"/>
      <c r="AR116" s="235" t="str">
        <f>IFERROR(WWWW[[#This Row],['# of Water passed at source]]/WWWW[[#This Row],['# of Water tested at source]],"no test")</f>
        <v>no test</v>
      </c>
      <c r="AS116" s="237" t="str">
        <f>IFERROR(WWWW[[#This Row],['# of Water passed at HH]]/WWWW[[#This Row],['# of Water tested at HH]],"no test")</f>
        <v>no test</v>
      </c>
      <c r="AT116" s="237">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U116" s="237">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AV116" s="237">
        <f>IF(WWWW[[#This Row],[Location Type 1]]="Village",WWWW[[#This Row],[Access to safe drinking water for Village]],WWWW[[#This Row],[Access to safe drinking water for Camp]])</f>
        <v>1</v>
      </c>
      <c r="AW116" s="414">
        <f>WWWW[[#This Row],[%Equitable and continuous access to sufficient quantity of safe drinking water]]*WWWW[[#This Row],[Total PoP ]]</f>
        <v>15</v>
      </c>
      <c r="AX116" s="237">
        <f>IF((WWWW[[#This Row],['# Existing protected/fenced ponds ]]*250)/WWWW[[#This Row],[Total PoP ]]&gt;1,1,WWWW[[#This Row],['# Existing protected/fenced ponds ]]*250/WWWW[[#This Row],[Total PoP ]])</f>
        <v>0</v>
      </c>
      <c r="AY116" s="236">
        <f>WWWW[[#This Row],[Access to unimproved water points]]*WWWW[[#This Row],[Total PoP ]]</f>
        <v>0</v>
      </c>
      <c r="AZ116" s="237">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A116" s="414">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15</v>
      </c>
      <c r="BB116" s="414">
        <f>WWWW[[#This Row],['#people Equitable and continuous access to sufficient quantity of domestic water borehole n ponds_2]]/500</f>
        <v>0.03</v>
      </c>
      <c r="BC116" s="235">
        <f>1-WWWW[[#This Row],[%Equitable and continuous access to sufficient quantity of domestic water borehole n ponds]]</f>
        <v>0</v>
      </c>
      <c r="BD116" s="236">
        <f>WWWW[[#This Row],[%equitable and continuous access to sufficient quantity of safe drinking and domestic water''s GAP]]*WWWW[[#This Row],[Total PoP ]]</f>
        <v>0</v>
      </c>
      <c r="BE116" s="238">
        <f>IF(WWWW[[#This Row],[Total required water points]]-WWWW[[#This Row],['#Water points coverage]]&lt;0,0,WWWW[[#This Row],[Total required water points]]-WWWW[[#This Row],['#Water points coverage]])</f>
        <v>0.97</v>
      </c>
      <c r="BF116" s="238">
        <f>ROUND(IF(WWWW[[#This Row],[Total PoP ]]&lt;500,1,WWWW[[#This Row],[Total PoP ]]/500),0)</f>
        <v>1</v>
      </c>
      <c r="BG116" s="238" t="str">
        <f>IF(AND(WWWW[[#This Row],[%of Water samples which passed at water source]]="no test",WWWW[[#This Row],[%Water samples which passed at HH]]="no test"),"No Test","Tested")</f>
        <v>No Test</v>
      </c>
      <c r="BH116" s="238">
        <f>WWWW[[#This Row],['# Existing functional latrines]]+WWWW[[#This Row],['# Existing latrines dysfunctional]]</f>
        <v>2</v>
      </c>
      <c r="BI116" s="235">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1</v>
      </c>
      <c r="BJ116" s="675">
        <f>WWWW[[#This Row],[% people access to functioning Latrine]]*WWWW[[#This Row],[Total PoP ]]</f>
        <v>15</v>
      </c>
      <c r="BK116" s="235">
        <f>IF(WWWW[[#This Row],[Location Type 1]]="camp",WWWW[[#This Row],['# potential required new latrines]]/(WWWW[[#This Row],[Total PoP ]]/20),WWWW[[#This Row],['# potential required new latrines]]/(WWWW[[#This Row],[Total PoP ]]/6))</f>
        <v>0</v>
      </c>
      <c r="BL116" s="236">
        <f>IF(WWWW[[#This Row],[Total required Latrines]]-WWWW[[#This Row],[Total '# of latrine]]&lt;0,0,WWWW[[#This Row],[Total required Latrines]]-WWWW[[#This Row],[Total '# of latrine]])</f>
        <v>0</v>
      </c>
      <c r="BM116" s="238">
        <f>ROUND(IF(WWWW[[#This Row],[Location Type 1]]="camp",WWWW[[#This Row],[Total PoP ]]/20,WWWW[[#This Row],[Total PoP ]]/6),0)</f>
        <v>1</v>
      </c>
      <c r="BN116" s="239">
        <f>IF(OR(WWWW[[#This Row],['# Existing latrines dysfunctional]]="",WWWW[[#This Row],['# Existing latrines dysfunctional]]=0),0,WWWW[[#This Row],['# Existing latrines dysfunctional]]/WWWW[[#This Row],[Total '# of latrine]])</f>
        <v>0</v>
      </c>
      <c r="BO116" s="675">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P116" s="235">
        <f>WWWW[[#This Row],[People adopt basic personal and community hygiene practices]]/WWWW[[#This Row],[Total PoP ]]</f>
        <v>0</v>
      </c>
      <c r="BQ116" s="239">
        <f>1-WWWW[[#This Row],[Hygiene Coverage%]]</f>
        <v>1</v>
      </c>
      <c r="BR116" s="414">
        <f>IF(500*WWWW[[#This Row],['# Hygiene Promoters ]]&gt;WWWW[[#This Row],[Total PoP ]],WWWW[[#This Row],[Total PoP ]],500*WWWW[[#This Row],['# Hygiene Promoters ]])</f>
        <v>15</v>
      </c>
      <c r="BS116" s="414">
        <f>IF(WWWW[[#This Row],[% of HH with access to Sanitary Pad]]&gt;=100%,1,0)</f>
        <v>0</v>
      </c>
      <c r="BT116" s="414">
        <f>IF(WWWW[[#This Row],[Total PoP ]]=0,0,IF(WWWW[[#This Row],['# Hygiene Promoters ]]=0,0,IF(WWWW[[#This Row],[Location Type 1]]="Village",IF(WWWW[[#This Row],[Total PoP ]]/WWWW[[#This Row],['# Hygiene Promoters ]]&lt;1000,1,0),IF(WWWW[[#This Row],[Total PoP ]]/WWWW[[#This Row],['# Hygiene Promoters ]]&lt;600,1,0))))</f>
        <v>1</v>
      </c>
      <c r="BU116" s="414">
        <f>IF(WWWW[[#This Row],[%HH with access to soap]]&gt;=100%,1,0)</f>
        <v>0</v>
      </c>
      <c r="BV116" s="414">
        <f>IF(WWWW[[#This Row],[% of HHs with access to Sanitary pad more than '#%]]+WWWW[[#This Row],[Ratio of Hyiene promoters to people less than '#]]+WWWW[[#This Row],[% of HHs with access to soap more than '#%]]&gt;=2,WWWW[[#This Row],[Total PoP ]],0)</f>
        <v>0</v>
      </c>
      <c r="BW116" s="346">
        <f>WWWW[[#This Row],['# people reached by regular dedicated hygiene promotion_5]]/WWWW[[#This Row],[Total PoP ]]</f>
        <v>1</v>
      </c>
      <c r="BX116" s="346">
        <f>IF(WWWW[[#This Row],['# HH received soaps]]/WWWW[[#This Row],[Total HH]]&gt;1,1,WWWW[[#This Row],['# HH received soaps]]/WWWW[[#This Row],[Total HH]])</f>
        <v>0</v>
      </c>
      <c r="BY116" s="346">
        <f>IF(WWWW[[#This Row],['# HH received Sanitary Pads]]/WWWW[[#This Row],[Total HH]]&gt;1,1,WWWW[[#This Row],['# HH received Sanitary Pads]]/WWWW[[#This Row],[Total HH]])</f>
        <v>0</v>
      </c>
      <c r="BZ116" s="720">
        <f>WWWW[[#This Row],['# HH received soaps]]*5</f>
        <v>0</v>
      </c>
      <c r="CA116" s="720">
        <f>WWWW[[#This Row],['# HH received Sanitary Pads]]*5</f>
        <v>0</v>
      </c>
      <c r="CB116" s="238">
        <f>IF(WWWW[[#This Row],['# People with access to soap]]&gt;WWWW[[#This Row],['# People with access to Sanity Pads]],WWWW[[#This Row],['# People with access to soap]],WWWW[[#This Row],['# People with access to Sanity Pads]])</f>
        <v>0</v>
      </c>
      <c r="CC116" s="236">
        <f>WWWW[[#This Row],[Total HH]]*WWWW[[#This Row],[%HHs with access to functional hand washing stations]]</f>
        <v>1.2000000000000002</v>
      </c>
      <c r="CD116" s="240" t="str">
        <f>VLOOKUP(WWWW[[#This Row],[Site Name]],SiteDB6[],8,FALSE)</f>
        <v>Yes</v>
      </c>
      <c r="CE116" s="240" t="str">
        <f>VLOOKUP(WWWW[[#This Row],[Site Name]],SiteDB6[],9,FALSE)</f>
        <v>KMSS-MYT</v>
      </c>
      <c r="CF116" s="240" t="str">
        <f>VLOOKUP(WWWW[[#This Row],[Site Name]],SiteDB6[],10,FALSE)</f>
        <v>Camp</v>
      </c>
      <c r="CG116" s="240" t="str">
        <f>VLOOKUP(WWWW[[#This Row],[Site Name]],SiteDB6[],11,FALSE)</f>
        <v>Camp</v>
      </c>
      <c r="CH116" s="240" t="str">
        <f>VLOOKUP(WWWW[[#This Row],[Site Name]],SiteDB6[],12,FALSE)</f>
        <v>Camp</v>
      </c>
      <c r="CI116" s="240" t="str">
        <f>VLOOKUP(WWWW[[#This Row],[Site Name]],SiteDB6[],13,FALSE)</f>
        <v>GCA</v>
      </c>
      <c r="CJ116" s="240">
        <f>VLOOKUP(WWWW[[#This Row],[Site Name]],SiteDB6[],14,FALSE)</f>
        <v>25.920006000000001</v>
      </c>
      <c r="CK116" s="240">
        <f>VLOOKUP(WWWW[[#This Row],[Site Name]],SiteDB6[],15,FALSE)</f>
        <v>96.662092000000001</v>
      </c>
      <c r="CL116" s="240" t="str">
        <f>VLOOKUP(WWWW[[#This Row],[Site Name]],SiteDB6[],4,FALSE)</f>
        <v>MMR001CMP246</v>
      </c>
      <c r="CM116" s="235" t="str">
        <f t="shared" si="1"/>
        <v>Covered</v>
      </c>
      <c r="CN116" s="235"/>
    </row>
    <row r="117" spans="1:92" ht="15.75" customHeight="1" x14ac:dyDescent="0.25">
      <c r="A117" s="532" t="s">
        <v>1409</v>
      </c>
      <c r="B117" s="533" t="s">
        <v>297</v>
      </c>
      <c r="C117" s="533" t="s">
        <v>44</v>
      </c>
      <c r="D117" s="533" t="s">
        <v>315</v>
      </c>
      <c r="E117" s="533" t="s">
        <v>324</v>
      </c>
      <c r="F117" s="233">
        <v>119</v>
      </c>
      <c r="G117" s="414">
        <v>569</v>
      </c>
      <c r="H117" s="233"/>
      <c r="I117" s="233" t="s">
        <v>300</v>
      </c>
      <c r="J117" s="234">
        <v>43555</v>
      </c>
      <c r="K117" s="233">
        <v>0</v>
      </c>
      <c r="L117" s="233" t="s">
        <v>48</v>
      </c>
      <c r="M117" s="235">
        <v>0.6</v>
      </c>
      <c r="N117" s="235">
        <v>0.5</v>
      </c>
      <c r="O117" s="609">
        <v>1</v>
      </c>
      <c r="P117" s="615">
        <v>1</v>
      </c>
      <c r="Q117" s="615">
        <v>3000</v>
      </c>
      <c r="R117" s="604">
        <v>0</v>
      </c>
      <c r="S117" s="604">
        <v>0</v>
      </c>
      <c r="T117" s="604">
        <v>0</v>
      </c>
      <c r="U117" s="604">
        <v>0</v>
      </c>
      <c r="V117" s="604">
        <v>0</v>
      </c>
      <c r="W117" s="604">
        <v>0</v>
      </c>
      <c r="X117" s="604">
        <v>0</v>
      </c>
      <c r="Y117" s="604"/>
      <c r="Z117" s="628">
        <v>13</v>
      </c>
      <c r="AA117" s="628">
        <v>0</v>
      </c>
      <c r="AB117" s="629">
        <v>0</v>
      </c>
      <c r="AC117" s="628">
        <v>0</v>
      </c>
      <c r="AD117" s="628" t="s">
        <v>293</v>
      </c>
      <c r="AE117" s="631" t="s">
        <v>293</v>
      </c>
      <c r="AF117" s="631"/>
      <c r="AG117" s="628"/>
      <c r="AH117" s="628"/>
      <c r="AI117" s="659">
        <v>0.6</v>
      </c>
      <c r="AJ117" s="644" t="s">
        <v>301</v>
      </c>
      <c r="AK117" s="644">
        <v>0</v>
      </c>
      <c r="AL117" s="645">
        <v>2</v>
      </c>
      <c r="AM117" s="645">
        <v>2</v>
      </c>
      <c r="AN117" s="646">
        <v>0</v>
      </c>
      <c r="AO117" s="647">
        <v>0</v>
      </c>
      <c r="AP117" s="647"/>
      <c r="AQ117" s="658"/>
      <c r="AR117" s="235" t="str">
        <f>IFERROR(WWWW[[#This Row],['# of Water passed at source]]/WWWW[[#This Row],['# of Water tested at source]],"no test")</f>
        <v>no test</v>
      </c>
      <c r="AS117" s="237" t="str">
        <f>IFERROR(WWWW[[#This Row],['# of Water passed at HH]]/WWWW[[#This Row],['# of Water tested at HH]],"no test")</f>
        <v>no test</v>
      </c>
      <c r="AT117" s="237">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U117" s="237">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AV117" s="237">
        <f>IF(WWWW[[#This Row],[Location Type 1]]="Village",WWWW[[#This Row],[Access to safe drinking water for Village]],WWWW[[#This Row],[Access to safe drinking water for Camp]])</f>
        <v>1</v>
      </c>
      <c r="AW117" s="414">
        <f>WWWW[[#This Row],[%Equitable and continuous access to sufficient quantity of safe drinking water]]*WWWW[[#This Row],[Total PoP ]]</f>
        <v>569</v>
      </c>
      <c r="AX117" s="237">
        <f>IF((WWWW[[#This Row],['# Existing protected/fenced ponds ]]*250)/WWWW[[#This Row],[Total PoP ]]&gt;1,1,WWWW[[#This Row],['# Existing protected/fenced ponds ]]*250/WWWW[[#This Row],[Total PoP ]])</f>
        <v>0</v>
      </c>
      <c r="AY117" s="414">
        <f>WWWW[[#This Row],[Access to unimproved water points]]*WWWW[[#This Row],[Total PoP ]]</f>
        <v>0</v>
      </c>
      <c r="AZ117" s="237">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A117" s="414">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569</v>
      </c>
      <c r="BB117" s="414">
        <f>WWWW[[#This Row],['#people Equitable and continuous access to sufficient quantity of domestic water borehole n ponds_2]]/500</f>
        <v>1.1379999999999999</v>
      </c>
      <c r="BC117" s="235">
        <f>1-WWWW[[#This Row],[%Equitable and continuous access to sufficient quantity of domestic water borehole n ponds]]</f>
        <v>0</v>
      </c>
      <c r="BD117" s="414">
        <f>WWWW[[#This Row],[%equitable and continuous access to sufficient quantity of safe drinking and domestic water''s GAP]]*WWWW[[#This Row],[Total PoP ]]</f>
        <v>0</v>
      </c>
      <c r="BE117" s="238">
        <f>IF(WWWW[[#This Row],[Total required water points]]-WWWW[[#This Row],['#Water points coverage]]&lt;0,0,WWWW[[#This Row],[Total required water points]]-WWWW[[#This Row],['#Water points coverage]])</f>
        <v>0</v>
      </c>
      <c r="BF117" s="238">
        <f>ROUND(IF(WWWW[[#This Row],[Total PoP ]]&lt;500,1,WWWW[[#This Row],[Total PoP ]]/500),0)</f>
        <v>1</v>
      </c>
      <c r="BG117" s="238" t="str">
        <f>IF(AND(WWWW[[#This Row],[%of Water samples which passed at water source]]="no test",WWWW[[#This Row],[%Water samples which passed at HH]]="no test"),"No Test","Tested")</f>
        <v>No Test</v>
      </c>
      <c r="BH117" s="238">
        <f>WWWW[[#This Row],['# Existing functional latrines]]+WWWW[[#This Row],['# Existing latrines dysfunctional]]</f>
        <v>13</v>
      </c>
      <c r="BI117" s="235">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0.45694200351493847</v>
      </c>
      <c r="BJ117" s="675">
        <f>WWWW[[#This Row],[% people access to functioning Latrine]]*WWWW[[#This Row],[Total PoP ]]</f>
        <v>260</v>
      </c>
      <c r="BK117" s="235">
        <f>IF(WWWW[[#This Row],[Location Type 1]]="camp",WWWW[[#This Row],['# potential required new latrines]]/(WWWW[[#This Row],[Total PoP ]]/20),WWWW[[#This Row],['# potential required new latrines]]/(WWWW[[#This Row],[Total PoP ]]/6))</f>
        <v>0.52724077328646746</v>
      </c>
      <c r="BL117" s="414">
        <f>IF(WWWW[[#This Row],[Total required Latrines]]-WWWW[[#This Row],[Total '# of latrine]]&lt;0,0,WWWW[[#This Row],[Total required Latrines]]-WWWW[[#This Row],[Total '# of latrine]])</f>
        <v>15</v>
      </c>
      <c r="BM117" s="238">
        <f>ROUND(IF(WWWW[[#This Row],[Location Type 1]]="camp",WWWW[[#This Row],[Total PoP ]]/20,WWWW[[#This Row],[Total PoP ]]/6),0)</f>
        <v>28</v>
      </c>
      <c r="BN117" s="239">
        <f>IF(OR(WWWW[[#This Row],['# Existing latrines dysfunctional]]="",WWWW[[#This Row],['# Existing latrines dysfunctional]]=0),0,WWWW[[#This Row],['# Existing latrines dysfunctional]]/WWWW[[#This Row],[Total '# of latrine]])</f>
        <v>0</v>
      </c>
      <c r="BO117" s="675">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P117" s="235">
        <f>WWWW[[#This Row],[People adopt basic personal and community hygiene practices]]/WWWW[[#This Row],[Total PoP ]]</f>
        <v>0</v>
      </c>
      <c r="BQ117" s="239">
        <f>1-WWWW[[#This Row],[Hygiene Coverage%]]</f>
        <v>1</v>
      </c>
      <c r="BR117" s="414">
        <f>IF(500*WWWW[[#This Row],['# Hygiene Promoters ]]&gt;WWWW[[#This Row],[Total PoP ]],WWWW[[#This Row],[Total PoP ]],500*WWWW[[#This Row],['# Hygiene Promoters ]])</f>
        <v>569</v>
      </c>
      <c r="BS117" s="414">
        <f>IF(WWWW[[#This Row],[% of HH with access to Sanitary Pad]]&gt;=100%,1,0)</f>
        <v>0</v>
      </c>
      <c r="BT117" s="414">
        <f>IF(WWWW[[#This Row],[Total PoP ]]=0,0,IF(WWWW[[#This Row],['# Hygiene Promoters ]]=0,0,IF(WWWW[[#This Row],[Location Type 1]]="Village",IF(WWWW[[#This Row],[Total PoP ]]/WWWW[[#This Row],['# Hygiene Promoters ]]&lt;1000,1,0),IF(WWWW[[#This Row],[Total PoP ]]/WWWW[[#This Row],['# Hygiene Promoters ]]&lt;600,1,0))))</f>
        <v>1</v>
      </c>
      <c r="BU117" s="414">
        <f>IF(WWWW[[#This Row],[%HH with access to soap]]&gt;=100%,1,0)</f>
        <v>0</v>
      </c>
      <c r="BV117" s="414">
        <f>IF(WWWW[[#This Row],[% of HHs with access to Sanitary pad more than '#%]]+WWWW[[#This Row],[Ratio of Hyiene promoters to people less than '#]]+WWWW[[#This Row],[% of HHs with access to soap more than '#%]]&gt;=2,WWWW[[#This Row],[Total PoP ]],0)</f>
        <v>0</v>
      </c>
      <c r="BW117" s="346">
        <f>WWWW[[#This Row],['# people reached by regular dedicated hygiene promotion_5]]/WWWW[[#This Row],[Total PoP ]]</f>
        <v>1</v>
      </c>
      <c r="BX117" s="346">
        <f>IF(WWWW[[#This Row],['# HH received soaps]]/WWWW[[#This Row],[Total HH]]&gt;1,1,WWWW[[#This Row],['# HH received soaps]]/WWWW[[#This Row],[Total HH]])</f>
        <v>0</v>
      </c>
      <c r="BY117" s="346">
        <f>IF(WWWW[[#This Row],['# HH received Sanitary Pads]]/WWWW[[#This Row],[Total HH]]&gt;1,1,WWWW[[#This Row],['# HH received Sanitary Pads]]/WWWW[[#This Row],[Total HH]])</f>
        <v>0</v>
      </c>
      <c r="BZ117" s="720">
        <f>WWWW[[#This Row],['# HH received soaps]]*5</f>
        <v>0</v>
      </c>
      <c r="CA117" s="720">
        <f>WWWW[[#This Row],['# HH received Sanitary Pads]]*5</f>
        <v>0</v>
      </c>
      <c r="CB117" s="238">
        <f>IF(WWWW[[#This Row],['# People with access to soap]]&gt;WWWW[[#This Row],['# People with access to Sanity Pads]],WWWW[[#This Row],['# People with access to soap]],WWWW[[#This Row],['# People with access to Sanity Pads]])</f>
        <v>0</v>
      </c>
      <c r="CC117" s="414">
        <f>WWWW[[#This Row],[Total HH]]*WWWW[[#This Row],[%HHs with access to functional hand washing stations]]</f>
        <v>71.399999999999991</v>
      </c>
      <c r="CD117" s="240" t="str">
        <f>VLOOKUP(WWWW[[#This Row],[Site Name]],SiteDB6[],8,FALSE)</f>
        <v>Yes</v>
      </c>
      <c r="CE117" s="240" t="str">
        <f>VLOOKUP(WWWW[[#This Row],[Site Name]],SiteDB6[],9,FALSE)</f>
        <v>KBC</v>
      </c>
      <c r="CF117" s="240" t="str">
        <f>VLOOKUP(WWWW[[#This Row],[Site Name]],SiteDB6[],10,FALSE)</f>
        <v>Camp</v>
      </c>
      <c r="CG117" s="240" t="str">
        <f>VLOOKUP(WWWW[[#This Row],[Site Name]],SiteDB6[],11,FALSE)</f>
        <v>Camp</v>
      </c>
      <c r="CH117" s="240" t="str">
        <f>VLOOKUP(WWWW[[#This Row],[Site Name]],SiteDB6[],12,FALSE)</f>
        <v>Camp</v>
      </c>
      <c r="CI117" s="240" t="str">
        <f>VLOOKUP(WWWW[[#This Row],[Site Name]],SiteDB6[],13,FALSE)</f>
        <v>GCA</v>
      </c>
      <c r="CJ117" s="240">
        <f>VLOOKUP(WWWW[[#This Row],[Site Name]],SiteDB6[],14,FALSE)</f>
        <v>25.412313000000001</v>
      </c>
      <c r="CK117" s="240">
        <f>VLOOKUP(WWWW[[#This Row],[Site Name]],SiteDB6[],15,FALSE)</f>
        <v>97.399628000000007</v>
      </c>
      <c r="CL117" s="240" t="str">
        <f>VLOOKUP(WWWW[[#This Row],[Site Name]],SiteDB6[],4,FALSE)</f>
        <v>MMR001CMP006</v>
      </c>
      <c r="CM117" s="235" t="str">
        <f t="shared" si="1"/>
        <v>Covered</v>
      </c>
      <c r="CN117" s="235"/>
    </row>
    <row r="118" spans="1:92" ht="15.75" customHeight="1" x14ac:dyDescent="0.25">
      <c r="A118" s="532" t="s">
        <v>1409</v>
      </c>
      <c r="B118" s="533" t="s">
        <v>399</v>
      </c>
      <c r="C118" s="533" t="s">
        <v>44</v>
      </c>
      <c r="D118" s="533" t="s">
        <v>315</v>
      </c>
      <c r="E118" s="533" t="s">
        <v>425</v>
      </c>
      <c r="F118" s="233">
        <v>23</v>
      </c>
      <c r="G118" s="414">
        <v>114</v>
      </c>
      <c r="H118" s="233"/>
      <c r="I118" s="233" t="s">
        <v>401</v>
      </c>
      <c r="J118" s="234">
        <v>42947</v>
      </c>
      <c r="K118" s="233">
        <v>0</v>
      </c>
      <c r="L118" s="233" t="s">
        <v>48</v>
      </c>
      <c r="M118" s="235">
        <v>0.71</v>
      </c>
      <c r="N118" s="235">
        <v>1</v>
      </c>
      <c r="O118" s="609">
        <v>1</v>
      </c>
      <c r="P118" s="615">
        <v>0</v>
      </c>
      <c r="Q118" s="615">
        <v>0</v>
      </c>
      <c r="R118" s="604">
        <v>0</v>
      </c>
      <c r="S118" s="604">
        <v>2</v>
      </c>
      <c r="T118" s="604">
        <v>0</v>
      </c>
      <c r="U118" s="604">
        <v>0</v>
      </c>
      <c r="V118" s="604">
        <v>0</v>
      </c>
      <c r="W118" s="604">
        <v>0</v>
      </c>
      <c r="X118" s="604">
        <v>0</v>
      </c>
      <c r="Y118" s="604"/>
      <c r="Z118" s="628">
        <v>7</v>
      </c>
      <c r="AA118" s="628">
        <v>0</v>
      </c>
      <c r="AB118" s="629">
        <v>0</v>
      </c>
      <c r="AC118" s="628">
        <v>7</v>
      </c>
      <c r="AD118" s="628" t="s">
        <v>293</v>
      </c>
      <c r="AE118" s="631" t="s">
        <v>1379</v>
      </c>
      <c r="AF118" s="631">
        <v>0</v>
      </c>
      <c r="AG118" s="628">
        <v>0</v>
      </c>
      <c r="AH118" s="628"/>
      <c r="AI118" s="659">
        <v>0.6</v>
      </c>
      <c r="AJ118" s="650" t="s">
        <v>386</v>
      </c>
      <c r="AK118" s="644">
        <v>0</v>
      </c>
      <c r="AL118" s="645">
        <v>2</v>
      </c>
      <c r="AM118" s="645">
        <v>0</v>
      </c>
      <c r="AN118" s="646">
        <v>0</v>
      </c>
      <c r="AO118" s="647">
        <v>0</v>
      </c>
      <c r="AP118" s="647"/>
      <c r="AQ118" s="658"/>
      <c r="AR118" s="235" t="str">
        <f>IFERROR(WWWW[[#This Row],['# of Water passed at source]]/WWWW[[#This Row],['# of Water tested at source]],"no test")</f>
        <v>no test</v>
      </c>
      <c r="AS118" s="237" t="str">
        <f>IFERROR(WWWW[[#This Row],['# of Water passed at HH]]/WWWW[[#This Row],['# of Water tested at HH]],"no test")</f>
        <v>no test</v>
      </c>
      <c r="AT118" s="237">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U118" s="237">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AV118" s="237">
        <f>IF(WWWW[[#This Row],[Location Type 1]]="Village",WWWW[[#This Row],[Access to safe drinking water for Village]],WWWW[[#This Row],[Access to safe drinking water for Camp]])</f>
        <v>1</v>
      </c>
      <c r="AW118" s="414">
        <f>WWWW[[#This Row],[%Equitable and continuous access to sufficient quantity of safe drinking water]]*WWWW[[#This Row],[Total PoP ]]</f>
        <v>114</v>
      </c>
      <c r="AX118" s="237">
        <f>IF((WWWW[[#This Row],['# Existing protected/fenced ponds ]]*250)/WWWW[[#This Row],[Total PoP ]]&gt;1,1,WWWW[[#This Row],['# Existing protected/fenced ponds ]]*250/WWWW[[#This Row],[Total PoP ]])</f>
        <v>0</v>
      </c>
      <c r="AY118" s="414">
        <f>WWWW[[#This Row],[Access to unimproved water points]]*WWWW[[#This Row],[Total PoP ]]</f>
        <v>0</v>
      </c>
      <c r="AZ118" s="237">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A118" s="414">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114</v>
      </c>
      <c r="BB118" s="414">
        <f>WWWW[[#This Row],['#people Equitable and continuous access to sufficient quantity of domestic water borehole n ponds_2]]/500</f>
        <v>0.22800000000000001</v>
      </c>
      <c r="BC118" s="235">
        <f>1-WWWW[[#This Row],[%Equitable and continuous access to sufficient quantity of domestic water borehole n ponds]]</f>
        <v>0</v>
      </c>
      <c r="BD118" s="414">
        <f>WWWW[[#This Row],[%equitable and continuous access to sufficient quantity of safe drinking and domestic water''s GAP]]*WWWW[[#This Row],[Total PoP ]]</f>
        <v>0</v>
      </c>
      <c r="BE118" s="238">
        <f>IF(WWWW[[#This Row],[Total required water points]]-WWWW[[#This Row],['#Water points coverage]]&lt;0,0,WWWW[[#This Row],[Total required water points]]-WWWW[[#This Row],['#Water points coverage]])</f>
        <v>0.77200000000000002</v>
      </c>
      <c r="BF118" s="238">
        <f>ROUND(IF(WWWW[[#This Row],[Total PoP ]]&lt;500,1,WWWW[[#This Row],[Total PoP ]]/500),0)</f>
        <v>1</v>
      </c>
      <c r="BG118" s="238" t="str">
        <f>IF(AND(WWWW[[#This Row],[%of Water samples which passed at water source]]="no test",WWWW[[#This Row],[%Water samples which passed at HH]]="no test"),"No Test","Tested")</f>
        <v>No Test</v>
      </c>
      <c r="BH118" s="238">
        <f>WWWW[[#This Row],['# Existing functional latrines]]+WWWW[[#This Row],['# Existing latrines dysfunctional]]</f>
        <v>7</v>
      </c>
      <c r="BI118" s="235">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1</v>
      </c>
      <c r="BJ118" s="675">
        <f>WWWW[[#This Row],[% people access to functioning Latrine]]*WWWW[[#This Row],[Total PoP ]]</f>
        <v>114</v>
      </c>
      <c r="BK118" s="235">
        <f>IF(WWWW[[#This Row],[Location Type 1]]="camp",WWWW[[#This Row],['# potential required new latrines]]/(WWWW[[#This Row],[Total PoP ]]/20),WWWW[[#This Row],['# potential required new latrines]]/(WWWW[[#This Row],[Total PoP ]]/6))</f>
        <v>0</v>
      </c>
      <c r="BL118" s="414">
        <f>IF(WWWW[[#This Row],[Total required Latrines]]-WWWW[[#This Row],[Total '# of latrine]]&lt;0,0,WWWW[[#This Row],[Total required Latrines]]-WWWW[[#This Row],[Total '# of latrine]])</f>
        <v>0</v>
      </c>
      <c r="BM118" s="238">
        <f>ROUND(IF(WWWW[[#This Row],[Location Type 1]]="camp",WWWW[[#This Row],[Total PoP ]]/20,WWWW[[#This Row],[Total PoP ]]/6),0)</f>
        <v>6</v>
      </c>
      <c r="BN118" s="239">
        <f>IF(OR(WWWW[[#This Row],['# Existing latrines dysfunctional]]="",WWWW[[#This Row],['# Existing latrines dysfunctional]]=0),0,WWWW[[#This Row],['# Existing latrines dysfunctional]]/WWWW[[#This Row],[Total '# of latrine]])</f>
        <v>0</v>
      </c>
      <c r="BO118" s="675">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P118" s="235">
        <f>WWWW[[#This Row],[People adopt basic personal and community hygiene practices]]/WWWW[[#This Row],[Total PoP ]]</f>
        <v>0</v>
      </c>
      <c r="BQ118" s="239">
        <f>1-WWWW[[#This Row],[Hygiene Coverage%]]</f>
        <v>1</v>
      </c>
      <c r="BR118" s="414">
        <f>IF(500*WWWW[[#This Row],['# Hygiene Promoters ]]&gt;WWWW[[#This Row],[Total PoP ]],WWWW[[#This Row],[Total PoP ]],500*WWWW[[#This Row],['# Hygiene Promoters ]])</f>
        <v>0</v>
      </c>
      <c r="BS118" s="414">
        <f>IF(WWWW[[#This Row],[% of HH with access to Sanitary Pad]]&gt;=100%,1,0)</f>
        <v>0</v>
      </c>
      <c r="BT118" s="414">
        <f>IF(WWWW[[#This Row],[Total PoP ]]=0,0,IF(WWWW[[#This Row],['# Hygiene Promoters ]]=0,0,IF(WWWW[[#This Row],[Location Type 1]]="Village",IF(WWWW[[#This Row],[Total PoP ]]/WWWW[[#This Row],['# Hygiene Promoters ]]&lt;1000,1,0),IF(WWWW[[#This Row],[Total PoP ]]/WWWW[[#This Row],['# Hygiene Promoters ]]&lt;600,1,0))))</f>
        <v>0</v>
      </c>
      <c r="BU118" s="414">
        <f>IF(WWWW[[#This Row],[%HH with access to soap]]&gt;=100%,1,0)</f>
        <v>0</v>
      </c>
      <c r="BV118" s="414">
        <f>IF(WWWW[[#This Row],[% of HHs with access to Sanitary pad more than '#%]]+WWWW[[#This Row],[Ratio of Hyiene promoters to people less than '#]]+WWWW[[#This Row],[% of HHs with access to soap more than '#%]]&gt;=2,WWWW[[#This Row],[Total PoP ]],0)</f>
        <v>0</v>
      </c>
      <c r="BW118" s="346">
        <f>WWWW[[#This Row],['# people reached by regular dedicated hygiene promotion_5]]/WWWW[[#This Row],[Total PoP ]]</f>
        <v>0</v>
      </c>
      <c r="BX118" s="346">
        <f>IF(WWWW[[#This Row],['# HH received soaps]]/WWWW[[#This Row],[Total HH]]&gt;1,1,WWWW[[#This Row],['# HH received soaps]]/WWWW[[#This Row],[Total HH]])</f>
        <v>0</v>
      </c>
      <c r="BY118" s="346">
        <f>IF(WWWW[[#This Row],['# HH received Sanitary Pads]]/WWWW[[#This Row],[Total HH]]&gt;1,1,WWWW[[#This Row],['# HH received Sanitary Pads]]/WWWW[[#This Row],[Total HH]])</f>
        <v>0</v>
      </c>
      <c r="BZ118" s="720">
        <f>WWWW[[#This Row],['# HH received soaps]]*5</f>
        <v>0</v>
      </c>
      <c r="CA118" s="720">
        <f>WWWW[[#This Row],['# HH received Sanitary Pads]]*5</f>
        <v>0</v>
      </c>
      <c r="CB118" s="238">
        <f>IF(WWWW[[#This Row],['# People with access to soap]]&gt;WWWW[[#This Row],['# People with access to Sanity Pads]],WWWW[[#This Row],['# People with access to soap]],WWWW[[#This Row],['# People with access to Sanity Pads]])</f>
        <v>0</v>
      </c>
      <c r="CC118" s="414">
        <f>WWWW[[#This Row],[Total HH]]*WWWW[[#This Row],[%HHs with access to functional hand washing stations]]</f>
        <v>13.799999999999999</v>
      </c>
      <c r="CD118" s="240" t="str">
        <f>VLOOKUP(WWWW[[#This Row],[Site Name]],SiteDB6[],8,FALSE)</f>
        <v>Yes</v>
      </c>
      <c r="CE118" s="240" t="str">
        <f>VLOOKUP(WWWW[[#This Row],[Site Name]],SiteDB6[],9,FALSE)</f>
        <v>Shalom</v>
      </c>
      <c r="CF118" s="240" t="str">
        <f>VLOOKUP(WWWW[[#This Row],[Site Name]],SiteDB6[],10,FALSE)</f>
        <v>Camp</v>
      </c>
      <c r="CG118" s="240" t="str">
        <f>VLOOKUP(WWWW[[#This Row],[Site Name]],SiteDB6[],11,FALSE)</f>
        <v>Camp</v>
      </c>
      <c r="CH118" s="240" t="str">
        <f>VLOOKUP(WWWW[[#This Row],[Site Name]],SiteDB6[],12,FALSE)</f>
        <v>Camp</v>
      </c>
      <c r="CI118" s="240" t="str">
        <f>VLOOKUP(WWWW[[#This Row],[Site Name]],SiteDB6[],13,FALSE)</f>
        <v>GCA</v>
      </c>
      <c r="CJ118" s="240">
        <f>VLOOKUP(WWWW[[#This Row],[Site Name]],SiteDB6[],14,FALSE)</f>
        <v>25.423817</v>
      </c>
      <c r="CK118" s="240">
        <f>VLOOKUP(WWWW[[#This Row],[Site Name]],SiteDB6[],15,FALSE)</f>
        <v>97.418004999999994</v>
      </c>
      <c r="CL118" s="240" t="str">
        <f>VLOOKUP(WWWW[[#This Row],[Site Name]],SiteDB6[],4,FALSE)</f>
        <v>MMR001CMP007</v>
      </c>
      <c r="CM118" s="235" t="str">
        <f t="shared" si="1"/>
        <v>Covered</v>
      </c>
      <c r="CN118" s="235"/>
    </row>
    <row r="119" spans="1:92" ht="15.75" customHeight="1" x14ac:dyDescent="0.25">
      <c r="A119" s="532" t="s">
        <v>1409</v>
      </c>
      <c r="B119" s="533" t="s">
        <v>297</v>
      </c>
      <c r="C119" s="533" t="s">
        <v>44</v>
      </c>
      <c r="D119" s="533" t="s">
        <v>298</v>
      </c>
      <c r="E119" s="533" t="s">
        <v>338</v>
      </c>
      <c r="F119" s="233">
        <v>179</v>
      </c>
      <c r="G119" s="414">
        <v>962</v>
      </c>
      <c r="H119" s="233"/>
      <c r="I119" s="233" t="s">
        <v>306</v>
      </c>
      <c r="J119" s="234" t="s">
        <v>2577</v>
      </c>
      <c r="K119" s="233">
        <v>0</v>
      </c>
      <c r="L119" s="233" t="s">
        <v>48</v>
      </c>
      <c r="M119" s="235">
        <v>0.6</v>
      </c>
      <c r="N119" s="235">
        <v>0.5</v>
      </c>
      <c r="O119" s="609">
        <v>0</v>
      </c>
      <c r="P119" s="615">
        <v>0</v>
      </c>
      <c r="Q119" s="615">
        <v>272160</v>
      </c>
      <c r="R119" s="604">
        <v>0</v>
      </c>
      <c r="S119" s="604">
        <v>0</v>
      </c>
      <c r="T119" s="604">
        <v>0</v>
      </c>
      <c r="U119" s="604">
        <v>0</v>
      </c>
      <c r="V119" s="604">
        <v>0</v>
      </c>
      <c r="W119" s="604">
        <v>0</v>
      </c>
      <c r="X119" s="604">
        <v>0</v>
      </c>
      <c r="Y119" s="604"/>
      <c r="Z119" s="628">
        <v>150</v>
      </c>
      <c r="AA119" s="628">
        <v>0</v>
      </c>
      <c r="AB119" s="629">
        <v>0</v>
      </c>
      <c r="AC119" s="628">
        <v>0</v>
      </c>
      <c r="AD119" s="628" t="s">
        <v>293</v>
      </c>
      <c r="AE119" s="631" t="s">
        <v>293</v>
      </c>
      <c r="AF119" s="631"/>
      <c r="AG119" s="628"/>
      <c r="AH119" s="628"/>
      <c r="AI119" s="659">
        <v>1</v>
      </c>
      <c r="AJ119" s="644" t="s">
        <v>301</v>
      </c>
      <c r="AK119" s="644">
        <v>0</v>
      </c>
      <c r="AL119" s="645">
        <v>4</v>
      </c>
      <c r="AM119" s="645">
        <v>3</v>
      </c>
      <c r="AN119" s="646">
        <v>0</v>
      </c>
      <c r="AO119" s="647">
        <v>0</v>
      </c>
      <c r="AP119" s="647"/>
      <c r="AQ119" s="658"/>
      <c r="AR119" s="235" t="str">
        <f>IFERROR(WWWW[[#This Row],['# of Water passed at source]]/WWWW[[#This Row],['# of Water tested at source]],"no test")</f>
        <v>no test</v>
      </c>
      <c r="AS119" s="237" t="str">
        <f>IFERROR(WWWW[[#This Row],['# of Water passed at HH]]/WWWW[[#This Row],['# of Water tested at HH]],"no test")</f>
        <v>no test</v>
      </c>
      <c r="AT119" s="237">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U119" s="237">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AV119" s="237">
        <f>IF(WWWW[[#This Row],[Location Type 1]]="Village",WWWW[[#This Row],[Access to safe drinking water for Village]],WWWW[[#This Row],[Access to safe drinking water for Camp]])</f>
        <v>1</v>
      </c>
      <c r="AW119" s="414">
        <f>WWWW[[#This Row],[%Equitable and continuous access to sufficient quantity of safe drinking water]]*WWWW[[#This Row],[Total PoP ]]</f>
        <v>962</v>
      </c>
      <c r="AX119" s="237">
        <f>IF((WWWW[[#This Row],['# Existing protected/fenced ponds ]]*250)/WWWW[[#This Row],[Total PoP ]]&gt;1,1,WWWW[[#This Row],['# Existing protected/fenced ponds ]]*250/WWWW[[#This Row],[Total PoP ]])</f>
        <v>0</v>
      </c>
      <c r="AY119" s="236">
        <f>WWWW[[#This Row],[Access to unimproved water points]]*WWWW[[#This Row],[Total PoP ]]</f>
        <v>0</v>
      </c>
      <c r="AZ119" s="237">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A119" s="414">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962</v>
      </c>
      <c r="BB119" s="414">
        <f>WWWW[[#This Row],['#people Equitable and continuous access to sufficient quantity of domestic water borehole n ponds_2]]/500</f>
        <v>1.9239999999999999</v>
      </c>
      <c r="BC119" s="235">
        <f>1-WWWW[[#This Row],[%Equitable and continuous access to sufficient quantity of domestic water borehole n ponds]]</f>
        <v>0</v>
      </c>
      <c r="BD119" s="236">
        <f>WWWW[[#This Row],[%equitable and continuous access to sufficient quantity of safe drinking and domestic water''s GAP]]*WWWW[[#This Row],[Total PoP ]]</f>
        <v>0</v>
      </c>
      <c r="BE119" s="238">
        <f>IF(WWWW[[#This Row],[Total required water points]]-WWWW[[#This Row],['#Water points coverage]]&lt;0,0,WWWW[[#This Row],[Total required water points]]-WWWW[[#This Row],['#Water points coverage]])</f>
        <v>7.6000000000000068E-2</v>
      </c>
      <c r="BF119" s="238">
        <f>ROUND(IF(WWWW[[#This Row],[Total PoP ]]&lt;500,1,WWWW[[#This Row],[Total PoP ]]/500),0)</f>
        <v>2</v>
      </c>
      <c r="BG119" s="238" t="str">
        <f>IF(AND(WWWW[[#This Row],[%of Water samples which passed at water source]]="no test",WWWW[[#This Row],[%Water samples which passed at HH]]="no test"),"No Test","Tested")</f>
        <v>No Test</v>
      </c>
      <c r="BH119" s="238">
        <f>WWWW[[#This Row],['# Existing functional latrines]]+WWWW[[#This Row],['# Existing latrines dysfunctional]]</f>
        <v>150</v>
      </c>
      <c r="BI119" s="235">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1</v>
      </c>
      <c r="BJ119" s="675">
        <f>WWWW[[#This Row],[% people access to functioning Latrine]]*WWWW[[#This Row],[Total PoP ]]</f>
        <v>962</v>
      </c>
      <c r="BK119" s="235">
        <f>IF(WWWW[[#This Row],[Location Type 1]]="camp",WWWW[[#This Row],['# potential required new latrines]]/(WWWW[[#This Row],[Total PoP ]]/20),WWWW[[#This Row],['# potential required new latrines]]/(WWWW[[#This Row],[Total PoP ]]/6))</f>
        <v>0</v>
      </c>
      <c r="BL119" s="236">
        <f>IF(WWWW[[#This Row],[Total required Latrines]]-WWWW[[#This Row],[Total '# of latrine]]&lt;0,0,WWWW[[#This Row],[Total required Latrines]]-WWWW[[#This Row],[Total '# of latrine]])</f>
        <v>0</v>
      </c>
      <c r="BM119" s="238">
        <f>ROUND(IF(WWWW[[#This Row],[Location Type 1]]="camp",WWWW[[#This Row],[Total PoP ]]/20,WWWW[[#This Row],[Total PoP ]]/6),0)</f>
        <v>48</v>
      </c>
      <c r="BN119" s="239">
        <f>IF(OR(WWWW[[#This Row],['# Existing latrines dysfunctional]]="",WWWW[[#This Row],['# Existing latrines dysfunctional]]=0),0,WWWW[[#This Row],['# Existing latrines dysfunctional]]/WWWW[[#This Row],[Total '# of latrine]])</f>
        <v>0</v>
      </c>
      <c r="BO119" s="675">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P119" s="235">
        <f>WWWW[[#This Row],[People adopt basic personal and community hygiene practices]]/WWWW[[#This Row],[Total PoP ]]</f>
        <v>0</v>
      </c>
      <c r="BQ119" s="239">
        <f>1-WWWW[[#This Row],[Hygiene Coverage%]]</f>
        <v>1</v>
      </c>
      <c r="BR119" s="414">
        <f>IF(500*WWWW[[#This Row],['# Hygiene Promoters ]]&gt;WWWW[[#This Row],[Total PoP ]],WWWW[[#This Row],[Total PoP ]],500*WWWW[[#This Row],['# Hygiene Promoters ]])</f>
        <v>962</v>
      </c>
      <c r="BS119" s="414">
        <f>IF(WWWW[[#This Row],[% of HH with access to Sanitary Pad]]&gt;=100%,1,0)</f>
        <v>0</v>
      </c>
      <c r="BT119" s="414">
        <f>IF(WWWW[[#This Row],[Total PoP ]]=0,0,IF(WWWW[[#This Row],['# Hygiene Promoters ]]=0,0,IF(WWWW[[#This Row],[Location Type 1]]="Village",IF(WWWW[[#This Row],[Total PoP ]]/WWWW[[#This Row],['# Hygiene Promoters ]]&lt;1000,1,0),IF(WWWW[[#This Row],[Total PoP ]]/WWWW[[#This Row],['# Hygiene Promoters ]]&lt;600,1,0))))</f>
        <v>1</v>
      </c>
      <c r="BU119" s="414">
        <f>IF(WWWW[[#This Row],[%HH with access to soap]]&gt;=100%,1,0)</f>
        <v>0</v>
      </c>
      <c r="BV119" s="414">
        <f>IF(WWWW[[#This Row],[% of HHs with access to Sanitary pad more than '#%]]+WWWW[[#This Row],[Ratio of Hyiene promoters to people less than '#]]+WWWW[[#This Row],[% of HHs with access to soap more than '#%]]&gt;=2,WWWW[[#This Row],[Total PoP ]],0)</f>
        <v>0</v>
      </c>
      <c r="BW119" s="346">
        <f>WWWW[[#This Row],['# people reached by regular dedicated hygiene promotion_5]]/WWWW[[#This Row],[Total PoP ]]</f>
        <v>1</v>
      </c>
      <c r="BX119" s="346">
        <f>IF(WWWW[[#This Row],['# HH received soaps]]/WWWW[[#This Row],[Total HH]]&gt;1,1,WWWW[[#This Row],['# HH received soaps]]/WWWW[[#This Row],[Total HH]])</f>
        <v>0</v>
      </c>
      <c r="BY119" s="346">
        <f>IF(WWWW[[#This Row],['# HH received Sanitary Pads]]/WWWW[[#This Row],[Total HH]]&gt;1,1,WWWW[[#This Row],['# HH received Sanitary Pads]]/WWWW[[#This Row],[Total HH]])</f>
        <v>0</v>
      </c>
      <c r="BZ119" s="720">
        <f>WWWW[[#This Row],['# HH received soaps]]*5</f>
        <v>0</v>
      </c>
      <c r="CA119" s="720">
        <f>WWWW[[#This Row],['# HH received Sanitary Pads]]*5</f>
        <v>0</v>
      </c>
      <c r="CB119" s="238">
        <f>IF(WWWW[[#This Row],['# People with access to soap]]&gt;WWWW[[#This Row],['# People with access to Sanity Pads]],WWWW[[#This Row],['# People with access to soap]],WWWW[[#This Row],['# People with access to Sanity Pads]])</f>
        <v>0</v>
      </c>
      <c r="CC119" s="236">
        <f>WWWW[[#This Row],[Total HH]]*WWWW[[#This Row],[%HHs with access to functional hand washing stations]]</f>
        <v>179</v>
      </c>
      <c r="CD119" s="240" t="str">
        <f>VLOOKUP(WWWW[[#This Row],[Site Name]],SiteDB6[],8,FALSE)</f>
        <v>Yes</v>
      </c>
      <c r="CE119" s="240" t="str">
        <f>VLOOKUP(WWWW[[#This Row],[Site Name]],SiteDB6[],9,FALSE)</f>
        <v>KBC</v>
      </c>
      <c r="CF119" s="240" t="str">
        <f>VLOOKUP(WWWW[[#This Row],[Site Name]],SiteDB6[],10,FALSE)</f>
        <v>Camp</v>
      </c>
      <c r="CG119" s="240" t="str">
        <f>VLOOKUP(WWWW[[#This Row],[Site Name]],SiteDB6[],11,FALSE)</f>
        <v>Camp</v>
      </c>
      <c r="CH119" s="240" t="str">
        <f>VLOOKUP(WWWW[[#This Row],[Site Name]],SiteDB6[],12,FALSE)</f>
        <v>Camp</v>
      </c>
      <c r="CI119" s="240" t="str">
        <f>VLOOKUP(WWWW[[#This Row],[Site Name]],SiteDB6[],13,FALSE)</f>
        <v>GCA</v>
      </c>
      <c r="CJ119" s="240">
        <f>VLOOKUP(WWWW[[#This Row],[Site Name]],SiteDB6[],14,FALSE)</f>
        <v>25.418084</v>
      </c>
      <c r="CK119" s="240">
        <f>VLOOKUP(WWWW[[#This Row],[Site Name]],SiteDB6[],15,FALSE)</f>
        <v>98.025662999999994</v>
      </c>
      <c r="CL119" s="240" t="str">
        <f>VLOOKUP(WWWW[[#This Row],[Site Name]],SiteDB6[],4,FALSE)</f>
        <v>MMR001CMP041</v>
      </c>
      <c r="CM119" s="235" t="str">
        <f t="shared" si="1"/>
        <v>Covered</v>
      </c>
      <c r="CN119" s="235"/>
    </row>
    <row r="120" spans="1:92" ht="15.75" customHeight="1" x14ac:dyDescent="0.25">
      <c r="A120" s="532" t="s">
        <v>1409</v>
      </c>
      <c r="B120" s="533" t="s">
        <v>348</v>
      </c>
      <c r="C120" s="533" t="s">
        <v>44</v>
      </c>
      <c r="D120" s="533" t="s">
        <v>370</v>
      </c>
      <c r="E120" s="533" t="s">
        <v>371</v>
      </c>
      <c r="F120" s="233">
        <v>45</v>
      </c>
      <c r="G120" s="414">
        <v>259</v>
      </c>
      <c r="H120" s="233"/>
      <c r="I120" s="233" t="s">
        <v>350</v>
      </c>
      <c r="J120" s="234" t="s">
        <v>2602</v>
      </c>
      <c r="K120" s="233">
        <v>0</v>
      </c>
      <c r="L120" s="233" t="s">
        <v>48</v>
      </c>
      <c r="M120" s="235">
        <v>0.8</v>
      </c>
      <c r="N120" s="235">
        <v>0.6</v>
      </c>
      <c r="O120" s="609">
        <v>0</v>
      </c>
      <c r="P120" s="615">
        <v>1</v>
      </c>
      <c r="Q120" s="615">
        <v>0</v>
      </c>
      <c r="R120" s="604">
        <v>0</v>
      </c>
      <c r="S120" s="604">
        <v>0</v>
      </c>
      <c r="T120" s="604"/>
      <c r="U120" s="604"/>
      <c r="V120" s="604"/>
      <c r="W120" s="604"/>
      <c r="X120" s="604"/>
      <c r="Y120" s="604"/>
      <c r="Z120" s="628">
        <v>13</v>
      </c>
      <c r="AA120" s="628">
        <v>0</v>
      </c>
      <c r="AB120" s="629"/>
      <c r="AC120" s="628">
        <v>0</v>
      </c>
      <c r="AD120" s="628" t="s">
        <v>293</v>
      </c>
      <c r="AE120" s="631" t="s">
        <v>293</v>
      </c>
      <c r="AF120" s="631"/>
      <c r="AG120" s="628"/>
      <c r="AH120" s="628"/>
      <c r="AI120" s="659">
        <v>1</v>
      </c>
      <c r="AJ120" s="644" t="s">
        <v>301</v>
      </c>
      <c r="AK120" s="644">
        <v>0</v>
      </c>
      <c r="AL120" s="645">
        <v>5</v>
      </c>
      <c r="AM120" s="645">
        <v>1</v>
      </c>
      <c r="AN120" s="646">
        <v>45</v>
      </c>
      <c r="AO120" s="647">
        <v>45</v>
      </c>
      <c r="AP120" s="647"/>
      <c r="AQ120" s="658"/>
      <c r="AR120" s="235" t="str">
        <f>IFERROR(WWWW[[#This Row],['# of Water passed at source]]/WWWW[[#This Row],['# of Water tested at source]],"no test")</f>
        <v>no test</v>
      </c>
      <c r="AS120" s="237" t="str">
        <f>IFERROR(WWWW[[#This Row],['# of Water passed at HH]]/WWWW[[#This Row],['# of Water tested at HH]],"no test")</f>
        <v>no test</v>
      </c>
      <c r="AT120" s="237">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U120" s="237">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0.96525096525096521</v>
      </c>
      <c r="AV120" s="237">
        <f>IF(WWWW[[#This Row],[Location Type 1]]="Village",WWWW[[#This Row],[Access to safe drinking water for Village]],WWWW[[#This Row],[Access to safe drinking water for Camp]])</f>
        <v>1</v>
      </c>
      <c r="AW120" s="414">
        <f>WWWW[[#This Row],[%Equitable and continuous access to sufficient quantity of safe drinking water]]*WWWW[[#This Row],[Total PoP ]]</f>
        <v>259</v>
      </c>
      <c r="AX120" s="237">
        <f>IF((WWWW[[#This Row],['# Existing protected/fenced ponds ]]*250)/WWWW[[#This Row],[Total PoP ]]&gt;1,1,WWWW[[#This Row],['# Existing protected/fenced ponds ]]*250/WWWW[[#This Row],[Total PoP ]])</f>
        <v>0</v>
      </c>
      <c r="AY120" s="414">
        <f>WWWW[[#This Row],[Access to unimproved water points]]*WWWW[[#This Row],[Total PoP ]]</f>
        <v>0</v>
      </c>
      <c r="AZ120" s="237">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A120" s="414">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259</v>
      </c>
      <c r="BB120" s="414">
        <f>WWWW[[#This Row],['#people Equitable and continuous access to sufficient quantity of domestic water borehole n ponds_2]]/500</f>
        <v>0.51800000000000002</v>
      </c>
      <c r="BC120" s="235">
        <f>1-WWWW[[#This Row],[%Equitable and continuous access to sufficient quantity of domestic water borehole n ponds]]</f>
        <v>0</v>
      </c>
      <c r="BD120" s="414">
        <f>WWWW[[#This Row],[%equitable and continuous access to sufficient quantity of safe drinking and domestic water''s GAP]]*WWWW[[#This Row],[Total PoP ]]</f>
        <v>0</v>
      </c>
      <c r="BE120" s="238">
        <f>IF(WWWW[[#This Row],[Total required water points]]-WWWW[[#This Row],['#Water points coverage]]&lt;0,0,WWWW[[#This Row],[Total required water points]]-WWWW[[#This Row],['#Water points coverage]])</f>
        <v>0.48199999999999998</v>
      </c>
      <c r="BF120" s="238">
        <f>ROUND(IF(WWWW[[#This Row],[Total PoP ]]&lt;500,1,WWWW[[#This Row],[Total PoP ]]/500),0)</f>
        <v>1</v>
      </c>
      <c r="BG120" s="238" t="str">
        <f>IF(AND(WWWW[[#This Row],[%of Water samples which passed at water source]]="no test",WWWW[[#This Row],[%Water samples which passed at HH]]="no test"),"No Test","Tested")</f>
        <v>No Test</v>
      </c>
      <c r="BH120" s="238">
        <f>WWWW[[#This Row],['# Existing functional latrines]]+WWWW[[#This Row],['# Existing latrines dysfunctional]]</f>
        <v>13</v>
      </c>
      <c r="BI120" s="235">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1</v>
      </c>
      <c r="BJ120" s="675">
        <f>WWWW[[#This Row],[% people access to functioning Latrine]]*WWWW[[#This Row],[Total PoP ]]</f>
        <v>259</v>
      </c>
      <c r="BK120" s="235">
        <f>IF(WWWW[[#This Row],[Location Type 1]]="camp",WWWW[[#This Row],['# potential required new latrines]]/(WWWW[[#This Row],[Total PoP ]]/20),WWWW[[#This Row],['# potential required new latrines]]/(WWWW[[#This Row],[Total PoP ]]/6))</f>
        <v>0</v>
      </c>
      <c r="BL120" s="414">
        <f>IF(WWWW[[#This Row],[Total required Latrines]]-WWWW[[#This Row],[Total '# of latrine]]&lt;0,0,WWWW[[#This Row],[Total required Latrines]]-WWWW[[#This Row],[Total '# of latrine]])</f>
        <v>0</v>
      </c>
      <c r="BM120" s="238">
        <f>ROUND(IF(WWWW[[#This Row],[Location Type 1]]="camp",WWWW[[#This Row],[Total PoP ]]/20,WWWW[[#This Row],[Total PoP ]]/6),0)</f>
        <v>13</v>
      </c>
      <c r="BN120" s="239">
        <f>IF(OR(WWWW[[#This Row],['# Existing latrines dysfunctional]]="",WWWW[[#This Row],['# Existing latrines dysfunctional]]=0),0,WWWW[[#This Row],['# Existing latrines dysfunctional]]/WWWW[[#This Row],[Total '# of latrine]])</f>
        <v>0</v>
      </c>
      <c r="BO120" s="675">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P120" s="235">
        <f>WWWW[[#This Row],[People adopt basic personal and community hygiene practices]]/WWWW[[#This Row],[Total PoP ]]</f>
        <v>1</v>
      </c>
      <c r="BQ120" s="239">
        <f>1-WWWW[[#This Row],[Hygiene Coverage%]]</f>
        <v>0</v>
      </c>
      <c r="BR120" s="414">
        <f>IF(500*WWWW[[#This Row],['# Hygiene Promoters ]]&gt;WWWW[[#This Row],[Total PoP ]],WWWW[[#This Row],[Total PoP ]],500*WWWW[[#This Row],['# Hygiene Promoters ]])</f>
        <v>259</v>
      </c>
      <c r="BS120" s="414">
        <f>IF(WWWW[[#This Row],[% of HH with access to Sanitary Pad]]&gt;=100%,1,0)</f>
        <v>1</v>
      </c>
      <c r="BT120" s="414">
        <f>IF(WWWW[[#This Row],[Total PoP ]]=0,0,IF(WWWW[[#This Row],['# Hygiene Promoters ]]=0,0,IF(WWWW[[#This Row],[Location Type 1]]="Village",IF(WWWW[[#This Row],[Total PoP ]]/WWWW[[#This Row],['# Hygiene Promoters ]]&lt;1000,1,0),IF(WWWW[[#This Row],[Total PoP ]]/WWWW[[#This Row],['# Hygiene Promoters ]]&lt;600,1,0))))</f>
        <v>1</v>
      </c>
      <c r="BU120" s="414">
        <f>IF(WWWW[[#This Row],[%HH with access to soap]]&gt;=100%,1,0)</f>
        <v>1</v>
      </c>
      <c r="BV120" s="414">
        <f>IF(WWWW[[#This Row],[% of HHs with access to Sanitary pad more than '#%]]+WWWW[[#This Row],[Ratio of Hyiene promoters to people less than '#]]+WWWW[[#This Row],[% of HHs with access to soap more than '#%]]&gt;=2,WWWW[[#This Row],[Total PoP ]],0)</f>
        <v>259</v>
      </c>
      <c r="BW120" s="346">
        <f>WWWW[[#This Row],['# people reached by regular dedicated hygiene promotion_5]]/WWWW[[#This Row],[Total PoP ]]</f>
        <v>1</v>
      </c>
      <c r="BX120" s="346">
        <f>IF(WWWW[[#This Row],['# HH received soaps]]/WWWW[[#This Row],[Total HH]]&gt;1,1,WWWW[[#This Row],['# HH received soaps]]/WWWW[[#This Row],[Total HH]])</f>
        <v>1</v>
      </c>
      <c r="BY120" s="346">
        <f>IF(WWWW[[#This Row],['# HH received Sanitary Pads]]/WWWW[[#This Row],[Total HH]]&gt;1,1,WWWW[[#This Row],['# HH received Sanitary Pads]]/WWWW[[#This Row],[Total HH]])</f>
        <v>1</v>
      </c>
      <c r="BZ120" s="720">
        <f>WWWW[[#This Row],['# HH received soaps]]*5</f>
        <v>225</v>
      </c>
      <c r="CA120" s="720">
        <f>WWWW[[#This Row],['# HH received Sanitary Pads]]*5</f>
        <v>225</v>
      </c>
      <c r="CB120" s="238">
        <f>IF(WWWW[[#This Row],['# People with access to soap]]&gt;WWWW[[#This Row],['# People with access to Sanity Pads]],WWWW[[#This Row],['# People with access to soap]],WWWW[[#This Row],['# People with access to Sanity Pads]])</f>
        <v>225</v>
      </c>
      <c r="CC120" s="414">
        <f>WWWW[[#This Row],[Total HH]]*WWWW[[#This Row],[%HHs with access to functional hand washing stations]]</f>
        <v>45</v>
      </c>
      <c r="CD120" s="240" t="str">
        <f>VLOOKUP(WWWW[[#This Row],[Site Name]],SiteDB6[],8,FALSE)</f>
        <v>Yes</v>
      </c>
      <c r="CE120" s="240" t="str">
        <f>VLOOKUP(WWWW[[#This Row],[Site Name]],SiteDB6[],9,FALSE)</f>
        <v>KBC</v>
      </c>
      <c r="CF120" s="240" t="str">
        <f>VLOOKUP(WWWW[[#This Row],[Site Name]],SiteDB6[],10,FALSE)</f>
        <v>Camp</v>
      </c>
      <c r="CG120" s="240" t="str">
        <f>VLOOKUP(WWWW[[#This Row],[Site Name]],SiteDB6[],11,FALSE)</f>
        <v>Camp</v>
      </c>
      <c r="CH120" s="240" t="str">
        <f>VLOOKUP(WWWW[[#This Row],[Site Name]],SiteDB6[],12,FALSE)</f>
        <v>Camp</v>
      </c>
      <c r="CI120" s="240" t="str">
        <f>VLOOKUP(WWWW[[#This Row],[Site Name]],SiteDB6[],13,FALSE)</f>
        <v>GCA</v>
      </c>
      <c r="CJ120" s="240">
        <f>VLOOKUP(WWWW[[#This Row],[Site Name]],SiteDB6[],14,FALSE)</f>
        <v>24.200361000000001</v>
      </c>
      <c r="CK120" s="240">
        <f>VLOOKUP(WWWW[[#This Row],[Site Name]],SiteDB6[],15,FALSE)</f>
        <v>96.807353000000006</v>
      </c>
      <c r="CL120" s="240" t="str">
        <f>VLOOKUP(WWWW[[#This Row],[Site Name]],SiteDB6[],4,FALSE)</f>
        <v>MMR001CMP067</v>
      </c>
      <c r="CM120" s="235" t="str">
        <f t="shared" si="1"/>
        <v>Covered</v>
      </c>
      <c r="CN120" s="235"/>
    </row>
    <row r="121" spans="1:92" ht="15.75" customHeight="1" x14ac:dyDescent="0.25">
      <c r="A121" s="532" t="s">
        <v>1409</v>
      </c>
      <c r="B121" s="533" t="s">
        <v>348</v>
      </c>
      <c r="C121" s="533" t="s">
        <v>44</v>
      </c>
      <c r="D121" s="533" t="s">
        <v>370</v>
      </c>
      <c r="E121" s="533" t="s">
        <v>372</v>
      </c>
      <c r="F121" s="233">
        <v>33</v>
      </c>
      <c r="G121" s="414">
        <v>169</v>
      </c>
      <c r="H121" s="233"/>
      <c r="I121" s="233" t="s">
        <v>350</v>
      </c>
      <c r="J121" s="234" t="s">
        <v>2602</v>
      </c>
      <c r="K121" s="233">
        <v>0</v>
      </c>
      <c r="L121" s="233" t="s">
        <v>48</v>
      </c>
      <c r="M121" s="235">
        <v>0.8</v>
      </c>
      <c r="N121" s="235">
        <v>0.6</v>
      </c>
      <c r="O121" s="609">
        <v>0</v>
      </c>
      <c r="P121" s="615">
        <v>1</v>
      </c>
      <c r="Q121" s="615">
        <v>0</v>
      </c>
      <c r="R121" s="604">
        <v>0</v>
      </c>
      <c r="S121" s="604">
        <v>0</v>
      </c>
      <c r="T121" s="604"/>
      <c r="U121" s="604"/>
      <c r="V121" s="604"/>
      <c r="W121" s="604"/>
      <c r="X121" s="604"/>
      <c r="Y121" s="604"/>
      <c r="Z121" s="628">
        <v>14</v>
      </c>
      <c r="AA121" s="628">
        <v>0</v>
      </c>
      <c r="AB121" s="629">
        <v>0</v>
      </c>
      <c r="AC121" s="628">
        <v>0</v>
      </c>
      <c r="AD121" s="628" t="s">
        <v>293</v>
      </c>
      <c r="AE121" s="631" t="s">
        <v>293</v>
      </c>
      <c r="AF121" s="631"/>
      <c r="AG121" s="628"/>
      <c r="AH121" s="628"/>
      <c r="AI121" s="659">
        <v>1</v>
      </c>
      <c r="AJ121" s="644" t="s">
        <v>301</v>
      </c>
      <c r="AK121" s="644">
        <v>0</v>
      </c>
      <c r="AL121" s="645">
        <v>3</v>
      </c>
      <c r="AM121" s="645">
        <v>1</v>
      </c>
      <c r="AN121" s="646">
        <v>33</v>
      </c>
      <c r="AO121" s="647">
        <v>33</v>
      </c>
      <c r="AP121" s="647"/>
      <c r="AQ121" s="658"/>
      <c r="AR121" s="235" t="str">
        <f>IFERROR(WWWW[[#This Row],['# of Water passed at source]]/WWWW[[#This Row],['# of Water tested at source]],"no test")</f>
        <v>no test</v>
      </c>
      <c r="AS121" s="237" t="str">
        <f>IFERROR(WWWW[[#This Row],['# of Water passed at HH]]/WWWW[[#This Row],['# of Water tested at HH]],"no test")</f>
        <v>no test</v>
      </c>
      <c r="AT121" s="237">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U121" s="237">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AV121" s="237">
        <f>IF(WWWW[[#This Row],[Location Type 1]]="Village",WWWW[[#This Row],[Access to safe drinking water for Village]],WWWW[[#This Row],[Access to safe drinking water for Camp]])</f>
        <v>1</v>
      </c>
      <c r="AW121" s="414">
        <f>WWWW[[#This Row],[%Equitable and continuous access to sufficient quantity of safe drinking water]]*WWWW[[#This Row],[Total PoP ]]</f>
        <v>169</v>
      </c>
      <c r="AX121" s="237">
        <f>IF((WWWW[[#This Row],['# Existing protected/fenced ponds ]]*250)/WWWW[[#This Row],[Total PoP ]]&gt;1,1,WWWW[[#This Row],['# Existing protected/fenced ponds ]]*250/WWWW[[#This Row],[Total PoP ]])</f>
        <v>0</v>
      </c>
      <c r="AY121" s="414">
        <f>WWWW[[#This Row],[Access to unimproved water points]]*WWWW[[#This Row],[Total PoP ]]</f>
        <v>0</v>
      </c>
      <c r="AZ121" s="237">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A121" s="414">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169</v>
      </c>
      <c r="BB121" s="414">
        <f>WWWW[[#This Row],['#people Equitable and continuous access to sufficient quantity of domestic water borehole n ponds_2]]/500</f>
        <v>0.33800000000000002</v>
      </c>
      <c r="BC121" s="235">
        <f>1-WWWW[[#This Row],[%Equitable and continuous access to sufficient quantity of domestic water borehole n ponds]]</f>
        <v>0</v>
      </c>
      <c r="BD121" s="414">
        <f>WWWW[[#This Row],[%equitable and continuous access to sufficient quantity of safe drinking and domestic water''s GAP]]*WWWW[[#This Row],[Total PoP ]]</f>
        <v>0</v>
      </c>
      <c r="BE121" s="238">
        <f>IF(WWWW[[#This Row],[Total required water points]]-WWWW[[#This Row],['#Water points coverage]]&lt;0,0,WWWW[[#This Row],[Total required water points]]-WWWW[[#This Row],['#Water points coverage]])</f>
        <v>0.66199999999999992</v>
      </c>
      <c r="BF121" s="238">
        <f>ROUND(IF(WWWW[[#This Row],[Total PoP ]]&lt;500,1,WWWW[[#This Row],[Total PoP ]]/500),0)</f>
        <v>1</v>
      </c>
      <c r="BG121" s="238" t="str">
        <f>IF(AND(WWWW[[#This Row],[%of Water samples which passed at water source]]="no test",WWWW[[#This Row],[%Water samples which passed at HH]]="no test"),"No Test","Tested")</f>
        <v>No Test</v>
      </c>
      <c r="BH121" s="238">
        <f>WWWW[[#This Row],['# Existing functional latrines]]+WWWW[[#This Row],['# Existing latrines dysfunctional]]</f>
        <v>14</v>
      </c>
      <c r="BI121" s="235">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1</v>
      </c>
      <c r="BJ121" s="675">
        <f>WWWW[[#This Row],[% people access to functioning Latrine]]*WWWW[[#This Row],[Total PoP ]]</f>
        <v>169</v>
      </c>
      <c r="BK121" s="235">
        <f>IF(WWWW[[#This Row],[Location Type 1]]="camp",WWWW[[#This Row],['# potential required new latrines]]/(WWWW[[#This Row],[Total PoP ]]/20),WWWW[[#This Row],['# potential required new latrines]]/(WWWW[[#This Row],[Total PoP ]]/6))</f>
        <v>0</v>
      </c>
      <c r="BL121" s="414">
        <f>IF(WWWW[[#This Row],[Total required Latrines]]-WWWW[[#This Row],[Total '# of latrine]]&lt;0,0,WWWW[[#This Row],[Total required Latrines]]-WWWW[[#This Row],[Total '# of latrine]])</f>
        <v>0</v>
      </c>
      <c r="BM121" s="238">
        <f>ROUND(IF(WWWW[[#This Row],[Location Type 1]]="camp",WWWW[[#This Row],[Total PoP ]]/20,WWWW[[#This Row],[Total PoP ]]/6),0)</f>
        <v>8</v>
      </c>
      <c r="BN121" s="239">
        <f>IF(OR(WWWW[[#This Row],['# Existing latrines dysfunctional]]="",WWWW[[#This Row],['# Existing latrines dysfunctional]]=0),0,WWWW[[#This Row],['# Existing latrines dysfunctional]]/WWWW[[#This Row],[Total '# of latrine]])</f>
        <v>0</v>
      </c>
      <c r="BO121" s="675">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P121" s="235">
        <f>WWWW[[#This Row],[People adopt basic personal and community hygiene practices]]/WWWW[[#This Row],[Total PoP ]]</f>
        <v>1</v>
      </c>
      <c r="BQ121" s="239">
        <f>1-WWWW[[#This Row],[Hygiene Coverage%]]</f>
        <v>0</v>
      </c>
      <c r="BR121" s="414">
        <f>IF(500*WWWW[[#This Row],['# Hygiene Promoters ]]&gt;WWWW[[#This Row],[Total PoP ]],WWWW[[#This Row],[Total PoP ]],500*WWWW[[#This Row],['# Hygiene Promoters ]])</f>
        <v>169</v>
      </c>
      <c r="BS121" s="414">
        <f>IF(WWWW[[#This Row],[% of HH with access to Sanitary Pad]]&gt;=100%,1,0)</f>
        <v>1</v>
      </c>
      <c r="BT121" s="414">
        <f>IF(WWWW[[#This Row],[Total PoP ]]=0,0,IF(WWWW[[#This Row],['# Hygiene Promoters ]]=0,0,IF(WWWW[[#This Row],[Location Type 1]]="Village",IF(WWWW[[#This Row],[Total PoP ]]/WWWW[[#This Row],['# Hygiene Promoters ]]&lt;1000,1,0),IF(WWWW[[#This Row],[Total PoP ]]/WWWW[[#This Row],['# Hygiene Promoters ]]&lt;600,1,0))))</f>
        <v>1</v>
      </c>
      <c r="BU121" s="414">
        <f>IF(WWWW[[#This Row],[%HH with access to soap]]&gt;=100%,1,0)</f>
        <v>1</v>
      </c>
      <c r="BV121" s="414">
        <f>IF(WWWW[[#This Row],[% of HHs with access to Sanitary pad more than '#%]]+WWWW[[#This Row],[Ratio of Hyiene promoters to people less than '#]]+WWWW[[#This Row],[% of HHs with access to soap more than '#%]]&gt;=2,WWWW[[#This Row],[Total PoP ]],0)</f>
        <v>169</v>
      </c>
      <c r="BW121" s="346">
        <f>WWWW[[#This Row],['# people reached by regular dedicated hygiene promotion_5]]/WWWW[[#This Row],[Total PoP ]]</f>
        <v>1</v>
      </c>
      <c r="BX121" s="346">
        <f>IF(WWWW[[#This Row],['# HH received soaps]]/WWWW[[#This Row],[Total HH]]&gt;1,1,WWWW[[#This Row],['# HH received soaps]]/WWWW[[#This Row],[Total HH]])</f>
        <v>1</v>
      </c>
      <c r="BY121" s="346">
        <f>IF(WWWW[[#This Row],['# HH received Sanitary Pads]]/WWWW[[#This Row],[Total HH]]&gt;1,1,WWWW[[#This Row],['# HH received Sanitary Pads]]/WWWW[[#This Row],[Total HH]])</f>
        <v>1</v>
      </c>
      <c r="BZ121" s="720">
        <f>WWWW[[#This Row],['# HH received soaps]]*5</f>
        <v>165</v>
      </c>
      <c r="CA121" s="720">
        <f>WWWW[[#This Row],['# HH received Sanitary Pads]]*5</f>
        <v>165</v>
      </c>
      <c r="CB121" s="238">
        <f>IF(WWWW[[#This Row],['# People with access to soap]]&gt;WWWW[[#This Row],['# People with access to Sanity Pads]],WWWW[[#This Row],['# People with access to soap]],WWWW[[#This Row],['# People with access to Sanity Pads]])</f>
        <v>165</v>
      </c>
      <c r="CC121" s="414">
        <f>WWWW[[#This Row],[Total HH]]*WWWW[[#This Row],[%HHs with access to functional hand washing stations]]</f>
        <v>33</v>
      </c>
      <c r="CD121" s="240" t="str">
        <f>VLOOKUP(WWWW[[#This Row],[Site Name]],SiteDB6[],8,FALSE)</f>
        <v>Yes</v>
      </c>
      <c r="CE121" s="240" t="str">
        <f>VLOOKUP(WWWW[[#This Row],[Site Name]],SiteDB6[],9,FALSE)</f>
        <v>KMSS-BMO</v>
      </c>
      <c r="CF121" s="240" t="str">
        <f>VLOOKUP(WWWW[[#This Row],[Site Name]],SiteDB6[],10,FALSE)</f>
        <v>Camp</v>
      </c>
      <c r="CG121" s="240" t="str">
        <f>VLOOKUP(WWWW[[#This Row],[Site Name]],SiteDB6[],11,FALSE)</f>
        <v>Camp</v>
      </c>
      <c r="CH121" s="240" t="str">
        <f>VLOOKUP(WWWW[[#This Row],[Site Name]],SiteDB6[],12,FALSE)</f>
        <v>Camp</v>
      </c>
      <c r="CI121" s="240" t="str">
        <f>VLOOKUP(WWWW[[#This Row],[Site Name]],SiteDB6[],13,FALSE)</f>
        <v>GCA</v>
      </c>
      <c r="CJ121" s="240">
        <f>VLOOKUP(WWWW[[#This Row],[Site Name]],SiteDB6[],14,FALSE)</f>
        <v>24.200367</v>
      </c>
      <c r="CK121" s="240">
        <f>VLOOKUP(WWWW[[#This Row],[Site Name]],SiteDB6[],15,FALSE)</f>
        <v>96.807353000000006</v>
      </c>
      <c r="CL121" s="240" t="str">
        <f>VLOOKUP(WWWW[[#This Row],[Site Name]],SiteDB6[],4,FALSE)</f>
        <v>MMR001CMP068</v>
      </c>
      <c r="CM121" s="235" t="str">
        <f t="shared" si="1"/>
        <v>Covered</v>
      </c>
      <c r="CN121" s="235"/>
    </row>
    <row r="122" spans="1:92" ht="15.75" customHeight="1" x14ac:dyDescent="0.25">
      <c r="A122" s="232" t="s">
        <v>1409</v>
      </c>
      <c r="B122" s="533" t="s">
        <v>297</v>
      </c>
      <c r="C122" s="533" t="s">
        <v>44</v>
      </c>
      <c r="D122" s="533" t="s">
        <v>315</v>
      </c>
      <c r="E122" s="533" t="s">
        <v>325</v>
      </c>
      <c r="F122" s="233">
        <v>91</v>
      </c>
      <c r="G122" s="414">
        <v>501</v>
      </c>
      <c r="H122" s="233"/>
      <c r="I122" s="233" t="s">
        <v>300</v>
      </c>
      <c r="J122" s="234">
        <v>43555</v>
      </c>
      <c r="K122" s="233">
        <v>0</v>
      </c>
      <c r="L122" s="233" t="s">
        <v>48</v>
      </c>
      <c r="M122" s="235">
        <v>0.6</v>
      </c>
      <c r="N122" s="235">
        <v>0.5</v>
      </c>
      <c r="O122" s="609">
        <v>1</v>
      </c>
      <c r="P122" s="615">
        <v>1</v>
      </c>
      <c r="Q122" s="615">
        <v>0</v>
      </c>
      <c r="R122" s="604">
        <v>0</v>
      </c>
      <c r="S122" s="604">
        <v>0</v>
      </c>
      <c r="T122" s="604">
        <v>0</v>
      </c>
      <c r="U122" s="604">
        <v>0</v>
      </c>
      <c r="V122" s="604">
        <v>0</v>
      </c>
      <c r="W122" s="604">
        <v>0</v>
      </c>
      <c r="X122" s="604">
        <v>0</v>
      </c>
      <c r="Y122" s="604"/>
      <c r="Z122" s="628">
        <v>17</v>
      </c>
      <c r="AA122" s="628">
        <v>0</v>
      </c>
      <c r="AB122" s="629">
        <v>0</v>
      </c>
      <c r="AC122" s="628">
        <v>0</v>
      </c>
      <c r="AD122" s="628" t="s">
        <v>293</v>
      </c>
      <c r="AE122" s="631" t="s">
        <v>293</v>
      </c>
      <c r="AF122" s="631"/>
      <c r="AG122" s="628"/>
      <c r="AH122" s="628"/>
      <c r="AI122" s="659">
        <v>0.6</v>
      </c>
      <c r="AJ122" s="644" t="s">
        <v>301</v>
      </c>
      <c r="AK122" s="644">
        <v>0</v>
      </c>
      <c r="AL122" s="645">
        <v>2</v>
      </c>
      <c r="AM122" s="645">
        <v>2</v>
      </c>
      <c r="AN122" s="646">
        <v>0</v>
      </c>
      <c r="AO122" s="647">
        <v>0</v>
      </c>
      <c r="AP122" s="647"/>
      <c r="AQ122" s="658"/>
      <c r="AR122" s="235" t="str">
        <f>IFERROR(WWWW[[#This Row],['# of Water passed at source]]/WWWW[[#This Row],['# of Water tested at source]],"no test")</f>
        <v>no test</v>
      </c>
      <c r="AS122" s="237" t="str">
        <f>IFERROR(WWWW[[#This Row],['# of Water passed at HH]]/WWWW[[#This Row],['# of Water tested at HH]],"no test")</f>
        <v>no test</v>
      </c>
      <c r="AT122" s="237">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U122" s="237">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0.99800399201596801</v>
      </c>
      <c r="AV122" s="237">
        <f>IF(WWWW[[#This Row],[Location Type 1]]="Village",WWWW[[#This Row],[Access to safe drinking water for Village]],WWWW[[#This Row],[Access to safe drinking water for Camp]])</f>
        <v>1</v>
      </c>
      <c r="AW122" s="414">
        <f>WWWW[[#This Row],[%Equitable and continuous access to sufficient quantity of safe drinking water]]*WWWW[[#This Row],[Total PoP ]]</f>
        <v>501</v>
      </c>
      <c r="AX122" s="237">
        <f>IF((WWWW[[#This Row],['# Existing protected/fenced ponds ]]*250)/WWWW[[#This Row],[Total PoP ]]&gt;1,1,WWWW[[#This Row],['# Existing protected/fenced ponds ]]*250/WWWW[[#This Row],[Total PoP ]])</f>
        <v>0</v>
      </c>
      <c r="AY122" s="414">
        <f>WWWW[[#This Row],[Access to unimproved water points]]*WWWW[[#This Row],[Total PoP ]]</f>
        <v>0</v>
      </c>
      <c r="AZ122" s="237">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A122" s="414">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501</v>
      </c>
      <c r="BB122" s="414">
        <f>WWWW[[#This Row],['#people Equitable and continuous access to sufficient quantity of domestic water borehole n ponds_2]]/500</f>
        <v>1.002</v>
      </c>
      <c r="BC122" s="235">
        <f>1-WWWW[[#This Row],[%Equitable and continuous access to sufficient quantity of domestic water borehole n ponds]]</f>
        <v>0</v>
      </c>
      <c r="BD122" s="414">
        <f>WWWW[[#This Row],[%equitable and continuous access to sufficient quantity of safe drinking and domestic water''s GAP]]*WWWW[[#This Row],[Total PoP ]]</f>
        <v>0</v>
      </c>
      <c r="BE122" s="238">
        <f>IF(WWWW[[#This Row],[Total required water points]]-WWWW[[#This Row],['#Water points coverage]]&lt;0,0,WWWW[[#This Row],[Total required water points]]-WWWW[[#This Row],['#Water points coverage]])</f>
        <v>0</v>
      </c>
      <c r="BF122" s="238">
        <f>ROUND(IF(WWWW[[#This Row],[Total PoP ]]&lt;500,1,WWWW[[#This Row],[Total PoP ]]/500),0)</f>
        <v>1</v>
      </c>
      <c r="BG122" s="238" t="str">
        <f>IF(AND(WWWW[[#This Row],[%of Water samples which passed at water source]]="no test",WWWW[[#This Row],[%Water samples which passed at HH]]="no test"),"No Test","Tested")</f>
        <v>No Test</v>
      </c>
      <c r="BH122" s="238">
        <f>WWWW[[#This Row],['# Existing functional latrines]]+WWWW[[#This Row],['# Existing latrines dysfunctional]]</f>
        <v>17</v>
      </c>
      <c r="BI122" s="235">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0.67864271457085823</v>
      </c>
      <c r="BJ122" s="675">
        <f>WWWW[[#This Row],[% people access to functioning Latrine]]*WWWW[[#This Row],[Total PoP ]]</f>
        <v>340</v>
      </c>
      <c r="BK122" s="235">
        <f>IF(WWWW[[#This Row],[Location Type 1]]="camp",WWWW[[#This Row],['# potential required new latrines]]/(WWWW[[#This Row],[Total PoP ]]/20),WWWW[[#This Row],['# potential required new latrines]]/(WWWW[[#This Row],[Total PoP ]]/6))</f>
        <v>0.31936127744510978</v>
      </c>
      <c r="BL122" s="414">
        <f>IF(WWWW[[#This Row],[Total required Latrines]]-WWWW[[#This Row],[Total '# of latrine]]&lt;0,0,WWWW[[#This Row],[Total required Latrines]]-WWWW[[#This Row],[Total '# of latrine]])</f>
        <v>8</v>
      </c>
      <c r="BM122" s="238">
        <f>ROUND(IF(WWWW[[#This Row],[Location Type 1]]="camp",WWWW[[#This Row],[Total PoP ]]/20,WWWW[[#This Row],[Total PoP ]]/6),0)</f>
        <v>25</v>
      </c>
      <c r="BN122" s="239">
        <f>IF(OR(WWWW[[#This Row],['# Existing latrines dysfunctional]]="",WWWW[[#This Row],['# Existing latrines dysfunctional]]=0),0,WWWW[[#This Row],['# Existing latrines dysfunctional]]/WWWW[[#This Row],[Total '# of latrine]])</f>
        <v>0</v>
      </c>
      <c r="BO122" s="675">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P122" s="235">
        <f>WWWW[[#This Row],[People adopt basic personal and community hygiene practices]]/WWWW[[#This Row],[Total PoP ]]</f>
        <v>0</v>
      </c>
      <c r="BQ122" s="239">
        <f>1-WWWW[[#This Row],[Hygiene Coverage%]]</f>
        <v>1</v>
      </c>
      <c r="BR122" s="414">
        <f>IF(500*WWWW[[#This Row],['# Hygiene Promoters ]]&gt;WWWW[[#This Row],[Total PoP ]],WWWW[[#This Row],[Total PoP ]],500*WWWW[[#This Row],['# Hygiene Promoters ]])</f>
        <v>501</v>
      </c>
      <c r="BS122" s="414">
        <f>IF(WWWW[[#This Row],[% of HH with access to Sanitary Pad]]&gt;=100%,1,0)</f>
        <v>0</v>
      </c>
      <c r="BT122" s="414">
        <f>IF(WWWW[[#This Row],[Total PoP ]]=0,0,IF(WWWW[[#This Row],['# Hygiene Promoters ]]=0,0,IF(WWWW[[#This Row],[Location Type 1]]="Village",IF(WWWW[[#This Row],[Total PoP ]]/WWWW[[#This Row],['# Hygiene Promoters ]]&lt;1000,1,0),IF(WWWW[[#This Row],[Total PoP ]]/WWWW[[#This Row],['# Hygiene Promoters ]]&lt;600,1,0))))</f>
        <v>1</v>
      </c>
      <c r="BU122" s="414">
        <f>IF(WWWW[[#This Row],[%HH with access to soap]]&gt;=100%,1,0)</f>
        <v>0</v>
      </c>
      <c r="BV122" s="414">
        <f>IF(WWWW[[#This Row],[% of HHs with access to Sanitary pad more than '#%]]+WWWW[[#This Row],[Ratio of Hyiene promoters to people less than '#]]+WWWW[[#This Row],[% of HHs with access to soap more than '#%]]&gt;=2,WWWW[[#This Row],[Total PoP ]],0)</f>
        <v>0</v>
      </c>
      <c r="BW122" s="346">
        <f>WWWW[[#This Row],['# people reached by regular dedicated hygiene promotion_5]]/WWWW[[#This Row],[Total PoP ]]</f>
        <v>1</v>
      </c>
      <c r="BX122" s="346">
        <f>IF(WWWW[[#This Row],['# HH received soaps]]/WWWW[[#This Row],[Total HH]]&gt;1,1,WWWW[[#This Row],['# HH received soaps]]/WWWW[[#This Row],[Total HH]])</f>
        <v>0</v>
      </c>
      <c r="BY122" s="346">
        <f>IF(WWWW[[#This Row],['# HH received Sanitary Pads]]/WWWW[[#This Row],[Total HH]]&gt;1,1,WWWW[[#This Row],['# HH received Sanitary Pads]]/WWWW[[#This Row],[Total HH]])</f>
        <v>0</v>
      </c>
      <c r="BZ122" s="720">
        <f>WWWW[[#This Row],['# HH received soaps]]*5</f>
        <v>0</v>
      </c>
      <c r="CA122" s="720">
        <f>WWWW[[#This Row],['# HH received Sanitary Pads]]*5</f>
        <v>0</v>
      </c>
      <c r="CB122" s="238">
        <f>IF(WWWW[[#This Row],['# People with access to soap]]&gt;WWWW[[#This Row],['# People with access to Sanity Pads]],WWWW[[#This Row],['# People with access to soap]],WWWW[[#This Row],['# People with access to Sanity Pads]])</f>
        <v>0</v>
      </c>
      <c r="CC122" s="414">
        <f>WWWW[[#This Row],[Total HH]]*WWWW[[#This Row],[%HHs with access to functional hand washing stations]]</f>
        <v>54.6</v>
      </c>
      <c r="CD122" s="240" t="str">
        <f>VLOOKUP(WWWW[[#This Row],[Site Name]],SiteDB6[],8,FALSE)</f>
        <v>Yes</v>
      </c>
      <c r="CE122" s="240" t="str">
        <f>VLOOKUP(WWWW[[#This Row],[Site Name]],SiteDB6[],9,FALSE)</f>
        <v>KBC</v>
      </c>
      <c r="CF122" s="240" t="str">
        <f>VLOOKUP(WWWW[[#This Row],[Site Name]],SiteDB6[],10,FALSE)</f>
        <v>Camp</v>
      </c>
      <c r="CG122" s="240" t="str">
        <f>VLOOKUP(WWWW[[#This Row],[Site Name]],SiteDB6[],11,FALSE)</f>
        <v>Camp</v>
      </c>
      <c r="CH122" s="240" t="str">
        <f>VLOOKUP(WWWW[[#This Row],[Site Name]],SiteDB6[],12,FALSE)</f>
        <v>Camp</v>
      </c>
      <c r="CI122" s="240" t="str">
        <f>VLOOKUP(WWWW[[#This Row],[Site Name]],SiteDB6[],13,FALSE)</f>
        <v>GCA</v>
      </c>
      <c r="CJ122" s="240">
        <f>VLOOKUP(WWWW[[#This Row],[Site Name]],SiteDB6[],14,FALSE)</f>
        <v>25.440928</v>
      </c>
      <c r="CK122" s="240">
        <f>VLOOKUP(WWWW[[#This Row],[Site Name]],SiteDB6[],15,FALSE)</f>
        <v>97.419403000000003</v>
      </c>
      <c r="CL122" s="240" t="str">
        <f>VLOOKUP(WWWW[[#This Row],[Site Name]],SiteDB6[],4,FALSE)</f>
        <v>MMR001CMP009</v>
      </c>
      <c r="CM122" s="235" t="str">
        <f t="shared" si="1"/>
        <v>Covered</v>
      </c>
      <c r="CN122" s="235"/>
    </row>
    <row r="123" spans="1:92" ht="15.75" customHeight="1" x14ac:dyDescent="0.25">
      <c r="A123" s="232" t="s">
        <v>1409</v>
      </c>
      <c r="B123" s="533" t="s">
        <v>43</v>
      </c>
      <c r="C123" s="533" t="s">
        <v>44</v>
      </c>
      <c r="D123" s="533" t="s">
        <v>313</v>
      </c>
      <c r="E123" s="533" t="s">
        <v>396</v>
      </c>
      <c r="F123" s="233">
        <v>11</v>
      </c>
      <c r="G123" s="414">
        <v>50</v>
      </c>
      <c r="H123" s="233"/>
      <c r="I123" s="233" t="s">
        <v>382</v>
      </c>
      <c r="J123" s="234">
        <v>43465</v>
      </c>
      <c r="K123" s="233">
        <v>0</v>
      </c>
      <c r="L123" s="233" t="s">
        <v>48</v>
      </c>
      <c r="M123" s="235">
        <v>0.3</v>
      </c>
      <c r="N123" s="235">
        <v>0.6</v>
      </c>
      <c r="O123" s="609">
        <v>1</v>
      </c>
      <c r="P123" s="615">
        <v>1</v>
      </c>
      <c r="Q123" s="615">
        <v>4000</v>
      </c>
      <c r="R123" s="604">
        <v>0</v>
      </c>
      <c r="S123" s="604">
        <v>0</v>
      </c>
      <c r="T123" s="604">
        <v>0</v>
      </c>
      <c r="U123" s="604">
        <v>0</v>
      </c>
      <c r="V123" s="604">
        <v>0</v>
      </c>
      <c r="W123" s="604">
        <v>0</v>
      </c>
      <c r="X123" s="604">
        <v>0</v>
      </c>
      <c r="Y123" s="604" t="s">
        <v>2604</v>
      </c>
      <c r="Z123" s="628">
        <v>2</v>
      </c>
      <c r="AA123" s="628">
        <v>0</v>
      </c>
      <c r="AB123" s="629">
        <v>0</v>
      </c>
      <c r="AC123" s="628">
        <v>4</v>
      </c>
      <c r="AD123" s="628" t="s">
        <v>293</v>
      </c>
      <c r="AE123" s="631" t="s">
        <v>1379</v>
      </c>
      <c r="AF123" s="631">
        <v>0</v>
      </c>
      <c r="AG123" s="628">
        <v>0</v>
      </c>
      <c r="AH123" s="628"/>
      <c r="AI123" s="659">
        <v>0</v>
      </c>
      <c r="AJ123" s="650" t="s">
        <v>386</v>
      </c>
      <c r="AK123" s="644">
        <v>0</v>
      </c>
      <c r="AL123" s="645">
        <v>1</v>
      </c>
      <c r="AM123" s="645">
        <v>1</v>
      </c>
      <c r="AN123" s="646">
        <v>0</v>
      </c>
      <c r="AO123" s="647">
        <v>0</v>
      </c>
      <c r="AP123" s="647" t="s">
        <v>292</v>
      </c>
      <c r="AQ123" s="658"/>
      <c r="AR123" s="235" t="str">
        <f>IFERROR(WWWW[[#This Row],['# of Water passed at source]]/WWWW[[#This Row],['# of Water tested at source]],"no test")</f>
        <v>no test</v>
      </c>
      <c r="AS123" s="237" t="str">
        <f>IFERROR(WWWW[[#This Row],['# of Water passed at HH]]/WWWW[[#This Row],['# of Water tested at HH]],"no test")</f>
        <v>no test</v>
      </c>
      <c r="AT123" s="237">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U123" s="237">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AV123" s="237">
        <f>IF(WWWW[[#This Row],[Location Type 1]]="Village",WWWW[[#This Row],[Access to safe drinking water for Village]],WWWW[[#This Row],[Access to safe drinking water for Camp]])</f>
        <v>1</v>
      </c>
      <c r="AW123" s="414">
        <f>WWWW[[#This Row],[%Equitable and continuous access to sufficient quantity of safe drinking water]]*WWWW[[#This Row],[Total PoP ]]</f>
        <v>50</v>
      </c>
      <c r="AX123" s="237">
        <f>IF((WWWW[[#This Row],['# Existing protected/fenced ponds ]]*250)/WWWW[[#This Row],[Total PoP ]]&gt;1,1,WWWW[[#This Row],['# Existing protected/fenced ponds ]]*250/WWWW[[#This Row],[Total PoP ]])</f>
        <v>0</v>
      </c>
      <c r="AY123" s="414">
        <f>WWWW[[#This Row],[Access to unimproved water points]]*WWWW[[#This Row],[Total PoP ]]</f>
        <v>0</v>
      </c>
      <c r="AZ123" s="237">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A123" s="414">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50</v>
      </c>
      <c r="BB123" s="414">
        <f>WWWW[[#This Row],['#people Equitable and continuous access to sufficient quantity of domestic water borehole n ponds_2]]/500</f>
        <v>0.1</v>
      </c>
      <c r="BC123" s="235">
        <f>1-WWWW[[#This Row],[%Equitable and continuous access to sufficient quantity of domestic water borehole n ponds]]</f>
        <v>0</v>
      </c>
      <c r="BD123" s="414">
        <f>WWWW[[#This Row],[%equitable and continuous access to sufficient quantity of safe drinking and domestic water''s GAP]]*WWWW[[#This Row],[Total PoP ]]</f>
        <v>0</v>
      </c>
      <c r="BE123" s="238">
        <f>IF(WWWW[[#This Row],[Total required water points]]-WWWW[[#This Row],['#Water points coverage]]&lt;0,0,WWWW[[#This Row],[Total required water points]]-WWWW[[#This Row],['#Water points coverage]])</f>
        <v>0.9</v>
      </c>
      <c r="BF123" s="238">
        <f>ROUND(IF(WWWW[[#This Row],[Total PoP ]]&lt;500,1,WWWW[[#This Row],[Total PoP ]]/500),0)</f>
        <v>1</v>
      </c>
      <c r="BG123" s="238" t="str">
        <f>IF(AND(WWWW[[#This Row],[%of Water samples which passed at water source]]="no test",WWWW[[#This Row],[%Water samples which passed at HH]]="no test"),"No Test","Tested")</f>
        <v>No Test</v>
      </c>
      <c r="BH123" s="238">
        <f>WWWW[[#This Row],['# Existing functional latrines]]+WWWW[[#This Row],['# Existing latrines dysfunctional]]</f>
        <v>2</v>
      </c>
      <c r="BI123" s="235">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0.8</v>
      </c>
      <c r="BJ123" s="675">
        <f>WWWW[[#This Row],[% people access to functioning Latrine]]*WWWW[[#This Row],[Total PoP ]]</f>
        <v>40</v>
      </c>
      <c r="BK123" s="235">
        <f>IF(WWWW[[#This Row],[Location Type 1]]="camp",WWWW[[#This Row],['# potential required new latrines]]/(WWWW[[#This Row],[Total PoP ]]/20),WWWW[[#This Row],['# potential required new latrines]]/(WWWW[[#This Row],[Total PoP ]]/6))</f>
        <v>0.4</v>
      </c>
      <c r="BL123" s="414">
        <f>IF(WWWW[[#This Row],[Total required Latrines]]-WWWW[[#This Row],[Total '# of latrine]]&lt;0,0,WWWW[[#This Row],[Total required Latrines]]-WWWW[[#This Row],[Total '# of latrine]])</f>
        <v>1</v>
      </c>
      <c r="BM123" s="238">
        <f>ROUND(IF(WWWW[[#This Row],[Location Type 1]]="camp",WWWW[[#This Row],[Total PoP ]]/20,WWWW[[#This Row],[Total PoP ]]/6),0)</f>
        <v>3</v>
      </c>
      <c r="BN123" s="239">
        <f>IF(OR(WWWW[[#This Row],['# Existing latrines dysfunctional]]="",WWWW[[#This Row],['# Existing latrines dysfunctional]]=0),0,WWWW[[#This Row],['# Existing latrines dysfunctional]]/WWWW[[#This Row],[Total '# of latrine]])</f>
        <v>0</v>
      </c>
      <c r="BO123" s="675">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P123" s="235">
        <f>WWWW[[#This Row],[People adopt basic personal and community hygiene practices]]/WWWW[[#This Row],[Total PoP ]]</f>
        <v>0</v>
      </c>
      <c r="BQ123" s="239">
        <f>1-WWWW[[#This Row],[Hygiene Coverage%]]</f>
        <v>1</v>
      </c>
      <c r="BR123" s="414">
        <f>IF(500*WWWW[[#This Row],['# Hygiene Promoters ]]&gt;WWWW[[#This Row],[Total PoP ]],WWWW[[#This Row],[Total PoP ]],500*WWWW[[#This Row],['# Hygiene Promoters ]])</f>
        <v>50</v>
      </c>
      <c r="BS123" s="414">
        <f>IF(WWWW[[#This Row],[% of HH with access to Sanitary Pad]]&gt;=100%,1,0)</f>
        <v>0</v>
      </c>
      <c r="BT123" s="414">
        <f>IF(WWWW[[#This Row],[Total PoP ]]=0,0,IF(WWWW[[#This Row],['# Hygiene Promoters ]]=0,0,IF(WWWW[[#This Row],[Location Type 1]]="Village",IF(WWWW[[#This Row],[Total PoP ]]/WWWW[[#This Row],['# Hygiene Promoters ]]&lt;1000,1,0),IF(WWWW[[#This Row],[Total PoP ]]/WWWW[[#This Row],['# Hygiene Promoters ]]&lt;600,1,0))))</f>
        <v>1</v>
      </c>
      <c r="BU123" s="414">
        <f>IF(WWWW[[#This Row],[%HH with access to soap]]&gt;=100%,1,0)</f>
        <v>0</v>
      </c>
      <c r="BV123" s="414">
        <f>IF(WWWW[[#This Row],[% of HHs with access to Sanitary pad more than '#%]]+WWWW[[#This Row],[Ratio of Hyiene promoters to people less than '#]]+WWWW[[#This Row],[% of HHs with access to soap more than '#%]]&gt;=2,WWWW[[#This Row],[Total PoP ]],0)</f>
        <v>0</v>
      </c>
      <c r="BW123" s="346">
        <f>WWWW[[#This Row],['# people reached by regular dedicated hygiene promotion_5]]/WWWW[[#This Row],[Total PoP ]]</f>
        <v>1</v>
      </c>
      <c r="BX123" s="346">
        <f>IF(WWWW[[#This Row],['# HH received soaps]]/WWWW[[#This Row],[Total HH]]&gt;1,1,WWWW[[#This Row],['# HH received soaps]]/WWWW[[#This Row],[Total HH]])</f>
        <v>0</v>
      </c>
      <c r="BY123" s="346">
        <f>IF(WWWW[[#This Row],['# HH received Sanitary Pads]]/WWWW[[#This Row],[Total HH]]&gt;1,1,WWWW[[#This Row],['# HH received Sanitary Pads]]/WWWW[[#This Row],[Total HH]])</f>
        <v>0</v>
      </c>
      <c r="BZ123" s="720">
        <f>WWWW[[#This Row],['# HH received soaps]]*5</f>
        <v>0</v>
      </c>
      <c r="CA123" s="720">
        <f>WWWW[[#This Row],['# HH received Sanitary Pads]]*5</f>
        <v>0</v>
      </c>
      <c r="CB123" s="238">
        <f>IF(WWWW[[#This Row],['# People with access to soap]]&gt;WWWW[[#This Row],['# People with access to Sanity Pads]],WWWW[[#This Row],['# People with access to soap]],WWWW[[#This Row],['# People with access to Sanity Pads]])</f>
        <v>0</v>
      </c>
      <c r="CC123" s="414">
        <f>WWWW[[#This Row],[Total HH]]*WWWW[[#This Row],[%HHs with access to functional hand washing stations]]</f>
        <v>0</v>
      </c>
      <c r="CD123" s="240" t="str">
        <f>VLOOKUP(WWWW[[#This Row],[Site Name]],SiteDB6[],8,FALSE)</f>
        <v>Yes</v>
      </c>
      <c r="CE123" s="240" t="str">
        <f>VLOOKUP(WWWW[[#This Row],[Site Name]],SiteDB6[],9,FALSE)</f>
        <v>KMSS-MYT</v>
      </c>
      <c r="CF123" s="240" t="str">
        <f>VLOOKUP(WWWW[[#This Row],[Site Name]],SiteDB6[],10,FALSE)</f>
        <v>Camp</v>
      </c>
      <c r="CG123" s="240" t="str">
        <f>VLOOKUP(WWWW[[#This Row],[Site Name]],SiteDB6[],11,FALSE)</f>
        <v>Camp</v>
      </c>
      <c r="CH123" s="240" t="str">
        <f>VLOOKUP(WWWW[[#This Row],[Site Name]],SiteDB6[],12,FALSE)</f>
        <v>Camp</v>
      </c>
      <c r="CI123" s="240" t="str">
        <f>VLOOKUP(WWWW[[#This Row],[Site Name]],SiteDB6[],13,FALSE)</f>
        <v>GCA</v>
      </c>
      <c r="CJ123" s="240">
        <f>VLOOKUP(WWWW[[#This Row],[Site Name]],SiteDB6[],14,FALSE)</f>
        <v>24.764800000000001</v>
      </c>
      <c r="CK123" s="240">
        <f>VLOOKUP(WWWW[[#This Row],[Site Name]],SiteDB6[],15,FALSE)</f>
        <v>96.367059999999995</v>
      </c>
      <c r="CL123" s="240" t="str">
        <f>VLOOKUP(WWWW[[#This Row],[Site Name]],SiteDB6[],4,FALSE)</f>
        <v>MMR001CMP080</v>
      </c>
      <c r="CM123" s="235" t="str">
        <f t="shared" si="1"/>
        <v>Covered</v>
      </c>
      <c r="CN123" s="235"/>
    </row>
    <row r="124" spans="1:92" ht="15.75" customHeight="1" x14ac:dyDescent="0.25">
      <c r="A124" s="232" t="s">
        <v>1409</v>
      </c>
      <c r="B124" s="533" t="s">
        <v>43</v>
      </c>
      <c r="C124" s="533" t="s">
        <v>44</v>
      </c>
      <c r="D124" s="533" t="s">
        <v>1330</v>
      </c>
      <c r="E124" s="533" t="s">
        <v>1329</v>
      </c>
      <c r="F124" s="233">
        <v>42</v>
      </c>
      <c r="G124" s="414">
        <v>205</v>
      </c>
      <c r="H124" s="233"/>
      <c r="I124" s="233" t="s">
        <v>398</v>
      </c>
      <c r="J124" s="234">
        <v>43465</v>
      </c>
      <c r="K124" s="233">
        <v>0</v>
      </c>
      <c r="L124" s="233" t="s">
        <v>48</v>
      </c>
      <c r="M124" s="235">
        <v>0.2</v>
      </c>
      <c r="N124" s="235">
        <v>0.2</v>
      </c>
      <c r="O124" s="609">
        <v>0</v>
      </c>
      <c r="P124" s="615">
        <v>0</v>
      </c>
      <c r="Q124" s="615">
        <v>2000</v>
      </c>
      <c r="R124" s="604">
        <v>0</v>
      </c>
      <c r="S124" s="604">
        <v>0</v>
      </c>
      <c r="T124" s="604">
        <v>0</v>
      </c>
      <c r="U124" s="604">
        <v>0</v>
      </c>
      <c r="V124" s="604">
        <v>0</v>
      </c>
      <c r="W124" s="604">
        <v>0</v>
      </c>
      <c r="X124" s="604">
        <v>0</v>
      </c>
      <c r="Y124" s="604" t="s">
        <v>2606</v>
      </c>
      <c r="Z124" s="628">
        <v>2</v>
      </c>
      <c r="AA124" s="628">
        <v>0</v>
      </c>
      <c r="AB124" s="629">
        <v>0</v>
      </c>
      <c r="AC124" s="628">
        <v>0</v>
      </c>
      <c r="AD124" s="628" t="s">
        <v>293</v>
      </c>
      <c r="AE124" s="631" t="s">
        <v>1379</v>
      </c>
      <c r="AF124" s="631">
        <v>0</v>
      </c>
      <c r="AG124" s="628">
        <v>0</v>
      </c>
      <c r="AH124" s="628"/>
      <c r="AI124" s="659">
        <v>0</v>
      </c>
      <c r="AJ124" s="650" t="s">
        <v>386</v>
      </c>
      <c r="AK124" s="644">
        <v>0</v>
      </c>
      <c r="AL124" s="645">
        <v>1</v>
      </c>
      <c r="AM124" s="645">
        <v>2</v>
      </c>
      <c r="AN124" s="646">
        <v>0</v>
      </c>
      <c r="AO124" s="647">
        <v>0</v>
      </c>
      <c r="AP124" s="647" t="s">
        <v>292</v>
      </c>
      <c r="AQ124" s="658"/>
      <c r="AR124" s="235" t="str">
        <f>IFERROR(WWWW[[#This Row],['# of Water passed at source]]/WWWW[[#This Row],['# of Water tested at source]],"no test")</f>
        <v>no test</v>
      </c>
      <c r="AS124" s="237" t="str">
        <f>IFERROR(WWWW[[#This Row],['# of Water passed at HH]]/WWWW[[#This Row],['# of Water tested at HH]],"no test")</f>
        <v>no test</v>
      </c>
      <c r="AT124" s="237">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0.65040650406504075</v>
      </c>
      <c r="AU124" s="237">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0.65040650406504075</v>
      </c>
      <c r="AV124" s="237">
        <f>IF(WWWW[[#This Row],[Location Type 1]]="Village",WWWW[[#This Row],[Access to safe drinking water for Village]],WWWW[[#This Row],[Access to safe drinking water for Camp]])</f>
        <v>0.65040650406504075</v>
      </c>
      <c r="AW124" s="414">
        <f>WWWW[[#This Row],[%Equitable and continuous access to sufficient quantity of safe drinking water]]*WWWW[[#This Row],[Total PoP ]]</f>
        <v>133.33333333333334</v>
      </c>
      <c r="AX124" s="237">
        <f>IF((WWWW[[#This Row],['# Existing protected/fenced ponds ]]*250)/WWWW[[#This Row],[Total PoP ]]&gt;1,1,WWWW[[#This Row],['# Existing protected/fenced ponds ]]*250/WWWW[[#This Row],[Total PoP ]])</f>
        <v>0</v>
      </c>
      <c r="AY124" s="414">
        <f>WWWW[[#This Row],[Access to unimproved water points]]*WWWW[[#This Row],[Total PoP ]]</f>
        <v>0</v>
      </c>
      <c r="AZ124" s="237">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0.65040650406504075</v>
      </c>
      <c r="BA124" s="414">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133.33333333333334</v>
      </c>
      <c r="BB124" s="414">
        <f>WWWW[[#This Row],['#people Equitable and continuous access to sufficient quantity of domestic water borehole n ponds_2]]/500</f>
        <v>0.26666666666666666</v>
      </c>
      <c r="BC124" s="235">
        <f>1-WWWW[[#This Row],[%Equitable and continuous access to sufficient quantity of domestic water borehole n ponds]]</f>
        <v>0.34959349593495925</v>
      </c>
      <c r="BD124" s="414">
        <f>WWWW[[#This Row],[%equitable and continuous access to sufficient quantity of safe drinking and domestic water''s GAP]]*WWWW[[#This Row],[Total PoP ]]</f>
        <v>71.666666666666643</v>
      </c>
      <c r="BE124" s="238">
        <f>IF(WWWW[[#This Row],[Total required water points]]-WWWW[[#This Row],['#Water points coverage]]&lt;0,0,WWWW[[#This Row],[Total required water points]]-WWWW[[#This Row],['#Water points coverage]])</f>
        <v>0.73333333333333339</v>
      </c>
      <c r="BF124" s="238">
        <f>ROUND(IF(WWWW[[#This Row],[Total PoP ]]&lt;500,1,WWWW[[#This Row],[Total PoP ]]/500),0)</f>
        <v>1</v>
      </c>
      <c r="BG124" s="238" t="str">
        <f>IF(AND(WWWW[[#This Row],[%of Water samples which passed at water source]]="no test",WWWW[[#This Row],[%Water samples which passed at HH]]="no test"),"No Test","Tested")</f>
        <v>No Test</v>
      </c>
      <c r="BH124" s="238">
        <f>WWWW[[#This Row],['# Existing functional latrines]]+WWWW[[#This Row],['# Existing latrines dysfunctional]]</f>
        <v>2</v>
      </c>
      <c r="BI124" s="235">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0.1951219512195122</v>
      </c>
      <c r="BJ124" s="675">
        <f>WWWW[[#This Row],[% people access to functioning Latrine]]*WWWW[[#This Row],[Total PoP ]]</f>
        <v>40</v>
      </c>
      <c r="BK124" s="235">
        <f>IF(WWWW[[#This Row],[Location Type 1]]="camp",WWWW[[#This Row],['# potential required new latrines]]/(WWWW[[#This Row],[Total PoP ]]/20),WWWW[[#This Row],['# potential required new latrines]]/(WWWW[[#This Row],[Total PoP ]]/6))</f>
        <v>0.78048780487804881</v>
      </c>
      <c r="BL124" s="414">
        <f>IF(WWWW[[#This Row],[Total required Latrines]]-WWWW[[#This Row],[Total '# of latrine]]&lt;0,0,WWWW[[#This Row],[Total required Latrines]]-WWWW[[#This Row],[Total '# of latrine]])</f>
        <v>8</v>
      </c>
      <c r="BM124" s="238">
        <f>ROUND(IF(WWWW[[#This Row],[Location Type 1]]="camp",WWWW[[#This Row],[Total PoP ]]/20,WWWW[[#This Row],[Total PoP ]]/6),0)</f>
        <v>10</v>
      </c>
      <c r="BN124" s="239">
        <f>IF(OR(WWWW[[#This Row],['# Existing latrines dysfunctional]]="",WWWW[[#This Row],['# Existing latrines dysfunctional]]=0),0,WWWW[[#This Row],['# Existing latrines dysfunctional]]/WWWW[[#This Row],[Total '# of latrine]])</f>
        <v>0</v>
      </c>
      <c r="BO124" s="675">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P124" s="235">
        <f>WWWW[[#This Row],[People adopt basic personal and community hygiene practices]]/WWWW[[#This Row],[Total PoP ]]</f>
        <v>0</v>
      </c>
      <c r="BQ124" s="239">
        <f>1-WWWW[[#This Row],[Hygiene Coverage%]]</f>
        <v>1</v>
      </c>
      <c r="BR124" s="414">
        <f>IF(500*WWWW[[#This Row],['# Hygiene Promoters ]]&gt;WWWW[[#This Row],[Total PoP ]],WWWW[[#This Row],[Total PoP ]],500*WWWW[[#This Row],['# Hygiene Promoters ]])</f>
        <v>205</v>
      </c>
      <c r="BS124" s="414">
        <f>IF(WWWW[[#This Row],[% of HH with access to Sanitary Pad]]&gt;=100%,1,0)</f>
        <v>0</v>
      </c>
      <c r="BT124" s="414">
        <f>IF(WWWW[[#This Row],[Total PoP ]]=0,0,IF(WWWW[[#This Row],['# Hygiene Promoters ]]=0,0,IF(WWWW[[#This Row],[Location Type 1]]="Village",IF(WWWW[[#This Row],[Total PoP ]]/WWWW[[#This Row],['# Hygiene Promoters ]]&lt;1000,1,0),IF(WWWW[[#This Row],[Total PoP ]]/WWWW[[#This Row],['# Hygiene Promoters ]]&lt;600,1,0))))</f>
        <v>1</v>
      </c>
      <c r="BU124" s="414">
        <f>IF(WWWW[[#This Row],[%HH with access to soap]]&gt;=100%,1,0)</f>
        <v>0</v>
      </c>
      <c r="BV124" s="414">
        <f>IF(WWWW[[#This Row],[% of HHs with access to Sanitary pad more than '#%]]+WWWW[[#This Row],[Ratio of Hyiene promoters to people less than '#]]+WWWW[[#This Row],[% of HHs with access to soap more than '#%]]&gt;=2,WWWW[[#This Row],[Total PoP ]],0)</f>
        <v>0</v>
      </c>
      <c r="BW124" s="346">
        <f>WWWW[[#This Row],['# people reached by regular dedicated hygiene promotion_5]]/WWWW[[#This Row],[Total PoP ]]</f>
        <v>1</v>
      </c>
      <c r="BX124" s="346">
        <f>IF(WWWW[[#This Row],['# HH received soaps]]/WWWW[[#This Row],[Total HH]]&gt;1,1,WWWW[[#This Row],['# HH received soaps]]/WWWW[[#This Row],[Total HH]])</f>
        <v>0</v>
      </c>
      <c r="BY124" s="346">
        <f>IF(WWWW[[#This Row],['# HH received Sanitary Pads]]/WWWW[[#This Row],[Total HH]]&gt;1,1,WWWW[[#This Row],['# HH received Sanitary Pads]]/WWWW[[#This Row],[Total HH]])</f>
        <v>0</v>
      </c>
      <c r="BZ124" s="720">
        <f>WWWW[[#This Row],['# HH received soaps]]*5</f>
        <v>0</v>
      </c>
      <c r="CA124" s="720">
        <f>WWWW[[#This Row],['# HH received Sanitary Pads]]*5</f>
        <v>0</v>
      </c>
      <c r="CB124" s="238">
        <f>IF(WWWW[[#This Row],['# People with access to soap]]&gt;WWWW[[#This Row],['# People with access to Sanity Pads]],WWWW[[#This Row],['# People with access to soap]],WWWW[[#This Row],['# People with access to Sanity Pads]])</f>
        <v>0</v>
      </c>
      <c r="CC124" s="414">
        <f>WWWW[[#This Row],[Total HH]]*WWWW[[#This Row],[%HHs with access to functional hand washing stations]]</f>
        <v>0</v>
      </c>
      <c r="CD124" s="240">
        <f>VLOOKUP(WWWW[[#This Row],[Site Name]],SiteDB6[],8,FALSE)</f>
        <v>0</v>
      </c>
      <c r="CE124" s="240">
        <f>VLOOKUP(WWWW[[#This Row],[Site Name]],SiteDB6[],9,FALSE)</f>
        <v>0</v>
      </c>
      <c r="CF124" s="240" t="str">
        <f>VLOOKUP(WWWW[[#This Row],[Site Name]],SiteDB6[],10,FALSE)</f>
        <v>Camp</v>
      </c>
      <c r="CG124" s="240" t="str">
        <f>VLOOKUP(WWWW[[#This Row],[Site Name]],SiteDB6[],11,FALSE)</f>
        <v>Camp</v>
      </c>
      <c r="CH124" s="240" t="str">
        <f>VLOOKUP(WWWW[[#This Row],[Site Name]],SiteDB6[],12,FALSE)</f>
        <v>Camp like setting</v>
      </c>
      <c r="CI124" s="240" t="str">
        <f>VLOOKUP(WWWW[[#This Row],[Site Name]],SiteDB6[],13,FALSE)</f>
        <v>GCA</v>
      </c>
      <c r="CJ124" s="240">
        <f>VLOOKUP(WWWW[[#This Row],[Site Name]],SiteDB6[],14,FALSE)</f>
        <v>0</v>
      </c>
      <c r="CK124" s="240">
        <f>VLOOKUP(WWWW[[#This Row],[Site Name]],SiteDB6[],15,FALSE)</f>
        <v>0</v>
      </c>
      <c r="CL124" s="240" t="str">
        <f>VLOOKUP(WWWW[[#This Row],[Site Name]],SiteDB6[],4,FALSE)</f>
        <v>MMR001CMP252</v>
      </c>
      <c r="CM124" s="235" t="str">
        <f t="shared" si="1"/>
        <v>Covered</v>
      </c>
      <c r="CN124" s="235"/>
    </row>
    <row r="125" spans="1:92" ht="15.75" customHeight="1" x14ac:dyDescent="0.25">
      <c r="A125" s="232" t="s">
        <v>1409</v>
      </c>
      <c r="B125" s="533" t="s">
        <v>43</v>
      </c>
      <c r="C125" s="533" t="s">
        <v>44</v>
      </c>
      <c r="D125" s="533" t="s">
        <v>1330</v>
      </c>
      <c r="E125" s="533" t="s">
        <v>1332</v>
      </c>
      <c r="F125" s="233">
        <v>36</v>
      </c>
      <c r="G125" s="414">
        <v>152</v>
      </c>
      <c r="H125" s="233"/>
      <c r="I125" s="233" t="s">
        <v>398</v>
      </c>
      <c r="J125" s="234">
        <v>43465</v>
      </c>
      <c r="K125" s="233">
        <v>0</v>
      </c>
      <c r="L125" s="233" t="s">
        <v>48</v>
      </c>
      <c r="M125" s="235">
        <v>0.2</v>
      </c>
      <c r="N125" s="235">
        <v>0.2</v>
      </c>
      <c r="O125" s="609">
        <v>0</v>
      </c>
      <c r="P125" s="615">
        <v>0</v>
      </c>
      <c r="Q125" s="615">
        <v>0</v>
      </c>
      <c r="R125" s="604">
        <v>0</v>
      </c>
      <c r="S125" s="604">
        <v>0</v>
      </c>
      <c r="T125" s="604">
        <v>0</v>
      </c>
      <c r="U125" s="604">
        <v>0</v>
      </c>
      <c r="V125" s="604">
        <v>0</v>
      </c>
      <c r="W125" s="604">
        <v>0</v>
      </c>
      <c r="X125" s="604">
        <v>0</v>
      </c>
      <c r="Y125" s="604" t="s">
        <v>2606</v>
      </c>
      <c r="Z125" s="628">
        <v>2</v>
      </c>
      <c r="AA125" s="628">
        <v>0</v>
      </c>
      <c r="AB125" s="629">
        <v>0</v>
      </c>
      <c r="AC125" s="628">
        <v>0</v>
      </c>
      <c r="AD125" s="628" t="s">
        <v>293</v>
      </c>
      <c r="AE125" s="631" t="s">
        <v>1379</v>
      </c>
      <c r="AF125" s="631">
        <v>0</v>
      </c>
      <c r="AG125" s="628">
        <v>0</v>
      </c>
      <c r="AH125" s="628"/>
      <c r="AI125" s="659">
        <v>0</v>
      </c>
      <c r="AJ125" s="650" t="s">
        <v>386</v>
      </c>
      <c r="AK125" s="644">
        <v>0</v>
      </c>
      <c r="AL125" s="645">
        <v>2</v>
      </c>
      <c r="AM125" s="645">
        <v>1</v>
      </c>
      <c r="AN125" s="646">
        <v>0</v>
      </c>
      <c r="AO125" s="647">
        <v>0</v>
      </c>
      <c r="AP125" s="647" t="s">
        <v>292</v>
      </c>
      <c r="AQ125" s="658"/>
      <c r="AR125" s="235" t="str">
        <f>IFERROR(WWWW[[#This Row],['# of Water passed at source]]/WWWW[[#This Row],['# of Water tested at source]],"no test")</f>
        <v>no test</v>
      </c>
      <c r="AS125" s="237" t="str">
        <f>IFERROR(WWWW[[#This Row],['# of Water passed at HH]]/WWWW[[#This Row],['# of Water tested at HH]],"no test")</f>
        <v>no test</v>
      </c>
      <c r="AT125" s="237">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U125" s="237">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AV125" s="237">
        <f>IF(WWWW[[#This Row],[Location Type 1]]="Village",WWWW[[#This Row],[Access to safe drinking water for Village]],WWWW[[#This Row],[Access to safe drinking water for Camp]])</f>
        <v>0</v>
      </c>
      <c r="AW125" s="414">
        <f>WWWW[[#This Row],[%Equitable and continuous access to sufficient quantity of safe drinking water]]*WWWW[[#This Row],[Total PoP ]]</f>
        <v>0</v>
      </c>
      <c r="AX125" s="237">
        <f>IF((WWWW[[#This Row],['# Existing protected/fenced ponds ]]*250)/WWWW[[#This Row],[Total PoP ]]&gt;1,1,WWWW[[#This Row],['# Existing protected/fenced ponds ]]*250/WWWW[[#This Row],[Total PoP ]])</f>
        <v>0</v>
      </c>
      <c r="AY125" s="414">
        <f>WWWW[[#This Row],[Access to unimproved water points]]*WWWW[[#This Row],[Total PoP ]]</f>
        <v>0</v>
      </c>
      <c r="AZ125" s="237">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A125" s="414">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B125" s="414">
        <f>WWWW[[#This Row],['#people Equitable and continuous access to sufficient quantity of domestic water borehole n ponds_2]]/500</f>
        <v>0</v>
      </c>
      <c r="BC125" s="235">
        <f>1-WWWW[[#This Row],[%Equitable and continuous access to sufficient quantity of domestic water borehole n ponds]]</f>
        <v>1</v>
      </c>
      <c r="BD125" s="414">
        <f>WWWW[[#This Row],[%equitable and continuous access to sufficient quantity of safe drinking and domestic water''s GAP]]*WWWW[[#This Row],[Total PoP ]]</f>
        <v>152</v>
      </c>
      <c r="BE125" s="238">
        <f>IF(WWWW[[#This Row],[Total required water points]]-WWWW[[#This Row],['#Water points coverage]]&lt;0,0,WWWW[[#This Row],[Total required water points]]-WWWW[[#This Row],['#Water points coverage]])</f>
        <v>1</v>
      </c>
      <c r="BF125" s="238">
        <f>ROUND(IF(WWWW[[#This Row],[Total PoP ]]&lt;500,1,WWWW[[#This Row],[Total PoP ]]/500),0)</f>
        <v>1</v>
      </c>
      <c r="BG125" s="238" t="str">
        <f>IF(AND(WWWW[[#This Row],[%of Water samples which passed at water source]]="no test",WWWW[[#This Row],[%Water samples which passed at HH]]="no test"),"No Test","Tested")</f>
        <v>No Test</v>
      </c>
      <c r="BH125" s="238">
        <f>WWWW[[#This Row],['# Existing functional latrines]]+WWWW[[#This Row],['# Existing latrines dysfunctional]]</f>
        <v>2</v>
      </c>
      <c r="BI125" s="235">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0.26315789473684209</v>
      </c>
      <c r="BJ125" s="675">
        <f>WWWW[[#This Row],[% people access to functioning Latrine]]*WWWW[[#This Row],[Total PoP ]]</f>
        <v>40</v>
      </c>
      <c r="BK125" s="235">
        <f>IF(WWWW[[#This Row],[Location Type 1]]="camp",WWWW[[#This Row],['# potential required new latrines]]/(WWWW[[#This Row],[Total PoP ]]/20),WWWW[[#This Row],['# potential required new latrines]]/(WWWW[[#This Row],[Total PoP ]]/6))</f>
        <v>0.78947368421052633</v>
      </c>
      <c r="BL125" s="414">
        <f>IF(WWWW[[#This Row],[Total required Latrines]]-WWWW[[#This Row],[Total '# of latrine]]&lt;0,0,WWWW[[#This Row],[Total required Latrines]]-WWWW[[#This Row],[Total '# of latrine]])</f>
        <v>6</v>
      </c>
      <c r="BM125" s="238">
        <f>ROUND(IF(WWWW[[#This Row],[Location Type 1]]="camp",WWWW[[#This Row],[Total PoP ]]/20,WWWW[[#This Row],[Total PoP ]]/6),0)</f>
        <v>8</v>
      </c>
      <c r="BN125" s="239">
        <f>IF(OR(WWWW[[#This Row],['# Existing latrines dysfunctional]]="",WWWW[[#This Row],['# Existing latrines dysfunctional]]=0),0,WWWW[[#This Row],['# Existing latrines dysfunctional]]/WWWW[[#This Row],[Total '# of latrine]])</f>
        <v>0</v>
      </c>
      <c r="BO125" s="675">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P125" s="235">
        <f>WWWW[[#This Row],[People adopt basic personal and community hygiene practices]]/WWWW[[#This Row],[Total PoP ]]</f>
        <v>0</v>
      </c>
      <c r="BQ125" s="239">
        <f>1-WWWW[[#This Row],[Hygiene Coverage%]]</f>
        <v>1</v>
      </c>
      <c r="BR125" s="414">
        <f>IF(500*WWWW[[#This Row],['# Hygiene Promoters ]]&gt;WWWW[[#This Row],[Total PoP ]],WWWW[[#This Row],[Total PoP ]],500*WWWW[[#This Row],['# Hygiene Promoters ]])</f>
        <v>152</v>
      </c>
      <c r="BS125" s="414">
        <f>IF(WWWW[[#This Row],[% of HH with access to Sanitary Pad]]&gt;=100%,1,0)</f>
        <v>0</v>
      </c>
      <c r="BT125" s="414">
        <f>IF(WWWW[[#This Row],[Total PoP ]]=0,0,IF(WWWW[[#This Row],['# Hygiene Promoters ]]=0,0,IF(WWWW[[#This Row],[Location Type 1]]="Village",IF(WWWW[[#This Row],[Total PoP ]]/WWWW[[#This Row],['# Hygiene Promoters ]]&lt;1000,1,0),IF(WWWW[[#This Row],[Total PoP ]]/WWWW[[#This Row],['# Hygiene Promoters ]]&lt;600,1,0))))</f>
        <v>1</v>
      </c>
      <c r="BU125" s="414">
        <f>IF(WWWW[[#This Row],[%HH with access to soap]]&gt;=100%,1,0)</f>
        <v>0</v>
      </c>
      <c r="BV125" s="414">
        <f>IF(WWWW[[#This Row],[% of HHs with access to Sanitary pad more than '#%]]+WWWW[[#This Row],[Ratio of Hyiene promoters to people less than '#]]+WWWW[[#This Row],[% of HHs with access to soap more than '#%]]&gt;=2,WWWW[[#This Row],[Total PoP ]],0)</f>
        <v>0</v>
      </c>
      <c r="BW125" s="346">
        <f>WWWW[[#This Row],['# people reached by regular dedicated hygiene promotion_5]]/WWWW[[#This Row],[Total PoP ]]</f>
        <v>1</v>
      </c>
      <c r="BX125" s="346">
        <f>IF(WWWW[[#This Row],['# HH received soaps]]/WWWW[[#This Row],[Total HH]]&gt;1,1,WWWW[[#This Row],['# HH received soaps]]/WWWW[[#This Row],[Total HH]])</f>
        <v>0</v>
      </c>
      <c r="BY125" s="346">
        <f>IF(WWWW[[#This Row],['# HH received Sanitary Pads]]/WWWW[[#This Row],[Total HH]]&gt;1,1,WWWW[[#This Row],['# HH received Sanitary Pads]]/WWWW[[#This Row],[Total HH]])</f>
        <v>0</v>
      </c>
      <c r="BZ125" s="720">
        <f>WWWW[[#This Row],['# HH received soaps]]*5</f>
        <v>0</v>
      </c>
      <c r="CA125" s="720">
        <f>WWWW[[#This Row],['# HH received Sanitary Pads]]*5</f>
        <v>0</v>
      </c>
      <c r="CB125" s="238">
        <f>IF(WWWW[[#This Row],['# People with access to soap]]&gt;WWWW[[#This Row],['# People with access to Sanity Pads]],WWWW[[#This Row],['# People with access to soap]],WWWW[[#This Row],['# People with access to Sanity Pads]])</f>
        <v>0</v>
      </c>
      <c r="CC125" s="414">
        <f>WWWW[[#This Row],[Total HH]]*WWWW[[#This Row],[%HHs with access to functional hand washing stations]]</f>
        <v>0</v>
      </c>
      <c r="CD125" s="240">
        <f>VLOOKUP(WWWW[[#This Row],[Site Name]],SiteDB6[],8,FALSE)</f>
        <v>0</v>
      </c>
      <c r="CE125" s="240">
        <f>VLOOKUP(WWWW[[#This Row],[Site Name]],SiteDB6[],9,FALSE)</f>
        <v>0</v>
      </c>
      <c r="CF125" s="240" t="str">
        <f>VLOOKUP(WWWW[[#This Row],[Site Name]],SiteDB6[],10,FALSE)</f>
        <v>Camp</v>
      </c>
      <c r="CG125" s="240" t="str">
        <f>VLOOKUP(WWWW[[#This Row],[Site Name]],SiteDB6[],11,FALSE)</f>
        <v>Camp</v>
      </c>
      <c r="CH125" s="240" t="str">
        <f>VLOOKUP(WWWW[[#This Row],[Site Name]],SiteDB6[],12,FALSE)</f>
        <v>Camp like setting</v>
      </c>
      <c r="CI125" s="240" t="str">
        <f>VLOOKUP(WWWW[[#This Row],[Site Name]],SiteDB6[],13,FALSE)</f>
        <v>GCA</v>
      </c>
      <c r="CJ125" s="240">
        <f>VLOOKUP(WWWW[[#This Row],[Site Name]],SiteDB6[],14,FALSE)</f>
        <v>0</v>
      </c>
      <c r="CK125" s="240">
        <f>VLOOKUP(WWWW[[#This Row],[Site Name]],SiteDB6[],15,FALSE)</f>
        <v>0</v>
      </c>
      <c r="CL125" s="240" t="str">
        <f>VLOOKUP(WWWW[[#This Row],[Site Name]],SiteDB6[],4,FALSE)</f>
        <v>MMR001CMP254</v>
      </c>
      <c r="CM125" s="235" t="str">
        <f t="shared" si="1"/>
        <v>Covered</v>
      </c>
      <c r="CN125" s="235"/>
    </row>
    <row r="126" spans="1:92" ht="15.75" customHeight="1" x14ac:dyDescent="0.25">
      <c r="A126" s="232" t="s">
        <v>1409</v>
      </c>
      <c r="B126" s="533" t="s">
        <v>43</v>
      </c>
      <c r="C126" s="533" t="s">
        <v>44</v>
      </c>
      <c r="D126" s="533" t="s">
        <v>1330</v>
      </c>
      <c r="E126" s="533" t="s">
        <v>1333</v>
      </c>
      <c r="F126" s="233">
        <v>127</v>
      </c>
      <c r="G126" s="414">
        <v>450</v>
      </c>
      <c r="H126" s="233"/>
      <c r="I126" s="233" t="s">
        <v>398</v>
      </c>
      <c r="J126" s="234">
        <v>43465</v>
      </c>
      <c r="K126" s="233">
        <v>0</v>
      </c>
      <c r="L126" s="233" t="s">
        <v>48</v>
      </c>
      <c r="M126" s="235">
        <v>0.2</v>
      </c>
      <c r="N126" s="235">
        <v>0.2</v>
      </c>
      <c r="O126" s="609">
        <v>0</v>
      </c>
      <c r="P126" s="615">
        <v>0</v>
      </c>
      <c r="Q126" s="615">
        <v>2000</v>
      </c>
      <c r="R126" s="604">
        <v>0</v>
      </c>
      <c r="S126" s="604">
        <v>0</v>
      </c>
      <c r="T126" s="604">
        <v>0</v>
      </c>
      <c r="U126" s="604">
        <v>0</v>
      </c>
      <c r="V126" s="604">
        <v>0</v>
      </c>
      <c r="W126" s="604">
        <v>0</v>
      </c>
      <c r="X126" s="604">
        <v>0</v>
      </c>
      <c r="Y126" s="604" t="s">
        <v>2606</v>
      </c>
      <c r="Z126" s="628">
        <v>5</v>
      </c>
      <c r="AA126" s="628">
        <v>0</v>
      </c>
      <c r="AB126" s="629">
        <v>0</v>
      </c>
      <c r="AC126" s="628">
        <v>0</v>
      </c>
      <c r="AD126" s="628" t="s">
        <v>293</v>
      </c>
      <c r="AE126" s="631" t="s">
        <v>1379</v>
      </c>
      <c r="AF126" s="631">
        <v>0</v>
      </c>
      <c r="AG126" s="628">
        <v>0</v>
      </c>
      <c r="AH126" s="628"/>
      <c r="AI126" s="659">
        <v>0</v>
      </c>
      <c r="AJ126" s="650" t="s">
        <v>386</v>
      </c>
      <c r="AK126" s="644">
        <v>0</v>
      </c>
      <c r="AL126" s="645">
        <v>2</v>
      </c>
      <c r="AM126" s="645">
        <v>2</v>
      </c>
      <c r="AN126" s="646">
        <v>0</v>
      </c>
      <c r="AO126" s="647">
        <v>0</v>
      </c>
      <c r="AP126" s="647" t="s">
        <v>292</v>
      </c>
      <c r="AQ126" s="658"/>
      <c r="AR126" s="235" t="str">
        <f>IFERROR(WWWW[[#This Row],['# of Water passed at source]]/WWWW[[#This Row],['# of Water tested at source]],"no test")</f>
        <v>no test</v>
      </c>
      <c r="AS126" s="237" t="str">
        <f>IFERROR(WWWW[[#This Row],['# of Water passed at HH]]/WWWW[[#This Row],['# of Water tested at HH]],"no test")</f>
        <v>no test</v>
      </c>
      <c r="AT126" s="237">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0.29629629629629634</v>
      </c>
      <c r="AU126" s="237">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0.29629629629629634</v>
      </c>
      <c r="AV126" s="237">
        <f>IF(WWWW[[#This Row],[Location Type 1]]="Village",WWWW[[#This Row],[Access to safe drinking water for Village]],WWWW[[#This Row],[Access to safe drinking water for Camp]])</f>
        <v>0.29629629629629634</v>
      </c>
      <c r="AW126" s="414">
        <f>WWWW[[#This Row],[%Equitable and continuous access to sufficient quantity of safe drinking water]]*WWWW[[#This Row],[Total PoP ]]</f>
        <v>133.33333333333334</v>
      </c>
      <c r="AX126" s="237">
        <f>IF((WWWW[[#This Row],['# Existing protected/fenced ponds ]]*250)/WWWW[[#This Row],[Total PoP ]]&gt;1,1,WWWW[[#This Row],['# Existing protected/fenced ponds ]]*250/WWWW[[#This Row],[Total PoP ]])</f>
        <v>0</v>
      </c>
      <c r="AY126" s="414">
        <f>WWWW[[#This Row],[Access to unimproved water points]]*WWWW[[#This Row],[Total PoP ]]</f>
        <v>0</v>
      </c>
      <c r="AZ126" s="237">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0.29629629629629634</v>
      </c>
      <c r="BA126" s="414">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133.33333333333334</v>
      </c>
      <c r="BB126" s="414">
        <f>WWWW[[#This Row],['#people Equitable and continuous access to sufficient quantity of domestic water borehole n ponds_2]]/500</f>
        <v>0.26666666666666666</v>
      </c>
      <c r="BC126" s="235">
        <f>1-WWWW[[#This Row],[%Equitable and continuous access to sufficient quantity of domestic water borehole n ponds]]</f>
        <v>0.70370370370370372</v>
      </c>
      <c r="BD126" s="414">
        <f>WWWW[[#This Row],[%equitable and continuous access to sufficient quantity of safe drinking and domestic water''s GAP]]*WWWW[[#This Row],[Total PoP ]]</f>
        <v>316.66666666666669</v>
      </c>
      <c r="BE126" s="238">
        <f>IF(WWWW[[#This Row],[Total required water points]]-WWWW[[#This Row],['#Water points coverage]]&lt;0,0,WWWW[[#This Row],[Total required water points]]-WWWW[[#This Row],['#Water points coverage]])</f>
        <v>0.73333333333333339</v>
      </c>
      <c r="BF126" s="238">
        <f>ROUND(IF(WWWW[[#This Row],[Total PoP ]]&lt;500,1,WWWW[[#This Row],[Total PoP ]]/500),0)</f>
        <v>1</v>
      </c>
      <c r="BG126" s="238" t="str">
        <f>IF(AND(WWWW[[#This Row],[%of Water samples which passed at water source]]="no test",WWWW[[#This Row],[%Water samples which passed at HH]]="no test"),"No Test","Tested")</f>
        <v>No Test</v>
      </c>
      <c r="BH126" s="238">
        <f>WWWW[[#This Row],['# Existing functional latrines]]+WWWW[[#This Row],['# Existing latrines dysfunctional]]</f>
        <v>5</v>
      </c>
      <c r="BI126" s="235">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0.22222222222222221</v>
      </c>
      <c r="BJ126" s="675">
        <f>WWWW[[#This Row],[% people access to functioning Latrine]]*WWWW[[#This Row],[Total PoP ]]</f>
        <v>100</v>
      </c>
      <c r="BK126" s="235">
        <f>IF(WWWW[[#This Row],[Location Type 1]]="camp",WWWW[[#This Row],['# potential required new latrines]]/(WWWW[[#This Row],[Total PoP ]]/20),WWWW[[#This Row],['# potential required new latrines]]/(WWWW[[#This Row],[Total PoP ]]/6))</f>
        <v>0.8</v>
      </c>
      <c r="BL126" s="414">
        <f>IF(WWWW[[#This Row],[Total required Latrines]]-WWWW[[#This Row],[Total '# of latrine]]&lt;0,0,WWWW[[#This Row],[Total required Latrines]]-WWWW[[#This Row],[Total '# of latrine]])</f>
        <v>18</v>
      </c>
      <c r="BM126" s="238">
        <f>ROUND(IF(WWWW[[#This Row],[Location Type 1]]="camp",WWWW[[#This Row],[Total PoP ]]/20,WWWW[[#This Row],[Total PoP ]]/6),0)</f>
        <v>23</v>
      </c>
      <c r="BN126" s="239">
        <f>IF(OR(WWWW[[#This Row],['# Existing latrines dysfunctional]]="",WWWW[[#This Row],['# Existing latrines dysfunctional]]=0),0,WWWW[[#This Row],['# Existing latrines dysfunctional]]/WWWW[[#This Row],[Total '# of latrine]])</f>
        <v>0</v>
      </c>
      <c r="BO126" s="675">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P126" s="235">
        <f>WWWW[[#This Row],[People adopt basic personal and community hygiene practices]]/WWWW[[#This Row],[Total PoP ]]</f>
        <v>0</v>
      </c>
      <c r="BQ126" s="239">
        <f>1-WWWW[[#This Row],[Hygiene Coverage%]]</f>
        <v>1</v>
      </c>
      <c r="BR126" s="414">
        <f>IF(500*WWWW[[#This Row],['# Hygiene Promoters ]]&gt;WWWW[[#This Row],[Total PoP ]],WWWW[[#This Row],[Total PoP ]],500*WWWW[[#This Row],['# Hygiene Promoters ]])</f>
        <v>450</v>
      </c>
      <c r="BS126" s="414">
        <f>IF(WWWW[[#This Row],[% of HH with access to Sanitary Pad]]&gt;=100%,1,0)</f>
        <v>0</v>
      </c>
      <c r="BT126" s="414">
        <f>IF(WWWW[[#This Row],[Total PoP ]]=0,0,IF(WWWW[[#This Row],['# Hygiene Promoters ]]=0,0,IF(WWWW[[#This Row],[Location Type 1]]="Village",IF(WWWW[[#This Row],[Total PoP ]]/WWWW[[#This Row],['# Hygiene Promoters ]]&lt;1000,1,0),IF(WWWW[[#This Row],[Total PoP ]]/WWWW[[#This Row],['# Hygiene Promoters ]]&lt;600,1,0))))</f>
        <v>1</v>
      </c>
      <c r="BU126" s="414">
        <f>IF(WWWW[[#This Row],[%HH with access to soap]]&gt;=100%,1,0)</f>
        <v>0</v>
      </c>
      <c r="BV126" s="414">
        <f>IF(WWWW[[#This Row],[% of HHs with access to Sanitary pad more than '#%]]+WWWW[[#This Row],[Ratio of Hyiene promoters to people less than '#]]+WWWW[[#This Row],[% of HHs with access to soap more than '#%]]&gt;=2,WWWW[[#This Row],[Total PoP ]],0)</f>
        <v>0</v>
      </c>
      <c r="BW126" s="346">
        <f>WWWW[[#This Row],['# people reached by regular dedicated hygiene promotion_5]]/WWWW[[#This Row],[Total PoP ]]</f>
        <v>1</v>
      </c>
      <c r="BX126" s="346">
        <f>IF(WWWW[[#This Row],['# HH received soaps]]/WWWW[[#This Row],[Total HH]]&gt;1,1,WWWW[[#This Row],['# HH received soaps]]/WWWW[[#This Row],[Total HH]])</f>
        <v>0</v>
      </c>
      <c r="BY126" s="346">
        <f>IF(WWWW[[#This Row],['# HH received Sanitary Pads]]/WWWW[[#This Row],[Total HH]]&gt;1,1,WWWW[[#This Row],['# HH received Sanitary Pads]]/WWWW[[#This Row],[Total HH]])</f>
        <v>0</v>
      </c>
      <c r="BZ126" s="720">
        <f>WWWW[[#This Row],['# HH received soaps]]*5</f>
        <v>0</v>
      </c>
      <c r="CA126" s="720">
        <f>WWWW[[#This Row],['# HH received Sanitary Pads]]*5</f>
        <v>0</v>
      </c>
      <c r="CB126" s="238">
        <f>IF(WWWW[[#This Row],['# People with access to soap]]&gt;WWWW[[#This Row],['# People with access to Sanity Pads]],WWWW[[#This Row],['# People with access to soap]],WWWW[[#This Row],['# People with access to Sanity Pads]])</f>
        <v>0</v>
      </c>
      <c r="CC126" s="414">
        <f>WWWW[[#This Row],[Total HH]]*WWWW[[#This Row],[%HHs with access to functional hand washing stations]]</f>
        <v>0</v>
      </c>
      <c r="CD126" s="240">
        <f>VLOOKUP(WWWW[[#This Row],[Site Name]],SiteDB6[],8,FALSE)</f>
        <v>0</v>
      </c>
      <c r="CE126" s="240">
        <f>VLOOKUP(WWWW[[#This Row],[Site Name]],SiteDB6[],9,FALSE)</f>
        <v>0</v>
      </c>
      <c r="CF126" s="240" t="str">
        <f>VLOOKUP(WWWW[[#This Row],[Site Name]],SiteDB6[],10,FALSE)</f>
        <v>Camp</v>
      </c>
      <c r="CG126" s="240" t="str">
        <f>VLOOKUP(WWWW[[#This Row],[Site Name]],SiteDB6[],11,FALSE)</f>
        <v>Camp</v>
      </c>
      <c r="CH126" s="240" t="str">
        <f>VLOOKUP(WWWW[[#This Row],[Site Name]],SiteDB6[],12,FALSE)</f>
        <v>Camp like setting</v>
      </c>
      <c r="CI126" s="240" t="str">
        <f>VLOOKUP(WWWW[[#This Row],[Site Name]],SiteDB6[],13,FALSE)</f>
        <v>GCA</v>
      </c>
      <c r="CJ126" s="240">
        <f>VLOOKUP(WWWW[[#This Row],[Site Name]],SiteDB6[],14,FALSE)</f>
        <v>0</v>
      </c>
      <c r="CK126" s="240">
        <f>VLOOKUP(WWWW[[#This Row],[Site Name]],SiteDB6[],15,FALSE)</f>
        <v>0</v>
      </c>
      <c r="CL126" s="240" t="str">
        <f>VLOOKUP(WWWW[[#This Row],[Site Name]],SiteDB6[],4,FALSE)</f>
        <v>MMR001CMP253</v>
      </c>
      <c r="CM126" s="235" t="str">
        <f t="shared" si="1"/>
        <v>Covered</v>
      </c>
      <c r="CN126" s="235"/>
    </row>
    <row r="127" spans="1:92" ht="15.75" customHeight="1" x14ac:dyDescent="0.25">
      <c r="A127" s="532" t="s">
        <v>1409</v>
      </c>
      <c r="B127" s="533" t="s">
        <v>43</v>
      </c>
      <c r="C127" s="533" t="s">
        <v>44</v>
      </c>
      <c r="D127" s="533" t="s">
        <v>1330</v>
      </c>
      <c r="E127" s="533" t="s">
        <v>1335</v>
      </c>
      <c r="F127" s="233">
        <v>31</v>
      </c>
      <c r="G127" s="414">
        <v>129</v>
      </c>
      <c r="H127" s="233"/>
      <c r="I127" s="233" t="s">
        <v>398</v>
      </c>
      <c r="J127" s="234">
        <v>43465</v>
      </c>
      <c r="K127" s="233">
        <v>0</v>
      </c>
      <c r="L127" s="233" t="s">
        <v>48</v>
      </c>
      <c r="M127" s="235">
        <v>0.2</v>
      </c>
      <c r="N127" s="235">
        <v>0.2</v>
      </c>
      <c r="O127" s="609">
        <v>0</v>
      </c>
      <c r="P127" s="615">
        <v>0</v>
      </c>
      <c r="Q127" s="615">
        <v>3000</v>
      </c>
      <c r="R127" s="604">
        <v>0</v>
      </c>
      <c r="S127" s="604">
        <v>0</v>
      </c>
      <c r="T127" s="604">
        <v>0</v>
      </c>
      <c r="U127" s="604">
        <v>0</v>
      </c>
      <c r="V127" s="604">
        <v>0</v>
      </c>
      <c r="W127" s="604">
        <v>0</v>
      </c>
      <c r="X127" s="604">
        <v>0</v>
      </c>
      <c r="Y127" s="604" t="s">
        <v>2606</v>
      </c>
      <c r="Z127" s="628">
        <v>5</v>
      </c>
      <c r="AA127" s="628">
        <v>0</v>
      </c>
      <c r="AB127" s="629">
        <v>0</v>
      </c>
      <c r="AC127" s="628">
        <v>0</v>
      </c>
      <c r="AD127" s="628" t="s">
        <v>293</v>
      </c>
      <c r="AE127" s="631" t="s">
        <v>1379</v>
      </c>
      <c r="AF127" s="631">
        <v>0</v>
      </c>
      <c r="AG127" s="628">
        <v>0</v>
      </c>
      <c r="AH127" s="628"/>
      <c r="AI127" s="659">
        <v>0</v>
      </c>
      <c r="AJ127" s="650" t="s">
        <v>386</v>
      </c>
      <c r="AK127" s="644">
        <v>0</v>
      </c>
      <c r="AL127" s="645">
        <v>2</v>
      </c>
      <c r="AM127" s="645">
        <v>1</v>
      </c>
      <c r="AN127" s="646">
        <v>0</v>
      </c>
      <c r="AO127" s="647">
        <v>0</v>
      </c>
      <c r="AP127" s="647" t="s">
        <v>292</v>
      </c>
      <c r="AQ127" s="658"/>
      <c r="AR127" s="235" t="str">
        <f>IFERROR(WWWW[[#This Row],['# of Water passed at source]]/WWWW[[#This Row],['# of Water tested at source]],"no test")</f>
        <v>no test</v>
      </c>
      <c r="AS127" s="237" t="str">
        <f>IFERROR(WWWW[[#This Row],['# of Water passed at HH]]/WWWW[[#This Row],['# of Water tested at HH]],"no test")</f>
        <v>no test</v>
      </c>
      <c r="AT127" s="237">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U127" s="237">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AV127" s="237">
        <f>IF(WWWW[[#This Row],[Location Type 1]]="Village",WWWW[[#This Row],[Access to safe drinking water for Village]],WWWW[[#This Row],[Access to safe drinking water for Camp]])</f>
        <v>1</v>
      </c>
      <c r="AW127" s="414">
        <f>WWWW[[#This Row],[%Equitable and continuous access to sufficient quantity of safe drinking water]]*WWWW[[#This Row],[Total PoP ]]</f>
        <v>129</v>
      </c>
      <c r="AX127" s="237">
        <f>IF((WWWW[[#This Row],['# Existing protected/fenced ponds ]]*250)/WWWW[[#This Row],[Total PoP ]]&gt;1,1,WWWW[[#This Row],['# Existing protected/fenced ponds ]]*250/WWWW[[#This Row],[Total PoP ]])</f>
        <v>0</v>
      </c>
      <c r="AY127" s="236">
        <f>WWWW[[#This Row],[Access to unimproved water points]]*WWWW[[#This Row],[Total PoP ]]</f>
        <v>0</v>
      </c>
      <c r="AZ127" s="237">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A127" s="414">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129</v>
      </c>
      <c r="BB127" s="414">
        <f>WWWW[[#This Row],['#people Equitable and continuous access to sufficient quantity of domestic water borehole n ponds_2]]/500</f>
        <v>0.25800000000000001</v>
      </c>
      <c r="BC127" s="235">
        <f>1-WWWW[[#This Row],[%Equitable and continuous access to sufficient quantity of domestic water borehole n ponds]]</f>
        <v>0</v>
      </c>
      <c r="BD127" s="236">
        <f>WWWW[[#This Row],[%equitable and continuous access to sufficient quantity of safe drinking and domestic water''s GAP]]*WWWW[[#This Row],[Total PoP ]]</f>
        <v>0</v>
      </c>
      <c r="BE127" s="238">
        <f>IF(WWWW[[#This Row],[Total required water points]]-WWWW[[#This Row],['#Water points coverage]]&lt;0,0,WWWW[[#This Row],[Total required water points]]-WWWW[[#This Row],['#Water points coverage]])</f>
        <v>0.74199999999999999</v>
      </c>
      <c r="BF127" s="238">
        <f>ROUND(IF(WWWW[[#This Row],[Total PoP ]]&lt;500,1,WWWW[[#This Row],[Total PoP ]]/500),0)</f>
        <v>1</v>
      </c>
      <c r="BG127" s="238" t="str">
        <f>IF(AND(WWWW[[#This Row],[%of Water samples which passed at water source]]="no test",WWWW[[#This Row],[%Water samples which passed at HH]]="no test"),"No Test","Tested")</f>
        <v>No Test</v>
      </c>
      <c r="BH127" s="238">
        <f>WWWW[[#This Row],['# Existing functional latrines]]+WWWW[[#This Row],['# Existing latrines dysfunctional]]</f>
        <v>5</v>
      </c>
      <c r="BI127" s="235">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0.77519379844961245</v>
      </c>
      <c r="BJ127" s="675">
        <f>WWWW[[#This Row],[% people access to functioning Latrine]]*WWWW[[#This Row],[Total PoP ]]</f>
        <v>100</v>
      </c>
      <c r="BK127" s="235">
        <f>IF(WWWW[[#This Row],[Location Type 1]]="camp",WWWW[[#This Row],['# potential required new latrines]]/(WWWW[[#This Row],[Total PoP ]]/20),WWWW[[#This Row],['# potential required new latrines]]/(WWWW[[#This Row],[Total PoP ]]/6))</f>
        <v>0.15503875968992248</v>
      </c>
      <c r="BL127" s="236">
        <f>IF(WWWW[[#This Row],[Total required Latrines]]-WWWW[[#This Row],[Total '# of latrine]]&lt;0,0,WWWW[[#This Row],[Total required Latrines]]-WWWW[[#This Row],[Total '# of latrine]])</f>
        <v>1</v>
      </c>
      <c r="BM127" s="238">
        <f>ROUND(IF(WWWW[[#This Row],[Location Type 1]]="camp",WWWW[[#This Row],[Total PoP ]]/20,WWWW[[#This Row],[Total PoP ]]/6),0)</f>
        <v>6</v>
      </c>
      <c r="BN127" s="239">
        <f>IF(OR(WWWW[[#This Row],['# Existing latrines dysfunctional]]="",WWWW[[#This Row],['# Existing latrines dysfunctional]]=0),0,WWWW[[#This Row],['# Existing latrines dysfunctional]]/WWWW[[#This Row],[Total '# of latrine]])</f>
        <v>0</v>
      </c>
      <c r="BO127" s="675">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P127" s="235">
        <f>WWWW[[#This Row],[People adopt basic personal and community hygiene practices]]/WWWW[[#This Row],[Total PoP ]]</f>
        <v>0</v>
      </c>
      <c r="BQ127" s="239">
        <f>1-WWWW[[#This Row],[Hygiene Coverage%]]</f>
        <v>1</v>
      </c>
      <c r="BR127" s="414">
        <f>IF(500*WWWW[[#This Row],['# Hygiene Promoters ]]&gt;WWWW[[#This Row],[Total PoP ]],WWWW[[#This Row],[Total PoP ]],500*WWWW[[#This Row],['# Hygiene Promoters ]])</f>
        <v>129</v>
      </c>
      <c r="BS127" s="414">
        <f>IF(WWWW[[#This Row],[% of HH with access to Sanitary Pad]]&gt;=100%,1,0)</f>
        <v>0</v>
      </c>
      <c r="BT127" s="414">
        <f>IF(WWWW[[#This Row],[Total PoP ]]=0,0,IF(WWWW[[#This Row],['# Hygiene Promoters ]]=0,0,IF(WWWW[[#This Row],[Location Type 1]]="Village",IF(WWWW[[#This Row],[Total PoP ]]/WWWW[[#This Row],['# Hygiene Promoters ]]&lt;1000,1,0),IF(WWWW[[#This Row],[Total PoP ]]/WWWW[[#This Row],['# Hygiene Promoters ]]&lt;600,1,0))))</f>
        <v>1</v>
      </c>
      <c r="BU127" s="414">
        <f>IF(WWWW[[#This Row],[%HH with access to soap]]&gt;=100%,1,0)</f>
        <v>0</v>
      </c>
      <c r="BV127" s="414">
        <f>IF(WWWW[[#This Row],[% of HHs with access to Sanitary pad more than '#%]]+WWWW[[#This Row],[Ratio of Hyiene promoters to people less than '#]]+WWWW[[#This Row],[% of HHs with access to soap more than '#%]]&gt;=2,WWWW[[#This Row],[Total PoP ]],0)</f>
        <v>0</v>
      </c>
      <c r="BW127" s="346">
        <f>WWWW[[#This Row],['# people reached by regular dedicated hygiene promotion_5]]/WWWW[[#This Row],[Total PoP ]]</f>
        <v>1</v>
      </c>
      <c r="BX127" s="346">
        <f>IF(WWWW[[#This Row],['# HH received soaps]]/WWWW[[#This Row],[Total HH]]&gt;1,1,WWWW[[#This Row],['# HH received soaps]]/WWWW[[#This Row],[Total HH]])</f>
        <v>0</v>
      </c>
      <c r="BY127" s="346">
        <f>IF(WWWW[[#This Row],['# HH received Sanitary Pads]]/WWWW[[#This Row],[Total HH]]&gt;1,1,WWWW[[#This Row],['# HH received Sanitary Pads]]/WWWW[[#This Row],[Total HH]])</f>
        <v>0</v>
      </c>
      <c r="BZ127" s="720">
        <f>WWWW[[#This Row],['# HH received soaps]]*5</f>
        <v>0</v>
      </c>
      <c r="CA127" s="720">
        <f>WWWW[[#This Row],['# HH received Sanitary Pads]]*5</f>
        <v>0</v>
      </c>
      <c r="CB127" s="238">
        <f>IF(WWWW[[#This Row],['# People with access to soap]]&gt;WWWW[[#This Row],['# People with access to Sanity Pads]],WWWW[[#This Row],['# People with access to soap]],WWWW[[#This Row],['# People with access to Sanity Pads]])</f>
        <v>0</v>
      </c>
      <c r="CC127" s="236">
        <f>WWWW[[#This Row],[Total HH]]*WWWW[[#This Row],[%HHs with access to functional hand washing stations]]</f>
        <v>0</v>
      </c>
      <c r="CD127" s="240">
        <f>VLOOKUP(WWWW[[#This Row],[Site Name]],SiteDB6[],8,FALSE)</f>
        <v>0</v>
      </c>
      <c r="CE127" s="240">
        <f>VLOOKUP(WWWW[[#This Row],[Site Name]],SiteDB6[],9,FALSE)</f>
        <v>0</v>
      </c>
      <c r="CF127" s="240" t="str">
        <f>VLOOKUP(WWWW[[#This Row],[Site Name]],SiteDB6[],10,FALSE)</f>
        <v>Camp</v>
      </c>
      <c r="CG127" s="240" t="str">
        <f>VLOOKUP(WWWW[[#This Row],[Site Name]],SiteDB6[],11,FALSE)</f>
        <v>Camp</v>
      </c>
      <c r="CH127" s="240" t="str">
        <f>VLOOKUP(WWWW[[#This Row],[Site Name]],SiteDB6[],12,FALSE)</f>
        <v>Camp like setting</v>
      </c>
      <c r="CI127" s="240" t="str">
        <f>VLOOKUP(WWWW[[#This Row],[Site Name]],SiteDB6[],13,FALSE)</f>
        <v>GCA</v>
      </c>
      <c r="CJ127" s="240">
        <f>VLOOKUP(WWWW[[#This Row],[Site Name]],SiteDB6[],14,FALSE)</f>
        <v>0</v>
      </c>
      <c r="CK127" s="240">
        <f>VLOOKUP(WWWW[[#This Row],[Site Name]],SiteDB6[],15,FALSE)</f>
        <v>0</v>
      </c>
      <c r="CL127" s="240" t="str">
        <f>VLOOKUP(WWWW[[#This Row],[Site Name]],SiteDB6[],4,FALSE)</f>
        <v>MMR001CMP251</v>
      </c>
      <c r="CM127" s="235" t="str">
        <f t="shared" si="1"/>
        <v>Covered</v>
      </c>
      <c r="CN127" s="235"/>
    </row>
    <row r="128" spans="1:92" ht="15.75" customHeight="1" x14ac:dyDescent="0.25">
      <c r="A128" s="532" t="s">
        <v>1409</v>
      </c>
      <c r="B128" s="533" t="s">
        <v>297</v>
      </c>
      <c r="C128" s="533" t="s">
        <v>44</v>
      </c>
      <c r="D128" s="533" t="s">
        <v>315</v>
      </c>
      <c r="E128" s="533" t="s">
        <v>326</v>
      </c>
      <c r="F128" s="233">
        <v>69</v>
      </c>
      <c r="G128" s="414">
        <v>369</v>
      </c>
      <c r="H128" s="233"/>
      <c r="I128" s="233" t="s">
        <v>300</v>
      </c>
      <c r="J128" s="234">
        <v>43555</v>
      </c>
      <c r="K128" s="233">
        <v>0</v>
      </c>
      <c r="L128" s="233" t="s">
        <v>48</v>
      </c>
      <c r="M128" s="235">
        <v>0.6</v>
      </c>
      <c r="N128" s="235">
        <v>0.5</v>
      </c>
      <c r="O128" s="609">
        <v>0</v>
      </c>
      <c r="P128" s="615">
        <v>2</v>
      </c>
      <c r="Q128" s="615">
        <v>1500</v>
      </c>
      <c r="R128" s="604">
        <v>0</v>
      </c>
      <c r="S128" s="604">
        <v>0</v>
      </c>
      <c r="T128" s="604">
        <v>0</v>
      </c>
      <c r="U128" s="604">
        <v>0</v>
      </c>
      <c r="V128" s="604">
        <v>0</v>
      </c>
      <c r="W128" s="604">
        <v>0</v>
      </c>
      <c r="X128" s="604">
        <v>0</v>
      </c>
      <c r="Y128" s="604"/>
      <c r="Z128" s="628">
        <v>11</v>
      </c>
      <c r="AA128" s="628">
        <v>8</v>
      </c>
      <c r="AB128" s="629">
        <v>0</v>
      </c>
      <c r="AC128" s="628">
        <v>0</v>
      </c>
      <c r="AD128" s="628" t="s">
        <v>293</v>
      </c>
      <c r="AE128" s="631" t="s">
        <v>293</v>
      </c>
      <c r="AF128" s="631"/>
      <c r="AG128" s="628"/>
      <c r="AH128" s="628"/>
      <c r="AI128" s="659">
        <v>0.6</v>
      </c>
      <c r="AJ128" s="644" t="s">
        <v>301</v>
      </c>
      <c r="AK128" s="644">
        <v>0</v>
      </c>
      <c r="AL128" s="645">
        <v>2</v>
      </c>
      <c r="AM128" s="645">
        <v>2</v>
      </c>
      <c r="AN128" s="646">
        <v>0</v>
      </c>
      <c r="AO128" s="647">
        <v>0</v>
      </c>
      <c r="AP128" s="647"/>
      <c r="AQ128" s="658"/>
      <c r="AR128" s="235" t="str">
        <f>IFERROR(WWWW[[#This Row],['# of Water passed at source]]/WWWW[[#This Row],['# of Water tested at source]],"no test")</f>
        <v>no test</v>
      </c>
      <c r="AS128" s="237" t="str">
        <f>IFERROR(WWWW[[#This Row],['# of Water passed at HH]]/WWWW[[#This Row],['# of Water tested at HH]],"no test")</f>
        <v>no test</v>
      </c>
      <c r="AT128" s="237">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U128" s="237">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AV128" s="237">
        <f>IF(WWWW[[#This Row],[Location Type 1]]="Village",WWWW[[#This Row],[Access to safe drinking water for Village]],WWWW[[#This Row],[Access to safe drinking water for Camp]])</f>
        <v>1</v>
      </c>
      <c r="AW128" s="414">
        <f>WWWW[[#This Row],[%Equitable and continuous access to sufficient quantity of safe drinking water]]*WWWW[[#This Row],[Total PoP ]]</f>
        <v>369</v>
      </c>
      <c r="AX128" s="237">
        <f>IF((WWWW[[#This Row],['# Existing protected/fenced ponds ]]*250)/WWWW[[#This Row],[Total PoP ]]&gt;1,1,WWWW[[#This Row],['# Existing protected/fenced ponds ]]*250/WWWW[[#This Row],[Total PoP ]])</f>
        <v>0</v>
      </c>
      <c r="AY128" s="236">
        <f>WWWW[[#This Row],[Access to unimproved water points]]*WWWW[[#This Row],[Total PoP ]]</f>
        <v>0</v>
      </c>
      <c r="AZ128" s="237">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A128" s="414">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369</v>
      </c>
      <c r="BB128" s="414">
        <f>WWWW[[#This Row],['#people Equitable and continuous access to sufficient quantity of domestic water borehole n ponds_2]]/500</f>
        <v>0.73799999999999999</v>
      </c>
      <c r="BC128" s="235">
        <f>1-WWWW[[#This Row],[%Equitable and continuous access to sufficient quantity of domestic water borehole n ponds]]</f>
        <v>0</v>
      </c>
      <c r="BD128" s="236">
        <f>WWWW[[#This Row],[%equitable and continuous access to sufficient quantity of safe drinking and domestic water''s GAP]]*WWWW[[#This Row],[Total PoP ]]</f>
        <v>0</v>
      </c>
      <c r="BE128" s="238">
        <f>IF(WWWW[[#This Row],[Total required water points]]-WWWW[[#This Row],['#Water points coverage]]&lt;0,0,WWWW[[#This Row],[Total required water points]]-WWWW[[#This Row],['#Water points coverage]])</f>
        <v>0.26200000000000001</v>
      </c>
      <c r="BF128" s="238">
        <f>ROUND(IF(WWWW[[#This Row],[Total PoP ]]&lt;500,1,WWWW[[#This Row],[Total PoP ]]/500),0)</f>
        <v>1</v>
      </c>
      <c r="BG128" s="238" t="str">
        <f>IF(AND(WWWW[[#This Row],[%of Water samples which passed at water source]]="no test",WWWW[[#This Row],[%Water samples which passed at HH]]="no test"),"No Test","Tested")</f>
        <v>No Test</v>
      </c>
      <c r="BH128" s="238">
        <f>WWWW[[#This Row],['# Existing functional latrines]]+WWWW[[#This Row],['# Existing latrines dysfunctional]]</f>
        <v>19</v>
      </c>
      <c r="BI128" s="235">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0.59620596205962062</v>
      </c>
      <c r="BJ128" s="675">
        <f>WWWW[[#This Row],[% people access to functioning Latrine]]*WWWW[[#This Row],[Total PoP ]]</f>
        <v>220</v>
      </c>
      <c r="BK128" s="235">
        <f>IF(WWWW[[#This Row],[Location Type 1]]="camp",WWWW[[#This Row],['# potential required new latrines]]/(WWWW[[#This Row],[Total PoP ]]/20),WWWW[[#This Row],['# potential required new latrines]]/(WWWW[[#This Row],[Total PoP ]]/6))</f>
        <v>0</v>
      </c>
      <c r="BL128" s="236">
        <f>IF(WWWW[[#This Row],[Total required Latrines]]-WWWW[[#This Row],[Total '# of latrine]]&lt;0,0,WWWW[[#This Row],[Total required Latrines]]-WWWW[[#This Row],[Total '# of latrine]])</f>
        <v>0</v>
      </c>
      <c r="BM128" s="238">
        <f>ROUND(IF(WWWW[[#This Row],[Location Type 1]]="camp",WWWW[[#This Row],[Total PoP ]]/20,WWWW[[#This Row],[Total PoP ]]/6),0)</f>
        <v>18</v>
      </c>
      <c r="BN128" s="239">
        <f>IF(OR(WWWW[[#This Row],['# Existing latrines dysfunctional]]="",WWWW[[#This Row],['# Existing latrines dysfunctional]]=0),0,WWWW[[#This Row],['# Existing latrines dysfunctional]]/WWWW[[#This Row],[Total '# of latrine]])</f>
        <v>0.42105263157894735</v>
      </c>
      <c r="BO128" s="675">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P128" s="235">
        <f>WWWW[[#This Row],[People adopt basic personal and community hygiene practices]]/WWWW[[#This Row],[Total PoP ]]</f>
        <v>0</v>
      </c>
      <c r="BQ128" s="239">
        <f>1-WWWW[[#This Row],[Hygiene Coverage%]]</f>
        <v>1</v>
      </c>
      <c r="BR128" s="414">
        <f>IF(500*WWWW[[#This Row],['# Hygiene Promoters ]]&gt;WWWW[[#This Row],[Total PoP ]],WWWW[[#This Row],[Total PoP ]],500*WWWW[[#This Row],['# Hygiene Promoters ]])</f>
        <v>369</v>
      </c>
      <c r="BS128" s="414">
        <f>IF(WWWW[[#This Row],[% of HH with access to Sanitary Pad]]&gt;=100%,1,0)</f>
        <v>0</v>
      </c>
      <c r="BT128" s="414">
        <f>IF(WWWW[[#This Row],[Total PoP ]]=0,0,IF(WWWW[[#This Row],['# Hygiene Promoters ]]=0,0,IF(WWWW[[#This Row],[Location Type 1]]="Village",IF(WWWW[[#This Row],[Total PoP ]]/WWWW[[#This Row],['# Hygiene Promoters ]]&lt;1000,1,0),IF(WWWW[[#This Row],[Total PoP ]]/WWWW[[#This Row],['# Hygiene Promoters ]]&lt;600,1,0))))</f>
        <v>1</v>
      </c>
      <c r="BU128" s="414">
        <f>IF(WWWW[[#This Row],[%HH with access to soap]]&gt;=100%,1,0)</f>
        <v>0</v>
      </c>
      <c r="BV128" s="414">
        <f>IF(WWWW[[#This Row],[% of HHs with access to Sanitary pad more than '#%]]+WWWW[[#This Row],[Ratio of Hyiene promoters to people less than '#]]+WWWW[[#This Row],[% of HHs with access to soap more than '#%]]&gt;=2,WWWW[[#This Row],[Total PoP ]],0)</f>
        <v>0</v>
      </c>
      <c r="BW128" s="346">
        <f>WWWW[[#This Row],['# people reached by regular dedicated hygiene promotion_5]]/WWWW[[#This Row],[Total PoP ]]</f>
        <v>1</v>
      </c>
      <c r="BX128" s="346">
        <f>IF(WWWW[[#This Row],['# HH received soaps]]/WWWW[[#This Row],[Total HH]]&gt;1,1,WWWW[[#This Row],['# HH received soaps]]/WWWW[[#This Row],[Total HH]])</f>
        <v>0</v>
      </c>
      <c r="BY128" s="346">
        <f>IF(WWWW[[#This Row],['# HH received Sanitary Pads]]/WWWW[[#This Row],[Total HH]]&gt;1,1,WWWW[[#This Row],['# HH received Sanitary Pads]]/WWWW[[#This Row],[Total HH]])</f>
        <v>0</v>
      </c>
      <c r="BZ128" s="720">
        <f>WWWW[[#This Row],['# HH received soaps]]*5</f>
        <v>0</v>
      </c>
      <c r="CA128" s="720">
        <f>WWWW[[#This Row],['# HH received Sanitary Pads]]*5</f>
        <v>0</v>
      </c>
      <c r="CB128" s="238">
        <f>IF(WWWW[[#This Row],['# People with access to soap]]&gt;WWWW[[#This Row],['# People with access to Sanity Pads]],WWWW[[#This Row],['# People with access to soap]],WWWW[[#This Row],['# People with access to Sanity Pads]])</f>
        <v>0</v>
      </c>
      <c r="CC128" s="236">
        <f>WWWW[[#This Row],[Total HH]]*WWWW[[#This Row],[%HHs with access to functional hand washing stations]]</f>
        <v>41.4</v>
      </c>
      <c r="CD128" s="240" t="str">
        <f>VLOOKUP(WWWW[[#This Row],[Site Name]],SiteDB6[],8,FALSE)</f>
        <v>Yes</v>
      </c>
      <c r="CE128" s="240" t="str">
        <f>VLOOKUP(WWWW[[#This Row],[Site Name]],SiteDB6[],9,FALSE)</f>
        <v>KBC</v>
      </c>
      <c r="CF128" s="240" t="str">
        <f>VLOOKUP(WWWW[[#This Row],[Site Name]],SiteDB6[],10,FALSE)</f>
        <v>Camp</v>
      </c>
      <c r="CG128" s="240" t="str">
        <f>VLOOKUP(WWWW[[#This Row],[Site Name]],SiteDB6[],11,FALSE)</f>
        <v>Camp</v>
      </c>
      <c r="CH128" s="240" t="str">
        <f>VLOOKUP(WWWW[[#This Row],[Site Name]],SiteDB6[],12,FALSE)</f>
        <v>Camp</v>
      </c>
      <c r="CI128" s="240" t="str">
        <f>VLOOKUP(WWWW[[#This Row],[Site Name]],SiteDB6[],13,FALSE)</f>
        <v>GCA</v>
      </c>
      <c r="CJ128" s="240">
        <f>VLOOKUP(WWWW[[#This Row],[Site Name]],SiteDB6[],14,FALSE)</f>
        <v>25.415482000000001</v>
      </c>
      <c r="CK128" s="240">
        <f>VLOOKUP(WWWW[[#This Row],[Site Name]],SiteDB6[],15,FALSE)</f>
        <v>97.386718999999999</v>
      </c>
      <c r="CL128" s="240" t="str">
        <f>VLOOKUP(WWWW[[#This Row],[Site Name]],SiteDB6[],4,FALSE)</f>
        <v>MMR001CMP001</v>
      </c>
      <c r="CM128" s="235" t="str">
        <f t="shared" si="1"/>
        <v>Covered</v>
      </c>
      <c r="CN128" s="235"/>
    </row>
    <row r="129" spans="1:92" ht="15.75" customHeight="1" x14ac:dyDescent="0.25">
      <c r="A129" s="532" t="s">
        <v>1409</v>
      </c>
      <c r="B129" s="533" t="s">
        <v>399</v>
      </c>
      <c r="C129" s="533" t="s">
        <v>44</v>
      </c>
      <c r="D129" s="533" t="s">
        <v>315</v>
      </c>
      <c r="E129" s="533" t="s">
        <v>426</v>
      </c>
      <c r="F129" s="233">
        <v>54</v>
      </c>
      <c r="G129" s="414">
        <v>266</v>
      </c>
      <c r="H129" s="233"/>
      <c r="I129" s="233" t="s">
        <v>401</v>
      </c>
      <c r="J129" s="234">
        <v>42947</v>
      </c>
      <c r="K129" s="233">
        <v>0</v>
      </c>
      <c r="L129" s="233" t="s">
        <v>48</v>
      </c>
      <c r="M129" s="235">
        <v>0.71</v>
      </c>
      <c r="N129" s="235">
        <v>1</v>
      </c>
      <c r="O129" s="609">
        <v>1</v>
      </c>
      <c r="P129" s="615">
        <v>4</v>
      </c>
      <c r="Q129" s="615">
        <v>2000</v>
      </c>
      <c r="R129" s="604">
        <v>0</v>
      </c>
      <c r="S129" s="604">
        <v>1</v>
      </c>
      <c r="T129" s="604">
        <v>0</v>
      </c>
      <c r="U129" s="604">
        <v>0</v>
      </c>
      <c r="V129" s="604">
        <v>0</v>
      </c>
      <c r="W129" s="604">
        <v>0</v>
      </c>
      <c r="X129" s="604">
        <v>0</v>
      </c>
      <c r="Y129" s="604"/>
      <c r="Z129" s="628">
        <v>10</v>
      </c>
      <c r="AA129" s="628">
        <v>2</v>
      </c>
      <c r="AB129" s="629">
        <v>4</v>
      </c>
      <c r="AC129" s="628">
        <v>10</v>
      </c>
      <c r="AD129" s="628" t="s">
        <v>293</v>
      </c>
      <c r="AE129" s="631" t="s">
        <v>293</v>
      </c>
      <c r="AF129" s="631">
        <v>0</v>
      </c>
      <c r="AG129" s="628">
        <v>0</v>
      </c>
      <c r="AH129" s="628"/>
      <c r="AI129" s="659">
        <v>0.5</v>
      </c>
      <c r="AJ129" s="650" t="s">
        <v>386</v>
      </c>
      <c r="AK129" s="644">
        <v>0</v>
      </c>
      <c r="AL129" s="645">
        <v>4</v>
      </c>
      <c r="AM129" s="645">
        <v>0</v>
      </c>
      <c r="AN129" s="646">
        <v>0</v>
      </c>
      <c r="AO129" s="647">
        <v>0</v>
      </c>
      <c r="AP129" s="647"/>
      <c r="AQ129" s="658"/>
      <c r="AR129" s="235" t="str">
        <f>IFERROR(WWWW[[#This Row],['# of Water passed at source]]/WWWW[[#This Row],['# of Water tested at source]],"no test")</f>
        <v>no test</v>
      </c>
      <c r="AS129" s="237" t="str">
        <f>IFERROR(WWWW[[#This Row],['# of Water passed at HH]]/WWWW[[#This Row],['# of Water tested at HH]],"no test")</f>
        <v>no test</v>
      </c>
      <c r="AT129" s="237">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U129" s="237">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AV129" s="237">
        <f>IF(WWWW[[#This Row],[Location Type 1]]="Village",WWWW[[#This Row],[Access to safe drinking water for Village]],WWWW[[#This Row],[Access to safe drinking water for Camp]])</f>
        <v>1</v>
      </c>
      <c r="AW129" s="414">
        <f>WWWW[[#This Row],[%Equitable and continuous access to sufficient quantity of safe drinking water]]*WWWW[[#This Row],[Total PoP ]]</f>
        <v>266</v>
      </c>
      <c r="AX129" s="237">
        <f>IF((WWWW[[#This Row],['# Existing protected/fenced ponds ]]*250)/WWWW[[#This Row],[Total PoP ]]&gt;1,1,WWWW[[#This Row],['# Existing protected/fenced ponds ]]*250/WWWW[[#This Row],[Total PoP ]])</f>
        <v>0</v>
      </c>
      <c r="AY129" s="236">
        <f>WWWW[[#This Row],[Access to unimproved water points]]*WWWW[[#This Row],[Total PoP ]]</f>
        <v>0</v>
      </c>
      <c r="AZ129" s="237">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A129" s="414">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266</v>
      </c>
      <c r="BB129" s="414">
        <f>WWWW[[#This Row],['#people Equitable and continuous access to sufficient quantity of domestic water borehole n ponds_2]]/500</f>
        <v>0.53200000000000003</v>
      </c>
      <c r="BC129" s="235">
        <f>1-WWWW[[#This Row],[%Equitable and continuous access to sufficient quantity of domestic water borehole n ponds]]</f>
        <v>0</v>
      </c>
      <c r="BD129" s="236">
        <f>WWWW[[#This Row],[%equitable and continuous access to sufficient quantity of safe drinking and domestic water''s GAP]]*WWWW[[#This Row],[Total PoP ]]</f>
        <v>0</v>
      </c>
      <c r="BE129" s="238">
        <f>IF(WWWW[[#This Row],[Total required water points]]-WWWW[[#This Row],['#Water points coverage]]&lt;0,0,WWWW[[#This Row],[Total required water points]]-WWWW[[#This Row],['#Water points coverage]])</f>
        <v>0.46799999999999997</v>
      </c>
      <c r="BF129" s="238">
        <f>ROUND(IF(WWWW[[#This Row],[Total PoP ]]&lt;500,1,WWWW[[#This Row],[Total PoP ]]/500),0)</f>
        <v>1</v>
      </c>
      <c r="BG129" s="238" t="str">
        <f>IF(AND(WWWW[[#This Row],[%of Water samples which passed at water source]]="no test",WWWW[[#This Row],[%Water samples which passed at HH]]="no test"),"No Test","Tested")</f>
        <v>No Test</v>
      </c>
      <c r="BH129" s="238">
        <f>WWWW[[#This Row],['# Existing functional latrines]]+WWWW[[#This Row],['# Existing latrines dysfunctional]]</f>
        <v>12</v>
      </c>
      <c r="BI129" s="235">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0.75187969924812026</v>
      </c>
      <c r="BJ129" s="675">
        <f>WWWW[[#This Row],[% people access to functioning Latrine]]*WWWW[[#This Row],[Total PoP ]]</f>
        <v>200</v>
      </c>
      <c r="BK129" s="235">
        <f>IF(WWWW[[#This Row],[Location Type 1]]="camp",WWWW[[#This Row],['# potential required new latrines]]/(WWWW[[#This Row],[Total PoP ]]/20),WWWW[[#This Row],['# potential required new latrines]]/(WWWW[[#This Row],[Total PoP ]]/6))</f>
        <v>7.5187969924812026E-2</v>
      </c>
      <c r="BL129" s="236">
        <f>IF(WWWW[[#This Row],[Total required Latrines]]-WWWW[[#This Row],[Total '# of latrine]]&lt;0,0,WWWW[[#This Row],[Total required Latrines]]-WWWW[[#This Row],[Total '# of latrine]])</f>
        <v>1</v>
      </c>
      <c r="BM129" s="238">
        <f>ROUND(IF(WWWW[[#This Row],[Location Type 1]]="camp",WWWW[[#This Row],[Total PoP ]]/20,WWWW[[#This Row],[Total PoP ]]/6),0)</f>
        <v>13</v>
      </c>
      <c r="BN129" s="239">
        <f>IF(OR(WWWW[[#This Row],['# Existing latrines dysfunctional]]="",WWWW[[#This Row],['# Existing latrines dysfunctional]]=0),0,WWWW[[#This Row],['# Existing latrines dysfunctional]]/WWWW[[#This Row],[Total '# of latrine]])</f>
        <v>0.16666666666666666</v>
      </c>
      <c r="BO129" s="675">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80</v>
      </c>
      <c r="BP129" s="235">
        <f>WWWW[[#This Row],[People adopt basic personal and community hygiene practices]]/WWWW[[#This Row],[Total PoP ]]</f>
        <v>0</v>
      </c>
      <c r="BQ129" s="239">
        <f>1-WWWW[[#This Row],[Hygiene Coverage%]]</f>
        <v>1</v>
      </c>
      <c r="BR129" s="414">
        <f>IF(500*WWWW[[#This Row],['# Hygiene Promoters ]]&gt;WWWW[[#This Row],[Total PoP ]],WWWW[[#This Row],[Total PoP ]],500*WWWW[[#This Row],['# Hygiene Promoters ]])</f>
        <v>0</v>
      </c>
      <c r="BS129" s="414">
        <f>IF(WWWW[[#This Row],[% of HH with access to Sanitary Pad]]&gt;=100%,1,0)</f>
        <v>0</v>
      </c>
      <c r="BT129" s="414">
        <f>IF(WWWW[[#This Row],[Total PoP ]]=0,0,IF(WWWW[[#This Row],['# Hygiene Promoters ]]=0,0,IF(WWWW[[#This Row],[Location Type 1]]="Village",IF(WWWW[[#This Row],[Total PoP ]]/WWWW[[#This Row],['# Hygiene Promoters ]]&lt;1000,1,0),IF(WWWW[[#This Row],[Total PoP ]]/WWWW[[#This Row],['# Hygiene Promoters ]]&lt;600,1,0))))</f>
        <v>0</v>
      </c>
      <c r="BU129" s="414">
        <f>IF(WWWW[[#This Row],[%HH with access to soap]]&gt;=100%,1,0)</f>
        <v>0</v>
      </c>
      <c r="BV129" s="414">
        <f>IF(WWWW[[#This Row],[% of HHs with access to Sanitary pad more than '#%]]+WWWW[[#This Row],[Ratio of Hyiene promoters to people less than '#]]+WWWW[[#This Row],[% of HHs with access to soap more than '#%]]&gt;=2,WWWW[[#This Row],[Total PoP ]],0)</f>
        <v>0</v>
      </c>
      <c r="BW129" s="346">
        <f>WWWW[[#This Row],['# people reached by regular dedicated hygiene promotion_5]]/WWWW[[#This Row],[Total PoP ]]</f>
        <v>0</v>
      </c>
      <c r="BX129" s="346">
        <f>IF(WWWW[[#This Row],['# HH received soaps]]/WWWW[[#This Row],[Total HH]]&gt;1,1,WWWW[[#This Row],['# HH received soaps]]/WWWW[[#This Row],[Total HH]])</f>
        <v>0</v>
      </c>
      <c r="BY129" s="346">
        <f>IF(WWWW[[#This Row],['# HH received Sanitary Pads]]/WWWW[[#This Row],[Total HH]]&gt;1,1,WWWW[[#This Row],['# HH received Sanitary Pads]]/WWWW[[#This Row],[Total HH]])</f>
        <v>0</v>
      </c>
      <c r="BZ129" s="720">
        <f>WWWW[[#This Row],['# HH received soaps]]*5</f>
        <v>0</v>
      </c>
      <c r="CA129" s="720">
        <f>WWWW[[#This Row],['# HH received Sanitary Pads]]*5</f>
        <v>0</v>
      </c>
      <c r="CB129" s="238">
        <f>IF(WWWW[[#This Row],['# People with access to soap]]&gt;WWWW[[#This Row],['# People with access to Sanity Pads]],WWWW[[#This Row],['# People with access to soap]],WWWW[[#This Row],['# People with access to Sanity Pads]])</f>
        <v>0</v>
      </c>
      <c r="CC129" s="236">
        <f>WWWW[[#This Row],[Total HH]]*WWWW[[#This Row],[%HHs with access to functional hand washing stations]]</f>
        <v>27</v>
      </c>
      <c r="CD129" s="240" t="str">
        <f>VLOOKUP(WWWW[[#This Row],[Site Name]],SiteDB6[],8,FALSE)</f>
        <v>Yes</v>
      </c>
      <c r="CE129" s="240" t="str">
        <f>VLOOKUP(WWWW[[#This Row],[Site Name]],SiteDB6[],9,FALSE)</f>
        <v>Shalom</v>
      </c>
      <c r="CF129" s="240" t="str">
        <f>VLOOKUP(WWWW[[#This Row],[Site Name]],SiteDB6[],10,FALSE)</f>
        <v>Camp</v>
      </c>
      <c r="CG129" s="240" t="str">
        <f>VLOOKUP(WWWW[[#This Row],[Site Name]],SiteDB6[],11,FALSE)</f>
        <v>Camp</v>
      </c>
      <c r="CH129" s="240" t="str">
        <f>VLOOKUP(WWWW[[#This Row],[Site Name]],SiteDB6[],12,FALSE)</f>
        <v>Camp</v>
      </c>
      <c r="CI129" s="240" t="str">
        <f>VLOOKUP(WWWW[[#This Row],[Site Name]],SiteDB6[],13,FALSE)</f>
        <v>GCA</v>
      </c>
      <c r="CJ129" s="240">
        <f>VLOOKUP(WWWW[[#This Row],[Site Name]],SiteDB6[],14,FALSE)</f>
        <v>25.423209</v>
      </c>
      <c r="CK129" s="240">
        <f>VLOOKUP(WWWW[[#This Row],[Site Name]],SiteDB6[],15,FALSE)</f>
        <v>97.379987</v>
      </c>
      <c r="CL129" s="240" t="str">
        <f>VLOOKUP(WWWW[[#This Row],[Site Name]],SiteDB6[],4,FALSE)</f>
        <v>MMR001CMP023</v>
      </c>
      <c r="CM129" s="235" t="str">
        <f t="shared" si="1"/>
        <v>Covered</v>
      </c>
      <c r="CN129" s="235"/>
    </row>
    <row r="130" spans="1:92" ht="15.75" customHeight="1" x14ac:dyDescent="0.25">
      <c r="A130" s="532" t="s">
        <v>1409</v>
      </c>
      <c r="B130" s="533" t="s">
        <v>399</v>
      </c>
      <c r="C130" s="533" t="s">
        <v>44</v>
      </c>
      <c r="D130" s="533" t="s">
        <v>315</v>
      </c>
      <c r="E130" s="533" t="s">
        <v>427</v>
      </c>
      <c r="F130" s="233">
        <v>7</v>
      </c>
      <c r="G130" s="414">
        <v>31</v>
      </c>
      <c r="H130" s="233"/>
      <c r="I130" s="233" t="s">
        <v>401</v>
      </c>
      <c r="J130" s="234">
        <v>42947</v>
      </c>
      <c r="K130" s="233">
        <v>0</v>
      </c>
      <c r="L130" s="233" t="s">
        <v>48</v>
      </c>
      <c r="M130" s="235">
        <v>0.5</v>
      </c>
      <c r="N130" s="235">
        <v>1</v>
      </c>
      <c r="O130" s="609">
        <v>0</v>
      </c>
      <c r="P130" s="615">
        <v>1</v>
      </c>
      <c r="Q130" s="615">
        <v>400</v>
      </c>
      <c r="R130" s="604">
        <v>0</v>
      </c>
      <c r="S130" s="604">
        <v>0</v>
      </c>
      <c r="T130" s="604">
        <v>0</v>
      </c>
      <c r="U130" s="604">
        <v>0</v>
      </c>
      <c r="V130" s="604">
        <v>0</v>
      </c>
      <c r="W130" s="604">
        <v>0</v>
      </c>
      <c r="X130" s="604">
        <v>0</v>
      </c>
      <c r="Y130" s="604"/>
      <c r="Z130" s="628">
        <v>2</v>
      </c>
      <c r="AA130" s="628">
        <v>0</v>
      </c>
      <c r="AB130" s="629">
        <v>0</v>
      </c>
      <c r="AC130" s="628">
        <v>2</v>
      </c>
      <c r="AD130" s="628" t="s">
        <v>293</v>
      </c>
      <c r="AE130" s="631" t="s">
        <v>1379</v>
      </c>
      <c r="AF130" s="631">
        <v>0</v>
      </c>
      <c r="AG130" s="628">
        <v>0</v>
      </c>
      <c r="AH130" s="628"/>
      <c r="AI130" s="659">
        <v>0.5</v>
      </c>
      <c r="AJ130" s="650" t="s">
        <v>386</v>
      </c>
      <c r="AK130" s="644">
        <v>0</v>
      </c>
      <c r="AL130" s="645">
        <v>2</v>
      </c>
      <c r="AM130" s="645">
        <v>0</v>
      </c>
      <c r="AN130" s="646">
        <v>0</v>
      </c>
      <c r="AO130" s="647">
        <v>0</v>
      </c>
      <c r="AP130" s="647"/>
      <c r="AQ130" s="658"/>
      <c r="AR130" s="235" t="str">
        <f>IFERROR(WWWW[[#This Row],['# of Water passed at source]]/WWWW[[#This Row],['# of Water tested at source]],"no test")</f>
        <v>no test</v>
      </c>
      <c r="AS130" s="237" t="str">
        <f>IFERROR(WWWW[[#This Row],['# of Water passed at HH]]/WWWW[[#This Row],['# of Water tested at HH]],"no test")</f>
        <v>no test</v>
      </c>
      <c r="AT130" s="237">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U130" s="237">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AV130" s="237">
        <f>IF(WWWW[[#This Row],[Location Type 1]]="Village",WWWW[[#This Row],[Access to safe drinking water for Village]],WWWW[[#This Row],[Access to safe drinking water for Camp]])</f>
        <v>1</v>
      </c>
      <c r="AW130" s="414">
        <f>WWWW[[#This Row],[%Equitable and continuous access to sufficient quantity of safe drinking water]]*WWWW[[#This Row],[Total PoP ]]</f>
        <v>31</v>
      </c>
      <c r="AX130" s="237">
        <f>IF((WWWW[[#This Row],['# Existing protected/fenced ponds ]]*250)/WWWW[[#This Row],[Total PoP ]]&gt;1,1,WWWW[[#This Row],['# Existing protected/fenced ponds ]]*250/WWWW[[#This Row],[Total PoP ]])</f>
        <v>0</v>
      </c>
      <c r="AY130" s="414">
        <f>WWWW[[#This Row],[Access to unimproved water points]]*WWWW[[#This Row],[Total PoP ]]</f>
        <v>0</v>
      </c>
      <c r="AZ130" s="237">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A130" s="414">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31</v>
      </c>
      <c r="BB130" s="414">
        <f>WWWW[[#This Row],['#people Equitable and continuous access to sufficient quantity of domestic water borehole n ponds_2]]/500</f>
        <v>6.2E-2</v>
      </c>
      <c r="BC130" s="235">
        <f>1-WWWW[[#This Row],[%Equitable and continuous access to sufficient quantity of domestic water borehole n ponds]]</f>
        <v>0</v>
      </c>
      <c r="BD130" s="414">
        <f>WWWW[[#This Row],[%equitable and continuous access to sufficient quantity of safe drinking and domestic water''s GAP]]*WWWW[[#This Row],[Total PoP ]]</f>
        <v>0</v>
      </c>
      <c r="BE130" s="238">
        <f>IF(WWWW[[#This Row],[Total required water points]]-WWWW[[#This Row],['#Water points coverage]]&lt;0,0,WWWW[[#This Row],[Total required water points]]-WWWW[[#This Row],['#Water points coverage]])</f>
        <v>0.93799999999999994</v>
      </c>
      <c r="BF130" s="238">
        <f>ROUND(IF(WWWW[[#This Row],[Total PoP ]]&lt;500,1,WWWW[[#This Row],[Total PoP ]]/500),0)</f>
        <v>1</v>
      </c>
      <c r="BG130" s="238" t="str">
        <f>IF(AND(WWWW[[#This Row],[%of Water samples which passed at water source]]="no test",WWWW[[#This Row],[%Water samples which passed at HH]]="no test"),"No Test","Tested")</f>
        <v>No Test</v>
      </c>
      <c r="BH130" s="238">
        <f>WWWW[[#This Row],['# Existing functional latrines]]+WWWW[[#This Row],['# Existing latrines dysfunctional]]</f>
        <v>2</v>
      </c>
      <c r="BI130" s="235">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1</v>
      </c>
      <c r="BJ130" s="675">
        <f>WWWW[[#This Row],[% people access to functioning Latrine]]*WWWW[[#This Row],[Total PoP ]]</f>
        <v>31</v>
      </c>
      <c r="BK130" s="235">
        <f>IF(WWWW[[#This Row],[Location Type 1]]="camp",WWWW[[#This Row],['# potential required new latrines]]/(WWWW[[#This Row],[Total PoP ]]/20),WWWW[[#This Row],['# potential required new latrines]]/(WWWW[[#This Row],[Total PoP ]]/6))</f>
        <v>0</v>
      </c>
      <c r="BL130" s="414">
        <f>IF(WWWW[[#This Row],[Total required Latrines]]-WWWW[[#This Row],[Total '# of latrine]]&lt;0,0,WWWW[[#This Row],[Total required Latrines]]-WWWW[[#This Row],[Total '# of latrine]])</f>
        <v>0</v>
      </c>
      <c r="BM130" s="238">
        <f>ROUND(IF(WWWW[[#This Row],[Location Type 1]]="camp",WWWW[[#This Row],[Total PoP ]]/20,WWWW[[#This Row],[Total PoP ]]/6),0)</f>
        <v>2</v>
      </c>
      <c r="BN130" s="239">
        <f>IF(OR(WWWW[[#This Row],['# Existing latrines dysfunctional]]="",WWWW[[#This Row],['# Existing latrines dysfunctional]]=0),0,WWWW[[#This Row],['# Existing latrines dysfunctional]]/WWWW[[#This Row],[Total '# of latrine]])</f>
        <v>0</v>
      </c>
      <c r="BO130" s="675">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P130" s="235">
        <f>WWWW[[#This Row],[People adopt basic personal and community hygiene practices]]/WWWW[[#This Row],[Total PoP ]]</f>
        <v>0</v>
      </c>
      <c r="BQ130" s="239">
        <f>1-WWWW[[#This Row],[Hygiene Coverage%]]</f>
        <v>1</v>
      </c>
      <c r="BR130" s="414">
        <f>IF(500*WWWW[[#This Row],['# Hygiene Promoters ]]&gt;WWWW[[#This Row],[Total PoP ]],WWWW[[#This Row],[Total PoP ]],500*WWWW[[#This Row],['# Hygiene Promoters ]])</f>
        <v>0</v>
      </c>
      <c r="BS130" s="414">
        <f>IF(WWWW[[#This Row],[% of HH with access to Sanitary Pad]]&gt;=100%,1,0)</f>
        <v>0</v>
      </c>
      <c r="BT130" s="414">
        <f>IF(WWWW[[#This Row],[Total PoP ]]=0,0,IF(WWWW[[#This Row],['# Hygiene Promoters ]]=0,0,IF(WWWW[[#This Row],[Location Type 1]]="Village",IF(WWWW[[#This Row],[Total PoP ]]/WWWW[[#This Row],['# Hygiene Promoters ]]&lt;1000,1,0),IF(WWWW[[#This Row],[Total PoP ]]/WWWW[[#This Row],['# Hygiene Promoters ]]&lt;600,1,0))))</f>
        <v>0</v>
      </c>
      <c r="BU130" s="414">
        <f>IF(WWWW[[#This Row],[%HH with access to soap]]&gt;=100%,1,0)</f>
        <v>0</v>
      </c>
      <c r="BV130" s="414">
        <f>IF(WWWW[[#This Row],[% of HHs with access to Sanitary pad more than '#%]]+WWWW[[#This Row],[Ratio of Hyiene promoters to people less than '#]]+WWWW[[#This Row],[% of HHs with access to soap more than '#%]]&gt;=2,WWWW[[#This Row],[Total PoP ]],0)</f>
        <v>0</v>
      </c>
      <c r="BW130" s="346">
        <f>WWWW[[#This Row],['# people reached by regular dedicated hygiene promotion_5]]/WWWW[[#This Row],[Total PoP ]]</f>
        <v>0</v>
      </c>
      <c r="BX130" s="346">
        <f>IF(WWWW[[#This Row],['# HH received soaps]]/WWWW[[#This Row],[Total HH]]&gt;1,1,WWWW[[#This Row],['# HH received soaps]]/WWWW[[#This Row],[Total HH]])</f>
        <v>0</v>
      </c>
      <c r="BY130" s="346">
        <f>IF(WWWW[[#This Row],['# HH received Sanitary Pads]]/WWWW[[#This Row],[Total HH]]&gt;1,1,WWWW[[#This Row],['# HH received Sanitary Pads]]/WWWW[[#This Row],[Total HH]])</f>
        <v>0</v>
      </c>
      <c r="BZ130" s="720">
        <f>WWWW[[#This Row],['# HH received soaps]]*5</f>
        <v>0</v>
      </c>
      <c r="CA130" s="720">
        <f>WWWW[[#This Row],['# HH received Sanitary Pads]]*5</f>
        <v>0</v>
      </c>
      <c r="CB130" s="238">
        <f>IF(WWWW[[#This Row],['# People with access to soap]]&gt;WWWW[[#This Row],['# People with access to Sanity Pads]],WWWW[[#This Row],['# People with access to soap]],WWWW[[#This Row],['# People with access to Sanity Pads]])</f>
        <v>0</v>
      </c>
      <c r="CC130" s="414">
        <f>WWWW[[#This Row],[Total HH]]*WWWW[[#This Row],[%HHs with access to functional hand washing stations]]</f>
        <v>3.5</v>
      </c>
      <c r="CD130" s="240" t="str">
        <f>VLOOKUP(WWWW[[#This Row],[Site Name]],SiteDB6[],8,FALSE)</f>
        <v>Yes</v>
      </c>
      <c r="CE130" s="240" t="str">
        <f>VLOOKUP(WWWW[[#This Row],[Site Name]],SiteDB6[],9,FALSE)</f>
        <v>Shalom</v>
      </c>
      <c r="CF130" s="240" t="str">
        <f>VLOOKUP(WWWW[[#This Row],[Site Name]],SiteDB6[],10,FALSE)</f>
        <v>Camp</v>
      </c>
      <c r="CG130" s="240" t="str">
        <f>VLOOKUP(WWWW[[#This Row],[Site Name]],SiteDB6[],11,FALSE)</f>
        <v>Camp</v>
      </c>
      <c r="CH130" s="240" t="str">
        <f>VLOOKUP(WWWW[[#This Row],[Site Name]],SiteDB6[],12,FALSE)</f>
        <v>Camp</v>
      </c>
      <c r="CI130" s="240" t="str">
        <f>VLOOKUP(WWWW[[#This Row],[Site Name]],SiteDB6[],13,FALSE)</f>
        <v>GCA</v>
      </c>
      <c r="CJ130" s="240">
        <f>VLOOKUP(WWWW[[#This Row],[Site Name]],SiteDB6[],14,FALSE)</f>
        <v>25.417733999999999</v>
      </c>
      <c r="CK130" s="240">
        <f>VLOOKUP(WWWW[[#This Row],[Site Name]],SiteDB6[],15,FALSE)</f>
        <v>97.389778000000007</v>
      </c>
      <c r="CL130" s="240" t="str">
        <f>VLOOKUP(WWWW[[#This Row],[Site Name]],SiteDB6[],4,FALSE)</f>
        <v>MMR001CMP004</v>
      </c>
      <c r="CM130" s="235" t="str">
        <f t="shared" si="1"/>
        <v>Covered</v>
      </c>
      <c r="CN130" s="235"/>
    </row>
    <row r="131" spans="1:92" ht="15.75" customHeight="1" x14ac:dyDescent="0.25">
      <c r="A131" s="532" t="s">
        <v>1409</v>
      </c>
      <c r="B131" s="533" t="s">
        <v>297</v>
      </c>
      <c r="C131" s="533" t="s">
        <v>44</v>
      </c>
      <c r="D131" s="533" t="s">
        <v>315</v>
      </c>
      <c r="E131" s="533" t="s">
        <v>327</v>
      </c>
      <c r="F131" s="233">
        <v>30</v>
      </c>
      <c r="G131" s="414">
        <v>171</v>
      </c>
      <c r="H131" s="233"/>
      <c r="I131" s="233" t="s">
        <v>300</v>
      </c>
      <c r="J131" s="234">
        <v>43555</v>
      </c>
      <c r="K131" s="233">
        <v>0</v>
      </c>
      <c r="L131" s="233" t="s">
        <v>48</v>
      </c>
      <c r="M131" s="235">
        <v>0.6</v>
      </c>
      <c r="N131" s="235">
        <v>0.5</v>
      </c>
      <c r="O131" s="609">
        <v>0</v>
      </c>
      <c r="P131" s="615">
        <v>3</v>
      </c>
      <c r="Q131" s="615">
        <v>0</v>
      </c>
      <c r="R131" s="604">
        <v>0</v>
      </c>
      <c r="S131" s="604">
        <v>0</v>
      </c>
      <c r="T131" s="604">
        <v>0</v>
      </c>
      <c r="U131" s="604">
        <v>0</v>
      </c>
      <c r="V131" s="604">
        <v>0</v>
      </c>
      <c r="W131" s="604">
        <v>0</v>
      </c>
      <c r="X131" s="604">
        <v>0</v>
      </c>
      <c r="Y131" s="604"/>
      <c r="Z131" s="628">
        <v>5</v>
      </c>
      <c r="AA131" s="628">
        <v>0</v>
      </c>
      <c r="AB131" s="629">
        <v>0</v>
      </c>
      <c r="AC131" s="628">
        <v>0</v>
      </c>
      <c r="AD131" s="628" t="s">
        <v>293</v>
      </c>
      <c r="AE131" s="631" t="s">
        <v>1379</v>
      </c>
      <c r="AF131" s="631"/>
      <c r="AG131" s="628"/>
      <c r="AH131" s="628"/>
      <c r="AI131" s="659">
        <v>0.6</v>
      </c>
      <c r="AJ131" s="644" t="s">
        <v>301</v>
      </c>
      <c r="AK131" s="644">
        <v>0</v>
      </c>
      <c r="AL131" s="645">
        <v>2</v>
      </c>
      <c r="AM131" s="645">
        <v>1</v>
      </c>
      <c r="AN131" s="646">
        <v>0</v>
      </c>
      <c r="AO131" s="647">
        <v>0</v>
      </c>
      <c r="AP131" s="647"/>
      <c r="AQ131" s="658"/>
      <c r="AR131" s="235" t="str">
        <f>IFERROR(WWWW[[#This Row],['# of Water passed at source]]/WWWW[[#This Row],['# of Water tested at source]],"no test")</f>
        <v>no test</v>
      </c>
      <c r="AS131" s="237" t="str">
        <f>IFERROR(WWWW[[#This Row],['# of Water passed at HH]]/WWWW[[#This Row],['# of Water tested at HH]],"no test")</f>
        <v>no test</v>
      </c>
      <c r="AT131" s="237">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U131" s="237">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AV131" s="237">
        <f>IF(WWWW[[#This Row],[Location Type 1]]="Village",WWWW[[#This Row],[Access to safe drinking water for Village]],WWWW[[#This Row],[Access to safe drinking water for Camp]])</f>
        <v>1</v>
      </c>
      <c r="AW131" s="414">
        <f>WWWW[[#This Row],[%Equitable and continuous access to sufficient quantity of safe drinking water]]*WWWW[[#This Row],[Total PoP ]]</f>
        <v>171</v>
      </c>
      <c r="AX131" s="237">
        <f>IF((WWWW[[#This Row],['# Existing protected/fenced ponds ]]*250)/WWWW[[#This Row],[Total PoP ]]&gt;1,1,WWWW[[#This Row],['# Existing protected/fenced ponds ]]*250/WWWW[[#This Row],[Total PoP ]])</f>
        <v>0</v>
      </c>
      <c r="AY131" s="414">
        <f>WWWW[[#This Row],[Access to unimproved water points]]*WWWW[[#This Row],[Total PoP ]]</f>
        <v>0</v>
      </c>
      <c r="AZ131" s="237">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A131" s="414">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171</v>
      </c>
      <c r="BB131" s="414">
        <f>WWWW[[#This Row],['#people Equitable and continuous access to sufficient quantity of domestic water borehole n ponds_2]]/500</f>
        <v>0.34200000000000003</v>
      </c>
      <c r="BC131" s="235">
        <f>1-WWWW[[#This Row],[%Equitable and continuous access to sufficient quantity of domestic water borehole n ponds]]</f>
        <v>0</v>
      </c>
      <c r="BD131" s="414">
        <f>WWWW[[#This Row],[%equitable and continuous access to sufficient quantity of safe drinking and domestic water''s GAP]]*WWWW[[#This Row],[Total PoP ]]</f>
        <v>0</v>
      </c>
      <c r="BE131" s="238">
        <f>IF(WWWW[[#This Row],[Total required water points]]-WWWW[[#This Row],['#Water points coverage]]&lt;0,0,WWWW[[#This Row],[Total required water points]]-WWWW[[#This Row],['#Water points coverage]])</f>
        <v>0.65799999999999992</v>
      </c>
      <c r="BF131" s="238">
        <f>ROUND(IF(WWWW[[#This Row],[Total PoP ]]&lt;500,1,WWWW[[#This Row],[Total PoP ]]/500),0)</f>
        <v>1</v>
      </c>
      <c r="BG131" s="238" t="str">
        <f>IF(AND(WWWW[[#This Row],[%of Water samples which passed at water source]]="no test",WWWW[[#This Row],[%Water samples which passed at HH]]="no test"),"No Test","Tested")</f>
        <v>No Test</v>
      </c>
      <c r="BH131" s="238">
        <f>WWWW[[#This Row],['# Existing functional latrines]]+WWWW[[#This Row],['# Existing latrines dysfunctional]]</f>
        <v>5</v>
      </c>
      <c r="BI131" s="235">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0.58479532163742687</v>
      </c>
      <c r="BJ131" s="675">
        <f>WWWW[[#This Row],[% people access to functioning Latrine]]*WWWW[[#This Row],[Total PoP ]]</f>
        <v>100</v>
      </c>
      <c r="BK131" s="235">
        <f>IF(WWWW[[#This Row],[Location Type 1]]="camp",WWWW[[#This Row],['# potential required new latrines]]/(WWWW[[#This Row],[Total PoP ]]/20),WWWW[[#This Row],['# potential required new latrines]]/(WWWW[[#This Row],[Total PoP ]]/6))</f>
        <v>0.46783625730994149</v>
      </c>
      <c r="BL131" s="414">
        <f>IF(WWWW[[#This Row],[Total required Latrines]]-WWWW[[#This Row],[Total '# of latrine]]&lt;0,0,WWWW[[#This Row],[Total required Latrines]]-WWWW[[#This Row],[Total '# of latrine]])</f>
        <v>4</v>
      </c>
      <c r="BM131" s="238">
        <f>ROUND(IF(WWWW[[#This Row],[Location Type 1]]="camp",WWWW[[#This Row],[Total PoP ]]/20,WWWW[[#This Row],[Total PoP ]]/6),0)</f>
        <v>9</v>
      </c>
      <c r="BN131" s="239">
        <f>IF(OR(WWWW[[#This Row],['# Existing latrines dysfunctional]]="",WWWW[[#This Row],['# Existing latrines dysfunctional]]=0),0,WWWW[[#This Row],['# Existing latrines dysfunctional]]/WWWW[[#This Row],[Total '# of latrine]])</f>
        <v>0</v>
      </c>
      <c r="BO131" s="675">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P131" s="235">
        <f>WWWW[[#This Row],[People adopt basic personal and community hygiene practices]]/WWWW[[#This Row],[Total PoP ]]</f>
        <v>0</v>
      </c>
      <c r="BQ131" s="239">
        <f>1-WWWW[[#This Row],[Hygiene Coverage%]]</f>
        <v>1</v>
      </c>
      <c r="BR131" s="414">
        <f>IF(500*WWWW[[#This Row],['# Hygiene Promoters ]]&gt;WWWW[[#This Row],[Total PoP ]],WWWW[[#This Row],[Total PoP ]],500*WWWW[[#This Row],['# Hygiene Promoters ]])</f>
        <v>171</v>
      </c>
      <c r="BS131" s="414">
        <f>IF(WWWW[[#This Row],[% of HH with access to Sanitary Pad]]&gt;=100%,1,0)</f>
        <v>0</v>
      </c>
      <c r="BT131" s="414">
        <f>IF(WWWW[[#This Row],[Total PoP ]]=0,0,IF(WWWW[[#This Row],['# Hygiene Promoters ]]=0,0,IF(WWWW[[#This Row],[Location Type 1]]="Village",IF(WWWW[[#This Row],[Total PoP ]]/WWWW[[#This Row],['# Hygiene Promoters ]]&lt;1000,1,0),IF(WWWW[[#This Row],[Total PoP ]]/WWWW[[#This Row],['# Hygiene Promoters ]]&lt;600,1,0))))</f>
        <v>1</v>
      </c>
      <c r="BU131" s="414">
        <f>IF(WWWW[[#This Row],[%HH with access to soap]]&gt;=100%,1,0)</f>
        <v>0</v>
      </c>
      <c r="BV131" s="414">
        <f>IF(WWWW[[#This Row],[% of HHs with access to Sanitary pad more than '#%]]+WWWW[[#This Row],[Ratio of Hyiene promoters to people less than '#]]+WWWW[[#This Row],[% of HHs with access to soap more than '#%]]&gt;=2,WWWW[[#This Row],[Total PoP ]],0)</f>
        <v>0</v>
      </c>
      <c r="BW131" s="346">
        <f>WWWW[[#This Row],['# people reached by regular dedicated hygiene promotion_5]]/WWWW[[#This Row],[Total PoP ]]</f>
        <v>1</v>
      </c>
      <c r="BX131" s="346">
        <f>IF(WWWW[[#This Row],['# HH received soaps]]/WWWW[[#This Row],[Total HH]]&gt;1,1,WWWW[[#This Row],['# HH received soaps]]/WWWW[[#This Row],[Total HH]])</f>
        <v>0</v>
      </c>
      <c r="BY131" s="346">
        <f>IF(WWWW[[#This Row],['# HH received Sanitary Pads]]/WWWW[[#This Row],[Total HH]]&gt;1,1,WWWW[[#This Row],['# HH received Sanitary Pads]]/WWWW[[#This Row],[Total HH]])</f>
        <v>0</v>
      </c>
      <c r="BZ131" s="720">
        <f>WWWW[[#This Row],['# HH received soaps]]*5</f>
        <v>0</v>
      </c>
      <c r="CA131" s="720">
        <f>WWWW[[#This Row],['# HH received Sanitary Pads]]*5</f>
        <v>0</v>
      </c>
      <c r="CB131" s="238">
        <f>IF(WWWW[[#This Row],['# People with access to soap]]&gt;WWWW[[#This Row],['# People with access to Sanity Pads]],WWWW[[#This Row],['# People with access to soap]],WWWW[[#This Row],['# People with access to Sanity Pads]])</f>
        <v>0</v>
      </c>
      <c r="CC131" s="414">
        <f>WWWW[[#This Row],[Total HH]]*WWWW[[#This Row],[%HHs with access to functional hand washing stations]]</f>
        <v>18</v>
      </c>
      <c r="CD131" s="240" t="str">
        <f>VLOOKUP(WWWW[[#This Row],[Site Name]],SiteDB6[],8,FALSE)</f>
        <v>Yes</v>
      </c>
      <c r="CE131" s="240" t="str">
        <f>VLOOKUP(WWWW[[#This Row],[Site Name]],SiteDB6[],9,FALSE)</f>
        <v>KBC</v>
      </c>
      <c r="CF131" s="240" t="str">
        <f>VLOOKUP(WWWW[[#This Row],[Site Name]],SiteDB6[],10,FALSE)</f>
        <v>Camp</v>
      </c>
      <c r="CG131" s="240" t="str">
        <f>VLOOKUP(WWWW[[#This Row],[Site Name]],SiteDB6[],11,FALSE)</f>
        <v>Camp</v>
      </c>
      <c r="CH131" s="240" t="str">
        <f>VLOOKUP(WWWW[[#This Row],[Site Name]],SiteDB6[],12,FALSE)</f>
        <v>Camp</v>
      </c>
      <c r="CI131" s="240" t="str">
        <f>VLOOKUP(WWWW[[#This Row],[Site Name]],SiteDB6[],13,FALSE)</f>
        <v>GCA</v>
      </c>
      <c r="CJ131" s="240">
        <f>VLOOKUP(WWWW[[#This Row],[Site Name]],SiteDB6[],14,FALSE)</f>
        <v>25.404752999999999</v>
      </c>
      <c r="CK131" s="240">
        <f>VLOOKUP(WWWW[[#This Row],[Site Name]],SiteDB6[],15,FALSE)</f>
        <v>97.377662999999998</v>
      </c>
      <c r="CL131" s="240" t="str">
        <f>VLOOKUP(WWWW[[#This Row],[Site Name]],SiteDB6[],4,FALSE)</f>
        <v>MMR001CMP003</v>
      </c>
      <c r="CM131" s="235" t="str">
        <f t="shared" si="1"/>
        <v>Covered</v>
      </c>
      <c r="CN131" s="235"/>
    </row>
    <row r="132" spans="1:92" ht="15.75" customHeight="1" x14ac:dyDescent="0.25">
      <c r="A132" s="532" t="s">
        <v>1409</v>
      </c>
      <c r="B132" s="533" t="s">
        <v>297</v>
      </c>
      <c r="C132" s="533" t="s">
        <v>44</v>
      </c>
      <c r="D132" s="533" t="s">
        <v>315</v>
      </c>
      <c r="E132" s="533" t="s">
        <v>328</v>
      </c>
      <c r="F132" s="233">
        <v>46</v>
      </c>
      <c r="G132" s="414">
        <v>239</v>
      </c>
      <c r="H132" s="233"/>
      <c r="I132" s="233" t="s">
        <v>300</v>
      </c>
      <c r="J132" s="234">
        <v>43555</v>
      </c>
      <c r="K132" s="233">
        <v>0</v>
      </c>
      <c r="L132" s="233" t="s">
        <v>48</v>
      </c>
      <c r="M132" s="235">
        <v>0.6</v>
      </c>
      <c r="N132" s="235">
        <v>0.5</v>
      </c>
      <c r="O132" s="609">
        <v>0</v>
      </c>
      <c r="P132" s="615">
        <v>3</v>
      </c>
      <c r="Q132" s="615">
        <v>2000</v>
      </c>
      <c r="R132" s="604">
        <v>0</v>
      </c>
      <c r="S132" s="604">
        <v>0</v>
      </c>
      <c r="T132" s="604">
        <v>0</v>
      </c>
      <c r="U132" s="604">
        <v>0</v>
      </c>
      <c r="V132" s="604">
        <v>0</v>
      </c>
      <c r="W132" s="604">
        <v>0</v>
      </c>
      <c r="X132" s="604">
        <v>0</v>
      </c>
      <c r="Y132" s="604"/>
      <c r="Z132" s="628">
        <v>13</v>
      </c>
      <c r="AA132" s="628">
        <v>0</v>
      </c>
      <c r="AB132" s="629">
        <v>0</v>
      </c>
      <c r="AC132" s="628">
        <v>0</v>
      </c>
      <c r="AD132" s="628" t="s">
        <v>293</v>
      </c>
      <c r="AE132" s="631" t="s">
        <v>293</v>
      </c>
      <c r="AF132" s="631"/>
      <c r="AG132" s="628"/>
      <c r="AH132" s="628"/>
      <c r="AI132" s="659">
        <v>0.6</v>
      </c>
      <c r="AJ132" s="644" t="s">
        <v>301</v>
      </c>
      <c r="AK132" s="644">
        <v>0</v>
      </c>
      <c r="AL132" s="645">
        <v>3</v>
      </c>
      <c r="AM132" s="645">
        <v>1</v>
      </c>
      <c r="AN132" s="646">
        <v>0</v>
      </c>
      <c r="AO132" s="647">
        <v>0</v>
      </c>
      <c r="AP132" s="647"/>
      <c r="AQ132" s="658"/>
      <c r="AR132" s="235" t="str">
        <f>IFERROR(WWWW[[#This Row],['# of Water passed at source]]/WWWW[[#This Row],['# of Water tested at source]],"no test")</f>
        <v>no test</v>
      </c>
      <c r="AS132" s="237" t="str">
        <f>IFERROR(WWWW[[#This Row],['# of Water passed at HH]]/WWWW[[#This Row],['# of Water tested at HH]],"no test")</f>
        <v>no test</v>
      </c>
      <c r="AT132" s="237">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U132" s="237">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AV132" s="237">
        <f>IF(WWWW[[#This Row],[Location Type 1]]="Village",WWWW[[#This Row],[Access to safe drinking water for Village]],WWWW[[#This Row],[Access to safe drinking water for Camp]])</f>
        <v>1</v>
      </c>
      <c r="AW132" s="414">
        <f>WWWW[[#This Row],[%Equitable and continuous access to sufficient quantity of safe drinking water]]*WWWW[[#This Row],[Total PoP ]]</f>
        <v>239</v>
      </c>
      <c r="AX132" s="237">
        <f>IF((WWWW[[#This Row],['# Existing protected/fenced ponds ]]*250)/WWWW[[#This Row],[Total PoP ]]&gt;1,1,WWWW[[#This Row],['# Existing protected/fenced ponds ]]*250/WWWW[[#This Row],[Total PoP ]])</f>
        <v>0</v>
      </c>
      <c r="AY132" s="414">
        <f>WWWW[[#This Row],[Access to unimproved water points]]*WWWW[[#This Row],[Total PoP ]]</f>
        <v>0</v>
      </c>
      <c r="AZ132" s="237">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A132" s="414">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239</v>
      </c>
      <c r="BB132" s="414">
        <f>WWWW[[#This Row],['#people Equitable and continuous access to sufficient quantity of domestic water borehole n ponds_2]]/500</f>
        <v>0.47799999999999998</v>
      </c>
      <c r="BC132" s="235">
        <f>1-WWWW[[#This Row],[%Equitable and continuous access to sufficient quantity of domestic water borehole n ponds]]</f>
        <v>0</v>
      </c>
      <c r="BD132" s="414">
        <f>WWWW[[#This Row],[%equitable and continuous access to sufficient quantity of safe drinking and domestic water''s GAP]]*WWWW[[#This Row],[Total PoP ]]</f>
        <v>0</v>
      </c>
      <c r="BE132" s="238">
        <f>IF(WWWW[[#This Row],[Total required water points]]-WWWW[[#This Row],['#Water points coverage]]&lt;0,0,WWWW[[#This Row],[Total required water points]]-WWWW[[#This Row],['#Water points coverage]])</f>
        <v>0.52200000000000002</v>
      </c>
      <c r="BF132" s="238">
        <f>ROUND(IF(WWWW[[#This Row],[Total PoP ]]&lt;500,1,WWWW[[#This Row],[Total PoP ]]/500),0)</f>
        <v>1</v>
      </c>
      <c r="BG132" s="238" t="str">
        <f>IF(AND(WWWW[[#This Row],[%of Water samples which passed at water source]]="no test",WWWW[[#This Row],[%Water samples which passed at HH]]="no test"),"No Test","Tested")</f>
        <v>No Test</v>
      </c>
      <c r="BH132" s="238">
        <f>WWWW[[#This Row],['# Existing functional latrines]]+WWWW[[#This Row],['# Existing latrines dysfunctional]]</f>
        <v>13</v>
      </c>
      <c r="BI132" s="235">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1</v>
      </c>
      <c r="BJ132" s="675">
        <f>WWWW[[#This Row],[% people access to functioning Latrine]]*WWWW[[#This Row],[Total PoP ]]</f>
        <v>239</v>
      </c>
      <c r="BK132" s="235">
        <f>IF(WWWW[[#This Row],[Location Type 1]]="camp",WWWW[[#This Row],['# potential required new latrines]]/(WWWW[[#This Row],[Total PoP ]]/20),WWWW[[#This Row],['# potential required new latrines]]/(WWWW[[#This Row],[Total PoP ]]/6))</f>
        <v>0</v>
      </c>
      <c r="BL132" s="414">
        <f>IF(WWWW[[#This Row],[Total required Latrines]]-WWWW[[#This Row],[Total '# of latrine]]&lt;0,0,WWWW[[#This Row],[Total required Latrines]]-WWWW[[#This Row],[Total '# of latrine]])</f>
        <v>0</v>
      </c>
      <c r="BM132" s="238">
        <f>ROUND(IF(WWWW[[#This Row],[Location Type 1]]="camp",WWWW[[#This Row],[Total PoP ]]/20,WWWW[[#This Row],[Total PoP ]]/6),0)</f>
        <v>12</v>
      </c>
      <c r="BN132" s="239">
        <f>IF(OR(WWWW[[#This Row],['# Existing latrines dysfunctional]]="",WWWW[[#This Row],['# Existing latrines dysfunctional]]=0),0,WWWW[[#This Row],['# Existing latrines dysfunctional]]/WWWW[[#This Row],[Total '# of latrine]])</f>
        <v>0</v>
      </c>
      <c r="BO132" s="675">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P132" s="235">
        <f>WWWW[[#This Row],[People adopt basic personal and community hygiene practices]]/WWWW[[#This Row],[Total PoP ]]</f>
        <v>0</v>
      </c>
      <c r="BQ132" s="239">
        <f>1-WWWW[[#This Row],[Hygiene Coverage%]]</f>
        <v>1</v>
      </c>
      <c r="BR132" s="414">
        <f>IF(500*WWWW[[#This Row],['# Hygiene Promoters ]]&gt;WWWW[[#This Row],[Total PoP ]],WWWW[[#This Row],[Total PoP ]],500*WWWW[[#This Row],['# Hygiene Promoters ]])</f>
        <v>239</v>
      </c>
      <c r="BS132" s="414">
        <f>IF(WWWW[[#This Row],[% of HH with access to Sanitary Pad]]&gt;=100%,1,0)</f>
        <v>0</v>
      </c>
      <c r="BT132" s="414">
        <f>IF(WWWW[[#This Row],[Total PoP ]]=0,0,IF(WWWW[[#This Row],['# Hygiene Promoters ]]=0,0,IF(WWWW[[#This Row],[Location Type 1]]="Village",IF(WWWW[[#This Row],[Total PoP ]]/WWWW[[#This Row],['# Hygiene Promoters ]]&lt;1000,1,0),IF(WWWW[[#This Row],[Total PoP ]]/WWWW[[#This Row],['# Hygiene Promoters ]]&lt;600,1,0))))</f>
        <v>1</v>
      </c>
      <c r="BU132" s="414">
        <f>IF(WWWW[[#This Row],[%HH with access to soap]]&gt;=100%,1,0)</f>
        <v>0</v>
      </c>
      <c r="BV132" s="414">
        <f>IF(WWWW[[#This Row],[% of HHs with access to Sanitary pad more than '#%]]+WWWW[[#This Row],[Ratio of Hyiene promoters to people less than '#]]+WWWW[[#This Row],[% of HHs with access to soap more than '#%]]&gt;=2,WWWW[[#This Row],[Total PoP ]],0)</f>
        <v>0</v>
      </c>
      <c r="BW132" s="346">
        <f>WWWW[[#This Row],['# people reached by regular dedicated hygiene promotion_5]]/WWWW[[#This Row],[Total PoP ]]</f>
        <v>1</v>
      </c>
      <c r="BX132" s="346">
        <f>IF(WWWW[[#This Row],['# HH received soaps]]/WWWW[[#This Row],[Total HH]]&gt;1,1,WWWW[[#This Row],['# HH received soaps]]/WWWW[[#This Row],[Total HH]])</f>
        <v>0</v>
      </c>
      <c r="BY132" s="346">
        <f>IF(WWWW[[#This Row],['# HH received Sanitary Pads]]/WWWW[[#This Row],[Total HH]]&gt;1,1,WWWW[[#This Row],['# HH received Sanitary Pads]]/WWWW[[#This Row],[Total HH]])</f>
        <v>0</v>
      </c>
      <c r="BZ132" s="720">
        <f>WWWW[[#This Row],['# HH received soaps]]*5</f>
        <v>0</v>
      </c>
      <c r="CA132" s="720">
        <f>WWWW[[#This Row],['# HH received Sanitary Pads]]*5</f>
        <v>0</v>
      </c>
      <c r="CB132" s="238">
        <f>IF(WWWW[[#This Row],['# People with access to soap]]&gt;WWWW[[#This Row],['# People with access to Sanity Pads]],WWWW[[#This Row],['# People with access to soap]],WWWW[[#This Row],['# People with access to Sanity Pads]])</f>
        <v>0</v>
      </c>
      <c r="CC132" s="414">
        <f>WWWW[[#This Row],[Total HH]]*WWWW[[#This Row],[%HHs with access to functional hand washing stations]]</f>
        <v>27.599999999999998</v>
      </c>
      <c r="CD132" s="240" t="str">
        <f>VLOOKUP(WWWW[[#This Row],[Site Name]],SiteDB6[],8,FALSE)</f>
        <v>Yes</v>
      </c>
      <c r="CE132" s="240" t="str">
        <f>VLOOKUP(WWWW[[#This Row],[Site Name]],SiteDB6[],9,FALSE)</f>
        <v>KBC</v>
      </c>
      <c r="CF132" s="240" t="str">
        <f>VLOOKUP(WWWW[[#This Row],[Site Name]],SiteDB6[],10,FALSE)</f>
        <v>Camp</v>
      </c>
      <c r="CG132" s="240" t="str">
        <f>VLOOKUP(WWWW[[#This Row],[Site Name]],SiteDB6[],11,FALSE)</f>
        <v>Camp</v>
      </c>
      <c r="CH132" s="240" t="str">
        <f>VLOOKUP(WWWW[[#This Row],[Site Name]],SiteDB6[],12,FALSE)</f>
        <v>Camp</v>
      </c>
      <c r="CI132" s="240" t="str">
        <f>VLOOKUP(WWWW[[#This Row],[Site Name]],SiteDB6[],13,FALSE)</f>
        <v>GCA</v>
      </c>
      <c r="CJ132" s="240">
        <f>VLOOKUP(WWWW[[#This Row],[Site Name]],SiteDB6[],14,FALSE)</f>
        <v>25.404015000000001</v>
      </c>
      <c r="CK132" s="240">
        <f>VLOOKUP(WWWW[[#This Row],[Site Name]],SiteDB6[],15,FALSE)</f>
        <v>97.382192000000003</v>
      </c>
      <c r="CL132" s="240" t="str">
        <f>VLOOKUP(WWWW[[#This Row],[Site Name]],SiteDB6[],4,FALSE)</f>
        <v>MMR001CMP005</v>
      </c>
      <c r="CM132" s="235" t="str">
        <f t="shared" si="1"/>
        <v>Covered</v>
      </c>
      <c r="CN132" s="235"/>
    </row>
    <row r="133" spans="1:92" ht="15.75" customHeight="1" x14ac:dyDescent="0.25">
      <c r="A133" s="532" t="s">
        <v>1409</v>
      </c>
      <c r="B133" s="533" t="s">
        <v>399</v>
      </c>
      <c r="C133" s="533" t="s">
        <v>44</v>
      </c>
      <c r="D133" s="533" t="s">
        <v>298</v>
      </c>
      <c r="E133" s="533" t="s">
        <v>434</v>
      </c>
      <c r="F133" s="233">
        <v>46</v>
      </c>
      <c r="G133" s="414">
        <v>190</v>
      </c>
      <c r="H133" s="233"/>
      <c r="I133" s="233" t="s">
        <v>401</v>
      </c>
      <c r="J133" s="234">
        <v>42947</v>
      </c>
      <c r="K133" s="233">
        <v>0</v>
      </c>
      <c r="L133" s="233" t="s">
        <v>48</v>
      </c>
      <c r="M133" s="235">
        <v>1</v>
      </c>
      <c r="N133" s="235">
        <v>1</v>
      </c>
      <c r="O133" s="609">
        <v>1</v>
      </c>
      <c r="P133" s="615">
        <v>0</v>
      </c>
      <c r="Q133" s="615">
        <v>1000</v>
      </c>
      <c r="R133" s="604">
        <v>0</v>
      </c>
      <c r="S133" s="604">
        <v>2</v>
      </c>
      <c r="T133" s="604">
        <v>0</v>
      </c>
      <c r="U133" s="604">
        <v>0</v>
      </c>
      <c r="V133" s="604">
        <v>0</v>
      </c>
      <c r="W133" s="604">
        <v>0</v>
      </c>
      <c r="X133" s="604">
        <v>0</v>
      </c>
      <c r="Y133" s="604"/>
      <c r="Z133" s="628">
        <v>4</v>
      </c>
      <c r="AA133" s="628">
        <v>2</v>
      </c>
      <c r="AB133" s="629">
        <v>2</v>
      </c>
      <c r="AC133" s="628">
        <v>4</v>
      </c>
      <c r="AD133" s="628" t="s">
        <v>293</v>
      </c>
      <c r="AE133" s="631" t="s">
        <v>293</v>
      </c>
      <c r="AF133" s="631">
        <v>0</v>
      </c>
      <c r="AG133" s="628">
        <v>0</v>
      </c>
      <c r="AH133" s="628"/>
      <c r="AI133" s="659">
        <v>0.5</v>
      </c>
      <c r="AJ133" s="650" t="s">
        <v>386</v>
      </c>
      <c r="AK133" s="644">
        <v>0</v>
      </c>
      <c r="AL133" s="645">
        <v>2</v>
      </c>
      <c r="AM133" s="645">
        <v>0</v>
      </c>
      <c r="AN133" s="646">
        <v>0</v>
      </c>
      <c r="AO133" s="647">
        <v>0</v>
      </c>
      <c r="AP133" s="647"/>
      <c r="AQ133" s="658"/>
      <c r="AR133" s="235" t="str">
        <f>IFERROR(WWWW[[#This Row],['# of Water passed at source]]/WWWW[[#This Row],['# of Water tested at source]],"no test")</f>
        <v>no test</v>
      </c>
      <c r="AS133" s="237" t="str">
        <f>IFERROR(WWWW[[#This Row],['# of Water passed at HH]]/WWWW[[#This Row],['# of Water tested at HH]],"no test")</f>
        <v>no test</v>
      </c>
      <c r="AT133" s="237">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U133" s="237">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AV133" s="237">
        <f>IF(WWWW[[#This Row],[Location Type 1]]="Village",WWWW[[#This Row],[Access to safe drinking water for Village]],WWWW[[#This Row],[Access to safe drinking water for Camp]])</f>
        <v>1</v>
      </c>
      <c r="AW133" s="414">
        <f>WWWW[[#This Row],[%Equitable and continuous access to sufficient quantity of safe drinking water]]*WWWW[[#This Row],[Total PoP ]]</f>
        <v>190</v>
      </c>
      <c r="AX133" s="237">
        <f>IF((WWWW[[#This Row],['# Existing protected/fenced ponds ]]*250)/WWWW[[#This Row],[Total PoP ]]&gt;1,1,WWWW[[#This Row],['# Existing protected/fenced ponds ]]*250/WWWW[[#This Row],[Total PoP ]])</f>
        <v>0</v>
      </c>
      <c r="AY133" s="414">
        <f>WWWW[[#This Row],[Access to unimproved water points]]*WWWW[[#This Row],[Total PoP ]]</f>
        <v>0</v>
      </c>
      <c r="AZ133" s="237">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A133" s="414">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190</v>
      </c>
      <c r="BB133" s="414">
        <f>WWWW[[#This Row],['#people Equitable and continuous access to sufficient quantity of domestic water borehole n ponds_2]]/500</f>
        <v>0.38</v>
      </c>
      <c r="BC133" s="235">
        <f>1-WWWW[[#This Row],[%Equitable and continuous access to sufficient quantity of domestic water borehole n ponds]]</f>
        <v>0</v>
      </c>
      <c r="BD133" s="414">
        <f>WWWW[[#This Row],[%equitable and continuous access to sufficient quantity of safe drinking and domestic water''s GAP]]*WWWW[[#This Row],[Total PoP ]]</f>
        <v>0</v>
      </c>
      <c r="BE133" s="238">
        <f>IF(WWWW[[#This Row],[Total required water points]]-WWWW[[#This Row],['#Water points coverage]]&lt;0,0,WWWW[[#This Row],[Total required water points]]-WWWW[[#This Row],['#Water points coverage]])</f>
        <v>0.62</v>
      </c>
      <c r="BF133" s="238">
        <f>ROUND(IF(WWWW[[#This Row],[Total PoP ]]&lt;500,1,WWWW[[#This Row],[Total PoP ]]/500),0)</f>
        <v>1</v>
      </c>
      <c r="BG133" s="238" t="str">
        <f>IF(AND(WWWW[[#This Row],[%of Water samples which passed at water source]]="no test",WWWW[[#This Row],[%Water samples which passed at HH]]="no test"),"No Test","Tested")</f>
        <v>No Test</v>
      </c>
      <c r="BH133" s="238">
        <f>WWWW[[#This Row],['# Existing functional latrines]]+WWWW[[#This Row],['# Existing latrines dysfunctional]]</f>
        <v>6</v>
      </c>
      <c r="BI133" s="235">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0.42105263157894735</v>
      </c>
      <c r="BJ133" s="675">
        <f>WWWW[[#This Row],[% people access to functioning Latrine]]*WWWW[[#This Row],[Total PoP ]]</f>
        <v>80</v>
      </c>
      <c r="BK133" s="235">
        <f>IF(WWWW[[#This Row],[Location Type 1]]="camp",WWWW[[#This Row],['# potential required new latrines]]/(WWWW[[#This Row],[Total PoP ]]/20),WWWW[[#This Row],['# potential required new latrines]]/(WWWW[[#This Row],[Total PoP ]]/6))</f>
        <v>0.42105263157894735</v>
      </c>
      <c r="BL133" s="414">
        <f>IF(WWWW[[#This Row],[Total required Latrines]]-WWWW[[#This Row],[Total '# of latrine]]&lt;0,0,WWWW[[#This Row],[Total required Latrines]]-WWWW[[#This Row],[Total '# of latrine]])</f>
        <v>4</v>
      </c>
      <c r="BM133" s="238">
        <f>ROUND(IF(WWWW[[#This Row],[Location Type 1]]="camp",WWWW[[#This Row],[Total PoP ]]/20,WWWW[[#This Row],[Total PoP ]]/6),0)</f>
        <v>10</v>
      </c>
      <c r="BN133" s="239">
        <f>IF(OR(WWWW[[#This Row],['# Existing latrines dysfunctional]]="",WWWW[[#This Row],['# Existing latrines dysfunctional]]=0),0,WWWW[[#This Row],['# Existing latrines dysfunctional]]/WWWW[[#This Row],[Total '# of latrine]])</f>
        <v>0.33333333333333331</v>
      </c>
      <c r="BO133" s="675">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40</v>
      </c>
      <c r="BP133" s="235">
        <f>WWWW[[#This Row],[People adopt basic personal and community hygiene practices]]/WWWW[[#This Row],[Total PoP ]]</f>
        <v>0</v>
      </c>
      <c r="BQ133" s="239">
        <f>1-WWWW[[#This Row],[Hygiene Coverage%]]</f>
        <v>1</v>
      </c>
      <c r="BR133" s="414">
        <f>IF(500*WWWW[[#This Row],['# Hygiene Promoters ]]&gt;WWWW[[#This Row],[Total PoP ]],WWWW[[#This Row],[Total PoP ]],500*WWWW[[#This Row],['# Hygiene Promoters ]])</f>
        <v>0</v>
      </c>
      <c r="BS133" s="414">
        <f>IF(WWWW[[#This Row],[% of HH with access to Sanitary Pad]]&gt;=100%,1,0)</f>
        <v>0</v>
      </c>
      <c r="BT133" s="414">
        <f>IF(WWWW[[#This Row],[Total PoP ]]=0,0,IF(WWWW[[#This Row],['# Hygiene Promoters ]]=0,0,IF(WWWW[[#This Row],[Location Type 1]]="Village",IF(WWWW[[#This Row],[Total PoP ]]/WWWW[[#This Row],['# Hygiene Promoters ]]&lt;1000,1,0),IF(WWWW[[#This Row],[Total PoP ]]/WWWW[[#This Row],['# Hygiene Promoters ]]&lt;600,1,0))))</f>
        <v>0</v>
      </c>
      <c r="BU133" s="414">
        <f>IF(WWWW[[#This Row],[%HH with access to soap]]&gt;=100%,1,0)</f>
        <v>0</v>
      </c>
      <c r="BV133" s="414">
        <f>IF(WWWW[[#This Row],[% of HHs with access to Sanitary pad more than '#%]]+WWWW[[#This Row],[Ratio of Hyiene promoters to people less than '#]]+WWWW[[#This Row],[% of HHs with access to soap more than '#%]]&gt;=2,WWWW[[#This Row],[Total PoP ]],0)</f>
        <v>0</v>
      </c>
      <c r="BW133" s="346">
        <f>WWWW[[#This Row],['# people reached by regular dedicated hygiene promotion_5]]/WWWW[[#This Row],[Total PoP ]]</f>
        <v>0</v>
      </c>
      <c r="BX133" s="346">
        <f>IF(WWWW[[#This Row],['# HH received soaps]]/WWWW[[#This Row],[Total HH]]&gt;1,1,WWWW[[#This Row],['# HH received soaps]]/WWWW[[#This Row],[Total HH]])</f>
        <v>0</v>
      </c>
      <c r="BY133" s="346">
        <f>IF(WWWW[[#This Row],['# HH received Sanitary Pads]]/WWWW[[#This Row],[Total HH]]&gt;1,1,WWWW[[#This Row],['# HH received Sanitary Pads]]/WWWW[[#This Row],[Total HH]])</f>
        <v>0</v>
      </c>
      <c r="BZ133" s="720">
        <f>WWWW[[#This Row],['# HH received soaps]]*5</f>
        <v>0</v>
      </c>
      <c r="CA133" s="720">
        <f>WWWW[[#This Row],['# HH received Sanitary Pads]]*5</f>
        <v>0</v>
      </c>
      <c r="CB133" s="238">
        <f>IF(WWWW[[#This Row],['# People with access to soap]]&gt;WWWW[[#This Row],['# People with access to Sanity Pads]],WWWW[[#This Row],['# People with access to soap]],WWWW[[#This Row],['# People with access to Sanity Pads]])</f>
        <v>0</v>
      </c>
      <c r="CC133" s="414">
        <f>WWWW[[#This Row],[Total HH]]*WWWW[[#This Row],[%HHs with access to functional hand washing stations]]</f>
        <v>23</v>
      </c>
      <c r="CD133" s="240" t="str">
        <f>VLOOKUP(WWWW[[#This Row],[Site Name]],SiteDB6[],8,FALSE)</f>
        <v>Yes</v>
      </c>
      <c r="CE133" s="240" t="str">
        <f>VLOOKUP(WWWW[[#This Row],[Site Name]],SiteDB6[],9,FALSE)</f>
        <v>Shalom</v>
      </c>
      <c r="CF133" s="240" t="str">
        <f>VLOOKUP(WWWW[[#This Row],[Site Name]],SiteDB6[],10,FALSE)</f>
        <v>Camp</v>
      </c>
      <c r="CG133" s="240" t="str">
        <f>VLOOKUP(WWWW[[#This Row],[Site Name]],SiteDB6[],11,FALSE)</f>
        <v>Camp</v>
      </c>
      <c r="CH133" s="240" t="str">
        <f>VLOOKUP(WWWW[[#This Row],[Site Name]],SiteDB6[],12,FALSE)</f>
        <v>Camp</v>
      </c>
      <c r="CI133" s="240" t="str">
        <f>VLOOKUP(WWWW[[#This Row],[Site Name]],SiteDB6[],13,FALSE)</f>
        <v>GCA</v>
      </c>
      <c r="CJ133" s="240">
        <f>VLOOKUP(WWWW[[#This Row],[Site Name]],SiteDB6[],14,FALSE)</f>
        <v>25.333683333333301</v>
      </c>
      <c r="CK133" s="240">
        <f>VLOOKUP(WWWW[[#This Row],[Site Name]],SiteDB6[],15,FALSE)</f>
        <v>97.428251153846105</v>
      </c>
      <c r="CL133" s="240" t="str">
        <f>VLOOKUP(WWWW[[#This Row],[Site Name]],SiteDB6[],4,FALSE)</f>
        <v>MMR001CMP037</v>
      </c>
      <c r="CM133" s="235" t="str">
        <f t="shared" si="1"/>
        <v>Covered</v>
      </c>
      <c r="CN133" s="235"/>
    </row>
    <row r="134" spans="1:92" ht="15.75" customHeight="1" x14ac:dyDescent="0.25">
      <c r="A134" s="532" t="s">
        <v>1409</v>
      </c>
      <c r="B134" s="533" t="s">
        <v>399</v>
      </c>
      <c r="C134" s="533" t="s">
        <v>44</v>
      </c>
      <c r="D134" s="533" t="s">
        <v>298</v>
      </c>
      <c r="E134" s="533" t="s">
        <v>435</v>
      </c>
      <c r="F134" s="233">
        <v>69</v>
      </c>
      <c r="G134" s="414">
        <v>291</v>
      </c>
      <c r="H134" s="233"/>
      <c r="I134" s="233" t="s">
        <v>401</v>
      </c>
      <c r="J134" s="234">
        <v>42947</v>
      </c>
      <c r="K134" s="233">
        <v>0</v>
      </c>
      <c r="L134" s="233" t="s">
        <v>48</v>
      </c>
      <c r="M134" s="235">
        <v>0.43</v>
      </c>
      <c r="N134" s="235">
        <v>0</v>
      </c>
      <c r="O134" s="609">
        <v>2</v>
      </c>
      <c r="P134" s="615">
        <v>0</v>
      </c>
      <c r="Q134" s="615">
        <v>3000</v>
      </c>
      <c r="R134" s="604">
        <v>0</v>
      </c>
      <c r="S134" s="604">
        <v>4</v>
      </c>
      <c r="T134" s="604">
        <v>0</v>
      </c>
      <c r="U134" s="604">
        <v>0</v>
      </c>
      <c r="V134" s="604">
        <v>0</v>
      </c>
      <c r="W134" s="604">
        <v>0</v>
      </c>
      <c r="X134" s="604">
        <v>0</v>
      </c>
      <c r="Y134" s="604"/>
      <c r="Z134" s="628">
        <v>8</v>
      </c>
      <c r="AA134" s="628">
        <v>1</v>
      </c>
      <c r="AB134" s="629">
        <v>0</v>
      </c>
      <c r="AC134" s="628">
        <v>8</v>
      </c>
      <c r="AD134" s="628" t="s">
        <v>293</v>
      </c>
      <c r="AE134" s="631" t="s">
        <v>1379</v>
      </c>
      <c r="AF134" s="631">
        <v>0</v>
      </c>
      <c r="AG134" s="628">
        <v>0</v>
      </c>
      <c r="AH134" s="628"/>
      <c r="AI134" s="659">
        <v>0.5</v>
      </c>
      <c r="AJ134" s="650" t="s">
        <v>386</v>
      </c>
      <c r="AK134" s="644">
        <v>0</v>
      </c>
      <c r="AL134" s="645">
        <v>4</v>
      </c>
      <c r="AM134" s="645">
        <v>0</v>
      </c>
      <c r="AN134" s="646">
        <v>0</v>
      </c>
      <c r="AO134" s="647">
        <v>0</v>
      </c>
      <c r="AP134" s="647"/>
      <c r="AQ134" s="658"/>
      <c r="AR134" s="235" t="str">
        <f>IFERROR(WWWW[[#This Row],['# of Water passed at source]]/WWWW[[#This Row],['# of Water tested at source]],"no test")</f>
        <v>no test</v>
      </c>
      <c r="AS134" s="237" t="str">
        <f>IFERROR(WWWW[[#This Row],['# of Water passed at HH]]/WWWW[[#This Row],['# of Water tested at HH]],"no test")</f>
        <v>no test</v>
      </c>
      <c r="AT134" s="237">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U134" s="237">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AV134" s="237">
        <f>IF(WWWW[[#This Row],[Location Type 1]]="Village",WWWW[[#This Row],[Access to safe drinking water for Village]],WWWW[[#This Row],[Access to safe drinking water for Camp]])</f>
        <v>1</v>
      </c>
      <c r="AW134" s="414">
        <f>WWWW[[#This Row],[%Equitable and continuous access to sufficient quantity of safe drinking water]]*WWWW[[#This Row],[Total PoP ]]</f>
        <v>291</v>
      </c>
      <c r="AX134" s="237">
        <f>IF((WWWW[[#This Row],['# Existing protected/fenced ponds ]]*250)/WWWW[[#This Row],[Total PoP ]]&gt;1,1,WWWW[[#This Row],['# Existing protected/fenced ponds ]]*250/WWWW[[#This Row],[Total PoP ]])</f>
        <v>0</v>
      </c>
      <c r="AY134" s="236">
        <f>WWWW[[#This Row],[Access to unimproved water points]]*WWWW[[#This Row],[Total PoP ]]</f>
        <v>0</v>
      </c>
      <c r="AZ134" s="237">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A134" s="414">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291</v>
      </c>
      <c r="BB134" s="414">
        <f>WWWW[[#This Row],['#people Equitable and continuous access to sufficient quantity of domestic water borehole n ponds_2]]/500</f>
        <v>0.58199999999999996</v>
      </c>
      <c r="BC134" s="235">
        <f>1-WWWW[[#This Row],[%Equitable and continuous access to sufficient quantity of domestic water borehole n ponds]]</f>
        <v>0</v>
      </c>
      <c r="BD134" s="236">
        <f>WWWW[[#This Row],[%equitable and continuous access to sufficient quantity of safe drinking and domestic water''s GAP]]*WWWW[[#This Row],[Total PoP ]]</f>
        <v>0</v>
      </c>
      <c r="BE134" s="238">
        <f>IF(WWWW[[#This Row],[Total required water points]]-WWWW[[#This Row],['#Water points coverage]]&lt;0,0,WWWW[[#This Row],[Total required water points]]-WWWW[[#This Row],['#Water points coverage]])</f>
        <v>0.41800000000000004</v>
      </c>
      <c r="BF134" s="238">
        <f>ROUND(IF(WWWW[[#This Row],[Total PoP ]]&lt;500,1,WWWW[[#This Row],[Total PoP ]]/500),0)</f>
        <v>1</v>
      </c>
      <c r="BG134" s="238" t="str">
        <f>IF(AND(WWWW[[#This Row],[%of Water samples which passed at water source]]="no test",WWWW[[#This Row],[%Water samples which passed at HH]]="no test"),"No Test","Tested")</f>
        <v>No Test</v>
      </c>
      <c r="BH134" s="238">
        <f>WWWW[[#This Row],['# Existing functional latrines]]+WWWW[[#This Row],['# Existing latrines dysfunctional]]</f>
        <v>9</v>
      </c>
      <c r="BI134" s="235">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0.54982817869415812</v>
      </c>
      <c r="BJ134" s="675">
        <f>WWWW[[#This Row],[% people access to functioning Latrine]]*WWWW[[#This Row],[Total PoP ]]</f>
        <v>160</v>
      </c>
      <c r="BK134" s="235">
        <f>IF(WWWW[[#This Row],[Location Type 1]]="camp",WWWW[[#This Row],['# potential required new latrines]]/(WWWW[[#This Row],[Total PoP ]]/20),WWWW[[#This Row],['# potential required new latrines]]/(WWWW[[#This Row],[Total PoP ]]/6))</f>
        <v>0.41237113402061853</v>
      </c>
      <c r="BL134" s="236">
        <f>IF(WWWW[[#This Row],[Total required Latrines]]-WWWW[[#This Row],[Total '# of latrine]]&lt;0,0,WWWW[[#This Row],[Total required Latrines]]-WWWW[[#This Row],[Total '# of latrine]])</f>
        <v>6</v>
      </c>
      <c r="BM134" s="238">
        <f>ROUND(IF(WWWW[[#This Row],[Location Type 1]]="camp",WWWW[[#This Row],[Total PoP ]]/20,WWWW[[#This Row],[Total PoP ]]/6),0)</f>
        <v>15</v>
      </c>
      <c r="BN134" s="239">
        <f>IF(OR(WWWW[[#This Row],['# Existing latrines dysfunctional]]="",WWWW[[#This Row],['# Existing latrines dysfunctional]]=0),0,WWWW[[#This Row],['# Existing latrines dysfunctional]]/WWWW[[#This Row],[Total '# of latrine]])</f>
        <v>0.1111111111111111</v>
      </c>
      <c r="BO134" s="675">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P134" s="235">
        <f>WWWW[[#This Row],[People adopt basic personal and community hygiene practices]]/WWWW[[#This Row],[Total PoP ]]</f>
        <v>0</v>
      </c>
      <c r="BQ134" s="239">
        <f>1-WWWW[[#This Row],[Hygiene Coverage%]]</f>
        <v>1</v>
      </c>
      <c r="BR134" s="414">
        <f>IF(500*WWWW[[#This Row],['# Hygiene Promoters ]]&gt;WWWW[[#This Row],[Total PoP ]],WWWW[[#This Row],[Total PoP ]],500*WWWW[[#This Row],['# Hygiene Promoters ]])</f>
        <v>0</v>
      </c>
      <c r="BS134" s="414">
        <f>IF(WWWW[[#This Row],[% of HH with access to Sanitary Pad]]&gt;=100%,1,0)</f>
        <v>0</v>
      </c>
      <c r="BT134" s="414">
        <f>IF(WWWW[[#This Row],[Total PoP ]]=0,0,IF(WWWW[[#This Row],['# Hygiene Promoters ]]=0,0,IF(WWWW[[#This Row],[Location Type 1]]="Village",IF(WWWW[[#This Row],[Total PoP ]]/WWWW[[#This Row],['# Hygiene Promoters ]]&lt;1000,1,0),IF(WWWW[[#This Row],[Total PoP ]]/WWWW[[#This Row],['# Hygiene Promoters ]]&lt;600,1,0))))</f>
        <v>0</v>
      </c>
      <c r="BU134" s="414">
        <f>IF(WWWW[[#This Row],[%HH with access to soap]]&gt;=100%,1,0)</f>
        <v>0</v>
      </c>
      <c r="BV134" s="414">
        <f>IF(WWWW[[#This Row],[% of HHs with access to Sanitary pad more than '#%]]+WWWW[[#This Row],[Ratio of Hyiene promoters to people less than '#]]+WWWW[[#This Row],[% of HHs with access to soap more than '#%]]&gt;=2,WWWW[[#This Row],[Total PoP ]],0)</f>
        <v>0</v>
      </c>
      <c r="BW134" s="346">
        <f>WWWW[[#This Row],['# people reached by regular dedicated hygiene promotion_5]]/WWWW[[#This Row],[Total PoP ]]</f>
        <v>0</v>
      </c>
      <c r="BX134" s="346">
        <f>IF(WWWW[[#This Row],['# HH received soaps]]/WWWW[[#This Row],[Total HH]]&gt;1,1,WWWW[[#This Row],['# HH received soaps]]/WWWW[[#This Row],[Total HH]])</f>
        <v>0</v>
      </c>
      <c r="BY134" s="346">
        <f>IF(WWWW[[#This Row],['# HH received Sanitary Pads]]/WWWW[[#This Row],[Total HH]]&gt;1,1,WWWW[[#This Row],['# HH received Sanitary Pads]]/WWWW[[#This Row],[Total HH]])</f>
        <v>0</v>
      </c>
      <c r="BZ134" s="720">
        <f>WWWW[[#This Row],['# HH received soaps]]*5</f>
        <v>0</v>
      </c>
      <c r="CA134" s="720">
        <f>WWWW[[#This Row],['# HH received Sanitary Pads]]*5</f>
        <v>0</v>
      </c>
      <c r="CB134" s="238">
        <f>IF(WWWW[[#This Row],['# People with access to soap]]&gt;WWWW[[#This Row],['# People with access to Sanity Pads]],WWWW[[#This Row],['# People with access to soap]],WWWW[[#This Row],['# People with access to Sanity Pads]])</f>
        <v>0</v>
      </c>
      <c r="CC134" s="236">
        <f>WWWW[[#This Row],[Total HH]]*WWWW[[#This Row],[%HHs with access to functional hand washing stations]]</f>
        <v>34.5</v>
      </c>
      <c r="CD134" s="240" t="str">
        <f>VLOOKUP(WWWW[[#This Row],[Site Name]],SiteDB6[],8,FALSE)</f>
        <v>Yes</v>
      </c>
      <c r="CE134" s="240" t="str">
        <f>VLOOKUP(WWWW[[#This Row],[Site Name]],SiteDB6[],9,FALSE)</f>
        <v>Shalom</v>
      </c>
      <c r="CF134" s="240" t="str">
        <f>VLOOKUP(WWWW[[#This Row],[Site Name]],SiteDB6[],10,FALSE)</f>
        <v>Camp</v>
      </c>
      <c r="CG134" s="240" t="str">
        <f>VLOOKUP(WWWW[[#This Row],[Site Name]],SiteDB6[],11,FALSE)</f>
        <v>Camp</v>
      </c>
      <c r="CH134" s="240" t="str">
        <f>VLOOKUP(WWWW[[#This Row],[Site Name]],SiteDB6[],12,FALSE)</f>
        <v>Camp</v>
      </c>
      <c r="CI134" s="240" t="str">
        <f>VLOOKUP(WWWW[[#This Row],[Site Name]],SiteDB6[],13,FALSE)</f>
        <v>GCA</v>
      </c>
      <c r="CJ134" s="240">
        <f>VLOOKUP(WWWW[[#This Row],[Site Name]],SiteDB6[],14,FALSE)</f>
        <v>25.351250396825399</v>
      </c>
      <c r="CK134" s="240">
        <f>VLOOKUP(WWWW[[#This Row],[Site Name]],SiteDB6[],15,FALSE)</f>
        <v>97.444283730158702</v>
      </c>
      <c r="CL134" s="240" t="str">
        <f>VLOOKUP(WWWW[[#This Row],[Site Name]],SiteDB6[],4,FALSE)</f>
        <v>MMR001CMP038</v>
      </c>
      <c r="CM134" s="235" t="str">
        <f t="shared" si="1"/>
        <v>Covered</v>
      </c>
      <c r="CN134" s="235"/>
    </row>
    <row r="135" spans="1:92" ht="15.75" customHeight="1" x14ac:dyDescent="0.25">
      <c r="A135" s="532" t="s">
        <v>1409</v>
      </c>
      <c r="B135" s="533" t="s">
        <v>399</v>
      </c>
      <c r="C135" s="533" t="s">
        <v>44</v>
      </c>
      <c r="D135" s="533" t="s">
        <v>304</v>
      </c>
      <c r="E135" s="533" t="s">
        <v>421</v>
      </c>
      <c r="F135" s="233">
        <v>32</v>
      </c>
      <c r="G135" s="414">
        <v>173</v>
      </c>
      <c r="H135" s="233"/>
      <c r="I135" s="233" t="s">
        <v>401</v>
      </c>
      <c r="J135" s="234">
        <v>42947</v>
      </c>
      <c r="K135" s="233">
        <v>0</v>
      </c>
      <c r="L135" s="233" t="s">
        <v>48</v>
      </c>
      <c r="M135" s="235">
        <v>0.25</v>
      </c>
      <c r="N135" s="235">
        <v>0</v>
      </c>
      <c r="O135" s="609">
        <v>0</v>
      </c>
      <c r="P135" s="615">
        <v>0</v>
      </c>
      <c r="Q135" s="615">
        <v>500</v>
      </c>
      <c r="R135" s="604">
        <v>0</v>
      </c>
      <c r="S135" s="604">
        <v>1</v>
      </c>
      <c r="T135" s="604">
        <v>0</v>
      </c>
      <c r="U135" s="604">
        <v>0</v>
      </c>
      <c r="V135" s="604">
        <v>0</v>
      </c>
      <c r="W135" s="604">
        <v>0</v>
      </c>
      <c r="X135" s="604">
        <v>0</v>
      </c>
      <c r="Y135" s="604"/>
      <c r="Z135" s="628">
        <v>10</v>
      </c>
      <c r="AA135" s="628">
        <v>4</v>
      </c>
      <c r="AB135" s="629">
        <v>0</v>
      </c>
      <c r="AC135" s="628">
        <v>10</v>
      </c>
      <c r="AD135" s="628" t="s">
        <v>293</v>
      </c>
      <c r="AE135" s="631" t="s">
        <v>293</v>
      </c>
      <c r="AF135" s="631">
        <v>0</v>
      </c>
      <c r="AG135" s="628">
        <v>0</v>
      </c>
      <c r="AH135" s="628"/>
      <c r="AI135" s="659">
        <v>0.4</v>
      </c>
      <c r="AJ135" s="650" t="s">
        <v>386</v>
      </c>
      <c r="AK135" s="644">
        <v>0</v>
      </c>
      <c r="AL135" s="645">
        <v>3</v>
      </c>
      <c r="AM135" s="645">
        <v>0</v>
      </c>
      <c r="AN135" s="646">
        <v>0</v>
      </c>
      <c r="AO135" s="647">
        <v>0</v>
      </c>
      <c r="AP135" s="647"/>
      <c r="AQ135" s="658"/>
      <c r="AR135" s="235" t="str">
        <f>IFERROR(WWWW[[#This Row],['# of Water passed at source]]/WWWW[[#This Row],['# of Water tested at source]],"no test")</f>
        <v>no test</v>
      </c>
      <c r="AS135" s="237" t="str">
        <f>IFERROR(WWWW[[#This Row],['# of Water passed at HH]]/WWWW[[#This Row],['# of Water tested at HH]],"no test")</f>
        <v>no test</v>
      </c>
      <c r="AT135" s="237">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0.19267822736030829</v>
      </c>
      <c r="AU135" s="237">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0.19267822736030829</v>
      </c>
      <c r="AV135" s="237">
        <f>IF(WWWW[[#This Row],[Location Type 1]]="Village",WWWW[[#This Row],[Access to safe drinking water for Village]],WWWW[[#This Row],[Access to safe drinking water for Camp]])</f>
        <v>0.19267822736030829</v>
      </c>
      <c r="AW135" s="414">
        <f>WWWW[[#This Row],[%Equitable and continuous access to sufficient quantity of safe drinking water]]*WWWW[[#This Row],[Total PoP ]]</f>
        <v>33.333333333333336</v>
      </c>
      <c r="AX135" s="237">
        <f>IF((WWWW[[#This Row],['# Existing protected/fenced ponds ]]*250)/WWWW[[#This Row],[Total PoP ]]&gt;1,1,WWWW[[#This Row],['# Existing protected/fenced ponds ]]*250/WWWW[[#This Row],[Total PoP ]])</f>
        <v>0</v>
      </c>
      <c r="AY135" s="236">
        <f>WWWW[[#This Row],[Access to unimproved water points]]*WWWW[[#This Row],[Total PoP ]]</f>
        <v>0</v>
      </c>
      <c r="AZ135" s="237">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0.19267822736030829</v>
      </c>
      <c r="BA135" s="414">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33.333333333333336</v>
      </c>
      <c r="BB135" s="414">
        <f>WWWW[[#This Row],['#people Equitable and continuous access to sufficient quantity of domestic water borehole n ponds_2]]/500</f>
        <v>6.6666666666666666E-2</v>
      </c>
      <c r="BC135" s="235">
        <f>1-WWWW[[#This Row],[%Equitable and continuous access to sufficient quantity of domestic water borehole n ponds]]</f>
        <v>0.80732177263969174</v>
      </c>
      <c r="BD135" s="236">
        <f>WWWW[[#This Row],[%equitable and continuous access to sufficient quantity of safe drinking and domestic water''s GAP]]*WWWW[[#This Row],[Total PoP ]]</f>
        <v>139.66666666666666</v>
      </c>
      <c r="BE135" s="238">
        <f>IF(WWWW[[#This Row],[Total required water points]]-WWWW[[#This Row],['#Water points coverage]]&lt;0,0,WWWW[[#This Row],[Total required water points]]-WWWW[[#This Row],['#Water points coverage]])</f>
        <v>0.93333333333333335</v>
      </c>
      <c r="BF135" s="238">
        <f>ROUND(IF(WWWW[[#This Row],[Total PoP ]]&lt;500,1,WWWW[[#This Row],[Total PoP ]]/500),0)</f>
        <v>1</v>
      </c>
      <c r="BG135" s="238" t="str">
        <f>IF(AND(WWWW[[#This Row],[%of Water samples which passed at water source]]="no test",WWWW[[#This Row],[%Water samples which passed at HH]]="no test"),"No Test","Tested")</f>
        <v>No Test</v>
      </c>
      <c r="BH135" s="238">
        <f>WWWW[[#This Row],['# Existing functional latrines]]+WWWW[[#This Row],['# Existing latrines dysfunctional]]</f>
        <v>14</v>
      </c>
      <c r="BI135" s="235">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1</v>
      </c>
      <c r="BJ135" s="675">
        <f>WWWW[[#This Row],[% people access to functioning Latrine]]*WWWW[[#This Row],[Total PoP ]]</f>
        <v>173</v>
      </c>
      <c r="BK135" s="235">
        <f>IF(WWWW[[#This Row],[Location Type 1]]="camp",WWWW[[#This Row],['# potential required new latrines]]/(WWWW[[#This Row],[Total PoP ]]/20),WWWW[[#This Row],['# potential required new latrines]]/(WWWW[[#This Row],[Total PoP ]]/6))</f>
        <v>0</v>
      </c>
      <c r="BL135" s="236">
        <f>IF(WWWW[[#This Row],[Total required Latrines]]-WWWW[[#This Row],[Total '# of latrine]]&lt;0,0,WWWW[[#This Row],[Total required Latrines]]-WWWW[[#This Row],[Total '# of latrine]])</f>
        <v>0</v>
      </c>
      <c r="BM135" s="238">
        <f>ROUND(IF(WWWW[[#This Row],[Location Type 1]]="camp",WWWW[[#This Row],[Total PoP ]]/20,WWWW[[#This Row],[Total PoP ]]/6),0)</f>
        <v>9</v>
      </c>
      <c r="BN135" s="239">
        <f>IF(OR(WWWW[[#This Row],['# Existing latrines dysfunctional]]="",WWWW[[#This Row],['# Existing latrines dysfunctional]]=0),0,WWWW[[#This Row],['# Existing latrines dysfunctional]]/WWWW[[#This Row],[Total '# of latrine]])</f>
        <v>0.2857142857142857</v>
      </c>
      <c r="BO135" s="675">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P135" s="235">
        <f>WWWW[[#This Row],[People adopt basic personal and community hygiene practices]]/WWWW[[#This Row],[Total PoP ]]</f>
        <v>0</v>
      </c>
      <c r="BQ135" s="239">
        <f>1-WWWW[[#This Row],[Hygiene Coverage%]]</f>
        <v>1</v>
      </c>
      <c r="BR135" s="414">
        <f>IF(500*WWWW[[#This Row],['# Hygiene Promoters ]]&gt;WWWW[[#This Row],[Total PoP ]],WWWW[[#This Row],[Total PoP ]],500*WWWW[[#This Row],['# Hygiene Promoters ]])</f>
        <v>0</v>
      </c>
      <c r="BS135" s="414">
        <f>IF(WWWW[[#This Row],[% of HH with access to Sanitary Pad]]&gt;=100%,1,0)</f>
        <v>0</v>
      </c>
      <c r="BT135" s="414">
        <f>IF(WWWW[[#This Row],[Total PoP ]]=0,0,IF(WWWW[[#This Row],['# Hygiene Promoters ]]=0,0,IF(WWWW[[#This Row],[Location Type 1]]="Village",IF(WWWW[[#This Row],[Total PoP ]]/WWWW[[#This Row],['# Hygiene Promoters ]]&lt;1000,1,0),IF(WWWW[[#This Row],[Total PoP ]]/WWWW[[#This Row],['# Hygiene Promoters ]]&lt;600,1,0))))</f>
        <v>0</v>
      </c>
      <c r="BU135" s="414">
        <f>IF(WWWW[[#This Row],[%HH with access to soap]]&gt;=100%,1,0)</f>
        <v>0</v>
      </c>
      <c r="BV135" s="414">
        <f>IF(WWWW[[#This Row],[% of HHs with access to Sanitary pad more than '#%]]+WWWW[[#This Row],[Ratio of Hyiene promoters to people less than '#]]+WWWW[[#This Row],[% of HHs with access to soap more than '#%]]&gt;=2,WWWW[[#This Row],[Total PoP ]],0)</f>
        <v>0</v>
      </c>
      <c r="BW135" s="346">
        <f>WWWW[[#This Row],['# people reached by regular dedicated hygiene promotion_5]]/WWWW[[#This Row],[Total PoP ]]</f>
        <v>0</v>
      </c>
      <c r="BX135" s="346">
        <f>IF(WWWW[[#This Row],['# HH received soaps]]/WWWW[[#This Row],[Total HH]]&gt;1,1,WWWW[[#This Row],['# HH received soaps]]/WWWW[[#This Row],[Total HH]])</f>
        <v>0</v>
      </c>
      <c r="BY135" s="346">
        <f>IF(WWWW[[#This Row],['# HH received Sanitary Pads]]/WWWW[[#This Row],[Total HH]]&gt;1,1,WWWW[[#This Row],['# HH received Sanitary Pads]]/WWWW[[#This Row],[Total HH]])</f>
        <v>0</v>
      </c>
      <c r="BZ135" s="720">
        <f>WWWW[[#This Row],['# HH received soaps]]*5</f>
        <v>0</v>
      </c>
      <c r="CA135" s="720">
        <f>WWWW[[#This Row],['# HH received Sanitary Pads]]*5</f>
        <v>0</v>
      </c>
      <c r="CB135" s="238">
        <f>IF(WWWW[[#This Row],['# People with access to soap]]&gt;WWWW[[#This Row],['# People with access to Sanity Pads]],WWWW[[#This Row],['# People with access to soap]],WWWW[[#This Row],['# People with access to Sanity Pads]])</f>
        <v>0</v>
      </c>
      <c r="CC135" s="236">
        <f>WWWW[[#This Row],[Total HH]]*WWWW[[#This Row],[%HHs with access to functional hand washing stations]]</f>
        <v>12.8</v>
      </c>
      <c r="CD135" s="240" t="str">
        <f>VLOOKUP(WWWW[[#This Row],[Site Name]],SiteDB6[],8,FALSE)</f>
        <v>Yes</v>
      </c>
      <c r="CE135" s="240" t="str">
        <f>VLOOKUP(WWWW[[#This Row],[Site Name]],SiteDB6[],9,FALSE)</f>
        <v>KBC</v>
      </c>
      <c r="CF135" s="240" t="str">
        <f>VLOOKUP(WWWW[[#This Row],[Site Name]],SiteDB6[],10,FALSE)</f>
        <v>Camp</v>
      </c>
      <c r="CG135" s="240" t="str">
        <f>VLOOKUP(WWWW[[#This Row],[Site Name]],SiteDB6[],11,FALSE)</f>
        <v>Camp</v>
      </c>
      <c r="CH135" s="240" t="str">
        <f>VLOOKUP(WWWW[[#This Row],[Site Name]],SiteDB6[],12,FALSE)</f>
        <v>Camp</v>
      </c>
      <c r="CI135" s="240" t="str">
        <f>VLOOKUP(WWWW[[#This Row],[Site Name]],SiteDB6[],13,FALSE)</f>
        <v>GCA</v>
      </c>
      <c r="CJ135" s="240">
        <f>VLOOKUP(WWWW[[#This Row],[Site Name]],SiteDB6[],14,FALSE)</f>
        <v>25.577559999999998</v>
      </c>
      <c r="CK135" s="240">
        <f>VLOOKUP(WWWW[[#This Row],[Site Name]],SiteDB6[],15,FALSE)</f>
        <v>96.286680000000004</v>
      </c>
      <c r="CL135" s="240" t="str">
        <f>VLOOKUP(WWWW[[#This Row],[Site Name]],SiteDB6[],4,FALSE)</f>
        <v>MMR001CMP184</v>
      </c>
      <c r="CM135" s="235" t="str">
        <f t="shared" ref="CM135:CM198" si="2">IF(B135="none","Notcovered","Covered")</f>
        <v>Covered</v>
      </c>
      <c r="CN135" s="235"/>
    </row>
    <row r="136" spans="1:92" ht="15.75" customHeight="1" x14ac:dyDescent="0.25">
      <c r="A136" s="532" t="s">
        <v>1409</v>
      </c>
      <c r="B136" s="533" t="s">
        <v>348</v>
      </c>
      <c r="C136" s="533" t="s">
        <v>44</v>
      </c>
      <c r="D136" s="533" t="s">
        <v>351</v>
      </c>
      <c r="E136" s="533" t="s">
        <v>360</v>
      </c>
      <c r="F136" s="233">
        <v>13</v>
      </c>
      <c r="G136" s="414">
        <v>75</v>
      </c>
      <c r="H136" s="233"/>
      <c r="I136" s="233" t="s">
        <v>2601</v>
      </c>
      <c r="J136" s="234">
        <v>43344</v>
      </c>
      <c r="K136" s="233">
        <v>0</v>
      </c>
      <c r="L136" s="233" t="s">
        <v>292</v>
      </c>
      <c r="M136" s="235">
        <v>0</v>
      </c>
      <c r="N136" s="235">
        <v>0</v>
      </c>
      <c r="O136" s="609">
        <v>0</v>
      </c>
      <c r="P136" s="615">
        <v>1</v>
      </c>
      <c r="Q136" s="615">
        <v>0</v>
      </c>
      <c r="R136" s="604">
        <v>0</v>
      </c>
      <c r="S136" s="604">
        <v>0</v>
      </c>
      <c r="T136" s="604"/>
      <c r="U136" s="604"/>
      <c r="V136" s="604"/>
      <c r="W136" s="604"/>
      <c r="X136" s="604"/>
      <c r="Y136" s="604"/>
      <c r="Z136" s="628">
        <v>10</v>
      </c>
      <c r="AA136" s="628">
        <v>0</v>
      </c>
      <c r="AB136" s="629"/>
      <c r="AC136" s="628">
        <v>0</v>
      </c>
      <c r="AD136" s="628" t="s">
        <v>293</v>
      </c>
      <c r="AE136" s="631" t="s">
        <v>293</v>
      </c>
      <c r="AF136" s="631"/>
      <c r="AG136" s="628"/>
      <c r="AH136" s="628"/>
      <c r="AI136" s="659">
        <v>1</v>
      </c>
      <c r="AJ136" s="644" t="s">
        <v>301</v>
      </c>
      <c r="AK136" s="644">
        <v>0</v>
      </c>
      <c r="AL136" s="645">
        <v>2</v>
      </c>
      <c r="AM136" s="645">
        <v>1</v>
      </c>
      <c r="AN136" s="646">
        <v>13</v>
      </c>
      <c r="AO136" s="647">
        <v>13</v>
      </c>
      <c r="AP136" s="647"/>
      <c r="AQ136" s="658"/>
      <c r="AR136" s="235" t="str">
        <f>IFERROR(WWWW[[#This Row],['# of Water passed at source]]/WWWW[[#This Row],['# of Water tested at source]],"no test")</f>
        <v>no test</v>
      </c>
      <c r="AS136" s="237" t="str">
        <f>IFERROR(WWWW[[#This Row],['# of Water passed at HH]]/WWWW[[#This Row],['# of Water tested at HH]],"no test")</f>
        <v>no test</v>
      </c>
      <c r="AT136" s="237">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U136" s="237">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AV136" s="237">
        <f>IF(WWWW[[#This Row],[Location Type 1]]="Village",WWWW[[#This Row],[Access to safe drinking water for Village]],WWWW[[#This Row],[Access to safe drinking water for Camp]])</f>
        <v>1</v>
      </c>
      <c r="AW136" s="414">
        <f>WWWW[[#This Row],[%Equitable and continuous access to sufficient quantity of safe drinking water]]*WWWW[[#This Row],[Total PoP ]]</f>
        <v>75</v>
      </c>
      <c r="AX136" s="237">
        <f>IF((WWWW[[#This Row],['# Existing protected/fenced ponds ]]*250)/WWWW[[#This Row],[Total PoP ]]&gt;1,1,WWWW[[#This Row],['# Existing protected/fenced ponds ]]*250/WWWW[[#This Row],[Total PoP ]])</f>
        <v>0</v>
      </c>
      <c r="AY136" s="414">
        <f>WWWW[[#This Row],[Access to unimproved water points]]*WWWW[[#This Row],[Total PoP ]]</f>
        <v>0</v>
      </c>
      <c r="AZ136" s="237">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A136" s="414">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75</v>
      </c>
      <c r="BB136" s="414">
        <f>WWWW[[#This Row],['#people Equitable and continuous access to sufficient quantity of domestic water borehole n ponds_2]]/500</f>
        <v>0.15</v>
      </c>
      <c r="BC136" s="235">
        <f>1-WWWW[[#This Row],[%Equitable and continuous access to sufficient quantity of domestic water borehole n ponds]]</f>
        <v>0</v>
      </c>
      <c r="BD136" s="414">
        <f>WWWW[[#This Row],[%equitable and continuous access to sufficient quantity of safe drinking and domestic water''s GAP]]*WWWW[[#This Row],[Total PoP ]]</f>
        <v>0</v>
      </c>
      <c r="BE136" s="238">
        <f>IF(WWWW[[#This Row],[Total required water points]]-WWWW[[#This Row],['#Water points coverage]]&lt;0,0,WWWW[[#This Row],[Total required water points]]-WWWW[[#This Row],['#Water points coverage]])</f>
        <v>0.85</v>
      </c>
      <c r="BF136" s="238">
        <f>ROUND(IF(WWWW[[#This Row],[Total PoP ]]&lt;500,1,WWWW[[#This Row],[Total PoP ]]/500),0)</f>
        <v>1</v>
      </c>
      <c r="BG136" s="238" t="str">
        <f>IF(AND(WWWW[[#This Row],[%of Water samples which passed at water source]]="no test",WWWW[[#This Row],[%Water samples which passed at HH]]="no test"),"No Test","Tested")</f>
        <v>No Test</v>
      </c>
      <c r="BH136" s="238">
        <f>WWWW[[#This Row],['# Existing functional latrines]]+WWWW[[#This Row],['# Existing latrines dysfunctional]]</f>
        <v>10</v>
      </c>
      <c r="BI136" s="235">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1</v>
      </c>
      <c r="BJ136" s="675">
        <f>WWWW[[#This Row],[% people access to functioning Latrine]]*WWWW[[#This Row],[Total PoP ]]</f>
        <v>75</v>
      </c>
      <c r="BK136" s="235">
        <f>IF(WWWW[[#This Row],[Location Type 1]]="camp",WWWW[[#This Row],['# potential required new latrines]]/(WWWW[[#This Row],[Total PoP ]]/20),WWWW[[#This Row],['# potential required new latrines]]/(WWWW[[#This Row],[Total PoP ]]/6))</f>
        <v>0</v>
      </c>
      <c r="BL136" s="414">
        <f>IF(WWWW[[#This Row],[Total required Latrines]]-WWWW[[#This Row],[Total '# of latrine]]&lt;0,0,WWWW[[#This Row],[Total required Latrines]]-WWWW[[#This Row],[Total '# of latrine]])</f>
        <v>0</v>
      </c>
      <c r="BM136" s="238">
        <f>ROUND(IF(WWWW[[#This Row],[Location Type 1]]="camp",WWWW[[#This Row],[Total PoP ]]/20,WWWW[[#This Row],[Total PoP ]]/6),0)</f>
        <v>4</v>
      </c>
      <c r="BN136" s="239">
        <f>IF(OR(WWWW[[#This Row],['# Existing latrines dysfunctional]]="",WWWW[[#This Row],['# Existing latrines dysfunctional]]=0),0,WWWW[[#This Row],['# Existing latrines dysfunctional]]/WWWW[[#This Row],[Total '# of latrine]])</f>
        <v>0</v>
      </c>
      <c r="BO136" s="675">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P136" s="235">
        <f>WWWW[[#This Row],[People adopt basic personal and community hygiene practices]]/WWWW[[#This Row],[Total PoP ]]</f>
        <v>1</v>
      </c>
      <c r="BQ136" s="239">
        <f>1-WWWW[[#This Row],[Hygiene Coverage%]]</f>
        <v>0</v>
      </c>
      <c r="BR136" s="414">
        <f>IF(500*WWWW[[#This Row],['# Hygiene Promoters ]]&gt;WWWW[[#This Row],[Total PoP ]],WWWW[[#This Row],[Total PoP ]],500*WWWW[[#This Row],['# Hygiene Promoters ]])</f>
        <v>75</v>
      </c>
      <c r="BS136" s="414">
        <f>IF(WWWW[[#This Row],[% of HH with access to Sanitary Pad]]&gt;=100%,1,0)</f>
        <v>1</v>
      </c>
      <c r="BT136" s="414">
        <f>IF(WWWW[[#This Row],[Total PoP ]]=0,0,IF(WWWW[[#This Row],['# Hygiene Promoters ]]=0,0,IF(WWWW[[#This Row],[Location Type 1]]="Village",IF(WWWW[[#This Row],[Total PoP ]]/WWWW[[#This Row],['# Hygiene Promoters ]]&lt;1000,1,0),IF(WWWW[[#This Row],[Total PoP ]]/WWWW[[#This Row],['# Hygiene Promoters ]]&lt;600,1,0))))</f>
        <v>1</v>
      </c>
      <c r="BU136" s="414">
        <f>IF(WWWW[[#This Row],[%HH with access to soap]]&gt;=100%,1,0)</f>
        <v>1</v>
      </c>
      <c r="BV136" s="414">
        <f>IF(WWWW[[#This Row],[% of HHs with access to Sanitary pad more than '#%]]+WWWW[[#This Row],[Ratio of Hyiene promoters to people less than '#]]+WWWW[[#This Row],[% of HHs with access to soap more than '#%]]&gt;=2,WWWW[[#This Row],[Total PoP ]],0)</f>
        <v>75</v>
      </c>
      <c r="BW136" s="346">
        <f>WWWW[[#This Row],['# people reached by regular dedicated hygiene promotion_5]]/WWWW[[#This Row],[Total PoP ]]</f>
        <v>1</v>
      </c>
      <c r="BX136" s="346">
        <f>IF(WWWW[[#This Row],['# HH received soaps]]/WWWW[[#This Row],[Total HH]]&gt;1,1,WWWW[[#This Row],['# HH received soaps]]/WWWW[[#This Row],[Total HH]])</f>
        <v>1</v>
      </c>
      <c r="BY136" s="346">
        <f>IF(WWWW[[#This Row],['# HH received Sanitary Pads]]/WWWW[[#This Row],[Total HH]]&gt;1,1,WWWW[[#This Row],['# HH received Sanitary Pads]]/WWWW[[#This Row],[Total HH]])</f>
        <v>1</v>
      </c>
      <c r="BZ136" s="720">
        <f>WWWW[[#This Row],['# HH received soaps]]*5</f>
        <v>65</v>
      </c>
      <c r="CA136" s="720">
        <f>WWWW[[#This Row],['# HH received Sanitary Pads]]*5</f>
        <v>65</v>
      </c>
      <c r="CB136" s="238">
        <f>IF(WWWW[[#This Row],['# People with access to soap]]&gt;WWWW[[#This Row],['# People with access to Sanity Pads]],WWWW[[#This Row],['# People with access to soap]],WWWW[[#This Row],['# People with access to Sanity Pads]])</f>
        <v>65</v>
      </c>
      <c r="CC136" s="414">
        <f>WWWW[[#This Row],[Total HH]]*WWWW[[#This Row],[%HHs with access to functional hand washing stations]]</f>
        <v>13</v>
      </c>
      <c r="CD136" s="240" t="str">
        <f>VLOOKUP(WWWW[[#This Row],[Site Name]],SiteDB6[],8,FALSE)</f>
        <v>Yes</v>
      </c>
      <c r="CE136" s="240" t="str">
        <f>VLOOKUP(WWWW[[#This Row],[Site Name]],SiteDB6[],9,FALSE)</f>
        <v>Shalom</v>
      </c>
      <c r="CF136" s="240" t="str">
        <f>VLOOKUP(WWWW[[#This Row],[Site Name]],SiteDB6[],10,FALSE)</f>
        <v>Camp</v>
      </c>
      <c r="CG136" s="240" t="str">
        <f>VLOOKUP(WWWW[[#This Row],[Site Name]],SiteDB6[],11,FALSE)</f>
        <v>Camp</v>
      </c>
      <c r="CH136" s="240" t="str">
        <f>VLOOKUP(WWWW[[#This Row],[Site Name]],SiteDB6[],12,FALSE)</f>
        <v>Camp</v>
      </c>
      <c r="CI136" s="240" t="str">
        <f>VLOOKUP(WWWW[[#This Row],[Site Name]],SiteDB6[],13,FALSE)</f>
        <v>GCA</v>
      </c>
      <c r="CJ136" s="240">
        <f>VLOOKUP(WWWW[[#This Row],[Site Name]],SiteDB6[],14,FALSE)</f>
        <v>24.24953</v>
      </c>
      <c r="CK136" s="240">
        <f>VLOOKUP(WWWW[[#This Row],[Site Name]],SiteDB6[],15,FALSE)</f>
        <v>97.240639999999999</v>
      </c>
      <c r="CL136" s="240" t="str">
        <f>VLOOKUP(WWWW[[#This Row],[Site Name]],SiteDB6[],4,FALSE)</f>
        <v>MMR001CMP053</v>
      </c>
      <c r="CM136" s="235" t="str">
        <f t="shared" si="2"/>
        <v>Covered</v>
      </c>
      <c r="CN136" s="235"/>
    </row>
    <row r="137" spans="1:92" ht="15.75" customHeight="1" x14ac:dyDescent="0.25">
      <c r="A137" s="532" t="s">
        <v>1409</v>
      </c>
      <c r="B137" s="533" t="s">
        <v>399</v>
      </c>
      <c r="C137" s="533" t="s">
        <v>44</v>
      </c>
      <c r="D137" s="533" t="s">
        <v>304</v>
      </c>
      <c r="E137" s="533" t="s">
        <v>422</v>
      </c>
      <c r="F137" s="233">
        <v>16</v>
      </c>
      <c r="G137" s="414">
        <v>67</v>
      </c>
      <c r="H137" s="233"/>
      <c r="I137" s="233" t="s">
        <v>401</v>
      </c>
      <c r="J137" s="234">
        <v>42947</v>
      </c>
      <c r="K137" s="233">
        <v>0</v>
      </c>
      <c r="L137" s="233" t="s">
        <v>48</v>
      </c>
      <c r="M137" s="235">
        <v>0.5</v>
      </c>
      <c r="N137" s="235">
        <v>1</v>
      </c>
      <c r="O137" s="609">
        <v>1</v>
      </c>
      <c r="P137" s="615">
        <v>0</v>
      </c>
      <c r="Q137" s="615">
        <v>0</v>
      </c>
      <c r="R137" s="604">
        <v>0</v>
      </c>
      <c r="S137" s="604">
        <v>1</v>
      </c>
      <c r="T137" s="604">
        <v>0</v>
      </c>
      <c r="U137" s="604">
        <v>0</v>
      </c>
      <c r="V137" s="604">
        <v>0</v>
      </c>
      <c r="W137" s="604">
        <v>0</v>
      </c>
      <c r="X137" s="604">
        <v>0</v>
      </c>
      <c r="Y137" s="604"/>
      <c r="Z137" s="628">
        <v>2</v>
      </c>
      <c r="AA137" s="628">
        <v>0</v>
      </c>
      <c r="AB137" s="629">
        <v>2</v>
      </c>
      <c r="AC137" s="628">
        <v>2</v>
      </c>
      <c r="AD137" s="628" t="s">
        <v>293</v>
      </c>
      <c r="AE137" s="631" t="s">
        <v>1379</v>
      </c>
      <c r="AF137" s="631">
        <v>0</v>
      </c>
      <c r="AG137" s="628">
        <v>0</v>
      </c>
      <c r="AH137" s="628"/>
      <c r="AI137" s="659">
        <v>0.6</v>
      </c>
      <c r="AJ137" s="650" t="s">
        <v>386</v>
      </c>
      <c r="AK137" s="644">
        <v>0</v>
      </c>
      <c r="AL137" s="645">
        <v>2</v>
      </c>
      <c r="AM137" s="645">
        <v>0</v>
      </c>
      <c r="AN137" s="646">
        <v>0</v>
      </c>
      <c r="AO137" s="647">
        <v>0</v>
      </c>
      <c r="AP137" s="647"/>
      <c r="AQ137" s="658"/>
      <c r="AR137" s="235" t="str">
        <f>IFERROR(WWWW[[#This Row],['# of Water passed at source]]/WWWW[[#This Row],['# of Water tested at source]],"no test")</f>
        <v>no test</v>
      </c>
      <c r="AS137" s="237" t="str">
        <f>IFERROR(WWWW[[#This Row],['# of Water passed at HH]]/WWWW[[#This Row],['# of Water tested at HH]],"no test")</f>
        <v>no test</v>
      </c>
      <c r="AT137" s="237">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U137" s="237">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AV137" s="237">
        <f>IF(WWWW[[#This Row],[Location Type 1]]="Village",WWWW[[#This Row],[Access to safe drinking water for Village]],WWWW[[#This Row],[Access to safe drinking water for Camp]])</f>
        <v>1</v>
      </c>
      <c r="AW137" s="414">
        <f>WWWW[[#This Row],[%Equitable and continuous access to sufficient quantity of safe drinking water]]*WWWW[[#This Row],[Total PoP ]]</f>
        <v>67</v>
      </c>
      <c r="AX137" s="237">
        <f>IF((WWWW[[#This Row],['# Existing protected/fenced ponds ]]*250)/WWWW[[#This Row],[Total PoP ]]&gt;1,1,WWWW[[#This Row],['# Existing protected/fenced ponds ]]*250/WWWW[[#This Row],[Total PoP ]])</f>
        <v>0</v>
      </c>
      <c r="AY137" s="414">
        <f>WWWW[[#This Row],[Access to unimproved water points]]*WWWW[[#This Row],[Total PoP ]]</f>
        <v>0</v>
      </c>
      <c r="AZ137" s="237">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A137" s="414">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67</v>
      </c>
      <c r="BB137" s="414">
        <f>WWWW[[#This Row],['#people Equitable and continuous access to sufficient quantity of domestic water borehole n ponds_2]]/500</f>
        <v>0.13400000000000001</v>
      </c>
      <c r="BC137" s="235">
        <f>1-WWWW[[#This Row],[%Equitable and continuous access to sufficient quantity of domestic water borehole n ponds]]</f>
        <v>0</v>
      </c>
      <c r="BD137" s="414">
        <f>WWWW[[#This Row],[%equitable and continuous access to sufficient quantity of safe drinking and domestic water''s GAP]]*WWWW[[#This Row],[Total PoP ]]</f>
        <v>0</v>
      </c>
      <c r="BE137" s="238">
        <f>IF(WWWW[[#This Row],[Total required water points]]-WWWW[[#This Row],['#Water points coverage]]&lt;0,0,WWWW[[#This Row],[Total required water points]]-WWWW[[#This Row],['#Water points coverage]])</f>
        <v>0.86599999999999999</v>
      </c>
      <c r="BF137" s="238">
        <f>ROUND(IF(WWWW[[#This Row],[Total PoP ]]&lt;500,1,WWWW[[#This Row],[Total PoP ]]/500),0)</f>
        <v>1</v>
      </c>
      <c r="BG137" s="238" t="str">
        <f>IF(AND(WWWW[[#This Row],[%of Water samples which passed at water source]]="no test",WWWW[[#This Row],[%Water samples which passed at HH]]="no test"),"No Test","Tested")</f>
        <v>No Test</v>
      </c>
      <c r="BH137" s="238">
        <f>WWWW[[#This Row],['# Existing functional latrines]]+WWWW[[#This Row],['# Existing latrines dysfunctional]]</f>
        <v>2</v>
      </c>
      <c r="BI137" s="235">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0.59701492537313428</v>
      </c>
      <c r="BJ137" s="675">
        <f>WWWW[[#This Row],[% people access to functioning Latrine]]*WWWW[[#This Row],[Total PoP ]]</f>
        <v>40</v>
      </c>
      <c r="BK137" s="235">
        <f>IF(WWWW[[#This Row],[Location Type 1]]="camp",WWWW[[#This Row],['# potential required new latrines]]/(WWWW[[#This Row],[Total PoP ]]/20),WWWW[[#This Row],['# potential required new latrines]]/(WWWW[[#This Row],[Total PoP ]]/6))</f>
        <v>0.29850746268656714</v>
      </c>
      <c r="BL137" s="414">
        <f>IF(WWWW[[#This Row],[Total required Latrines]]-WWWW[[#This Row],[Total '# of latrine]]&lt;0,0,WWWW[[#This Row],[Total required Latrines]]-WWWW[[#This Row],[Total '# of latrine]])</f>
        <v>1</v>
      </c>
      <c r="BM137" s="238">
        <f>ROUND(IF(WWWW[[#This Row],[Location Type 1]]="camp",WWWW[[#This Row],[Total PoP ]]/20,WWWW[[#This Row],[Total PoP ]]/6),0)</f>
        <v>3</v>
      </c>
      <c r="BN137" s="239">
        <f>IF(OR(WWWW[[#This Row],['# Existing latrines dysfunctional]]="",WWWW[[#This Row],['# Existing latrines dysfunctional]]=0),0,WWWW[[#This Row],['# Existing latrines dysfunctional]]/WWWW[[#This Row],[Total '# of latrine]])</f>
        <v>0</v>
      </c>
      <c r="BO137" s="675">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40</v>
      </c>
      <c r="BP137" s="235">
        <f>WWWW[[#This Row],[People adopt basic personal and community hygiene practices]]/WWWW[[#This Row],[Total PoP ]]</f>
        <v>0</v>
      </c>
      <c r="BQ137" s="239">
        <f>1-WWWW[[#This Row],[Hygiene Coverage%]]</f>
        <v>1</v>
      </c>
      <c r="BR137" s="414">
        <f>IF(500*WWWW[[#This Row],['# Hygiene Promoters ]]&gt;WWWW[[#This Row],[Total PoP ]],WWWW[[#This Row],[Total PoP ]],500*WWWW[[#This Row],['# Hygiene Promoters ]])</f>
        <v>0</v>
      </c>
      <c r="BS137" s="414">
        <f>IF(WWWW[[#This Row],[% of HH with access to Sanitary Pad]]&gt;=100%,1,0)</f>
        <v>0</v>
      </c>
      <c r="BT137" s="414">
        <f>IF(WWWW[[#This Row],[Total PoP ]]=0,0,IF(WWWW[[#This Row],['# Hygiene Promoters ]]=0,0,IF(WWWW[[#This Row],[Location Type 1]]="Village",IF(WWWW[[#This Row],[Total PoP ]]/WWWW[[#This Row],['# Hygiene Promoters ]]&lt;1000,1,0),IF(WWWW[[#This Row],[Total PoP ]]/WWWW[[#This Row],['# Hygiene Promoters ]]&lt;600,1,0))))</f>
        <v>0</v>
      </c>
      <c r="BU137" s="414">
        <f>IF(WWWW[[#This Row],[%HH with access to soap]]&gt;=100%,1,0)</f>
        <v>0</v>
      </c>
      <c r="BV137" s="414">
        <f>IF(WWWW[[#This Row],[% of HHs with access to Sanitary pad more than '#%]]+WWWW[[#This Row],[Ratio of Hyiene promoters to people less than '#]]+WWWW[[#This Row],[% of HHs with access to soap more than '#%]]&gt;=2,WWWW[[#This Row],[Total PoP ]],0)</f>
        <v>0</v>
      </c>
      <c r="BW137" s="346">
        <f>WWWW[[#This Row],['# people reached by regular dedicated hygiene promotion_5]]/WWWW[[#This Row],[Total PoP ]]</f>
        <v>0</v>
      </c>
      <c r="BX137" s="346">
        <f>IF(WWWW[[#This Row],['# HH received soaps]]/WWWW[[#This Row],[Total HH]]&gt;1,1,WWWW[[#This Row],['# HH received soaps]]/WWWW[[#This Row],[Total HH]])</f>
        <v>0</v>
      </c>
      <c r="BY137" s="346">
        <f>IF(WWWW[[#This Row],['# HH received Sanitary Pads]]/WWWW[[#This Row],[Total HH]]&gt;1,1,WWWW[[#This Row],['# HH received Sanitary Pads]]/WWWW[[#This Row],[Total HH]])</f>
        <v>0</v>
      </c>
      <c r="BZ137" s="720">
        <f>WWWW[[#This Row],['# HH received soaps]]*5</f>
        <v>0</v>
      </c>
      <c r="CA137" s="720">
        <f>WWWW[[#This Row],['# HH received Sanitary Pads]]*5</f>
        <v>0</v>
      </c>
      <c r="CB137" s="238">
        <f>IF(WWWW[[#This Row],['# People with access to soap]]&gt;WWWW[[#This Row],['# People with access to Sanity Pads]],WWWW[[#This Row],['# People with access to soap]],WWWW[[#This Row],['# People with access to Sanity Pads]])</f>
        <v>0</v>
      </c>
      <c r="CC137" s="414">
        <f>WWWW[[#This Row],[Total HH]]*WWWW[[#This Row],[%HHs with access to functional hand washing stations]]</f>
        <v>9.6</v>
      </c>
      <c r="CD137" s="240" t="str">
        <f>VLOOKUP(WWWW[[#This Row],[Site Name]],SiteDB6[],8,FALSE)</f>
        <v>Yes</v>
      </c>
      <c r="CE137" s="240" t="str">
        <f>VLOOKUP(WWWW[[#This Row],[Site Name]],SiteDB6[],9,FALSE)</f>
        <v>KBC</v>
      </c>
      <c r="CF137" s="240" t="str">
        <f>VLOOKUP(WWWW[[#This Row],[Site Name]],SiteDB6[],10,FALSE)</f>
        <v>Camp</v>
      </c>
      <c r="CG137" s="240" t="str">
        <f>VLOOKUP(WWWW[[#This Row],[Site Name]],SiteDB6[],11,FALSE)</f>
        <v>Camp</v>
      </c>
      <c r="CH137" s="240" t="str">
        <f>VLOOKUP(WWWW[[#This Row],[Site Name]],SiteDB6[],12,FALSE)</f>
        <v>Camp</v>
      </c>
      <c r="CI137" s="240" t="str">
        <f>VLOOKUP(WWWW[[#This Row],[Site Name]],SiteDB6[],13,FALSE)</f>
        <v>GCA</v>
      </c>
      <c r="CJ137" s="240">
        <f>VLOOKUP(WWWW[[#This Row],[Site Name]],SiteDB6[],14,FALSE)</f>
        <v>25.599250000000001</v>
      </c>
      <c r="CK137" s="240">
        <f>VLOOKUP(WWWW[[#This Row],[Site Name]],SiteDB6[],15,FALSE)</f>
        <v>96.306910999999999</v>
      </c>
      <c r="CL137" s="240" t="str">
        <f>VLOOKUP(WWWW[[#This Row],[Site Name]],SiteDB6[],4,FALSE)</f>
        <v>MMR001CMP105</v>
      </c>
      <c r="CM137" s="235" t="str">
        <f t="shared" si="2"/>
        <v>Covered</v>
      </c>
      <c r="CN137" s="235"/>
    </row>
    <row r="138" spans="1:92" ht="15.75" customHeight="1" x14ac:dyDescent="0.25">
      <c r="A138" s="532" t="s">
        <v>1409</v>
      </c>
      <c r="B138" s="530" t="s">
        <v>43</v>
      </c>
      <c r="C138" s="531" t="s">
        <v>44</v>
      </c>
      <c r="D138" s="531" t="s">
        <v>45</v>
      </c>
      <c r="E138" s="531" t="s">
        <v>295</v>
      </c>
      <c r="F138" s="402">
        <v>16</v>
      </c>
      <c r="G138" s="405">
        <v>89</v>
      </c>
      <c r="H138" s="41"/>
      <c r="I138" s="41" t="s">
        <v>47</v>
      </c>
      <c r="J138" s="388">
        <v>43008</v>
      </c>
      <c r="K138" s="41">
        <v>0</v>
      </c>
      <c r="L138" s="402" t="s">
        <v>292</v>
      </c>
      <c r="M138" s="404">
        <v>0</v>
      </c>
      <c r="N138" s="404">
        <v>0</v>
      </c>
      <c r="O138" s="605">
        <v>1</v>
      </c>
      <c r="P138" s="606">
        <v>0</v>
      </c>
      <c r="Q138" s="606"/>
      <c r="R138" s="607">
        <v>0</v>
      </c>
      <c r="S138" s="607"/>
      <c r="T138" s="607"/>
      <c r="U138" s="607"/>
      <c r="V138" s="607"/>
      <c r="W138" s="607"/>
      <c r="X138" s="607"/>
      <c r="Y138" s="607" t="s">
        <v>2583</v>
      </c>
      <c r="Z138" s="598">
        <v>0</v>
      </c>
      <c r="AA138" s="598">
        <v>0</v>
      </c>
      <c r="AB138" s="80"/>
      <c r="AC138" s="598">
        <v>0</v>
      </c>
      <c r="AD138" s="598" t="s">
        <v>296</v>
      </c>
      <c r="AE138" s="599" t="s">
        <v>296</v>
      </c>
      <c r="AF138" s="599"/>
      <c r="AG138" s="598"/>
      <c r="AH138" s="598"/>
      <c r="AI138" s="649">
        <v>0</v>
      </c>
      <c r="AJ138" s="650"/>
      <c r="AK138" s="650">
        <v>0</v>
      </c>
      <c r="AL138" s="645">
        <v>1</v>
      </c>
      <c r="AM138" s="645">
        <v>0</v>
      </c>
      <c r="AN138" s="646"/>
      <c r="AO138" s="600"/>
      <c r="AP138" s="600"/>
      <c r="AQ138" s="651"/>
      <c r="AR138" s="42" t="str">
        <f>IFERROR(WWWW[[#This Row],['# of Water passed at source]]/WWWW[[#This Row],['# of Water tested at source]],"no test")</f>
        <v>no test</v>
      </c>
      <c r="AS138" s="389" t="str">
        <f>IFERROR(WWWW[[#This Row],['# of Water passed at HH]]/WWWW[[#This Row],['# of Water tested at HH]],"no test")</f>
        <v>no test</v>
      </c>
      <c r="AT138" s="407">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U138" s="407">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AV138" s="407">
        <f>IF(WWWW[[#This Row],[Location Type 1]]="Village",WWWW[[#This Row],[Access to safe drinking water for Village]],WWWW[[#This Row],[Access to safe drinking water for Camp]])</f>
        <v>1</v>
      </c>
      <c r="AW138" s="405">
        <f>WWWW[[#This Row],[%Equitable and continuous access to sufficient quantity of safe drinking water]]*WWWW[[#This Row],[Total PoP ]]</f>
        <v>89</v>
      </c>
      <c r="AX138" s="407">
        <f>IF((WWWW[[#This Row],['# Existing protected/fenced ponds ]]*250)/WWWW[[#This Row],[Total PoP ]]&gt;1,1,WWWW[[#This Row],['# Existing protected/fenced ponds ]]*250/WWWW[[#This Row],[Total PoP ]])</f>
        <v>0</v>
      </c>
      <c r="AY138" s="43">
        <f>WWWW[[#This Row],[Access to unimproved water points]]*WWWW[[#This Row],[Total PoP ]]</f>
        <v>0</v>
      </c>
      <c r="AZ138" s="407">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A138" s="405">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89</v>
      </c>
      <c r="BB138" s="405">
        <f>WWWW[[#This Row],['#people Equitable and continuous access to sufficient quantity of domestic water borehole n ponds_2]]/500</f>
        <v>0.17799999999999999</v>
      </c>
      <c r="BC138" s="42">
        <f>1-WWWW[[#This Row],[%Equitable and continuous access to sufficient quantity of domestic water borehole n ponds]]</f>
        <v>0</v>
      </c>
      <c r="BD138" s="43">
        <f>WWWW[[#This Row],[%equitable and continuous access to sufficient quantity of safe drinking and domestic water''s GAP]]*WWWW[[#This Row],[Total PoP ]]</f>
        <v>0</v>
      </c>
      <c r="BE138" s="406">
        <f>IF(WWWW[[#This Row],[Total required water points]]-WWWW[[#This Row],['#Water points coverage]]&lt;0,0,WWWW[[#This Row],[Total required water points]]-WWWW[[#This Row],['#Water points coverage]])</f>
        <v>0.82200000000000006</v>
      </c>
      <c r="BF138" s="406">
        <f>ROUND(IF(WWWW[[#This Row],[Total PoP ]]&lt;500,1,WWWW[[#This Row],[Total PoP ]]/500),0)</f>
        <v>1</v>
      </c>
      <c r="BG138" s="97" t="str">
        <f>IF(AND(WWWW[[#This Row],[%of Water samples which passed at water source]]="no test",WWWW[[#This Row],[%Water samples which passed at HH]]="no test"),"No Test","Tested")</f>
        <v>No Test</v>
      </c>
      <c r="BH138" s="97">
        <f>WWWW[[#This Row],['# Existing functional latrines]]+WWWW[[#This Row],['# Existing latrines dysfunctional]]</f>
        <v>0</v>
      </c>
      <c r="BI138" s="42">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J138" s="676">
        <f>WWWW[[#This Row],[% people access to functioning Latrine]]*WWWW[[#This Row],[Total PoP ]]</f>
        <v>0</v>
      </c>
      <c r="BK138" s="42">
        <f>IF(WWWW[[#This Row],[Location Type 1]]="camp",WWWW[[#This Row],['# potential required new latrines]]/(WWWW[[#This Row],[Total PoP ]]/20),WWWW[[#This Row],['# potential required new latrines]]/(WWWW[[#This Row],[Total PoP ]]/6))</f>
        <v>0.898876404494382</v>
      </c>
      <c r="BL138" s="43">
        <f>IF(WWWW[[#This Row],[Total required Latrines]]-WWWW[[#This Row],[Total '# of latrine]]&lt;0,0,WWWW[[#This Row],[Total required Latrines]]-WWWW[[#This Row],[Total '# of latrine]])</f>
        <v>4</v>
      </c>
      <c r="BM138" s="97">
        <f>ROUND(IF(WWWW[[#This Row],[Location Type 1]]="camp",WWWW[[#This Row],[Total PoP ]]/20,WWWW[[#This Row],[Total PoP ]]/6),0)</f>
        <v>4</v>
      </c>
      <c r="BN138" s="390">
        <f>IF(OR(WWWW[[#This Row],['# Existing latrines dysfunctional]]="",WWWW[[#This Row],['# Existing latrines dysfunctional]]=0),0,WWWW[[#This Row],['# Existing latrines dysfunctional]]/WWWW[[#This Row],[Total '# of latrine]])</f>
        <v>0</v>
      </c>
      <c r="BO138" s="676">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P138" s="42">
        <f>WWWW[[#This Row],[People adopt basic personal and community hygiene practices]]/WWWW[[#This Row],[Total PoP ]]</f>
        <v>0</v>
      </c>
      <c r="BQ138" s="390">
        <f>1-WWWW[[#This Row],[Hygiene Coverage%]]</f>
        <v>1</v>
      </c>
      <c r="BR138" s="405">
        <f>IF(500*WWWW[[#This Row],['# Hygiene Promoters ]]&gt;WWWW[[#This Row],[Total PoP ]],WWWW[[#This Row],[Total PoP ]],500*WWWW[[#This Row],['# Hygiene Promoters ]])</f>
        <v>0</v>
      </c>
      <c r="BS138" s="405">
        <f>IF(WWWW[[#This Row],[% of HH with access to Sanitary Pad]]&gt;=100%,1,0)</f>
        <v>0</v>
      </c>
      <c r="BT138" s="405">
        <f>IF(WWWW[[#This Row],[Total PoP ]]=0,0,IF(WWWW[[#This Row],['# Hygiene Promoters ]]=0,0,IF(WWWW[[#This Row],[Location Type 1]]="Village",IF(WWWW[[#This Row],[Total PoP ]]/WWWW[[#This Row],['# Hygiene Promoters ]]&lt;1000,1,0),IF(WWWW[[#This Row],[Total PoP ]]/WWWW[[#This Row],['# Hygiene Promoters ]]&lt;600,1,0))))</f>
        <v>0</v>
      </c>
      <c r="BU138" s="405">
        <f>IF(WWWW[[#This Row],[%HH with access to soap]]&gt;=100%,1,0)</f>
        <v>0</v>
      </c>
      <c r="BV138" s="405">
        <f>IF(WWWW[[#This Row],[% of HHs with access to Sanitary pad more than '#%]]+WWWW[[#This Row],[Ratio of Hyiene promoters to people less than '#]]+WWWW[[#This Row],[% of HHs with access to soap more than '#%]]&gt;=2,WWWW[[#This Row],[Total PoP ]],0)</f>
        <v>0</v>
      </c>
      <c r="BW138" s="391">
        <f>WWWW[[#This Row],['# people reached by regular dedicated hygiene promotion_5]]/WWWW[[#This Row],[Total PoP ]]</f>
        <v>0</v>
      </c>
      <c r="BX138" s="391">
        <f>IF(WWWW[[#This Row],['# HH received soaps]]/WWWW[[#This Row],[Total HH]]&gt;1,1,WWWW[[#This Row],['# HH received soaps]]/WWWW[[#This Row],[Total HH]])</f>
        <v>0</v>
      </c>
      <c r="BY138" s="391">
        <f>IF(WWWW[[#This Row],['# HH received Sanitary Pads]]/WWWW[[#This Row],[Total HH]]&gt;1,1,WWWW[[#This Row],['# HH received Sanitary Pads]]/WWWW[[#This Row],[Total HH]])</f>
        <v>0</v>
      </c>
      <c r="BZ138" s="721">
        <f>WWWW[[#This Row],['# HH received soaps]]*5</f>
        <v>0</v>
      </c>
      <c r="CA138" s="721">
        <f>WWWW[[#This Row],['# HH received Sanitary Pads]]*5</f>
        <v>0</v>
      </c>
      <c r="CB138" s="406">
        <f>IF(WWWW[[#This Row],['# People with access to soap]]&gt;WWWW[[#This Row],['# People with access to Sanity Pads]],WWWW[[#This Row],['# People with access to soap]],WWWW[[#This Row],['# People with access to Sanity Pads]])</f>
        <v>0</v>
      </c>
      <c r="CC138" s="43">
        <f>WWWW[[#This Row],[Total HH]]*WWWW[[#This Row],[%HHs with access to functional hand washing stations]]</f>
        <v>0</v>
      </c>
      <c r="CD138" s="240">
        <f>VLOOKUP(WWWW[[#This Row],[Site Name]],SiteDB6[],8,FALSE)</f>
        <v>0</v>
      </c>
      <c r="CE138" s="240">
        <f>VLOOKUP(WWWW[[#This Row],[Site Name]],SiteDB6[],9,FALSE)</f>
        <v>0</v>
      </c>
      <c r="CF138" s="240" t="str">
        <f>VLOOKUP(WWWW[[#This Row],[Site Name]],SiteDB6[],10,FALSE)</f>
        <v>Camp_not registered</v>
      </c>
      <c r="CG138" s="240" t="str">
        <f>VLOOKUP(WWWW[[#This Row],[Site Name]],SiteDB6[],11,FALSE)</f>
        <v>Camp</v>
      </c>
      <c r="CH138" s="240" t="str">
        <f>VLOOKUP(WWWW[[#This Row],[Site Name]],SiteDB6[],12,FALSE)</f>
        <v>Camp</v>
      </c>
      <c r="CI138" s="240" t="str">
        <f>VLOOKUP(WWWW[[#This Row],[Site Name]],SiteDB6[],13,FALSE)</f>
        <v>GCA</v>
      </c>
      <c r="CJ138" s="240">
        <f>VLOOKUP(WWWW[[#This Row],[Site Name]],SiteDB6[],14,FALSE)</f>
        <v>0</v>
      </c>
      <c r="CK138" s="240">
        <f>VLOOKUP(WWWW[[#This Row],[Site Name]],SiteDB6[],15,FALSE)</f>
        <v>0</v>
      </c>
      <c r="CL138" s="240">
        <f>VLOOKUP(WWWW[[#This Row],[Site Name]],SiteDB6[],4,FALSE)</f>
        <v>0</v>
      </c>
      <c r="CM138" s="42" t="str">
        <f t="shared" si="2"/>
        <v>Covered</v>
      </c>
      <c r="CN138" s="42" t="s">
        <v>2608</v>
      </c>
    </row>
    <row r="139" spans="1:92" ht="15.75" customHeight="1" x14ac:dyDescent="0.25">
      <c r="A139" s="532" t="s">
        <v>1409</v>
      </c>
      <c r="B139" s="541" t="s">
        <v>348</v>
      </c>
      <c r="C139" s="541" t="s">
        <v>44</v>
      </c>
      <c r="D139" s="541" t="s">
        <v>298</v>
      </c>
      <c r="E139" s="541" t="s">
        <v>378</v>
      </c>
      <c r="F139" s="233">
        <v>546</v>
      </c>
      <c r="G139" s="414">
        <v>2550</v>
      </c>
      <c r="H139" s="233"/>
      <c r="I139" s="169" t="s">
        <v>374</v>
      </c>
      <c r="J139" s="234">
        <v>43281</v>
      </c>
      <c r="K139" s="169">
        <v>0</v>
      </c>
      <c r="L139" s="169" t="s">
        <v>292</v>
      </c>
      <c r="M139" s="171">
        <v>0</v>
      </c>
      <c r="N139" s="171">
        <v>0</v>
      </c>
      <c r="O139" s="608">
        <v>3</v>
      </c>
      <c r="P139" s="609">
        <v>0</v>
      </c>
      <c r="Q139" s="610">
        <v>0</v>
      </c>
      <c r="R139" s="611">
        <v>0</v>
      </c>
      <c r="S139" s="611">
        <v>0</v>
      </c>
      <c r="T139" s="606"/>
      <c r="U139" s="606"/>
      <c r="V139" s="606"/>
      <c r="W139" s="606"/>
      <c r="X139" s="606"/>
      <c r="Y139" s="604">
        <v>0</v>
      </c>
      <c r="Z139" s="598">
        <v>357</v>
      </c>
      <c r="AA139" s="599">
        <v>0</v>
      </c>
      <c r="AB139" s="629"/>
      <c r="AC139" s="632">
        <v>0</v>
      </c>
      <c r="AD139" s="598" t="s">
        <v>342</v>
      </c>
      <c r="AE139" s="598" t="s">
        <v>342</v>
      </c>
      <c r="AF139" s="80"/>
      <c r="AG139" s="80"/>
      <c r="AH139" s="633">
        <v>0</v>
      </c>
      <c r="AI139" s="652">
        <v>1</v>
      </c>
      <c r="AJ139" s="653"/>
      <c r="AK139" s="651">
        <v>0</v>
      </c>
      <c r="AL139" s="645">
        <v>0</v>
      </c>
      <c r="AM139" s="645">
        <v>0</v>
      </c>
      <c r="AN139" s="646"/>
      <c r="AO139" s="600"/>
      <c r="AP139" s="600"/>
      <c r="AQ139" s="658">
        <v>0</v>
      </c>
      <c r="AR139" s="235" t="str">
        <f>IFERROR(WWWW[[#This Row],['# of Water passed at source]]/WWWW[[#This Row],['# of Water tested at source]],"no test")</f>
        <v>no test</v>
      </c>
      <c r="AS139" s="237" t="str">
        <f>IFERROR(WWWW[[#This Row],['# of Water passed at HH]]/WWWW[[#This Row],['# of Water tested at HH]],"no test")</f>
        <v>no test</v>
      </c>
      <c r="AT139" s="237">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U139" s="237">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0.29411764705882354</v>
      </c>
      <c r="AV139" s="237">
        <f>IF(WWWW[[#This Row],[Location Type 1]]="Village",WWWW[[#This Row],[Access to safe drinking water for Village]],WWWW[[#This Row],[Access to safe drinking water for Camp]])</f>
        <v>1</v>
      </c>
      <c r="AW139" s="414">
        <f>WWWW[[#This Row],[%Equitable and continuous access to sufficient quantity of safe drinking water]]*WWWW[[#This Row],[Total PoP ]]</f>
        <v>2550</v>
      </c>
      <c r="AX139" s="237">
        <f>IF((WWWW[[#This Row],['# Existing protected/fenced ponds ]]*250)/WWWW[[#This Row],[Total PoP ]]&gt;1,1,WWWW[[#This Row],['# Existing protected/fenced ponds ]]*250/WWWW[[#This Row],[Total PoP ]])</f>
        <v>0</v>
      </c>
      <c r="AY139" s="236">
        <f>WWWW[[#This Row],[Access to unimproved water points]]*WWWW[[#This Row],[Total PoP ]]</f>
        <v>0</v>
      </c>
      <c r="AZ139" s="237">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A139" s="414">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2550</v>
      </c>
      <c r="BB139" s="414">
        <f>WWWW[[#This Row],['#people Equitable and continuous access to sufficient quantity of domestic water borehole n ponds_2]]/500</f>
        <v>5.0999999999999996</v>
      </c>
      <c r="BC139" s="235">
        <f>1-WWWW[[#This Row],[%Equitable and continuous access to sufficient quantity of domestic water borehole n ponds]]</f>
        <v>0</v>
      </c>
      <c r="BD139" s="236">
        <f>WWWW[[#This Row],[%equitable and continuous access to sufficient quantity of safe drinking and domestic water''s GAP]]*WWWW[[#This Row],[Total PoP ]]</f>
        <v>0</v>
      </c>
      <c r="BE139" s="238">
        <f>IF(WWWW[[#This Row],[Total required water points]]-WWWW[[#This Row],['#Water points coverage]]&lt;0,0,WWWW[[#This Row],[Total required water points]]-WWWW[[#This Row],['#Water points coverage]])</f>
        <v>0</v>
      </c>
      <c r="BF139" s="238">
        <f>ROUND(IF(WWWW[[#This Row],[Total PoP ]]&lt;500,1,WWWW[[#This Row],[Total PoP ]]/500),0)</f>
        <v>5</v>
      </c>
      <c r="BG139" s="238" t="str">
        <f>IF(AND(WWWW[[#This Row],[%of Water samples which passed at water source]]="no test",WWWW[[#This Row],[%Water samples which passed at HH]]="no test"),"No Test","Tested")</f>
        <v>No Test</v>
      </c>
      <c r="BH139" s="238">
        <f>WWWW[[#This Row],['# Existing functional latrines]]+WWWW[[#This Row],['# Existing latrines dysfunctional]]</f>
        <v>357</v>
      </c>
      <c r="BI139" s="235">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1</v>
      </c>
      <c r="BJ139" s="675">
        <f>WWWW[[#This Row],[% people access to functioning Latrine]]*WWWW[[#This Row],[Total PoP ]]</f>
        <v>2550</v>
      </c>
      <c r="BK139" s="235">
        <f>IF(WWWW[[#This Row],[Location Type 1]]="camp",WWWW[[#This Row],['# potential required new latrines]]/(WWWW[[#This Row],[Total PoP ]]/20),WWWW[[#This Row],['# potential required new latrines]]/(WWWW[[#This Row],[Total PoP ]]/6))</f>
        <v>0</v>
      </c>
      <c r="BL139" s="236">
        <f>IF(WWWW[[#This Row],[Total required Latrines]]-WWWW[[#This Row],[Total '# of latrine]]&lt;0,0,WWWW[[#This Row],[Total required Latrines]]-WWWW[[#This Row],[Total '# of latrine]])</f>
        <v>0</v>
      </c>
      <c r="BM139" s="238">
        <f>ROUND(IF(WWWW[[#This Row],[Location Type 1]]="camp",WWWW[[#This Row],[Total PoP ]]/20,WWWW[[#This Row],[Total PoP ]]/6),0)</f>
        <v>128</v>
      </c>
      <c r="BN139" s="239">
        <f>IF(OR(WWWW[[#This Row],['# Existing latrines dysfunctional]]="",WWWW[[#This Row],['# Existing latrines dysfunctional]]=0),0,WWWW[[#This Row],['# Existing latrines dysfunctional]]/WWWW[[#This Row],[Total '# of latrine]])</f>
        <v>0</v>
      </c>
      <c r="BO139" s="675">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P139" s="235">
        <f>WWWW[[#This Row],[People adopt basic personal and community hygiene practices]]/WWWW[[#This Row],[Total PoP ]]</f>
        <v>0</v>
      </c>
      <c r="BQ139" s="239">
        <f>1-WWWW[[#This Row],[Hygiene Coverage%]]</f>
        <v>1</v>
      </c>
      <c r="BR139" s="405">
        <f>IF(500*WWWW[[#This Row],['# Hygiene Promoters ]]&gt;WWWW[[#This Row],[Total PoP ]],WWWW[[#This Row],[Total PoP ]],500*WWWW[[#This Row],['# Hygiene Promoters ]])</f>
        <v>0</v>
      </c>
      <c r="BS139" s="405">
        <f>IF(WWWW[[#This Row],[% of HH with access to Sanitary Pad]]&gt;=100%,1,0)</f>
        <v>0</v>
      </c>
      <c r="BT139" s="405">
        <f>IF(WWWW[[#This Row],[Total PoP ]]=0,0,IF(WWWW[[#This Row],['# Hygiene Promoters ]]=0,0,IF(WWWW[[#This Row],[Location Type 1]]="Village",IF(WWWW[[#This Row],[Total PoP ]]/WWWW[[#This Row],['# Hygiene Promoters ]]&lt;1000,1,0),IF(WWWW[[#This Row],[Total PoP ]]/WWWW[[#This Row],['# Hygiene Promoters ]]&lt;600,1,0))))</f>
        <v>0</v>
      </c>
      <c r="BU139" s="405">
        <f>IF(WWWW[[#This Row],[%HH with access to soap]]&gt;=100%,1,0)</f>
        <v>0</v>
      </c>
      <c r="BV139" s="405">
        <f>IF(WWWW[[#This Row],[% of HHs with access to Sanitary pad more than '#%]]+WWWW[[#This Row],[Ratio of Hyiene promoters to people less than '#]]+WWWW[[#This Row],[% of HHs with access to soap more than '#%]]&gt;=2,WWWW[[#This Row],[Total PoP ]],0)</f>
        <v>0</v>
      </c>
      <c r="BW139" s="346">
        <f>WWWW[[#This Row],['# people reached by regular dedicated hygiene promotion_5]]/WWWW[[#This Row],[Total PoP ]]</f>
        <v>0</v>
      </c>
      <c r="BX139" s="346">
        <f>IF(WWWW[[#This Row],['# HH received soaps]]/WWWW[[#This Row],[Total HH]]&gt;1,1,WWWW[[#This Row],['# HH received soaps]]/WWWW[[#This Row],[Total HH]])</f>
        <v>0</v>
      </c>
      <c r="BY139" s="346">
        <f>IF(WWWW[[#This Row],['# HH received Sanitary Pads]]/WWWW[[#This Row],[Total HH]]&gt;1,1,WWWW[[#This Row],['# HH received Sanitary Pads]]/WWWW[[#This Row],[Total HH]])</f>
        <v>0</v>
      </c>
      <c r="BZ139" s="720">
        <f>WWWW[[#This Row],['# HH received soaps]]*5</f>
        <v>0</v>
      </c>
      <c r="CA139" s="720">
        <f>WWWW[[#This Row],['# HH received Sanitary Pads]]*5</f>
        <v>0</v>
      </c>
      <c r="CB139" s="675">
        <f>IF(WWWW[[#This Row],['# People with access to soap]]&gt;WWWW[[#This Row],['# People with access to Sanity Pads]],WWWW[[#This Row],['# People with access to soap]],WWWW[[#This Row],['# People with access to Sanity Pads]])</f>
        <v>0</v>
      </c>
      <c r="CC139" s="236">
        <f>WWWW[[#This Row],[Total HH]]*WWWW[[#This Row],[%HHs with access to functional hand washing stations]]</f>
        <v>546</v>
      </c>
      <c r="CD139" s="240">
        <f>VLOOKUP(WWWW[[#This Row],[Site Name]],SiteDB6[],8,FALSE)</f>
        <v>0</v>
      </c>
      <c r="CE139" s="240">
        <f>VLOOKUP(WWWW[[#This Row],[Site Name]],SiteDB6[],9,FALSE)</f>
        <v>0</v>
      </c>
      <c r="CF139" s="240" t="str">
        <f>VLOOKUP(WWWW[[#This Row],[Site Name]],SiteDB6[],10,FALSE)</f>
        <v>Camp_not registered</v>
      </c>
      <c r="CG139" s="240" t="str">
        <f>VLOOKUP(WWWW[[#This Row],[Site Name]],SiteDB6[],11,FALSE)</f>
        <v>Camp</v>
      </c>
      <c r="CH139" s="240" t="str">
        <f>VLOOKUP(WWWW[[#This Row],[Site Name]],SiteDB6[],12,FALSE)</f>
        <v>Host Families</v>
      </c>
      <c r="CI139" s="240" t="str">
        <f>VLOOKUP(WWWW[[#This Row],[Site Name]],SiteDB6[],13,FALSE)</f>
        <v>NGCA</v>
      </c>
      <c r="CJ139" s="240">
        <f>VLOOKUP(WWWW[[#This Row],[Site Name]],SiteDB6[],14,FALSE)</f>
        <v>0</v>
      </c>
      <c r="CK139" s="240">
        <f>VLOOKUP(WWWW[[#This Row],[Site Name]],SiteDB6[],15,FALSE)</f>
        <v>0</v>
      </c>
      <c r="CL139" s="240" t="str">
        <f>VLOOKUP(WWWW[[#This Row],[Site Name]],SiteDB6[],4,FALSE)</f>
        <v/>
      </c>
      <c r="CM139" s="235" t="str">
        <f t="shared" si="2"/>
        <v>Covered</v>
      </c>
      <c r="CN139" s="240"/>
    </row>
    <row r="140" spans="1:92" ht="15.75" customHeight="1" x14ac:dyDescent="0.25">
      <c r="A140" s="547" t="s">
        <v>1409</v>
      </c>
      <c r="B140" s="531" t="s">
        <v>348</v>
      </c>
      <c r="C140" s="531" t="s">
        <v>44</v>
      </c>
      <c r="D140" s="531" t="s">
        <v>298</v>
      </c>
      <c r="E140" s="531" t="s">
        <v>379</v>
      </c>
      <c r="F140" s="314">
        <v>134</v>
      </c>
      <c r="G140" s="731">
        <v>709</v>
      </c>
      <c r="H140" s="314"/>
      <c r="I140" s="314" t="s">
        <v>374</v>
      </c>
      <c r="J140" s="315">
        <v>43281</v>
      </c>
      <c r="K140" s="314">
        <v>0</v>
      </c>
      <c r="L140" s="314" t="s">
        <v>48</v>
      </c>
      <c r="M140" s="316">
        <v>0.3</v>
      </c>
      <c r="N140" s="316">
        <v>0.3</v>
      </c>
      <c r="O140" s="608">
        <v>0</v>
      </c>
      <c r="P140" s="609">
        <v>0</v>
      </c>
      <c r="Q140" s="613">
        <v>14180</v>
      </c>
      <c r="R140" s="614">
        <v>0</v>
      </c>
      <c r="S140" s="614">
        <v>0</v>
      </c>
      <c r="T140" s="604"/>
      <c r="U140" s="604"/>
      <c r="V140" s="604"/>
      <c r="W140" s="604"/>
      <c r="X140" s="604"/>
      <c r="Y140" s="604">
        <v>0</v>
      </c>
      <c r="Z140" s="628">
        <v>44</v>
      </c>
      <c r="AA140" s="628">
        <v>0</v>
      </c>
      <c r="AB140" s="634"/>
      <c r="AC140" s="634">
        <v>1</v>
      </c>
      <c r="AD140" s="598" t="s">
        <v>293</v>
      </c>
      <c r="AE140" s="599" t="s">
        <v>1379</v>
      </c>
      <c r="AF140" s="629"/>
      <c r="AG140" s="629"/>
      <c r="AH140" s="634">
        <v>0</v>
      </c>
      <c r="AI140" s="655">
        <v>1</v>
      </c>
      <c r="AJ140" s="650" t="s">
        <v>386</v>
      </c>
      <c r="AK140" s="644">
        <v>0</v>
      </c>
      <c r="AL140" s="645">
        <v>7</v>
      </c>
      <c r="AM140" s="645">
        <v>0</v>
      </c>
      <c r="AN140" s="646"/>
      <c r="AO140" s="647"/>
      <c r="AP140" s="647"/>
      <c r="AQ140" s="657">
        <v>0</v>
      </c>
      <c r="AR140" s="235" t="str">
        <f>IFERROR(WWWW[[#This Row],['# of Water passed at source]]/WWWW[[#This Row],['# of Water tested at source]],"no test")</f>
        <v>no test</v>
      </c>
      <c r="AS140" s="237" t="str">
        <f>IFERROR(WWWW[[#This Row],['# of Water passed at HH]]/WWWW[[#This Row],['# of Water tested at HH]],"no test")</f>
        <v>no test</v>
      </c>
      <c r="AT140" s="237">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U140" s="237">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AV140" s="237">
        <f>IF(WWWW[[#This Row],[Location Type 1]]="Village",WWWW[[#This Row],[Access to safe drinking water for Village]],WWWW[[#This Row],[Access to safe drinking water for Camp]])</f>
        <v>1</v>
      </c>
      <c r="AW140" s="414">
        <f>WWWW[[#This Row],[%Equitable and continuous access to sufficient quantity of safe drinking water]]*WWWW[[#This Row],[Total PoP ]]</f>
        <v>709</v>
      </c>
      <c r="AX140" s="237">
        <f>IF((WWWW[[#This Row],['# Existing protected/fenced ponds ]]*250)/WWWW[[#This Row],[Total PoP ]]&gt;1,1,WWWW[[#This Row],['# Existing protected/fenced ponds ]]*250/WWWW[[#This Row],[Total PoP ]])</f>
        <v>0</v>
      </c>
      <c r="AY140" s="414">
        <f>WWWW[[#This Row],[Access to unimproved water points]]*WWWW[[#This Row],[Total PoP ]]</f>
        <v>0</v>
      </c>
      <c r="AZ140" s="237">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A140" s="414">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709</v>
      </c>
      <c r="BB140" s="414">
        <f>WWWW[[#This Row],['#people Equitable and continuous access to sufficient quantity of domestic water borehole n ponds_2]]/500</f>
        <v>1.4179999999999999</v>
      </c>
      <c r="BC140" s="235">
        <f>1-WWWW[[#This Row],[%Equitable and continuous access to sufficient quantity of domestic water borehole n ponds]]</f>
        <v>0</v>
      </c>
      <c r="BD140" s="414">
        <f>WWWW[[#This Row],[%equitable and continuous access to sufficient quantity of safe drinking and domestic water''s GAP]]*WWWW[[#This Row],[Total PoP ]]</f>
        <v>0</v>
      </c>
      <c r="BE140" s="238">
        <f>IF(WWWW[[#This Row],[Total required water points]]-WWWW[[#This Row],['#Water points coverage]]&lt;0,0,WWWW[[#This Row],[Total required water points]]-WWWW[[#This Row],['#Water points coverage]])</f>
        <v>0</v>
      </c>
      <c r="BF140" s="238">
        <f>ROUND(IF(WWWW[[#This Row],[Total PoP ]]&lt;500,1,WWWW[[#This Row],[Total PoP ]]/500),0)</f>
        <v>1</v>
      </c>
      <c r="BG140" s="238" t="str">
        <f>IF(AND(WWWW[[#This Row],[%of Water samples which passed at water source]]="no test",WWWW[[#This Row],[%Water samples which passed at HH]]="no test"),"No Test","Tested")</f>
        <v>No Test</v>
      </c>
      <c r="BH140" s="238">
        <f>WWWW[[#This Row],['# Existing functional latrines]]+WWWW[[#This Row],['# Existing latrines dysfunctional]]</f>
        <v>44</v>
      </c>
      <c r="BI140" s="235">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1</v>
      </c>
      <c r="BJ140" s="675">
        <f>WWWW[[#This Row],[% people access to functioning Latrine]]*WWWW[[#This Row],[Total PoP ]]</f>
        <v>709</v>
      </c>
      <c r="BK140" s="235">
        <f>IF(WWWW[[#This Row],[Location Type 1]]="camp",WWWW[[#This Row],['# potential required new latrines]]/(WWWW[[#This Row],[Total PoP ]]/20),WWWW[[#This Row],['# potential required new latrines]]/(WWWW[[#This Row],[Total PoP ]]/6))</f>
        <v>0</v>
      </c>
      <c r="BL140" s="414">
        <f>IF(WWWW[[#This Row],[Total required Latrines]]-WWWW[[#This Row],[Total '# of latrine]]&lt;0,0,WWWW[[#This Row],[Total required Latrines]]-WWWW[[#This Row],[Total '# of latrine]])</f>
        <v>0</v>
      </c>
      <c r="BM140" s="238">
        <f>ROUND(IF(WWWW[[#This Row],[Location Type 1]]="camp",WWWW[[#This Row],[Total PoP ]]/20,WWWW[[#This Row],[Total PoP ]]/6),0)</f>
        <v>35</v>
      </c>
      <c r="BN140" s="239">
        <f>IF(OR(WWWW[[#This Row],['# Existing latrines dysfunctional]]="",WWWW[[#This Row],['# Existing latrines dysfunctional]]=0),0,WWWW[[#This Row],['# Existing latrines dysfunctional]]/WWWW[[#This Row],[Total '# of latrine]])</f>
        <v>0</v>
      </c>
      <c r="BO140" s="675">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P140" s="235">
        <f>WWWW[[#This Row],[People adopt basic personal and community hygiene practices]]/WWWW[[#This Row],[Total PoP ]]</f>
        <v>0</v>
      </c>
      <c r="BQ140" s="239">
        <f>1-WWWW[[#This Row],[Hygiene Coverage%]]</f>
        <v>1</v>
      </c>
      <c r="BR140" s="405">
        <f>IF(500*WWWW[[#This Row],['# Hygiene Promoters ]]&gt;WWWW[[#This Row],[Total PoP ]],WWWW[[#This Row],[Total PoP ]],500*WWWW[[#This Row],['# Hygiene Promoters ]])</f>
        <v>0</v>
      </c>
      <c r="BS140" s="405">
        <f>IF(WWWW[[#This Row],[% of HH with access to Sanitary Pad]]&gt;=100%,1,0)</f>
        <v>0</v>
      </c>
      <c r="BT140" s="405">
        <f>IF(WWWW[[#This Row],[Total PoP ]]=0,0,IF(WWWW[[#This Row],['# Hygiene Promoters ]]=0,0,IF(WWWW[[#This Row],[Location Type 1]]="Village",IF(WWWW[[#This Row],[Total PoP ]]/WWWW[[#This Row],['# Hygiene Promoters ]]&lt;1000,1,0),IF(WWWW[[#This Row],[Total PoP ]]/WWWW[[#This Row],['# Hygiene Promoters ]]&lt;600,1,0))))</f>
        <v>0</v>
      </c>
      <c r="BU140" s="405">
        <f>IF(WWWW[[#This Row],[%HH with access to soap]]&gt;=100%,1,0)</f>
        <v>0</v>
      </c>
      <c r="BV140" s="405">
        <f>IF(WWWW[[#This Row],[% of HHs with access to Sanitary pad more than '#%]]+WWWW[[#This Row],[Ratio of Hyiene promoters to people less than '#]]+WWWW[[#This Row],[% of HHs with access to soap more than '#%]]&gt;=2,WWWW[[#This Row],[Total PoP ]],0)</f>
        <v>0</v>
      </c>
      <c r="BW140" s="346">
        <f>WWWW[[#This Row],['# people reached by regular dedicated hygiene promotion_5]]/WWWW[[#This Row],[Total PoP ]]</f>
        <v>0</v>
      </c>
      <c r="BX140" s="346">
        <f>IF(WWWW[[#This Row],['# HH received soaps]]/WWWW[[#This Row],[Total HH]]&gt;1,1,WWWW[[#This Row],['# HH received soaps]]/WWWW[[#This Row],[Total HH]])</f>
        <v>0</v>
      </c>
      <c r="BY140" s="346">
        <f>IF(WWWW[[#This Row],['# HH received Sanitary Pads]]/WWWW[[#This Row],[Total HH]]&gt;1,1,WWWW[[#This Row],['# HH received Sanitary Pads]]/WWWW[[#This Row],[Total HH]])</f>
        <v>0</v>
      </c>
      <c r="BZ140" s="720">
        <f>WWWW[[#This Row],['# HH received soaps]]*5</f>
        <v>0</v>
      </c>
      <c r="CA140" s="720">
        <f>WWWW[[#This Row],['# HH received Sanitary Pads]]*5</f>
        <v>0</v>
      </c>
      <c r="CB140" s="675">
        <f>IF(WWWW[[#This Row],['# People with access to soap]]&gt;WWWW[[#This Row],['# People with access to Sanity Pads]],WWWW[[#This Row],['# People with access to soap]],WWWW[[#This Row],['# People with access to Sanity Pads]])</f>
        <v>0</v>
      </c>
      <c r="CC140" s="414">
        <f>WWWW[[#This Row],[Total HH]]*WWWW[[#This Row],[%HHs with access to functional hand washing stations]]</f>
        <v>134</v>
      </c>
      <c r="CD140" s="240">
        <f>VLOOKUP(WWWW[[#This Row],[Site Name]],SiteDB6[],8,FALSE)</f>
        <v>0</v>
      </c>
      <c r="CE140" s="240">
        <f>VLOOKUP(WWWW[[#This Row],[Site Name]],SiteDB6[],9,FALSE)</f>
        <v>0</v>
      </c>
      <c r="CF140" s="240" t="str">
        <f>VLOOKUP(WWWW[[#This Row],[Site Name]],SiteDB6[],10,FALSE)</f>
        <v>Camp_not registered</v>
      </c>
      <c r="CG140" s="240" t="str">
        <f>VLOOKUP(WWWW[[#This Row],[Site Name]],SiteDB6[],11,FALSE)</f>
        <v>Camp</v>
      </c>
      <c r="CH140" s="240" t="str">
        <f>VLOOKUP(WWWW[[#This Row],[Site Name]],SiteDB6[],12,FALSE)</f>
        <v>CAMP</v>
      </c>
      <c r="CI140" s="240" t="str">
        <f>VLOOKUP(WWWW[[#This Row],[Site Name]],SiteDB6[],13,FALSE)</f>
        <v>NGCA</v>
      </c>
      <c r="CJ140" s="240">
        <f>VLOOKUP(WWWW[[#This Row],[Site Name]],SiteDB6[],14,FALSE)</f>
        <v>0</v>
      </c>
      <c r="CK140" s="240">
        <f>VLOOKUP(WWWW[[#This Row],[Site Name]],SiteDB6[],15,FALSE)</f>
        <v>0</v>
      </c>
      <c r="CL140" s="240">
        <f>VLOOKUP(WWWW[[#This Row],[Site Name]],SiteDB6[],4,FALSE)</f>
        <v>0</v>
      </c>
      <c r="CM140" s="235" t="str">
        <f t="shared" si="2"/>
        <v>Covered</v>
      </c>
      <c r="CN140" s="240"/>
    </row>
    <row r="141" spans="1:92" ht="15.75" customHeight="1" x14ac:dyDescent="0.25">
      <c r="A141" s="532" t="s">
        <v>1409</v>
      </c>
      <c r="B141" s="533" t="s">
        <v>436</v>
      </c>
      <c r="C141" s="533" t="s">
        <v>44</v>
      </c>
      <c r="D141" s="533" t="s">
        <v>351</v>
      </c>
      <c r="E141" s="533" t="s">
        <v>1276</v>
      </c>
      <c r="F141" s="233">
        <v>80</v>
      </c>
      <c r="G141" s="414">
        <v>383</v>
      </c>
      <c r="H141" s="233"/>
      <c r="I141" s="233" t="s">
        <v>401</v>
      </c>
      <c r="J141" s="234">
        <v>43220</v>
      </c>
      <c r="K141" s="233">
        <v>0</v>
      </c>
      <c r="L141" s="233" t="s">
        <v>48</v>
      </c>
      <c r="M141" s="235">
        <v>0.6</v>
      </c>
      <c r="N141" s="235">
        <v>0</v>
      </c>
      <c r="O141" s="609">
        <v>0</v>
      </c>
      <c r="P141" s="615">
        <v>10</v>
      </c>
      <c r="Q141" s="615">
        <v>493920</v>
      </c>
      <c r="R141" s="604">
        <v>0</v>
      </c>
      <c r="S141" s="604">
        <v>0</v>
      </c>
      <c r="T141" s="604"/>
      <c r="U141" s="604"/>
      <c r="V141" s="604">
        <v>3</v>
      </c>
      <c r="W141" s="604">
        <v>3</v>
      </c>
      <c r="X141" s="604"/>
      <c r="Y141" s="604"/>
      <c r="Z141" s="628">
        <v>13</v>
      </c>
      <c r="AA141" s="628">
        <v>0</v>
      </c>
      <c r="AB141" s="629">
        <v>15</v>
      </c>
      <c r="AC141" s="628">
        <v>0</v>
      </c>
      <c r="AD141" s="628" t="s">
        <v>293</v>
      </c>
      <c r="AE141" s="631" t="s">
        <v>293</v>
      </c>
      <c r="AF141" s="631">
        <v>0</v>
      </c>
      <c r="AG141" s="628">
        <v>0</v>
      </c>
      <c r="AH141" s="628"/>
      <c r="AI141" s="659">
        <v>1</v>
      </c>
      <c r="AJ141" s="644" t="s">
        <v>301</v>
      </c>
      <c r="AK141" s="644">
        <v>0</v>
      </c>
      <c r="AL141" s="645">
        <v>2</v>
      </c>
      <c r="AM141" s="645">
        <v>60</v>
      </c>
      <c r="AN141" s="646">
        <v>0</v>
      </c>
      <c r="AO141" s="647"/>
      <c r="AP141" s="647"/>
      <c r="AQ141" s="658"/>
      <c r="AR141" s="235" t="str">
        <f>IFERROR(WWWW[[#This Row],['# of Water passed at source]]/WWWW[[#This Row],['# of Water tested at source]],"no test")</f>
        <v>no test</v>
      </c>
      <c r="AS141" s="237">
        <f>IFERROR(WWWW[[#This Row],['# of Water passed at HH]]/WWWW[[#This Row],['# of Water tested at HH]],"no test")</f>
        <v>1</v>
      </c>
      <c r="AT141" s="237">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U141" s="237">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AV141" s="237">
        <f>IF(WWWW[[#This Row],[Location Type 1]]="Village",WWWW[[#This Row],[Access to safe drinking water for Village]],WWWW[[#This Row],[Access to safe drinking water for Camp]])</f>
        <v>1</v>
      </c>
      <c r="AW141" s="414">
        <f>WWWW[[#This Row],[%Equitable and continuous access to sufficient quantity of safe drinking water]]*WWWW[[#This Row],[Total PoP ]]</f>
        <v>383</v>
      </c>
      <c r="AX141" s="237">
        <f>IF((WWWW[[#This Row],['# Existing protected/fenced ponds ]]*250)/WWWW[[#This Row],[Total PoP ]]&gt;1,1,WWWW[[#This Row],['# Existing protected/fenced ponds ]]*250/WWWW[[#This Row],[Total PoP ]])</f>
        <v>0</v>
      </c>
      <c r="AY141" s="414">
        <f>WWWW[[#This Row],[Access to unimproved water points]]*WWWW[[#This Row],[Total PoP ]]</f>
        <v>0</v>
      </c>
      <c r="AZ141" s="237">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A141" s="414">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383</v>
      </c>
      <c r="BB141" s="414">
        <f>WWWW[[#This Row],['#people Equitable and continuous access to sufficient quantity of domestic water borehole n ponds_2]]/500</f>
        <v>0.76600000000000001</v>
      </c>
      <c r="BC141" s="235">
        <f>1-WWWW[[#This Row],[%Equitable and continuous access to sufficient quantity of domestic water borehole n ponds]]</f>
        <v>0</v>
      </c>
      <c r="BD141" s="414">
        <f>WWWW[[#This Row],[%equitable and continuous access to sufficient quantity of safe drinking and domestic water''s GAP]]*WWWW[[#This Row],[Total PoP ]]</f>
        <v>0</v>
      </c>
      <c r="BE141" s="238">
        <f>IF(WWWW[[#This Row],[Total required water points]]-WWWW[[#This Row],['#Water points coverage]]&lt;0,0,WWWW[[#This Row],[Total required water points]]-WWWW[[#This Row],['#Water points coverage]])</f>
        <v>0.23399999999999999</v>
      </c>
      <c r="BF141" s="238">
        <f>ROUND(IF(WWWW[[#This Row],[Total PoP ]]&lt;500,1,WWWW[[#This Row],[Total PoP ]]/500),0)</f>
        <v>1</v>
      </c>
      <c r="BG141" s="238" t="str">
        <f>IF(AND(WWWW[[#This Row],[%of Water samples which passed at water source]]="no test",WWWW[[#This Row],[%Water samples which passed at HH]]="no test"),"No Test","Tested")</f>
        <v>Tested</v>
      </c>
      <c r="BH141" s="238">
        <f>WWWW[[#This Row],['# Existing functional latrines]]+WWWW[[#This Row],['# Existing latrines dysfunctional]]</f>
        <v>13</v>
      </c>
      <c r="BI141" s="235">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0.6788511749347258</v>
      </c>
      <c r="BJ141" s="675">
        <f>WWWW[[#This Row],[% people access to functioning Latrine]]*WWWW[[#This Row],[Total PoP ]]</f>
        <v>260</v>
      </c>
      <c r="BK141" s="235">
        <f>IF(WWWW[[#This Row],[Location Type 1]]="camp",WWWW[[#This Row],['# potential required new latrines]]/(WWWW[[#This Row],[Total PoP ]]/20),WWWW[[#This Row],['# potential required new latrines]]/(WWWW[[#This Row],[Total PoP ]]/6))</f>
        <v>0.3133159268929504</v>
      </c>
      <c r="BL141" s="414">
        <f>IF(WWWW[[#This Row],[Total required Latrines]]-WWWW[[#This Row],[Total '# of latrine]]&lt;0,0,WWWW[[#This Row],[Total required Latrines]]-WWWW[[#This Row],[Total '# of latrine]])</f>
        <v>6</v>
      </c>
      <c r="BM141" s="238">
        <f>ROUND(IF(WWWW[[#This Row],[Location Type 1]]="camp",WWWW[[#This Row],[Total PoP ]]/20,WWWW[[#This Row],[Total PoP ]]/6),0)</f>
        <v>19</v>
      </c>
      <c r="BN141" s="239">
        <f>IF(OR(WWWW[[#This Row],['# Existing latrines dysfunctional]]="",WWWW[[#This Row],['# Existing latrines dysfunctional]]=0),0,WWWW[[#This Row],['# Existing latrines dysfunctional]]/WWWW[[#This Row],[Total '# of latrine]])</f>
        <v>0</v>
      </c>
      <c r="BO141" s="675">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300</v>
      </c>
      <c r="BP141" s="235">
        <f>WWWW[[#This Row],[People adopt basic personal and community hygiene practices]]/WWWW[[#This Row],[Total PoP ]]</f>
        <v>0</v>
      </c>
      <c r="BQ141" s="239">
        <f>1-WWWW[[#This Row],[Hygiene Coverage%]]</f>
        <v>1</v>
      </c>
      <c r="BR141" s="414">
        <f>IF(500*WWWW[[#This Row],['# Hygiene Promoters ]]&gt;WWWW[[#This Row],[Total PoP ]],WWWW[[#This Row],[Total PoP ]],500*WWWW[[#This Row],['# Hygiene Promoters ]])</f>
        <v>383</v>
      </c>
      <c r="BS141" s="414">
        <f>IF(WWWW[[#This Row],[% of HH with access to Sanitary Pad]]&gt;=100%,1,0)</f>
        <v>0</v>
      </c>
      <c r="BT141" s="414">
        <f>IF(WWWW[[#This Row],[Total PoP ]]=0,0,IF(WWWW[[#This Row],['# Hygiene Promoters ]]=0,0,IF(WWWW[[#This Row],[Location Type 1]]="Village",IF(WWWW[[#This Row],[Total PoP ]]/WWWW[[#This Row],['# Hygiene Promoters ]]&lt;1000,1,0),IF(WWWW[[#This Row],[Total PoP ]]/WWWW[[#This Row],['# Hygiene Promoters ]]&lt;600,1,0))))</f>
        <v>1</v>
      </c>
      <c r="BU141" s="414">
        <f>IF(WWWW[[#This Row],[%HH with access to soap]]&gt;=100%,1,0)</f>
        <v>0</v>
      </c>
      <c r="BV141" s="414">
        <f>IF(WWWW[[#This Row],[% of HHs with access to Sanitary pad more than '#%]]+WWWW[[#This Row],[Ratio of Hyiene promoters to people less than '#]]+WWWW[[#This Row],[% of HHs with access to soap more than '#%]]&gt;=2,WWWW[[#This Row],[Total PoP ]],0)</f>
        <v>0</v>
      </c>
      <c r="BW141" s="346">
        <f>WWWW[[#This Row],['# people reached by regular dedicated hygiene promotion_5]]/WWWW[[#This Row],[Total PoP ]]</f>
        <v>1</v>
      </c>
      <c r="BX141" s="346">
        <f>IF(WWWW[[#This Row],['# HH received soaps]]/WWWW[[#This Row],[Total HH]]&gt;1,1,WWWW[[#This Row],['# HH received soaps]]/WWWW[[#This Row],[Total HH]])</f>
        <v>0</v>
      </c>
      <c r="BY141" s="346">
        <f>IF(WWWW[[#This Row],['# HH received Sanitary Pads]]/WWWW[[#This Row],[Total HH]]&gt;1,1,WWWW[[#This Row],['# HH received Sanitary Pads]]/WWWW[[#This Row],[Total HH]])</f>
        <v>0</v>
      </c>
      <c r="BZ141" s="720">
        <f>WWWW[[#This Row],['# HH received soaps]]*5</f>
        <v>0</v>
      </c>
      <c r="CA141" s="720">
        <f>WWWW[[#This Row],['# HH received Sanitary Pads]]*5</f>
        <v>0</v>
      </c>
      <c r="CB141" s="238">
        <f>IF(WWWW[[#This Row],['# People with access to soap]]&gt;WWWW[[#This Row],['# People with access to Sanity Pads]],WWWW[[#This Row],['# People with access to soap]],WWWW[[#This Row],['# People with access to Sanity Pads]])</f>
        <v>0</v>
      </c>
      <c r="CC141" s="414">
        <f>WWWW[[#This Row],[Total HH]]*WWWW[[#This Row],[%HHs with access to functional hand washing stations]]</f>
        <v>80</v>
      </c>
      <c r="CD141" s="240">
        <f>VLOOKUP(WWWW[[#This Row],[Site Name]],SiteDB6[],8,FALSE)</f>
        <v>0</v>
      </c>
      <c r="CE141" s="240">
        <f>VLOOKUP(WWWW[[#This Row],[Site Name]],SiteDB6[],9,FALSE)</f>
        <v>0</v>
      </c>
      <c r="CF141" s="240" t="str">
        <f>VLOOKUP(WWWW[[#This Row],[Site Name]],SiteDB6[],10,FALSE)</f>
        <v>Camp_not registered</v>
      </c>
      <c r="CG141" s="240" t="str">
        <f>VLOOKUP(WWWW[[#This Row],[Site Name]],SiteDB6[],11,FALSE)</f>
        <v>Camp</v>
      </c>
      <c r="CH141" s="240" t="str">
        <f>VLOOKUP(WWWW[[#This Row],[Site Name]],SiteDB6[],12,FALSE)</f>
        <v>camp</v>
      </c>
      <c r="CI141" s="240" t="str">
        <f>VLOOKUP(WWWW[[#This Row],[Site Name]],SiteDB6[],13,FALSE)</f>
        <v>GCA</v>
      </c>
      <c r="CJ141" s="240">
        <f>VLOOKUP(WWWW[[#This Row],[Site Name]],SiteDB6[],14,FALSE)</f>
        <v>0</v>
      </c>
      <c r="CK141" s="240">
        <f>VLOOKUP(WWWW[[#This Row],[Site Name]],SiteDB6[],15,FALSE)</f>
        <v>0</v>
      </c>
      <c r="CL141" s="240" t="str">
        <f>VLOOKUP(WWWW[[#This Row],[Site Name]],SiteDB6[],4,FALSE)</f>
        <v/>
      </c>
      <c r="CM141" s="235" t="str">
        <f t="shared" si="2"/>
        <v>Covered</v>
      </c>
      <c r="CN141" s="235"/>
    </row>
    <row r="142" spans="1:92" ht="15.75" customHeight="1" x14ac:dyDescent="0.25">
      <c r="A142" s="532" t="s">
        <v>1409</v>
      </c>
      <c r="B142" s="533" t="s">
        <v>348</v>
      </c>
      <c r="C142" s="533" t="s">
        <v>44</v>
      </c>
      <c r="D142" s="533" t="s">
        <v>361</v>
      </c>
      <c r="E142" s="533" t="s">
        <v>362</v>
      </c>
      <c r="F142" s="233">
        <v>141</v>
      </c>
      <c r="G142" s="414">
        <v>665</v>
      </c>
      <c r="H142" s="233"/>
      <c r="I142" s="233" t="s">
        <v>350</v>
      </c>
      <c r="J142" s="234" t="s">
        <v>2600</v>
      </c>
      <c r="K142" s="233">
        <v>0</v>
      </c>
      <c r="L142" s="233" t="s">
        <v>48</v>
      </c>
      <c r="M142" s="235">
        <v>0.5</v>
      </c>
      <c r="N142" s="235">
        <v>0.5</v>
      </c>
      <c r="O142" s="609">
        <v>3</v>
      </c>
      <c r="P142" s="615">
        <v>2</v>
      </c>
      <c r="Q142" s="615">
        <v>0</v>
      </c>
      <c r="R142" s="604">
        <v>0</v>
      </c>
      <c r="S142" s="604">
        <v>0</v>
      </c>
      <c r="T142" s="604"/>
      <c r="U142" s="604"/>
      <c r="V142" s="604"/>
      <c r="W142" s="604"/>
      <c r="X142" s="604"/>
      <c r="Y142" s="604"/>
      <c r="Z142" s="628">
        <v>24</v>
      </c>
      <c r="AA142" s="628">
        <v>0</v>
      </c>
      <c r="AB142" s="629">
        <v>4</v>
      </c>
      <c r="AC142" s="628">
        <v>0</v>
      </c>
      <c r="AD142" s="628" t="s">
        <v>293</v>
      </c>
      <c r="AE142" s="631" t="s">
        <v>293</v>
      </c>
      <c r="AF142" s="631"/>
      <c r="AG142" s="628"/>
      <c r="AH142" s="628"/>
      <c r="AI142" s="659">
        <v>1</v>
      </c>
      <c r="AJ142" s="644" t="s">
        <v>301</v>
      </c>
      <c r="AK142" s="644">
        <v>0</v>
      </c>
      <c r="AL142" s="645">
        <v>3</v>
      </c>
      <c r="AM142" s="645">
        <v>2</v>
      </c>
      <c r="AN142" s="646">
        <v>141</v>
      </c>
      <c r="AO142" s="647">
        <v>141</v>
      </c>
      <c r="AP142" s="647"/>
      <c r="AQ142" s="658"/>
      <c r="AR142" s="235" t="str">
        <f>IFERROR(WWWW[[#This Row],['# of Water passed at source]]/WWWW[[#This Row],['# of Water tested at source]],"no test")</f>
        <v>no test</v>
      </c>
      <c r="AS142" s="237" t="str">
        <f>IFERROR(WWWW[[#This Row],['# of Water passed at HH]]/WWWW[[#This Row],['# of Water tested at HH]],"no test")</f>
        <v>no test</v>
      </c>
      <c r="AT142" s="237">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U142" s="237">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AV142" s="237">
        <f>IF(WWWW[[#This Row],[Location Type 1]]="Village",WWWW[[#This Row],[Access to safe drinking water for Village]],WWWW[[#This Row],[Access to safe drinking water for Camp]])</f>
        <v>1</v>
      </c>
      <c r="AW142" s="414">
        <f>WWWW[[#This Row],[%Equitable and continuous access to sufficient quantity of safe drinking water]]*WWWW[[#This Row],[Total PoP ]]</f>
        <v>665</v>
      </c>
      <c r="AX142" s="237">
        <f>IF((WWWW[[#This Row],['# Existing protected/fenced ponds ]]*250)/WWWW[[#This Row],[Total PoP ]]&gt;1,1,WWWW[[#This Row],['# Existing protected/fenced ponds ]]*250/WWWW[[#This Row],[Total PoP ]])</f>
        <v>0</v>
      </c>
      <c r="AY142" s="414">
        <f>WWWW[[#This Row],[Access to unimproved water points]]*WWWW[[#This Row],[Total PoP ]]</f>
        <v>0</v>
      </c>
      <c r="AZ142" s="237">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A142" s="414">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665</v>
      </c>
      <c r="BB142" s="414">
        <f>WWWW[[#This Row],['#people Equitable and continuous access to sufficient quantity of domestic water borehole n ponds_2]]/500</f>
        <v>1.33</v>
      </c>
      <c r="BC142" s="235">
        <f>1-WWWW[[#This Row],[%Equitable and continuous access to sufficient quantity of domestic water borehole n ponds]]</f>
        <v>0</v>
      </c>
      <c r="BD142" s="414">
        <f>WWWW[[#This Row],[%equitable and continuous access to sufficient quantity of safe drinking and domestic water''s GAP]]*WWWW[[#This Row],[Total PoP ]]</f>
        <v>0</v>
      </c>
      <c r="BE142" s="238">
        <f>IF(WWWW[[#This Row],[Total required water points]]-WWWW[[#This Row],['#Water points coverage]]&lt;0,0,WWWW[[#This Row],[Total required water points]]-WWWW[[#This Row],['#Water points coverage]])</f>
        <v>0</v>
      </c>
      <c r="BF142" s="238">
        <f>ROUND(IF(WWWW[[#This Row],[Total PoP ]]&lt;500,1,WWWW[[#This Row],[Total PoP ]]/500),0)</f>
        <v>1</v>
      </c>
      <c r="BG142" s="238" t="str">
        <f>IF(AND(WWWW[[#This Row],[%of Water samples which passed at water source]]="no test",WWWW[[#This Row],[%Water samples which passed at HH]]="no test"),"No Test","Tested")</f>
        <v>No Test</v>
      </c>
      <c r="BH142" s="238">
        <f>WWWW[[#This Row],['# Existing functional latrines]]+WWWW[[#This Row],['# Existing latrines dysfunctional]]</f>
        <v>24</v>
      </c>
      <c r="BI142" s="235">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0.72180451127819545</v>
      </c>
      <c r="BJ142" s="675">
        <f>WWWW[[#This Row],[% people access to functioning Latrine]]*WWWW[[#This Row],[Total PoP ]]</f>
        <v>480</v>
      </c>
      <c r="BK142" s="235">
        <f>IF(WWWW[[#This Row],[Location Type 1]]="camp",WWWW[[#This Row],['# potential required new latrines]]/(WWWW[[#This Row],[Total PoP ]]/20),WWWW[[#This Row],['# potential required new latrines]]/(WWWW[[#This Row],[Total PoP ]]/6))</f>
        <v>0.27067669172932329</v>
      </c>
      <c r="BL142" s="414">
        <f>IF(WWWW[[#This Row],[Total required Latrines]]-WWWW[[#This Row],[Total '# of latrine]]&lt;0,0,WWWW[[#This Row],[Total required Latrines]]-WWWW[[#This Row],[Total '# of latrine]])</f>
        <v>9</v>
      </c>
      <c r="BM142" s="238">
        <f>ROUND(IF(WWWW[[#This Row],[Location Type 1]]="camp",WWWW[[#This Row],[Total PoP ]]/20,WWWW[[#This Row],[Total PoP ]]/6),0)</f>
        <v>33</v>
      </c>
      <c r="BN142" s="239">
        <f>IF(OR(WWWW[[#This Row],['# Existing latrines dysfunctional]]="",WWWW[[#This Row],['# Existing latrines dysfunctional]]=0),0,WWWW[[#This Row],['# Existing latrines dysfunctional]]/WWWW[[#This Row],[Total '# of latrine]])</f>
        <v>0</v>
      </c>
      <c r="BO142" s="675">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80</v>
      </c>
      <c r="BP142" s="235">
        <f>WWWW[[#This Row],[People adopt basic personal and community hygiene practices]]/WWWW[[#This Row],[Total PoP ]]</f>
        <v>1</v>
      </c>
      <c r="BQ142" s="239">
        <f>1-WWWW[[#This Row],[Hygiene Coverage%]]</f>
        <v>0</v>
      </c>
      <c r="BR142" s="414">
        <f>IF(500*WWWW[[#This Row],['# Hygiene Promoters ]]&gt;WWWW[[#This Row],[Total PoP ]],WWWW[[#This Row],[Total PoP ]],500*WWWW[[#This Row],['# Hygiene Promoters ]])</f>
        <v>665</v>
      </c>
      <c r="BS142" s="414">
        <f>IF(WWWW[[#This Row],[% of HH with access to Sanitary Pad]]&gt;=100%,1,0)</f>
        <v>1</v>
      </c>
      <c r="BT142" s="414">
        <f>IF(WWWW[[#This Row],[Total PoP ]]=0,0,IF(WWWW[[#This Row],['# Hygiene Promoters ]]=0,0,IF(WWWW[[#This Row],[Location Type 1]]="Village",IF(WWWW[[#This Row],[Total PoP ]]/WWWW[[#This Row],['# Hygiene Promoters ]]&lt;1000,1,0),IF(WWWW[[#This Row],[Total PoP ]]/WWWW[[#This Row],['# Hygiene Promoters ]]&lt;600,1,0))))</f>
        <v>1</v>
      </c>
      <c r="BU142" s="414">
        <f>IF(WWWW[[#This Row],[%HH with access to soap]]&gt;=100%,1,0)</f>
        <v>1</v>
      </c>
      <c r="BV142" s="414">
        <f>IF(WWWW[[#This Row],[% of HHs with access to Sanitary pad more than '#%]]+WWWW[[#This Row],[Ratio of Hyiene promoters to people less than '#]]+WWWW[[#This Row],[% of HHs with access to soap more than '#%]]&gt;=2,WWWW[[#This Row],[Total PoP ]],0)</f>
        <v>665</v>
      </c>
      <c r="BW142" s="346">
        <f>WWWW[[#This Row],['# people reached by regular dedicated hygiene promotion_5]]/WWWW[[#This Row],[Total PoP ]]</f>
        <v>1</v>
      </c>
      <c r="BX142" s="346">
        <f>IF(WWWW[[#This Row],['# HH received soaps]]/WWWW[[#This Row],[Total HH]]&gt;1,1,WWWW[[#This Row],['# HH received soaps]]/WWWW[[#This Row],[Total HH]])</f>
        <v>1</v>
      </c>
      <c r="BY142" s="346">
        <f>IF(WWWW[[#This Row],['# HH received Sanitary Pads]]/WWWW[[#This Row],[Total HH]]&gt;1,1,WWWW[[#This Row],['# HH received Sanitary Pads]]/WWWW[[#This Row],[Total HH]])</f>
        <v>1</v>
      </c>
      <c r="BZ142" s="720">
        <f>WWWW[[#This Row],['# HH received soaps]]*5</f>
        <v>705</v>
      </c>
      <c r="CA142" s="720">
        <f>WWWW[[#This Row],['# HH received Sanitary Pads]]*5</f>
        <v>705</v>
      </c>
      <c r="CB142" s="238">
        <f>IF(WWWW[[#This Row],['# People with access to soap]]&gt;WWWW[[#This Row],['# People with access to Sanity Pads]],WWWW[[#This Row],['# People with access to soap]],WWWW[[#This Row],['# People with access to Sanity Pads]])</f>
        <v>705</v>
      </c>
      <c r="CC142" s="414">
        <f>WWWW[[#This Row],[Total HH]]*WWWW[[#This Row],[%HHs with access to functional hand washing stations]]</f>
        <v>141</v>
      </c>
      <c r="CD142" s="240">
        <f>VLOOKUP(WWWW[[#This Row],[Site Name]],SiteDB6[],8,FALSE)</f>
        <v>0</v>
      </c>
      <c r="CE142" s="240">
        <f>VLOOKUP(WWWW[[#This Row],[Site Name]],SiteDB6[],9,FALSE)</f>
        <v>0</v>
      </c>
      <c r="CF142" s="240" t="str">
        <f>VLOOKUP(WWWW[[#This Row],[Site Name]],SiteDB6[],10,FALSE)</f>
        <v>Camp_not registered</v>
      </c>
      <c r="CG142" s="240" t="str">
        <f>VLOOKUP(WWWW[[#This Row],[Site Name]],SiteDB6[],11,FALSE)</f>
        <v>Camp</v>
      </c>
      <c r="CH142" s="240" t="str">
        <f>VLOOKUP(WWWW[[#This Row],[Site Name]],SiteDB6[],12,FALSE)</f>
        <v>Camp</v>
      </c>
      <c r="CI142" s="240" t="str">
        <f>VLOOKUP(WWWW[[#This Row],[Site Name]],SiteDB6[],13,FALSE)</f>
        <v>GCA</v>
      </c>
      <c r="CJ142" s="240">
        <f>VLOOKUP(WWWW[[#This Row],[Site Name]],SiteDB6[],14,FALSE)</f>
        <v>0</v>
      </c>
      <c r="CK142" s="240">
        <f>VLOOKUP(WWWW[[#This Row],[Site Name]],SiteDB6[],15,FALSE)</f>
        <v>0</v>
      </c>
      <c r="CL142" s="240" t="str">
        <f>VLOOKUP(WWWW[[#This Row],[Site Name]],SiteDB6[],4,FALSE)</f>
        <v/>
      </c>
      <c r="CM142" s="235" t="str">
        <f t="shared" si="2"/>
        <v>Covered</v>
      </c>
      <c r="CN142" s="235"/>
    </row>
    <row r="143" spans="1:92" ht="15.75" customHeight="1" x14ac:dyDescent="0.25">
      <c r="A143" s="532" t="s">
        <v>1409</v>
      </c>
      <c r="B143" s="533" t="s">
        <v>348</v>
      </c>
      <c r="C143" s="533" t="s">
        <v>44</v>
      </c>
      <c r="D143" s="533" t="s">
        <v>361</v>
      </c>
      <c r="E143" s="533" t="s">
        <v>363</v>
      </c>
      <c r="F143" s="233">
        <v>17</v>
      </c>
      <c r="G143" s="414">
        <v>106</v>
      </c>
      <c r="H143" s="233"/>
      <c r="I143" s="233" t="s">
        <v>364</v>
      </c>
      <c r="J143" s="234" t="s">
        <v>2600</v>
      </c>
      <c r="K143" s="233">
        <v>0</v>
      </c>
      <c r="L143" s="233" t="s">
        <v>292</v>
      </c>
      <c r="M143" s="235">
        <v>0</v>
      </c>
      <c r="N143" s="235">
        <v>0</v>
      </c>
      <c r="O143" s="609">
        <v>1</v>
      </c>
      <c r="P143" s="615">
        <v>0</v>
      </c>
      <c r="Q143" s="615">
        <v>0</v>
      </c>
      <c r="R143" s="604">
        <v>0</v>
      </c>
      <c r="S143" s="604">
        <v>0</v>
      </c>
      <c r="T143" s="604"/>
      <c r="U143" s="604"/>
      <c r="V143" s="604"/>
      <c r="W143" s="604"/>
      <c r="X143" s="604"/>
      <c r="Y143" s="604"/>
      <c r="Z143" s="628">
        <v>4</v>
      </c>
      <c r="AA143" s="628">
        <v>0</v>
      </c>
      <c r="AB143" s="629">
        <v>2</v>
      </c>
      <c r="AC143" s="628">
        <v>0</v>
      </c>
      <c r="AD143" s="628" t="s">
        <v>293</v>
      </c>
      <c r="AE143" s="631" t="s">
        <v>293</v>
      </c>
      <c r="AF143" s="631"/>
      <c r="AG143" s="628"/>
      <c r="AH143" s="628"/>
      <c r="AI143" s="659">
        <v>1</v>
      </c>
      <c r="AJ143" s="644" t="s">
        <v>301</v>
      </c>
      <c r="AK143" s="644">
        <v>0</v>
      </c>
      <c r="AL143" s="645">
        <v>2</v>
      </c>
      <c r="AM143" s="645">
        <v>1</v>
      </c>
      <c r="AN143" s="646">
        <v>17</v>
      </c>
      <c r="AO143" s="647">
        <v>17</v>
      </c>
      <c r="AP143" s="647"/>
      <c r="AQ143" s="658"/>
      <c r="AR143" s="235" t="str">
        <f>IFERROR(WWWW[[#This Row],['# of Water passed at source]]/WWWW[[#This Row],['# of Water tested at source]],"no test")</f>
        <v>no test</v>
      </c>
      <c r="AS143" s="237" t="str">
        <f>IFERROR(WWWW[[#This Row],['# of Water passed at HH]]/WWWW[[#This Row],['# of Water tested at HH]],"no test")</f>
        <v>no test</v>
      </c>
      <c r="AT143" s="237">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U143" s="237">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AV143" s="237">
        <f>IF(WWWW[[#This Row],[Location Type 1]]="Village",WWWW[[#This Row],[Access to safe drinking water for Village]],WWWW[[#This Row],[Access to safe drinking water for Camp]])</f>
        <v>1</v>
      </c>
      <c r="AW143" s="414">
        <f>WWWW[[#This Row],[%Equitable and continuous access to sufficient quantity of safe drinking water]]*WWWW[[#This Row],[Total PoP ]]</f>
        <v>106</v>
      </c>
      <c r="AX143" s="237">
        <f>IF((WWWW[[#This Row],['# Existing protected/fenced ponds ]]*250)/WWWW[[#This Row],[Total PoP ]]&gt;1,1,WWWW[[#This Row],['# Existing protected/fenced ponds ]]*250/WWWW[[#This Row],[Total PoP ]])</f>
        <v>0</v>
      </c>
      <c r="AY143" s="236">
        <f>WWWW[[#This Row],[Access to unimproved water points]]*WWWW[[#This Row],[Total PoP ]]</f>
        <v>0</v>
      </c>
      <c r="AZ143" s="237">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A143" s="414">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106</v>
      </c>
      <c r="BB143" s="414">
        <f>WWWW[[#This Row],['#people Equitable and continuous access to sufficient quantity of domestic water borehole n ponds_2]]/500</f>
        <v>0.21199999999999999</v>
      </c>
      <c r="BC143" s="235">
        <f>1-WWWW[[#This Row],[%Equitable and continuous access to sufficient quantity of domestic water borehole n ponds]]</f>
        <v>0</v>
      </c>
      <c r="BD143" s="236">
        <f>WWWW[[#This Row],[%equitable and continuous access to sufficient quantity of safe drinking and domestic water''s GAP]]*WWWW[[#This Row],[Total PoP ]]</f>
        <v>0</v>
      </c>
      <c r="BE143" s="238">
        <f>IF(WWWW[[#This Row],[Total required water points]]-WWWW[[#This Row],['#Water points coverage]]&lt;0,0,WWWW[[#This Row],[Total required water points]]-WWWW[[#This Row],['#Water points coverage]])</f>
        <v>0.78800000000000003</v>
      </c>
      <c r="BF143" s="238">
        <f>ROUND(IF(WWWW[[#This Row],[Total PoP ]]&lt;500,1,WWWW[[#This Row],[Total PoP ]]/500),0)</f>
        <v>1</v>
      </c>
      <c r="BG143" s="238" t="str">
        <f>IF(AND(WWWW[[#This Row],[%of Water samples which passed at water source]]="no test",WWWW[[#This Row],[%Water samples which passed at HH]]="no test"),"No Test","Tested")</f>
        <v>No Test</v>
      </c>
      <c r="BH143" s="238">
        <f>WWWW[[#This Row],['# Existing functional latrines]]+WWWW[[#This Row],['# Existing latrines dysfunctional]]</f>
        <v>4</v>
      </c>
      <c r="BI143" s="235">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0.75471698113207553</v>
      </c>
      <c r="BJ143" s="675">
        <f>WWWW[[#This Row],[% people access to functioning Latrine]]*WWWW[[#This Row],[Total PoP ]]</f>
        <v>80</v>
      </c>
      <c r="BK143" s="235">
        <f>IF(WWWW[[#This Row],[Location Type 1]]="camp",WWWW[[#This Row],['# potential required new latrines]]/(WWWW[[#This Row],[Total PoP ]]/20),WWWW[[#This Row],['# potential required new latrines]]/(WWWW[[#This Row],[Total PoP ]]/6))</f>
        <v>0.18867924528301888</v>
      </c>
      <c r="BL143" s="236">
        <f>IF(WWWW[[#This Row],[Total required Latrines]]-WWWW[[#This Row],[Total '# of latrine]]&lt;0,0,WWWW[[#This Row],[Total required Latrines]]-WWWW[[#This Row],[Total '# of latrine]])</f>
        <v>1</v>
      </c>
      <c r="BM143" s="238">
        <f>ROUND(IF(WWWW[[#This Row],[Location Type 1]]="camp",WWWW[[#This Row],[Total PoP ]]/20,WWWW[[#This Row],[Total PoP ]]/6),0)</f>
        <v>5</v>
      </c>
      <c r="BN143" s="239">
        <f>IF(OR(WWWW[[#This Row],['# Existing latrines dysfunctional]]="",WWWW[[#This Row],['# Existing latrines dysfunctional]]=0),0,WWWW[[#This Row],['# Existing latrines dysfunctional]]/WWWW[[#This Row],[Total '# of latrine]])</f>
        <v>0</v>
      </c>
      <c r="BO143" s="675">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40</v>
      </c>
      <c r="BP143" s="235">
        <f>WWWW[[#This Row],[People adopt basic personal and community hygiene practices]]/WWWW[[#This Row],[Total PoP ]]</f>
        <v>1</v>
      </c>
      <c r="BQ143" s="239">
        <f>1-WWWW[[#This Row],[Hygiene Coverage%]]</f>
        <v>0</v>
      </c>
      <c r="BR143" s="414">
        <f>IF(500*WWWW[[#This Row],['# Hygiene Promoters ]]&gt;WWWW[[#This Row],[Total PoP ]],WWWW[[#This Row],[Total PoP ]],500*WWWW[[#This Row],['# Hygiene Promoters ]])</f>
        <v>106</v>
      </c>
      <c r="BS143" s="414">
        <f>IF(WWWW[[#This Row],[% of HH with access to Sanitary Pad]]&gt;=100%,1,0)</f>
        <v>1</v>
      </c>
      <c r="BT143" s="414">
        <f>IF(WWWW[[#This Row],[Total PoP ]]=0,0,IF(WWWW[[#This Row],['# Hygiene Promoters ]]=0,0,IF(WWWW[[#This Row],[Location Type 1]]="Village",IF(WWWW[[#This Row],[Total PoP ]]/WWWW[[#This Row],['# Hygiene Promoters ]]&lt;1000,1,0),IF(WWWW[[#This Row],[Total PoP ]]/WWWW[[#This Row],['# Hygiene Promoters ]]&lt;600,1,0))))</f>
        <v>1</v>
      </c>
      <c r="BU143" s="414">
        <f>IF(WWWW[[#This Row],[%HH with access to soap]]&gt;=100%,1,0)</f>
        <v>1</v>
      </c>
      <c r="BV143" s="414">
        <f>IF(WWWW[[#This Row],[% of HHs with access to Sanitary pad more than '#%]]+WWWW[[#This Row],[Ratio of Hyiene promoters to people less than '#]]+WWWW[[#This Row],[% of HHs with access to soap more than '#%]]&gt;=2,WWWW[[#This Row],[Total PoP ]],0)</f>
        <v>106</v>
      </c>
      <c r="BW143" s="346">
        <f>WWWW[[#This Row],['# people reached by regular dedicated hygiene promotion_5]]/WWWW[[#This Row],[Total PoP ]]</f>
        <v>1</v>
      </c>
      <c r="BX143" s="346">
        <f>IF(WWWW[[#This Row],['# HH received soaps]]/WWWW[[#This Row],[Total HH]]&gt;1,1,WWWW[[#This Row],['# HH received soaps]]/WWWW[[#This Row],[Total HH]])</f>
        <v>1</v>
      </c>
      <c r="BY143" s="346">
        <f>IF(WWWW[[#This Row],['# HH received Sanitary Pads]]/WWWW[[#This Row],[Total HH]]&gt;1,1,WWWW[[#This Row],['# HH received Sanitary Pads]]/WWWW[[#This Row],[Total HH]])</f>
        <v>1</v>
      </c>
      <c r="BZ143" s="720">
        <f>WWWW[[#This Row],['# HH received soaps]]*5</f>
        <v>85</v>
      </c>
      <c r="CA143" s="720">
        <f>WWWW[[#This Row],['# HH received Sanitary Pads]]*5</f>
        <v>85</v>
      </c>
      <c r="CB143" s="238">
        <f>IF(WWWW[[#This Row],['# People with access to soap]]&gt;WWWW[[#This Row],['# People with access to Sanity Pads]],WWWW[[#This Row],['# People with access to soap]],WWWW[[#This Row],['# People with access to Sanity Pads]])</f>
        <v>85</v>
      </c>
      <c r="CC143" s="236">
        <f>WWWW[[#This Row],[Total HH]]*WWWW[[#This Row],[%HHs with access to functional hand washing stations]]</f>
        <v>17</v>
      </c>
      <c r="CD143" s="240">
        <f>VLOOKUP(WWWW[[#This Row],[Site Name]],SiteDB6[],8,FALSE)</f>
        <v>0</v>
      </c>
      <c r="CE143" s="240">
        <f>VLOOKUP(WWWW[[#This Row],[Site Name]],SiteDB6[],9,FALSE)</f>
        <v>0</v>
      </c>
      <c r="CF143" s="240" t="str">
        <f>VLOOKUP(WWWW[[#This Row],[Site Name]],SiteDB6[],10,FALSE)</f>
        <v>Camp_not registered</v>
      </c>
      <c r="CG143" s="240" t="str">
        <f>VLOOKUP(WWWW[[#This Row],[Site Name]],SiteDB6[],11,FALSE)</f>
        <v>Camp</v>
      </c>
      <c r="CH143" s="240" t="str">
        <f>VLOOKUP(WWWW[[#This Row],[Site Name]],SiteDB6[],12,FALSE)</f>
        <v>Camp</v>
      </c>
      <c r="CI143" s="240" t="str">
        <f>VLOOKUP(WWWW[[#This Row],[Site Name]],SiteDB6[],13,FALSE)</f>
        <v>GCA</v>
      </c>
      <c r="CJ143" s="240">
        <f>VLOOKUP(WWWW[[#This Row],[Site Name]],SiteDB6[],14,FALSE)</f>
        <v>0</v>
      </c>
      <c r="CK143" s="240">
        <f>VLOOKUP(WWWW[[#This Row],[Site Name]],SiteDB6[],15,FALSE)</f>
        <v>0</v>
      </c>
      <c r="CL143" s="240" t="str">
        <f>VLOOKUP(WWWW[[#This Row],[Site Name]],SiteDB6[],4,FALSE)</f>
        <v/>
      </c>
      <c r="CM143" s="235" t="str">
        <f t="shared" si="2"/>
        <v>Covered</v>
      </c>
      <c r="CN143" s="235"/>
    </row>
    <row r="144" spans="1:92" ht="15.75" customHeight="1" x14ac:dyDescent="0.25">
      <c r="A144" s="532" t="s">
        <v>1409</v>
      </c>
      <c r="B144" s="533" t="s">
        <v>348</v>
      </c>
      <c r="C144" s="533" t="s">
        <v>44</v>
      </c>
      <c r="D144" s="533" t="s">
        <v>361</v>
      </c>
      <c r="E144" s="533" t="s">
        <v>365</v>
      </c>
      <c r="F144" s="233">
        <v>19</v>
      </c>
      <c r="G144" s="414">
        <v>94</v>
      </c>
      <c r="H144" s="233"/>
      <c r="I144" s="233" t="s">
        <v>364</v>
      </c>
      <c r="J144" s="234" t="s">
        <v>2602</v>
      </c>
      <c r="K144" s="233">
        <v>0</v>
      </c>
      <c r="L144" s="233" t="s">
        <v>292</v>
      </c>
      <c r="M144" s="235">
        <v>0</v>
      </c>
      <c r="N144" s="235">
        <v>0</v>
      </c>
      <c r="O144" s="609">
        <v>5</v>
      </c>
      <c r="P144" s="615">
        <v>0</v>
      </c>
      <c r="Q144" s="615">
        <v>1350</v>
      </c>
      <c r="R144" s="604">
        <v>0</v>
      </c>
      <c r="S144" s="604">
        <v>0</v>
      </c>
      <c r="T144" s="604"/>
      <c r="U144" s="604"/>
      <c r="V144" s="604"/>
      <c r="W144" s="604"/>
      <c r="X144" s="604"/>
      <c r="Y144" s="604"/>
      <c r="Z144" s="628">
        <v>5</v>
      </c>
      <c r="AA144" s="628">
        <v>0</v>
      </c>
      <c r="AB144" s="629"/>
      <c r="AC144" s="628">
        <v>0</v>
      </c>
      <c r="AD144" s="628" t="s">
        <v>293</v>
      </c>
      <c r="AE144" s="631" t="s">
        <v>293</v>
      </c>
      <c r="AF144" s="631"/>
      <c r="AG144" s="628"/>
      <c r="AH144" s="628"/>
      <c r="AI144" s="659">
        <v>1</v>
      </c>
      <c r="AJ144" s="644" t="s">
        <v>301</v>
      </c>
      <c r="AK144" s="644">
        <v>0</v>
      </c>
      <c r="AL144" s="645">
        <v>1</v>
      </c>
      <c r="AM144" s="645">
        <v>1</v>
      </c>
      <c r="AN144" s="646">
        <v>19</v>
      </c>
      <c r="AO144" s="647">
        <v>19</v>
      </c>
      <c r="AP144" s="647"/>
      <c r="AQ144" s="658"/>
      <c r="AR144" s="235" t="str">
        <f>IFERROR(WWWW[[#This Row],['# of Water passed at source]]/WWWW[[#This Row],['# of Water tested at source]],"no test")</f>
        <v>no test</v>
      </c>
      <c r="AS144" s="237" t="str">
        <f>IFERROR(WWWW[[#This Row],['# of Water passed at HH]]/WWWW[[#This Row],['# of Water tested at HH]],"no test")</f>
        <v>no test</v>
      </c>
      <c r="AT144" s="237">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U144" s="237">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AV144" s="237">
        <f>IF(WWWW[[#This Row],[Location Type 1]]="Village",WWWW[[#This Row],[Access to safe drinking water for Village]],WWWW[[#This Row],[Access to safe drinking water for Camp]])</f>
        <v>1</v>
      </c>
      <c r="AW144" s="414">
        <f>WWWW[[#This Row],[%Equitable and continuous access to sufficient quantity of safe drinking water]]*WWWW[[#This Row],[Total PoP ]]</f>
        <v>94</v>
      </c>
      <c r="AX144" s="237">
        <f>IF((WWWW[[#This Row],['# Existing protected/fenced ponds ]]*250)/WWWW[[#This Row],[Total PoP ]]&gt;1,1,WWWW[[#This Row],['# Existing protected/fenced ponds ]]*250/WWWW[[#This Row],[Total PoP ]])</f>
        <v>0</v>
      </c>
      <c r="AY144" s="236">
        <f>WWWW[[#This Row],[Access to unimproved water points]]*WWWW[[#This Row],[Total PoP ]]</f>
        <v>0</v>
      </c>
      <c r="AZ144" s="237">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A144" s="414">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94</v>
      </c>
      <c r="BB144" s="414">
        <f>WWWW[[#This Row],['#people Equitable and continuous access to sufficient quantity of domestic water borehole n ponds_2]]/500</f>
        <v>0.188</v>
      </c>
      <c r="BC144" s="235">
        <f>1-WWWW[[#This Row],[%Equitable and continuous access to sufficient quantity of domestic water borehole n ponds]]</f>
        <v>0</v>
      </c>
      <c r="BD144" s="236">
        <f>WWWW[[#This Row],[%equitable and continuous access to sufficient quantity of safe drinking and domestic water''s GAP]]*WWWW[[#This Row],[Total PoP ]]</f>
        <v>0</v>
      </c>
      <c r="BE144" s="238">
        <f>IF(WWWW[[#This Row],[Total required water points]]-WWWW[[#This Row],['#Water points coverage]]&lt;0,0,WWWW[[#This Row],[Total required water points]]-WWWW[[#This Row],['#Water points coverage]])</f>
        <v>0.81200000000000006</v>
      </c>
      <c r="BF144" s="238">
        <f>ROUND(IF(WWWW[[#This Row],[Total PoP ]]&lt;500,1,WWWW[[#This Row],[Total PoP ]]/500),0)</f>
        <v>1</v>
      </c>
      <c r="BG144" s="238" t="str">
        <f>IF(AND(WWWW[[#This Row],[%of Water samples which passed at water source]]="no test",WWWW[[#This Row],[%Water samples which passed at HH]]="no test"),"No Test","Tested")</f>
        <v>No Test</v>
      </c>
      <c r="BH144" s="238">
        <f>WWWW[[#This Row],['# Existing functional latrines]]+WWWW[[#This Row],['# Existing latrines dysfunctional]]</f>
        <v>5</v>
      </c>
      <c r="BI144" s="235">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1</v>
      </c>
      <c r="BJ144" s="675">
        <f>WWWW[[#This Row],[% people access to functioning Latrine]]*WWWW[[#This Row],[Total PoP ]]</f>
        <v>94</v>
      </c>
      <c r="BK144" s="235">
        <f>IF(WWWW[[#This Row],[Location Type 1]]="camp",WWWW[[#This Row],['# potential required new latrines]]/(WWWW[[#This Row],[Total PoP ]]/20),WWWW[[#This Row],['# potential required new latrines]]/(WWWW[[#This Row],[Total PoP ]]/6))</f>
        <v>0</v>
      </c>
      <c r="BL144" s="236">
        <f>IF(WWWW[[#This Row],[Total required Latrines]]-WWWW[[#This Row],[Total '# of latrine]]&lt;0,0,WWWW[[#This Row],[Total required Latrines]]-WWWW[[#This Row],[Total '# of latrine]])</f>
        <v>0</v>
      </c>
      <c r="BM144" s="238">
        <f>ROUND(IF(WWWW[[#This Row],[Location Type 1]]="camp",WWWW[[#This Row],[Total PoP ]]/20,WWWW[[#This Row],[Total PoP ]]/6),0)</f>
        <v>5</v>
      </c>
      <c r="BN144" s="239">
        <f>IF(OR(WWWW[[#This Row],['# Existing latrines dysfunctional]]="",WWWW[[#This Row],['# Existing latrines dysfunctional]]=0),0,WWWW[[#This Row],['# Existing latrines dysfunctional]]/WWWW[[#This Row],[Total '# of latrine]])</f>
        <v>0</v>
      </c>
      <c r="BO144" s="675">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P144" s="235">
        <f>WWWW[[#This Row],[People adopt basic personal and community hygiene practices]]/WWWW[[#This Row],[Total PoP ]]</f>
        <v>1</v>
      </c>
      <c r="BQ144" s="239">
        <f>1-WWWW[[#This Row],[Hygiene Coverage%]]</f>
        <v>0</v>
      </c>
      <c r="BR144" s="414">
        <f>IF(500*WWWW[[#This Row],['# Hygiene Promoters ]]&gt;WWWW[[#This Row],[Total PoP ]],WWWW[[#This Row],[Total PoP ]],500*WWWW[[#This Row],['# Hygiene Promoters ]])</f>
        <v>94</v>
      </c>
      <c r="BS144" s="414">
        <f>IF(WWWW[[#This Row],[% of HH with access to Sanitary Pad]]&gt;=100%,1,0)</f>
        <v>1</v>
      </c>
      <c r="BT144" s="414">
        <f>IF(WWWW[[#This Row],[Total PoP ]]=0,0,IF(WWWW[[#This Row],['# Hygiene Promoters ]]=0,0,IF(WWWW[[#This Row],[Location Type 1]]="Village",IF(WWWW[[#This Row],[Total PoP ]]/WWWW[[#This Row],['# Hygiene Promoters ]]&lt;1000,1,0),IF(WWWW[[#This Row],[Total PoP ]]/WWWW[[#This Row],['# Hygiene Promoters ]]&lt;600,1,0))))</f>
        <v>1</v>
      </c>
      <c r="BU144" s="414">
        <f>IF(WWWW[[#This Row],[%HH with access to soap]]&gt;=100%,1,0)</f>
        <v>1</v>
      </c>
      <c r="BV144" s="414">
        <f>IF(WWWW[[#This Row],[% of HHs with access to Sanitary pad more than '#%]]+WWWW[[#This Row],[Ratio of Hyiene promoters to people less than '#]]+WWWW[[#This Row],[% of HHs with access to soap more than '#%]]&gt;=2,WWWW[[#This Row],[Total PoP ]],0)</f>
        <v>94</v>
      </c>
      <c r="BW144" s="346">
        <f>WWWW[[#This Row],['# people reached by regular dedicated hygiene promotion_5]]/WWWW[[#This Row],[Total PoP ]]</f>
        <v>1</v>
      </c>
      <c r="BX144" s="346">
        <f>IF(WWWW[[#This Row],['# HH received soaps]]/WWWW[[#This Row],[Total HH]]&gt;1,1,WWWW[[#This Row],['# HH received soaps]]/WWWW[[#This Row],[Total HH]])</f>
        <v>1</v>
      </c>
      <c r="BY144" s="346">
        <f>IF(WWWW[[#This Row],['# HH received Sanitary Pads]]/WWWW[[#This Row],[Total HH]]&gt;1,1,WWWW[[#This Row],['# HH received Sanitary Pads]]/WWWW[[#This Row],[Total HH]])</f>
        <v>1</v>
      </c>
      <c r="BZ144" s="720">
        <f>WWWW[[#This Row],['# HH received soaps]]*5</f>
        <v>95</v>
      </c>
      <c r="CA144" s="720">
        <f>WWWW[[#This Row],['# HH received Sanitary Pads]]*5</f>
        <v>95</v>
      </c>
      <c r="CB144" s="238">
        <f>IF(WWWW[[#This Row],['# People with access to soap]]&gt;WWWW[[#This Row],['# People with access to Sanity Pads]],WWWW[[#This Row],['# People with access to soap]],WWWW[[#This Row],['# People with access to Sanity Pads]])</f>
        <v>95</v>
      </c>
      <c r="CC144" s="236">
        <f>WWWW[[#This Row],[Total HH]]*WWWW[[#This Row],[%HHs with access to functional hand washing stations]]</f>
        <v>19</v>
      </c>
      <c r="CD144" s="240">
        <f>VLOOKUP(WWWW[[#This Row],[Site Name]],SiteDB6[],8,FALSE)</f>
        <v>0</v>
      </c>
      <c r="CE144" s="240">
        <f>VLOOKUP(WWWW[[#This Row],[Site Name]],SiteDB6[],9,FALSE)</f>
        <v>0</v>
      </c>
      <c r="CF144" s="240" t="str">
        <f>VLOOKUP(WWWW[[#This Row],[Site Name]],SiteDB6[],10,FALSE)</f>
        <v>Camp_not registered</v>
      </c>
      <c r="CG144" s="240" t="str">
        <f>VLOOKUP(WWWW[[#This Row],[Site Name]],SiteDB6[],11,FALSE)</f>
        <v>Camp</v>
      </c>
      <c r="CH144" s="240" t="str">
        <f>VLOOKUP(WWWW[[#This Row],[Site Name]],SiteDB6[],12,FALSE)</f>
        <v>Camp</v>
      </c>
      <c r="CI144" s="240" t="str">
        <f>VLOOKUP(WWWW[[#This Row],[Site Name]],SiteDB6[],13,FALSE)</f>
        <v>GCA</v>
      </c>
      <c r="CJ144" s="240">
        <f>VLOOKUP(WWWW[[#This Row],[Site Name]],SiteDB6[],14,FALSE)</f>
        <v>0</v>
      </c>
      <c r="CK144" s="240">
        <f>VLOOKUP(WWWW[[#This Row],[Site Name]],SiteDB6[],15,FALSE)</f>
        <v>0</v>
      </c>
      <c r="CL144" s="240" t="str">
        <f>VLOOKUP(WWWW[[#This Row],[Site Name]],SiteDB6[],4,FALSE)</f>
        <v/>
      </c>
      <c r="CM144" s="235" t="str">
        <f t="shared" si="2"/>
        <v>Covered</v>
      </c>
      <c r="CN144" s="235"/>
    </row>
    <row r="145" spans="1:92" ht="15.75" customHeight="1" x14ac:dyDescent="0.25">
      <c r="A145" s="532" t="s">
        <v>1409</v>
      </c>
      <c r="B145" s="533" t="s">
        <v>1449</v>
      </c>
      <c r="C145" s="533" t="s">
        <v>44</v>
      </c>
      <c r="D145" s="533" t="s">
        <v>361</v>
      </c>
      <c r="E145" s="533" t="s">
        <v>449</v>
      </c>
      <c r="F145" s="414">
        <v>440</v>
      </c>
      <c r="G145" s="414">
        <v>2199</v>
      </c>
      <c r="H145" s="233"/>
      <c r="I145" s="233" t="s">
        <v>401</v>
      </c>
      <c r="J145" s="234">
        <v>43220</v>
      </c>
      <c r="K145" s="233">
        <v>0</v>
      </c>
      <c r="L145" s="233" t="s">
        <v>292</v>
      </c>
      <c r="M145" s="235">
        <v>0</v>
      </c>
      <c r="N145" s="235">
        <v>0</v>
      </c>
      <c r="O145" s="609">
        <v>0</v>
      </c>
      <c r="P145" s="615">
        <v>1</v>
      </c>
      <c r="Q145" s="615">
        <v>0</v>
      </c>
      <c r="R145" s="604">
        <v>0</v>
      </c>
      <c r="S145" s="604">
        <v>0</v>
      </c>
      <c r="T145" s="604"/>
      <c r="U145" s="604">
        <v>0</v>
      </c>
      <c r="V145" s="604"/>
      <c r="W145" s="604"/>
      <c r="X145" s="604">
        <v>0</v>
      </c>
      <c r="Y145" s="604"/>
      <c r="Z145" s="628">
        <v>16</v>
      </c>
      <c r="AA145" s="628">
        <v>0</v>
      </c>
      <c r="AB145" s="629">
        <v>0</v>
      </c>
      <c r="AC145" s="628">
        <v>0</v>
      </c>
      <c r="AD145" s="628" t="s">
        <v>293</v>
      </c>
      <c r="AE145" s="631" t="s">
        <v>342</v>
      </c>
      <c r="AF145" s="631">
        <v>0</v>
      </c>
      <c r="AG145" s="628">
        <v>0</v>
      </c>
      <c r="AH145" s="628"/>
      <c r="AI145" s="659">
        <v>0</v>
      </c>
      <c r="AJ145" s="644" t="s">
        <v>301</v>
      </c>
      <c r="AK145" s="644">
        <v>0</v>
      </c>
      <c r="AL145" s="645"/>
      <c r="AM145" s="645"/>
      <c r="AN145" s="646">
        <v>0</v>
      </c>
      <c r="AO145" s="647">
        <v>0</v>
      </c>
      <c r="AP145" s="647" t="s">
        <v>292</v>
      </c>
      <c r="AQ145" s="658"/>
      <c r="AR145" s="235" t="str">
        <f>IFERROR(WWWW[[#This Row],['# of Water passed at source]]/WWWW[[#This Row],['# of Water tested at source]],"no test")</f>
        <v>no test</v>
      </c>
      <c r="AS145" s="237" t="str">
        <f>IFERROR(WWWW[[#This Row],['# of Water passed at HH]]/WWWW[[#This Row],['# of Water tested at HH]],"no test")</f>
        <v>no test</v>
      </c>
      <c r="AT145" s="237">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U145" s="237">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0.11368804001819009</v>
      </c>
      <c r="AV145" s="237">
        <f>IF(WWWW[[#This Row],[Location Type 1]]="Village",WWWW[[#This Row],[Access to safe drinking water for Village]],WWWW[[#This Row],[Access to safe drinking water for Camp]])</f>
        <v>1</v>
      </c>
      <c r="AW145" s="414">
        <f>WWWW[[#This Row],[%Equitable and continuous access to sufficient quantity of safe drinking water]]*WWWW[[#This Row],[Total PoP ]]</f>
        <v>2199</v>
      </c>
      <c r="AX145" s="237">
        <f>IF((WWWW[[#This Row],['# Existing protected/fenced ponds ]]*250)/WWWW[[#This Row],[Total PoP ]]&gt;1,1,WWWW[[#This Row],['# Existing protected/fenced ponds ]]*250/WWWW[[#This Row],[Total PoP ]])</f>
        <v>0</v>
      </c>
      <c r="AY145" s="236">
        <f>WWWW[[#This Row],[Access to unimproved water points]]*WWWW[[#This Row],[Total PoP ]]</f>
        <v>0</v>
      </c>
      <c r="AZ145" s="237">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A145" s="414">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2199</v>
      </c>
      <c r="BB145" s="414">
        <f>WWWW[[#This Row],['#people Equitable and continuous access to sufficient quantity of domestic water borehole n ponds_2]]/500</f>
        <v>4.3979999999999997</v>
      </c>
      <c r="BC145" s="235">
        <f>1-WWWW[[#This Row],[%Equitable and continuous access to sufficient quantity of domestic water borehole n ponds]]</f>
        <v>0</v>
      </c>
      <c r="BD145" s="236">
        <f>WWWW[[#This Row],[%equitable and continuous access to sufficient quantity of safe drinking and domestic water''s GAP]]*WWWW[[#This Row],[Total PoP ]]</f>
        <v>0</v>
      </c>
      <c r="BE145" s="238">
        <f>IF(WWWW[[#This Row],[Total required water points]]-WWWW[[#This Row],['#Water points coverage]]&lt;0,0,WWWW[[#This Row],[Total required water points]]-WWWW[[#This Row],['#Water points coverage]])</f>
        <v>0</v>
      </c>
      <c r="BF145" s="238">
        <f>ROUND(IF(WWWW[[#This Row],[Total PoP ]]&lt;500,1,WWWW[[#This Row],[Total PoP ]]/500),0)</f>
        <v>4</v>
      </c>
      <c r="BG145" s="238" t="str">
        <f>IF(AND(WWWW[[#This Row],[%of Water samples which passed at water source]]="no test",WWWW[[#This Row],[%Water samples which passed at HH]]="no test"),"No Test","Tested")</f>
        <v>No Test</v>
      </c>
      <c r="BH145" s="238">
        <f>WWWW[[#This Row],['# Existing functional latrines]]+WWWW[[#This Row],['# Existing latrines dysfunctional]]</f>
        <v>16</v>
      </c>
      <c r="BI145" s="235">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0.14552069122328332</v>
      </c>
      <c r="BJ145" s="675">
        <f>WWWW[[#This Row],[% people access to functioning Latrine]]*WWWW[[#This Row],[Total PoP ]]</f>
        <v>320</v>
      </c>
      <c r="BK145" s="235">
        <f>IF(WWWW[[#This Row],[Location Type 1]]="camp",WWWW[[#This Row],['# potential required new latrines]]/(WWWW[[#This Row],[Total PoP ]]/20),WWWW[[#This Row],['# potential required new latrines]]/(WWWW[[#This Row],[Total PoP ]]/6))</f>
        <v>0.85493406093678947</v>
      </c>
      <c r="BL145" s="236">
        <f>IF(WWWW[[#This Row],[Total required Latrines]]-WWWW[[#This Row],[Total '# of latrine]]&lt;0,0,WWWW[[#This Row],[Total required Latrines]]-WWWW[[#This Row],[Total '# of latrine]])</f>
        <v>94</v>
      </c>
      <c r="BM145" s="238">
        <f>ROUND(IF(WWWW[[#This Row],[Location Type 1]]="camp",WWWW[[#This Row],[Total PoP ]]/20,WWWW[[#This Row],[Total PoP ]]/6),0)</f>
        <v>110</v>
      </c>
      <c r="BN145" s="239">
        <f>IF(OR(WWWW[[#This Row],['# Existing latrines dysfunctional]]="",WWWW[[#This Row],['# Existing latrines dysfunctional]]=0),0,WWWW[[#This Row],['# Existing latrines dysfunctional]]/WWWW[[#This Row],[Total '# of latrine]])</f>
        <v>0</v>
      </c>
      <c r="BO145" s="675">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P145" s="235">
        <f>WWWW[[#This Row],[People adopt basic personal and community hygiene practices]]/WWWW[[#This Row],[Total PoP ]]</f>
        <v>0</v>
      </c>
      <c r="BQ145" s="239">
        <f>1-WWWW[[#This Row],[Hygiene Coverage%]]</f>
        <v>1</v>
      </c>
      <c r="BR145" s="414">
        <f>IF(500*WWWW[[#This Row],['# Hygiene Promoters ]]&gt;WWWW[[#This Row],[Total PoP ]],WWWW[[#This Row],[Total PoP ]],500*WWWW[[#This Row],['# Hygiene Promoters ]])</f>
        <v>0</v>
      </c>
      <c r="BS145" s="414">
        <f>IF(WWWW[[#This Row],[% of HH with access to Sanitary Pad]]&gt;=100%,1,0)</f>
        <v>0</v>
      </c>
      <c r="BT145" s="414">
        <f>IF(WWWW[[#This Row],[Total PoP ]]=0,0,IF(WWWW[[#This Row],['# Hygiene Promoters ]]=0,0,IF(WWWW[[#This Row],[Location Type 1]]="Village",IF(WWWW[[#This Row],[Total PoP ]]/WWWW[[#This Row],['# Hygiene Promoters ]]&lt;1000,1,0),IF(WWWW[[#This Row],[Total PoP ]]/WWWW[[#This Row],['# Hygiene Promoters ]]&lt;600,1,0))))</f>
        <v>0</v>
      </c>
      <c r="BU145" s="414">
        <f>IF(WWWW[[#This Row],[%HH with access to soap]]&gt;=100%,1,0)</f>
        <v>0</v>
      </c>
      <c r="BV145" s="414">
        <f>IF(WWWW[[#This Row],[% of HHs with access to Sanitary pad more than '#%]]+WWWW[[#This Row],[Ratio of Hyiene promoters to people less than '#]]+WWWW[[#This Row],[% of HHs with access to soap more than '#%]]&gt;=2,WWWW[[#This Row],[Total PoP ]],0)</f>
        <v>0</v>
      </c>
      <c r="BW145" s="346">
        <f>WWWW[[#This Row],['# people reached by regular dedicated hygiene promotion_5]]/WWWW[[#This Row],[Total PoP ]]</f>
        <v>0</v>
      </c>
      <c r="BX145" s="346">
        <f>IF(WWWW[[#This Row],['# HH received soaps]]/WWWW[[#This Row],[Total HH]]&gt;1,1,WWWW[[#This Row],['# HH received soaps]]/WWWW[[#This Row],[Total HH]])</f>
        <v>0</v>
      </c>
      <c r="BY145" s="346">
        <f>IF(WWWW[[#This Row],['# HH received Sanitary Pads]]/WWWW[[#This Row],[Total HH]]&gt;1,1,WWWW[[#This Row],['# HH received Sanitary Pads]]/WWWW[[#This Row],[Total HH]])</f>
        <v>0</v>
      </c>
      <c r="BZ145" s="720">
        <f>WWWW[[#This Row],['# HH received soaps]]*5</f>
        <v>0</v>
      </c>
      <c r="CA145" s="720">
        <f>WWWW[[#This Row],['# HH received Sanitary Pads]]*5</f>
        <v>0</v>
      </c>
      <c r="CB145" s="238">
        <f>IF(WWWW[[#This Row],['# People with access to soap]]&gt;WWWW[[#This Row],['# People with access to Sanity Pads]],WWWW[[#This Row],['# People with access to soap]],WWWW[[#This Row],['# People with access to Sanity Pads]])</f>
        <v>0</v>
      </c>
      <c r="CC145" s="236">
        <f>WWWW[[#This Row],[Total HH]]*WWWW[[#This Row],[%HHs with access to functional hand washing stations]]</f>
        <v>0</v>
      </c>
      <c r="CD145" s="240">
        <f>VLOOKUP(WWWW[[#This Row],[Site Name]],SiteDB6[],8,FALSE)</f>
        <v>0</v>
      </c>
      <c r="CE145" s="240">
        <f>VLOOKUP(WWWW[[#This Row],[Site Name]],SiteDB6[],9,FALSE)</f>
        <v>0</v>
      </c>
      <c r="CF145" s="240" t="str">
        <f>VLOOKUP(WWWW[[#This Row],[Site Name]],SiteDB6[],10,FALSE)</f>
        <v>Camp_not registered</v>
      </c>
      <c r="CG145" s="240" t="str">
        <f>VLOOKUP(WWWW[[#This Row],[Site Name]],SiteDB6[],11,FALSE)</f>
        <v>Camp</v>
      </c>
      <c r="CH145" s="240" t="str">
        <f>VLOOKUP(WWWW[[#This Row],[Site Name]],SiteDB6[],12,FALSE)</f>
        <v>School</v>
      </c>
      <c r="CI145" s="240" t="str">
        <f>VLOOKUP(WWWW[[#This Row],[Site Name]],SiteDB6[],13,FALSE)</f>
        <v>NGCA</v>
      </c>
      <c r="CJ145" s="240">
        <f>VLOOKUP(WWWW[[#This Row],[Site Name]],SiteDB6[],14,FALSE)</f>
        <v>0</v>
      </c>
      <c r="CK145" s="240">
        <f>VLOOKUP(WWWW[[#This Row],[Site Name]],SiteDB6[],15,FALSE)</f>
        <v>0</v>
      </c>
      <c r="CL145" s="240">
        <f>VLOOKUP(WWWW[[#This Row],[Site Name]],SiteDB6[],4,FALSE)</f>
        <v>0</v>
      </c>
      <c r="CM145" s="235" t="str">
        <f t="shared" si="2"/>
        <v>Covered</v>
      </c>
      <c r="CN145" s="235"/>
    </row>
    <row r="146" spans="1:92" ht="15.75" customHeight="1" x14ac:dyDescent="0.25">
      <c r="A146" s="532" t="s">
        <v>1409</v>
      </c>
      <c r="B146" s="533" t="s">
        <v>436</v>
      </c>
      <c r="C146" s="533" t="s">
        <v>44</v>
      </c>
      <c r="D146" s="533" t="s">
        <v>361</v>
      </c>
      <c r="E146" s="533" t="s">
        <v>448</v>
      </c>
      <c r="F146" s="233">
        <v>470</v>
      </c>
      <c r="G146" s="414">
        <v>2350</v>
      </c>
      <c r="H146" s="233"/>
      <c r="I146" s="233" t="s">
        <v>401</v>
      </c>
      <c r="J146" s="234">
        <v>43220</v>
      </c>
      <c r="K146" s="233">
        <v>0</v>
      </c>
      <c r="L146" s="233" t="s">
        <v>292</v>
      </c>
      <c r="M146" s="235">
        <v>0</v>
      </c>
      <c r="N146" s="235">
        <v>0</v>
      </c>
      <c r="O146" s="609">
        <v>0</v>
      </c>
      <c r="P146" s="615">
        <v>1</v>
      </c>
      <c r="Q146" s="615">
        <v>0</v>
      </c>
      <c r="R146" s="604">
        <v>0</v>
      </c>
      <c r="S146" s="604">
        <v>0</v>
      </c>
      <c r="T146" s="604"/>
      <c r="U146" s="604">
        <v>0</v>
      </c>
      <c r="V146" s="604"/>
      <c r="W146" s="604"/>
      <c r="X146" s="604">
        <v>51</v>
      </c>
      <c r="Y146" s="604"/>
      <c r="Z146" s="628">
        <v>0</v>
      </c>
      <c r="AA146" s="628">
        <v>0</v>
      </c>
      <c r="AB146" s="629">
        <v>0</v>
      </c>
      <c r="AC146" s="628">
        <v>0</v>
      </c>
      <c r="AD146" s="628" t="s">
        <v>293</v>
      </c>
      <c r="AE146" s="631" t="s">
        <v>342</v>
      </c>
      <c r="AF146" s="631">
        <v>0</v>
      </c>
      <c r="AG146" s="628">
        <v>0</v>
      </c>
      <c r="AH146" s="628"/>
      <c r="AI146" s="659">
        <v>1</v>
      </c>
      <c r="AJ146" s="644" t="s">
        <v>301</v>
      </c>
      <c r="AK146" s="644">
        <v>0</v>
      </c>
      <c r="AL146" s="645"/>
      <c r="AM146" s="645"/>
      <c r="AN146" s="646">
        <v>0</v>
      </c>
      <c r="AO146" s="647">
        <v>0</v>
      </c>
      <c r="AP146" s="647" t="s">
        <v>292</v>
      </c>
      <c r="AQ146" s="658"/>
      <c r="AR146" s="235" t="str">
        <f>IFERROR(WWWW[[#This Row],['# of Water passed at source]]/WWWW[[#This Row],['# of Water tested at source]],"no test")</f>
        <v>no test</v>
      </c>
      <c r="AS146" s="237" t="str">
        <f>IFERROR(WWWW[[#This Row],['# of Water passed at HH]]/WWWW[[#This Row],['# of Water tested at HH]],"no test")</f>
        <v>no test</v>
      </c>
      <c r="AT146" s="237">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U146" s="237">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0.10638297872340426</v>
      </c>
      <c r="AV146" s="237">
        <f>IF(WWWW[[#This Row],[Location Type 1]]="Village",WWWW[[#This Row],[Access to safe drinking water for Village]],WWWW[[#This Row],[Access to safe drinking water for Camp]])</f>
        <v>1</v>
      </c>
      <c r="AW146" s="414">
        <f>WWWW[[#This Row],[%Equitable and continuous access to sufficient quantity of safe drinking water]]*WWWW[[#This Row],[Total PoP ]]</f>
        <v>2350</v>
      </c>
      <c r="AX146" s="237">
        <f>IF((WWWW[[#This Row],['# Existing protected/fenced ponds ]]*250)/WWWW[[#This Row],[Total PoP ]]&gt;1,1,WWWW[[#This Row],['# Existing protected/fenced ponds ]]*250/WWWW[[#This Row],[Total PoP ]])</f>
        <v>0</v>
      </c>
      <c r="AY146" s="236">
        <f>WWWW[[#This Row],[Access to unimproved water points]]*WWWW[[#This Row],[Total PoP ]]</f>
        <v>0</v>
      </c>
      <c r="AZ146" s="237">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A146" s="414">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2350</v>
      </c>
      <c r="BB146" s="414">
        <f>WWWW[[#This Row],['#people Equitable and continuous access to sufficient quantity of domestic water borehole n ponds_2]]/500</f>
        <v>4.7</v>
      </c>
      <c r="BC146" s="235">
        <f>1-WWWW[[#This Row],[%Equitable and continuous access to sufficient quantity of domestic water borehole n ponds]]</f>
        <v>0</v>
      </c>
      <c r="BD146" s="236">
        <f>WWWW[[#This Row],[%equitable and continuous access to sufficient quantity of safe drinking and domestic water''s GAP]]*WWWW[[#This Row],[Total PoP ]]</f>
        <v>0</v>
      </c>
      <c r="BE146" s="238">
        <f>IF(WWWW[[#This Row],[Total required water points]]-WWWW[[#This Row],['#Water points coverage]]&lt;0,0,WWWW[[#This Row],[Total required water points]]-WWWW[[#This Row],['#Water points coverage]])</f>
        <v>0.29999999999999982</v>
      </c>
      <c r="BF146" s="238">
        <f>ROUND(IF(WWWW[[#This Row],[Total PoP ]]&lt;500,1,WWWW[[#This Row],[Total PoP ]]/500),0)</f>
        <v>5</v>
      </c>
      <c r="BG146" s="238" t="str">
        <f>IF(AND(WWWW[[#This Row],[%of Water samples which passed at water source]]="no test",WWWW[[#This Row],[%Water samples which passed at HH]]="no test"),"No Test","Tested")</f>
        <v>No Test</v>
      </c>
      <c r="BH146" s="238">
        <f>WWWW[[#This Row],['# Existing functional latrines]]+WWWW[[#This Row],['# Existing latrines dysfunctional]]</f>
        <v>0</v>
      </c>
      <c r="BI146" s="235">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J146" s="675">
        <f>WWWW[[#This Row],[% people access to functioning Latrine]]*WWWW[[#This Row],[Total PoP ]]</f>
        <v>0</v>
      </c>
      <c r="BK146" s="235">
        <f>IF(WWWW[[#This Row],[Location Type 1]]="camp",WWWW[[#This Row],['# potential required new latrines]]/(WWWW[[#This Row],[Total PoP ]]/20),WWWW[[#This Row],['# potential required new latrines]]/(WWWW[[#This Row],[Total PoP ]]/6))</f>
        <v>1.0042553191489361</v>
      </c>
      <c r="BL146" s="236">
        <f>IF(WWWW[[#This Row],[Total required Latrines]]-WWWW[[#This Row],[Total '# of latrine]]&lt;0,0,WWWW[[#This Row],[Total required Latrines]]-WWWW[[#This Row],[Total '# of latrine]])</f>
        <v>118</v>
      </c>
      <c r="BM146" s="238">
        <f>ROUND(IF(WWWW[[#This Row],[Location Type 1]]="camp",WWWW[[#This Row],[Total PoP ]]/20,WWWW[[#This Row],[Total PoP ]]/6),0)</f>
        <v>118</v>
      </c>
      <c r="BN146" s="239">
        <f>IF(OR(WWWW[[#This Row],['# Existing latrines dysfunctional]]="",WWWW[[#This Row],['# Existing latrines dysfunctional]]=0),0,WWWW[[#This Row],['# Existing latrines dysfunctional]]/WWWW[[#This Row],[Total '# of latrine]])</f>
        <v>0</v>
      </c>
      <c r="BO146" s="675">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P146" s="235">
        <f>WWWW[[#This Row],[People adopt basic personal and community hygiene practices]]/WWWW[[#This Row],[Total PoP ]]</f>
        <v>0</v>
      </c>
      <c r="BQ146" s="239">
        <f>1-WWWW[[#This Row],[Hygiene Coverage%]]</f>
        <v>1</v>
      </c>
      <c r="BR146" s="414">
        <f>IF(500*WWWW[[#This Row],['# Hygiene Promoters ]]&gt;WWWW[[#This Row],[Total PoP ]],WWWW[[#This Row],[Total PoP ]],500*WWWW[[#This Row],['# Hygiene Promoters ]])</f>
        <v>0</v>
      </c>
      <c r="BS146" s="414">
        <f>IF(WWWW[[#This Row],[% of HH with access to Sanitary Pad]]&gt;=100%,1,0)</f>
        <v>0</v>
      </c>
      <c r="BT146" s="414">
        <f>IF(WWWW[[#This Row],[Total PoP ]]=0,0,IF(WWWW[[#This Row],['# Hygiene Promoters ]]=0,0,IF(WWWW[[#This Row],[Location Type 1]]="Village",IF(WWWW[[#This Row],[Total PoP ]]/WWWW[[#This Row],['# Hygiene Promoters ]]&lt;1000,1,0),IF(WWWW[[#This Row],[Total PoP ]]/WWWW[[#This Row],['# Hygiene Promoters ]]&lt;600,1,0))))</f>
        <v>0</v>
      </c>
      <c r="BU146" s="414">
        <f>IF(WWWW[[#This Row],[%HH with access to soap]]&gt;=100%,1,0)</f>
        <v>0</v>
      </c>
      <c r="BV146" s="414">
        <f>IF(WWWW[[#This Row],[% of HHs with access to Sanitary pad more than '#%]]+WWWW[[#This Row],[Ratio of Hyiene promoters to people less than '#]]+WWWW[[#This Row],[% of HHs with access to soap more than '#%]]&gt;=2,WWWW[[#This Row],[Total PoP ]],0)</f>
        <v>0</v>
      </c>
      <c r="BW146" s="346">
        <f>WWWW[[#This Row],['# people reached by regular dedicated hygiene promotion_5]]/WWWW[[#This Row],[Total PoP ]]</f>
        <v>0</v>
      </c>
      <c r="BX146" s="346">
        <f>IF(WWWW[[#This Row],['# HH received soaps]]/WWWW[[#This Row],[Total HH]]&gt;1,1,WWWW[[#This Row],['# HH received soaps]]/WWWW[[#This Row],[Total HH]])</f>
        <v>0</v>
      </c>
      <c r="BY146" s="346">
        <f>IF(WWWW[[#This Row],['# HH received Sanitary Pads]]/WWWW[[#This Row],[Total HH]]&gt;1,1,WWWW[[#This Row],['# HH received Sanitary Pads]]/WWWW[[#This Row],[Total HH]])</f>
        <v>0</v>
      </c>
      <c r="BZ146" s="720">
        <f>WWWW[[#This Row],['# HH received soaps]]*5</f>
        <v>0</v>
      </c>
      <c r="CA146" s="720">
        <f>WWWW[[#This Row],['# HH received Sanitary Pads]]*5</f>
        <v>0</v>
      </c>
      <c r="CB146" s="238">
        <f>IF(WWWW[[#This Row],['# People with access to soap]]&gt;WWWW[[#This Row],['# People with access to Sanity Pads]],WWWW[[#This Row],['# People with access to soap]],WWWW[[#This Row],['# People with access to Sanity Pads]])</f>
        <v>0</v>
      </c>
      <c r="CC146" s="236">
        <f>WWWW[[#This Row],[Total HH]]*WWWW[[#This Row],[%HHs with access to functional hand washing stations]]</f>
        <v>470</v>
      </c>
      <c r="CD146" s="240">
        <f>VLOOKUP(WWWW[[#This Row],[Site Name]],SiteDB6[],8,FALSE)</f>
        <v>0</v>
      </c>
      <c r="CE146" s="240">
        <f>VLOOKUP(WWWW[[#This Row],[Site Name]],SiteDB6[],9,FALSE)</f>
        <v>0</v>
      </c>
      <c r="CF146" s="240" t="str">
        <f>VLOOKUP(WWWW[[#This Row],[Site Name]],SiteDB6[],10,FALSE)</f>
        <v>Camp_not registered</v>
      </c>
      <c r="CG146" s="240" t="str">
        <f>VLOOKUP(WWWW[[#This Row],[Site Name]],SiteDB6[],11,FALSE)</f>
        <v>Camp</v>
      </c>
      <c r="CH146" s="240" t="str">
        <f>VLOOKUP(WWWW[[#This Row],[Site Name]],SiteDB6[],12,FALSE)</f>
        <v>School</v>
      </c>
      <c r="CI146" s="240" t="str">
        <f>VLOOKUP(WWWW[[#This Row],[Site Name]],SiteDB6[],13,FALSE)</f>
        <v>GCA</v>
      </c>
      <c r="CJ146" s="240">
        <f>VLOOKUP(WWWW[[#This Row],[Site Name]],SiteDB6[],14,FALSE)</f>
        <v>0</v>
      </c>
      <c r="CK146" s="240">
        <f>VLOOKUP(WWWW[[#This Row],[Site Name]],SiteDB6[],15,FALSE)</f>
        <v>0</v>
      </c>
      <c r="CL146" s="240">
        <f>VLOOKUP(WWWW[[#This Row],[Site Name]],SiteDB6[],4,FALSE)</f>
        <v>0</v>
      </c>
      <c r="CM146" s="235" t="str">
        <f t="shared" si="2"/>
        <v>Covered</v>
      </c>
      <c r="CN146" s="235"/>
    </row>
    <row r="147" spans="1:92" ht="15.75" customHeight="1" x14ac:dyDescent="0.25">
      <c r="A147" s="532" t="s">
        <v>1409</v>
      </c>
      <c r="B147" s="533" t="s">
        <v>436</v>
      </c>
      <c r="C147" s="533" t="s">
        <v>44</v>
      </c>
      <c r="D147" s="533" t="s">
        <v>361</v>
      </c>
      <c r="E147" s="533" t="s">
        <v>447</v>
      </c>
      <c r="F147" s="233">
        <v>109</v>
      </c>
      <c r="G147" s="414">
        <v>580</v>
      </c>
      <c r="H147" s="233"/>
      <c r="I147" s="233" t="s">
        <v>401</v>
      </c>
      <c r="J147" s="234">
        <v>43220</v>
      </c>
      <c r="K147" s="233">
        <v>0</v>
      </c>
      <c r="L147" s="233" t="s">
        <v>48</v>
      </c>
      <c r="M147" s="235">
        <v>0.5</v>
      </c>
      <c r="N147" s="235">
        <v>0</v>
      </c>
      <c r="O147" s="609">
        <v>1</v>
      </c>
      <c r="P147" s="615">
        <v>1</v>
      </c>
      <c r="Q147" s="615">
        <v>1260000</v>
      </c>
      <c r="R147" s="604">
        <v>0</v>
      </c>
      <c r="S147" s="604">
        <v>0</v>
      </c>
      <c r="T147" s="604"/>
      <c r="U147" s="604"/>
      <c r="V147" s="604">
        <v>6</v>
      </c>
      <c r="W147" s="604">
        <v>6</v>
      </c>
      <c r="X147" s="604"/>
      <c r="Y147" s="604"/>
      <c r="Z147" s="628">
        <v>28</v>
      </c>
      <c r="AA147" s="628">
        <v>0</v>
      </c>
      <c r="AB147" s="629">
        <v>18</v>
      </c>
      <c r="AC147" s="628">
        <v>0</v>
      </c>
      <c r="AD147" s="628" t="s">
        <v>293</v>
      </c>
      <c r="AE147" s="631" t="s">
        <v>342</v>
      </c>
      <c r="AF147" s="631">
        <v>0</v>
      </c>
      <c r="AG147" s="628">
        <v>0</v>
      </c>
      <c r="AH147" s="628"/>
      <c r="AI147" s="659">
        <v>1</v>
      </c>
      <c r="AJ147" s="644" t="s">
        <v>301</v>
      </c>
      <c r="AK147" s="644">
        <v>0</v>
      </c>
      <c r="AL147" s="645">
        <v>3</v>
      </c>
      <c r="AM147" s="645">
        <v>81</v>
      </c>
      <c r="AN147" s="646">
        <v>0</v>
      </c>
      <c r="AO147" s="647"/>
      <c r="AP147" s="647"/>
      <c r="AQ147" s="658"/>
      <c r="AR147" s="235" t="str">
        <f>IFERROR(WWWW[[#This Row],['# of Water passed at source]]/WWWW[[#This Row],['# of Water tested at source]],"no test")</f>
        <v>no test</v>
      </c>
      <c r="AS147" s="237">
        <f>IFERROR(WWWW[[#This Row],['# of Water passed at HH]]/WWWW[[#This Row],['# of Water tested at HH]],"no test")</f>
        <v>1</v>
      </c>
      <c r="AT147" s="237">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U147" s="237">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AV147" s="237">
        <f>IF(WWWW[[#This Row],[Location Type 1]]="Village",WWWW[[#This Row],[Access to safe drinking water for Village]],WWWW[[#This Row],[Access to safe drinking water for Camp]])</f>
        <v>1</v>
      </c>
      <c r="AW147" s="414">
        <f>WWWW[[#This Row],[%Equitable and continuous access to sufficient quantity of safe drinking water]]*WWWW[[#This Row],[Total PoP ]]</f>
        <v>580</v>
      </c>
      <c r="AX147" s="237">
        <f>IF((WWWW[[#This Row],['# Existing protected/fenced ponds ]]*250)/WWWW[[#This Row],[Total PoP ]]&gt;1,1,WWWW[[#This Row],['# Existing protected/fenced ponds ]]*250/WWWW[[#This Row],[Total PoP ]])</f>
        <v>0</v>
      </c>
      <c r="AY147" s="414">
        <f>WWWW[[#This Row],[Access to unimproved water points]]*WWWW[[#This Row],[Total PoP ]]</f>
        <v>0</v>
      </c>
      <c r="AZ147" s="237">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A147" s="414">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580</v>
      </c>
      <c r="BB147" s="414">
        <f>WWWW[[#This Row],['#people Equitable and continuous access to sufficient quantity of domestic water borehole n ponds_2]]/500</f>
        <v>1.1599999999999999</v>
      </c>
      <c r="BC147" s="235">
        <f>1-WWWW[[#This Row],[%Equitable and continuous access to sufficient quantity of domestic water borehole n ponds]]</f>
        <v>0</v>
      </c>
      <c r="BD147" s="414">
        <f>WWWW[[#This Row],[%equitable and continuous access to sufficient quantity of safe drinking and domestic water''s GAP]]*WWWW[[#This Row],[Total PoP ]]</f>
        <v>0</v>
      </c>
      <c r="BE147" s="238">
        <f>IF(WWWW[[#This Row],[Total required water points]]-WWWW[[#This Row],['#Water points coverage]]&lt;0,0,WWWW[[#This Row],[Total required water points]]-WWWW[[#This Row],['#Water points coverage]])</f>
        <v>0</v>
      </c>
      <c r="BF147" s="238">
        <f>ROUND(IF(WWWW[[#This Row],[Total PoP ]]&lt;500,1,WWWW[[#This Row],[Total PoP ]]/500),0)</f>
        <v>1</v>
      </c>
      <c r="BG147" s="238" t="str">
        <f>IF(AND(WWWW[[#This Row],[%of Water samples which passed at water source]]="no test",WWWW[[#This Row],[%Water samples which passed at HH]]="no test"),"No Test","Tested")</f>
        <v>Tested</v>
      </c>
      <c r="BH147" s="238">
        <f>WWWW[[#This Row],['# Existing functional latrines]]+WWWW[[#This Row],['# Existing latrines dysfunctional]]</f>
        <v>28</v>
      </c>
      <c r="BI147" s="235">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0.96551724137931039</v>
      </c>
      <c r="BJ147" s="675">
        <f>WWWW[[#This Row],[% people access to functioning Latrine]]*WWWW[[#This Row],[Total PoP ]]</f>
        <v>560</v>
      </c>
      <c r="BK147" s="235">
        <f>IF(WWWW[[#This Row],[Location Type 1]]="camp",WWWW[[#This Row],['# potential required new latrines]]/(WWWW[[#This Row],[Total PoP ]]/20),WWWW[[#This Row],['# potential required new latrines]]/(WWWW[[#This Row],[Total PoP ]]/6))</f>
        <v>3.4482758620689655E-2</v>
      </c>
      <c r="BL147" s="414">
        <f>IF(WWWW[[#This Row],[Total required Latrines]]-WWWW[[#This Row],[Total '# of latrine]]&lt;0,0,WWWW[[#This Row],[Total required Latrines]]-WWWW[[#This Row],[Total '# of latrine]])</f>
        <v>1</v>
      </c>
      <c r="BM147" s="238">
        <f>ROUND(IF(WWWW[[#This Row],[Location Type 1]]="camp",WWWW[[#This Row],[Total PoP ]]/20,WWWW[[#This Row],[Total PoP ]]/6),0)</f>
        <v>29</v>
      </c>
      <c r="BN147" s="239">
        <f>IF(OR(WWWW[[#This Row],['# Existing latrines dysfunctional]]="",WWWW[[#This Row],['# Existing latrines dysfunctional]]=0),0,WWWW[[#This Row],['# Existing latrines dysfunctional]]/WWWW[[#This Row],[Total '# of latrine]])</f>
        <v>0</v>
      </c>
      <c r="BO147" s="675">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360</v>
      </c>
      <c r="BP147" s="235">
        <f>WWWW[[#This Row],[People adopt basic personal and community hygiene practices]]/WWWW[[#This Row],[Total PoP ]]</f>
        <v>0</v>
      </c>
      <c r="BQ147" s="239">
        <f>1-WWWW[[#This Row],[Hygiene Coverage%]]</f>
        <v>1</v>
      </c>
      <c r="BR147" s="414">
        <f>IF(500*WWWW[[#This Row],['# Hygiene Promoters ]]&gt;WWWW[[#This Row],[Total PoP ]],WWWW[[#This Row],[Total PoP ]],500*WWWW[[#This Row],['# Hygiene Promoters ]])</f>
        <v>580</v>
      </c>
      <c r="BS147" s="414">
        <f>IF(WWWW[[#This Row],[% of HH with access to Sanitary Pad]]&gt;=100%,1,0)</f>
        <v>0</v>
      </c>
      <c r="BT147" s="414">
        <f>IF(WWWW[[#This Row],[Total PoP ]]=0,0,IF(WWWW[[#This Row],['# Hygiene Promoters ]]=0,0,IF(WWWW[[#This Row],[Location Type 1]]="Village",IF(WWWW[[#This Row],[Total PoP ]]/WWWW[[#This Row],['# Hygiene Promoters ]]&lt;1000,1,0),IF(WWWW[[#This Row],[Total PoP ]]/WWWW[[#This Row],['# Hygiene Promoters ]]&lt;600,1,0))))</f>
        <v>1</v>
      </c>
      <c r="BU147" s="414">
        <f>IF(WWWW[[#This Row],[%HH with access to soap]]&gt;=100%,1,0)</f>
        <v>0</v>
      </c>
      <c r="BV147" s="414">
        <f>IF(WWWW[[#This Row],[% of HHs with access to Sanitary pad more than '#%]]+WWWW[[#This Row],[Ratio of Hyiene promoters to people less than '#]]+WWWW[[#This Row],[% of HHs with access to soap more than '#%]]&gt;=2,WWWW[[#This Row],[Total PoP ]],0)</f>
        <v>0</v>
      </c>
      <c r="BW147" s="346">
        <f>WWWW[[#This Row],['# people reached by regular dedicated hygiene promotion_5]]/WWWW[[#This Row],[Total PoP ]]</f>
        <v>1</v>
      </c>
      <c r="BX147" s="346">
        <f>IF(WWWW[[#This Row],['# HH received soaps]]/WWWW[[#This Row],[Total HH]]&gt;1,1,WWWW[[#This Row],['# HH received soaps]]/WWWW[[#This Row],[Total HH]])</f>
        <v>0</v>
      </c>
      <c r="BY147" s="346">
        <f>IF(WWWW[[#This Row],['# HH received Sanitary Pads]]/WWWW[[#This Row],[Total HH]]&gt;1,1,WWWW[[#This Row],['# HH received Sanitary Pads]]/WWWW[[#This Row],[Total HH]])</f>
        <v>0</v>
      </c>
      <c r="BZ147" s="720">
        <f>WWWW[[#This Row],['# HH received soaps]]*5</f>
        <v>0</v>
      </c>
      <c r="CA147" s="720">
        <f>WWWW[[#This Row],['# HH received Sanitary Pads]]*5</f>
        <v>0</v>
      </c>
      <c r="CB147" s="238">
        <f>IF(WWWW[[#This Row],['# People with access to soap]]&gt;WWWW[[#This Row],['# People with access to Sanity Pads]],WWWW[[#This Row],['# People with access to soap]],WWWW[[#This Row],['# People with access to Sanity Pads]])</f>
        <v>0</v>
      </c>
      <c r="CC147" s="414">
        <f>WWWW[[#This Row],[Total HH]]*WWWW[[#This Row],[%HHs with access to functional hand washing stations]]</f>
        <v>109</v>
      </c>
      <c r="CD147" s="240">
        <f>VLOOKUP(WWWW[[#This Row],[Site Name]],SiteDB6[],8,FALSE)</f>
        <v>0</v>
      </c>
      <c r="CE147" s="240">
        <f>VLOOKUP(WWWW[[#This Row],[Site Name]],SiteDB6[],9,FALSE)</f>
        <v>0</v>
      </c>
      <c r="CF147" s="240" t="str">
        <f>VLOOKUP(WWWW[[#This Row],[Site Name]],SiteDB6[],10,FALSE)</f>
        <v>Camp_not registered</v>
      </c>
      <c r="CG147" s="240" t="str">
        <f>VLOOKUP(WWWW[[#This Row],[Site Name]],SiteDB6[],11,FALSE)</f>
        <v>Camp</v>
      </c>
      <c r="CH147" s="240" t="str">
        <f>VLOOKUP(WWWW[[#This Row],[Site Name]],SiteDB6[],12,FALSE)</f>
        <v>Camp</v>
      </c>
      <c r="CI147" s="240" t="str">
        <f>VLOOKUP(WWWW[[#This Row],[Site Name]],SiteDB6[],13,FALSE)</f>
        <v>GCA</v>
      </c>
      <c r="CJ147" s="240">
        <f>VLOOKUP(WWWW[[#This Row],[Site Name]],SiteDB6[],14,FALSE)</f>
        <v>0</v>
      </c>
      <c r="CK147" s="240">
        <f>VLOOKUP(WWWW[[#This Row],[Site Name]],SiteDB6[],15,FALSE)</f>
        <v>0</v>
      </c>
      <c r="CL147" s="240" t="str">
        <f>VLOOKUP(WWWW[[#This Row],[Site Name]],SiteDB6[],4,FALSE)</f>
        <v/>
      </c>
      <c r="CM147" s="235" t="str">
        <f t="shared" si="2"/>
        <v>Covered</v>
      </c>
      <c r="CN147" s="235"/>
    </row>
    <row r="148" spans="1:92" ht="15.75" customHeight="1" x14ac:dyDescent="0.25">
      <c r="A148" s="532" t="s">
        <v>1409</v>
      </c>
      <c r="B148" s="533" t="s">
        <v>436</v>
      </c>
      <c r="C148" s="533" t="s">
        <v>44</v>
      </c>
      <c r="D148" s="533" t="s">
        <v>351</v>
      </c>
      <c r="E148" s="533" t="s">
        <v>2200</v>
      </c>
      <c r="F148" s="233">
        <v>281</v>
      </c>
      <c r="G148" s="414">
        <v>1409</v>
      </c>
      <c r="H148" s="233"/>
      <c r="I148" s="233" t="s">
        <v>401</v>
      </c>
      <c r="J148" s="234">
        <v>43220</v>
      </c>
      <c r="K148" s="233">
        <v>0</v>
      </c>
      <c r="L148" s="233" t="s">
        <v>292</v>
      </c>
      <c r="M148" s="235">
        <v>0</v>
      </c>
      <c r="N148" s="235">
        <v>0</v>
      </c>
      <c r="O148" s="609">
        <v>0</v>
      </c>
      <c r="P148" s="615">
        <v>0</v>
      </c>
      <c r="Q148" s="615">
        <v>0</v>
      </c>
      <c r="R148" s="604">
        <v>0</v>
      </c>
      <c r="S148" s="604">
        <v>0</v>
      </c>
      <c r="T148" s="604">
        <v>0</v>
      </c>
      <c r="U148" s="604">
        <v>0</v>
      </c>
      <c r="V148" s="604">
        <v>0</v>
      </c>
      <c r="W148" s="604">
        <v>0</v>
      </c>
      <c r="X148" s="604">
        <v>39</v>
      </c>
      <c r="Y148" s="604"/>
      <c r="Z148" s="628">
        <v>0</v>
      </c>
      <c r="AA148" s="628">
        <v>0</v>
      </c>
      <c r="AB148" s="629">
        <v>0</v>
      </c>
      <c r="AC148" s="628">
        <v>0</v>
      </c>
      <c r="AD148" s="628" t="s">
        <v>293</v>
      </c>
      <c r="AE148" s="631" t="s">
        <v>293</v>
      </c>
      <c r="AF148" s="631">
        <v>0</v>
      </c>
      <c r="AG148" s="628">
        <v>0</v>
      </c>
      <c r="AH148" s="628"/>
      <c r="AI148" s="659">
        <v>1</v>
      </c>
      <c r="AJ148" s="644" t="s">
        <v>301</v>
      </c>
      <c r="AK148" s="644">
        <v>0</v>
      </c>
      <c r="AL148" s="645"/>
      <c r="AM148" s="645"/>
      <c r="AN148" s="646">
        <v>0</v>
      </c>
      <c r="AO148" s="647">
        <v>0</v>
      </c>
      <c r="AP148" s="647" t="s">
        <v>292</v>
      </c>
      <c r="AQ148" s="658"/>
      <c r="AR148" s="235" t="str">
        <f>IFERROR(WWWW[[#This Row],['# of Water passed at source]]/WWWW[[#This Row],['# of Water tested at source]],"no test")</f>
        <v>no test</v>
      </c>
      <c r="AS148" s="237" t="str">
        <f>IFERROR(WWWW[[#This Row],['# of Water passed at HH]]/WWWW[[#This Row],['# of Water tested at HH]],"no test")</f>
        <v>no test</v>
      </c>
      <c r="AT148" s="237">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U148" s="237">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AV148" s="237">
        <f>IF(WWWW[[#This Row],[Location Type 1]]="Village",WWWW[[#This Row],[Access to safe drinking water for Village]],WWWW[[#This Row],[Access to safe drinking water for Camp]])</f>
        <v>0</v>
      </c>
      <c r="AW148" s="414">
        <f>WWWW[[#This Row],[%Equitable and continuous access to sufficient quantity of safe drinking water]]*WWWW[[#This Row],[Total PoP ]]</f>
        <v>0</v>
      </c>
      <c r="AX148" s="237">
        <f>IF((WWWW[[#This Row],['# Existing protected/fenced ponds ]]*250)/WWWW[[#This Row],[Total PoP ]]&gt;1,1,WWWW[[#This Row],['# Existing protected/fenced ponds ]]*250/WWWW[[#This Row],[Total PoP ]])</f>
        <v>0</v>
      </c>
      <c r="AY148" s="414">
        <f>WWWW[[#This Row],[Access to unimproved water points]]*WWWW[[#This Row],[Total PoP ]]</f>
        <v>0</v>
      </c>
      <c r="AZ148" s="237">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A148" s="414">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B148" s="414">
        <f>WWWW[[#This Row],['#people Equitable and continuous access to sufficient quantity of domestic water borehole n ponds_2]]/500</f>
        <v>0</v>
      </c>
      <c r="BC148" s="235">
        <f>1-WWWW[[#This Row],[%Equitable and continuous access to sufficient quantity of domestic water borehole n ponds]]</f>
        <v>1</v>
      </c>
      <c r="BD148" s="414">
        <f>WWWW[[#This Row],[%equitable and continuous access to sufficient quantity of safe drinking and domestic water''s GAP]]*WWWW[[#This Row],[Total PoP ]]</f>
        <v>1409</v>
      </c>
      <c r="BE148" s="238">
        <f>IF(WWWW[[#This Row],[Total required water points]]-WWWW[[#This Row],['#Water points coverage]]&lt;0,0,WWWW[[#This Row],[Total required water points]]-WWWW[[#This Row],['#Water points coverage]])</f>
        <v>3</v>
      </c>
      <c r="BF148" s="238">
        <f>ROUND(IF(WWWW[[#This Row],[Total PoP ]]&lt;500,1,WWWW[[#This Row],[Total PoP ]]/500),0)</f>
        <v>3</v>
      </c>
      <c r="BG148" s="238" t="str">
        <f>IF(AND(WWWW[[#This Row],[%of Water samples which passed at water source]]="no test",WWWW[[#This Row],[%Water samples which passed at HH]]="no test"),"No Test","Tested")</f>
        <v>No Test</v>
      </c>
      <c r="BH148" s="238">
        <f>WWWW[[#This Row],['# Existing functional latrines]]+WWWW[[#This Row],['# Existing latrines dysfunctional]]</f>
        <v>0</v>
      </c>
      <c r="BI148" s="235">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J148" s="675">
        <f>WWWW[[#This Row],[% people access to functioning Latrine]]*WWWW[[#This Row],[Total PoP ]]</f>
        <v>0</v>
      </c>
      <c r="BK148" s="235">
        <f>IF(WWWW[[#This Row],[Location Type 1]]="camp",WWWW[[#This Row],['# potential required new latrines]]/(WWWW[[#This Row],[Total PoP ]]/20),WWWW[[#This Row],['# potential required new latrines]]/(WWWW[[#This Row],[Total PoP ]]/6))</f>
        <v>0.99361249112845984</v>
      </c>
      <c r="BL148" s="414">
        <f>IF(WWWW[[#This Row],[Total required Latrines]]-WWWW[[#This Row],[Total '# of latrine]]&lt;0,0,WWWW[[#This Row],[Total required Latrines]]-WWWW[[#This Row],[Total '# of latrine]])</f>
        <v>70</v>
      </c>
      <c r="BM148" s="238">
        <f>ROUND(IF(WWWW[[#This Row],[Location Type 1]]="camp",WWWW[[#This Row],[Total PoP ]]/20,WWWW[[#This Row],[Total PoP ]]/6),0)</f>
        <v>70</v>
      </c>
      <c r="BN148" s="239">
        <f>IF(OR(WWWW[[#This Row],['# Existing latrines dysfunctional]]="",WWWW[[#This Row],['# Existing latrines dysfunctional]]=0),0,WWWW[[#This Row],['# Existing latrines dysfunctional]]/WWWW[[#This Row],[Total '# of latrine]])</f>
        <v>0</v>
      </c>
      <c r="BO148" s="675">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P148" s="235">
        <f>WWWW[[#This Row],[People adopt basic personal and community hygiene practices]]/WWWW[[#This Row],[Total PoP ]]</f>
        <v>0</v>
      </c>
      <c r="BQ148" s="239">
        <f>1-WWWW[[#This Row],[Hygiene Coverage%]]</f>
        <v>1</v>
      </c>
      <c r="BR148" s="414">
        <f>IF(500*WWWW[[#This Row],['# Hygiene Promoters ]]&gt;WWWW[[#This Row],[Total PoP ]],WWWW[[#This Row],[Total PoP ]],500*WWWW[[#This Row],['# Hygiene Promoters ]])</f>
        <v>0</v>
      </c>
      <c r="BS148" s="414">
        <f>IF(WWWW[[#This Row],[% of HH with access to Sanitary Pad]]&gt;=100%,1,0)</f>
        <v>0</v>
      </c>
      <c r="BT148" s="414">
        <f>IF(WWWW[[#This Row],[Total PoP ]]=0,0,IF(WWWW[[#This Row],['# Hygiene Promoters ]]=0,0,IF(WWWW[[#This Row],[Location Type 1]]="Village",IF(WWWW[[#This Row],[Total PoP ]]/WWWW[[#This Row],['# Hygiene Promoters ]]&lt;1000,1,0),IF(WWWW[[#This Row],[Total PoP ]]/WWWW[[#This Row],['# Hygiene Promoters ]]&lt;600,1,0))))</f>
        <v>0</v>
      </c>
      <c r="BU148" s="414">
        <f>IF(WWWW[[#This Row],[%HH with access to soap]]&gt;=100%,1,0)</f>
        <v>0</v>
      </c>
      <c r="BV148" s="414">
        <f>IF(WWWW[[#This Row],[% of HHs with access to Sanitary pad more than '#%]]+WWWW[[#This Row],[Ratio of Hyiene promoters to people less than '#]]+WWWW[[#This Row],[% of HHs with access to soap more than '#%]]&gt;=2,WWWW[[#This Row],[Total PoP ]],0)</f>
        <v>0</v>
      </c>
      <c r="BW148" s="346">
        <f>WWWW[[#This Row],['# people reached by regular dedicated hygiene promotion_5]]/WWWW[[#This Row],[Total PoP ]]</f>
        <v>0</v>
      </c>
      <c r="BX148" s="346">
        <f>IF(WWWW[[#This Row],['# HH received soaps]]/WWWW[[#This Row],[Total HH]]&gt;1,1,WWWW[[#This Row],['# HH received soaps]]/WWWW[[#This Row],[Total HH]])</f>
        <v>0</v>
      </c>
      <c r="BY148" s="346">
        <f>IF(WWWW[[#This Row],['# HH received Sanitary Pads]]/WWWW[[#This Row],[Total HH]]&gt;1,1,WWWW[[#This Row],['# HH received Sanitary Pads]]/WWWW[[#This Row],[Total HH]])</f>
        <v>0</v>
      </c>
      <c r="BZ148" s="720">
        <f>WWWW[[#This Row],['# HH received soaps]]*5</f>
        <v>0</v>
      </c>
      <c r="CA148" s="720">
        <f>WWWW[[#This Row],['# HH received Sanitary Pads]]*5</f>
        <v>0</v>
      </c>
      <c r="CB148" s="238">
        <f>IF(WWWW[[#This Row],['# People with access to soap]]&gt;WWWW[[#This Row],['# People with access to Sanity Pads]],WWWW[[#This Row],['# People with access to soap]],WWWW[[#This Row],['# People with access to Sanity Pads]])</f>
        <v>0</v>
      </c>
      <c r="CC148" s="414">
        <f>WWWW[[#This Row],[Total HH]]*WWWW[[#This Row],[%HHs with access to functional hand washing stations]]</f>
        <v>281</v>
      </c>
      <c r="CD148" s="240" t="str">
        <f>VLOOKUP(WWWW[[#This Row],[Site Name]],SiteDB6[],8,FALSE)</f>
        <v>No</v>
      </c>
      <c r="CE148" s="240">
        <f>VLOOKUP(WWWW[[#This Row],[Site Name]],SiteDB6[],9,FALSE)</f>
        <v>0</v>
      </c>
      <c r="CF148" s="240" t="str">
        <f>VLOOKUP(WWWW[[#This Row],[Site Name]],SiteDB6[],10,FALSE)</f>
        <v>Camp_not registered</v>
      </c>
      <c r="CG148" s="240" t="str">
        <f>VLOOKUP(WWWW[[#This Row],[Site Name]],SiteDB6[],11,FALSE)</f>
        <v>Camp</v>
      </c>
      <c r="CH148" s="240" t="str">
        <f>VLOOKUP(WWWW[[#This Row],[Site Name]],SiteDB6[],12,FALSE)</f>
        <v>Camp</v>
      </c>
      <c r="CI148" s="240" t="str">
        <f>VLOOKUP(WWWW[[#This Row],[Site Name]],SiteDB6[],13,FALSE)</f>
        <v>GCA</v>
      </c>
      <c r="CJ148" s="240">
        <f>VLOOKUP(WWWW[[#This Row],[Site Name]],SiteDB6[],14,FALSE)</f>
        <v>0</v>
      </c>
      <c r="CK148" s="240">
        <f>VLOOKUP(WWWW[[#This Row],[Site Name]],SiteDB6[],15,FALSE)</f>
        <v>0</v>
      </c>
      <c r="CL148" s="240">
        <f>VLOOKUP(WWWW[[#This Row],[Site Name]],SiteDB6[],4,FALSE)</f>
        <v>0</v>
      </c>
      <c r="CM148" s="235" t="str">
        <f t="shared" si="2"/>
        <v>Covered</v>
      </c>
      <c r="CN148" s="235" t="s">
        <v>2607</v>
      </c>
    </row>
    <row r="149" spans="1:92" ht="15.75" customHeight="1" thickBot="1" x14ac:dyDescent="0.3">
      <c r="A149" s="532" t="s">
        <v>1409</v>
      </c>
      <c r="B149" s="533" t="s">
        <v>2666</v>
      </c>
      <c r="C149" s="533" t="s">
        <v>44</v>
      </c>
      <c r="D149" s="533" t="s">
        <v>304</v>
      </c>
      <c r="E149" s="533" t="s">
        <v>347</v>
      </c>
      <c r="F149" s="233">
        <v>20</v>
      </c>
      <c r="G149" s="414">
        <v>84</v>
      </c>
      <c r="H149" s="233"/>
      <c r="I149" s="233" t="s">
        <v>2667</v>
      </c>
      <c r="J149" s="234" t="s">
        <v>2668</v>
      </c>
      <c r="K149" s="233">
        <v>0</v>
      </c>
      <c r="L149" s="233" t="s">
        <v>48</v>
      </c>
      <c r="M149" s="235">
        <v>0.5</v>
      </c>
      <c r="N149" s="235">
        <v>0.5</v>
      </c>
      <c r="O149" s="609">
        <v>0</v>
      </c>
      <c r="P149" s="615">
        <v>1</v>
      </c>
      <c r="Q149" s="615">
        <v>2000</v>
      </c>
      <c r="R149" s="604">
        <v>0</v>
      </c>
      <c r="S149" s="604">
        <v>0</v>
      </c>
      <c r="T149" s="604">
        <v>0</v>
      </c>
      <c r="U149" s="604">
        <v>0</v>
      </c>
      <c r="V149" s="604">
        <v>0</v>
      </c>
      <c r="W149" s="604">
        <v>0</v>
      </c>
      <c r="X149" s="604">
        <v>0</v>
      </c>
      <c r="Y149" s="604"/>
      <c r="Z149" s="628">
        <v>4</v>
      </c>
      <c r="AA149" s="628">
        <v>0</v>
      </c>
      <c r="AB149" s="629">
        <v>0</v>
      </c>
      <c r="AC149" s="628">
        <v>0</v>
      </c>
      <c r="AD149" s="628" t="s">
        <v>293</v>
      </c>
      <c r="AE149" s="631" t="s">
        <v>293</v>
      </c>
      <c r="AF149" s="631"/>
      <c r="AG149" s="628"/>
      <c r="AH149" s="628"/>
      <c r="AI149" s="659">
        <v>0.2</v>
      </c>
      <c r="AJ149" s="650" t="s">
        <v>386</v>
      </c>
      <c r="AK149" s="644">
        <v>0</v>
      </c>
      <c r="AL149" s="645">
        <v>1</v>
      </c>
      <c r="AM149" s="645">
        <v>1</v>
      </c>
      <c r="AN149" s="646">
        <v>0</v>
      </c>
      <c r="AO149" s="647">
        <v>0</v>
      </c>
      <c r="AP149" s="647"/>
      <c r="AQ149" s="658"/>
      <c r="AR149" s="235" t="str">
        <f>IFERROR(WWWW[[#This Row],['# of Water passed at source]]/WWWW[[#This Row],['# of Water tested at source]],"no test")</f>
        <v>no test</v>
      </c>
      <c r="AS149" s="237" t="str">
        <f>IFERROR(WWWW[[#This Row],['# of Water passed at HH]]/WWWW[[#This Row],['# of Water tested at HH]],"no test")</f>
        <v>no test</v>
      </c>
      <c r="AT149" s="237">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U149" s="237">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AV149" s="237">
        <f>IF(WWWW[[#This Row],[Location Type 1]]="Village",WWWW[[#This Row],[Access to safe drinking water for Village]],WWWW[[#This Row],[Access to safe drinking water for Camp]])</f>
        <v>1</v>
      </c>
      <c r="AW149" s="414">
        <f>WWWW[[#This Row],[%Equitable and continuous access to sufficient quantity of safe drinking water]]*WWWW[[#This Row],[Total PoP ]]</f>
        <v>84</v>
      </c>
      <c r="AX149" s="237">
        <f>IF((WWWW[[#This Row],['# Existing protected/fenced ponds ]]*250)/WWWW[[#This Row],[Total PoP ]]&gt;1,1,WWWW[[#This Row],['# Existing protected/fenced ponds ]]*250/WWWW[[#This Row],[Total PoP ]])</f>
        <v>0</v>
      </c>
      <c r="AY149" s="414">
        <f>WWWW[[#This Row],[Access to unimproved water points]]*WWWW[[#This Row],[Total PoP ]]</f>
        <v>0</v>
      </c>
      <c r="AZ149" s="237">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A149" s="414">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84</v>
      </c>
      <c r="BB149" s="414">
        <f>WWWW[[#This Row],['#people Equitable and continuous access to sufficient quantity of domestic water borehole n ponds_2]]/500</f>
        <v>0.16800000000000001</v>
      </c>
      <c r="BC149" s="235">
        <f>1-WWWW[[#This Row],[%Equitable and continuous access to sufficient quantity of domestic water borehole n ponds]]</f>
        <v>0</v>
      </c>
      <c r="BD149" s="414">
        <f>WWWW[[#This Row],[%equitable and continuous access to sufficient quantity of safe drinking and domestic water''s GAP]]*WWWW[[#This Row],[Total PoP ]]</f>
        <v>0</v>
      </c>
      <c r="BE149" s="238">
        <f>IF(WWWW[[#This Row],[Total required water points]]-WWWW[[#This Row],['#Water points coverage]]&lt;0,0,WWWW[[#This Row],[Total required water points]]-WWWW[[#This Row],['#Water points coverage]])</f>
        <v>0.83199999999999996</v>
      </c>
      <c r="BF149" s="238">
        <f>ROUND(IF(WWWW[[#This Row],[Total PoP ]]&lt;500,1,WWWW[[#This Row],[Total PoP ]]/500),0)</f>
        <v>1</v>
      </c>
      <c r="BG149" s="238" t="str">
        <f>IF(AND(WWWW[[#This Row],[%of Water samples which passed at water source]]="no test",WWWW[[#This Row],[%Water samples which passed at HH]]="no test"),"No Test","Tested")</f>
        <v>No Test</v>
      </c>
      <c r="BH149" s="238">
        <f>WWWW[[#This Row],['# Existing functional latrines]]+WWWW[[#This Row],['# Existing latrines dysfunctional]]</f>
        <v>4</v>
      </c>
      <c r="BI149" s="235">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0.95238095238095233</v>
      </c>
      <c r="BJ149" s="675">
        <f>WWWW[[#This Row],[% people access to functioning Latrine]]*WWWW[[#This Row],[Total PoP ]]</f>
        <v>80</v>
      </c>
      <c r="BK149" s="235">
        <f>IF(WWWW[[#This Row],[Location Type 1]]="camp",WWWW[[#This Row],['# potential required new latrines]]/(WWWW[[#This Row],[Total PoP ]]/20),WWWW[[#This Row],['# potential required new latrines]]/(WWWW[[#This Row],[Total PoP ]]/6))</f>
        <v>0</v>
      </c>
      <c r="BL149" s="414">
        <f>IF(WWWW[[#This Row],[Total required Latrines]]-WWWW[[#This Row],[Total '# of latrine]]&lt;0,0,WWWW[[#This Row],[Total required Latrines]]-WWWW[[#This Row],[Total '# of latrine]])</f>
        <v>0</v>
      </c>
      <c r="BM149" s="238">
        <f>ROUND(IF(WWWW[[#This Row],[Location Type 1]]="camp",WWWW[[#This Row],[Total PoP ]]/20,WWWW[[#This Row],[Total PoP ]]/6),0)</f>
        <v>4</v>
      </c>
      <c r="BN149" s="239">
        <f>IF(OR(WWWW[[#This Row],['# Existing latrines dysfunctional]]="",WWWW[[#This Row],['# Existing latrines dysfunctional]]=0),0,WWWW[[#This Row],['# Existing latrines dysfunctional]]/WWWW[[#This Row],[Total '# of latrine]])</f>
        <v>0</v>
      </c>
      <c r="BO149" s="675">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P149" s="235">
        <f>WWWW[[#This Row],[People adopt basic personal and community hygiene practices]]/WWWW[[#This Row],[Total PoP ]]</f>
        <v>0</v>
      </c>
      <c r="BQ149" s="239">
        <f>1-WWWW[[#This Row],[Hygiene Coverage%]]</f>
        <v>1</v>
      </c>
      <c r="BR149" s="414">
        <f>IF(500*WWWW[[#This Row],['# Hygiene Promoters ]]&gt;WWWW[[#This Row],[Total PoP ]],WWWW[[#This Row],[Total PoP ]],500*WWWW[[#This Row],['# Hygiene Promoters ]])</f>
        <v>84</v>
      </c>
      <c r="BS149" s="414">
        <f>IF(WWWW[[#This Row],[% of HH with access to Sanitary Pad]]&gt;=100%,1,0)</f>
        <v>0</v>
      </c>
      <c r="BT149" s="414">
        <f>IF(WWWW[[#This Row],[Total PoP ]]=0,0,IF(WWWW[[#This Row],['# Hygiene Promoters ]]=0,0,IF(WWWW[[#This Row],[Location Type 1]]="Village",IF(WWWW[[#This Row],[Total PoP ]]/WWWW[[#This Row],['# Hygiene Promoters ]]&lt;1000,1,0),IF(WWWW[[#This Row],[Total PoP ]]/WWWW[[#This Row],['# Hygiene Promoters ]]&lt;600,1,0))))</f>
        <v>1</v>
      </c>
      <c r="BU149" s="414">
        <f>IF(WWWW[[#This Row],[%HH with access to soap]]&gt;=100%,1,0)</f>
        <v>0</v>
      </c>
      <c r="BV149" s="414">
        <f>IF(WWWW[[#This Row],[% of HHs with access to Sanitary pad more than '#%]]+WWWW[[#This Row],[Ratio of Hyiene promoters to people less than '#]]+WWWW[[#This Row],[% of HHs with access to soap more than '#%]]&gt;=2,WWWW[[#This Row],[Total PoP ]],0)</f>
        <v>0</v>
      </c>
      <c r="BW149" s="346">
        <f>WWWW[[#This Row],['# people reached by regular dedicated hygiene promotion_5]]/WWWW[[#This Row],[Total PoP ]]</f>
        <v>1</v>
      </c>
      <c r="BX149" s="346">
        <f>IF(WWWW[[#This Row],['# HH received soaps]]/WWWW[[#This Row],[Total HH]]&gt;1,1,WWWW[[#This Row],['# HH received soaps]]/WWWW[[#This Row],[Total HH]])</f>
        <v>0</v>
      </c>
      <c r="BY149" s="346">
        <f>IF(WWWW[[#This Row],['# HH received Sanitary Pads]]/WWWW[[#This Row],[Total HH]]&gt;1,1,WWWW[[#This Row],['# HH received Sanitary Pads]]/WWWW[[#This Row],[Total HH]])</f>
        <v>0</v>
      </c>
      <c r="BZ149" s="720">
        <f>WWWW[[#This Row],['# HH received soaps]]*5</f>
        <v>0</v>
      </c>
      <c r="CA149" s="720">
        <f>WWWW[[#This Row],['# HH received Sanitary Pads]]*5</f>
        <v>0</v>
      </c>
      <c r="CB149" s="238">
        <f>IF(WWWW[[#This Row],['# People with access to soap]]&gt;WWWW[[#This Row],['# People with access to Sanity Pads]],WWWW[[#This Row],['# People with access to soap]],WWWW[[#This Row],['# People with access to Sanity Pads]])</f>
        <v>0</v>
      </c>
      <c r="CC149" s="414">
        <f>WWWW[[#This Row],[Total HH]]*WWWW[[#This Row],[%HHs with access to functional hand washing stations]]</f>
        <v>4</v>
      </c>
      <c r="CD149" s="240">
        <f>VLOOKUP(WWWW[[#This Row],[Site Name]],SiteDB6[],8,FALSE)</f>
        <v>0</v>
      </c>
      <c r="CE149" s="240">
        <f>VLOOKUP(WWWW[[#This Row],[Site Name]],SiteDB6[],9,FALSE)</f>
        <v>0</v>
      </c>
      <c r="CF149" s="240" t="str">
        <f>VLOOKUP(WWWW[[#This Row],[Site Name]],SiteDB6[],10,FALSE)</f>
        <v>Camp_not registered</v>
      </c>
      <c r="CG149" s="240" t="str">
        <f>VLOOKUP(WWWW[[#This Row],[Site Name]],SiteDB6[],11,FALSE)</f>
        <v>Camp</v>
      </c>
      <c r="CH149" s="240" t="str">
        <f>VLOOKUP(WWWW[[#This Row],[Site Name]],SiteDB6[],12,FALSE)</f>
        <v>Camp</v>
      </c>
      <c r="CI149" s="240" t="str">
        <f>VLOOKUP(WWWW[[#This Row],[Site Name]],SiteDB6[],13,FALSE)</f>
        <v>GCA</v>
      </c>
      <c r="CJ149" s="240">
        <f>VLOOKUP(WWWW[[#This Row],[Site Name]],SiteDB6[],14,FALSE)</f>
        <v>0</v>
      </c>
      <c r="CK149" s="240">
        <f>VLOOKUP(WWWW[[#This Row],[Site Name]],SiteDB6[],15,FALSE)</f>
        <v>0</v>
      </c>
      <c r="CL149" s="240">
        <f>VLOOKUP(WWWW[[#This Row],[Site Name]],SiteDB6[],4,FALSE)</f>
        <v>0</v>
      </c>
      <c r="CM149" s="235" t="str">
        <f t="shared" si="2"/>
        <v>Covered</v>
      </c>
      <c r="CN149" s="235"/>
    </row>
    <row r="150" spans="1:92" ht="15.75" hidden="1" customHeight="1" x14ac:dyDescent="0.25">
      <c r="A150" s="548" t="s">
        <v>1409</v>
      </c>
      <c r="B150" s="531" t="s">
        <v>2570</v>
      </c>
      <c r="C150" s="531" t="s">
        <v>464</v>
      </c>
      <c r="D150" s="531" t="s">
        <v>496</v>
      </c>
      <c r="E150" s="531" t="s">
        <v>497</v>
      </c>
      <c r="F150" s="41">
        <f>ROUND(WWWW[[#This Row],[Total PoP ]]/5,0)</f>
        <v>194</v>
      </c>
      <c r="G150" s="731">
        <v>972</v>
      </c>
      <c r="H150" s="314"/>
      <c r="I150" s="314" t="s">
        <v>498</v>
      </c>
      <c r="J150" s="315">
        <v>43586</v>
      </c>
      <c r="K150" s="314"/>
      <c r="L150" s="314" t="s">
        <v>48</v>
      </c>
      <c r="M150" s="316">
        <v>0</v>
      </c>
      <c r="N150" s="366">
        <v>0</v>
      </c>
      <c r="O150" s="609">
        <v>0</v>
      </c>
      <c r="P150" s="609">
        <v>0</v>
      </c>
      <c r="Q150" s="613"/>
      <c r="R150" s="614"/>
      <c r="S150" s="614">
        <v>0</v>
      </c>
      <c r="T150" s="604"/>
      <c r="U150" s="604"/>
      <c r="V150" s="604"/>
      <c r="W150" s="604"/>
      <c r="X150" s="604"/>
      <c r="Y150" s="604"/>
      <c r="Z150" s="628">
        <v>0</v>
      </c>
      <c r="AA150" s="634"/>
      <c r="AB150" s="634"/>
      <c r="AC150" s="634">
        <v>0</v>
      </c>
      <c r="AD150" s="634" t="s">
        <v>296</v>
      </c>
      <c r="AE150" s="631" t="s">
        <v>296</v>
      </c>
      <c r="AF150" s="629"/>
      <c r="AG150" s="629"/>
      <c r="AH150" s="634"/>
      <c r="AI150" s="655">
        <v>0</v>
      </c>
      <c r="AJ150" s="656"/>
      <c r="AK150" s="644">
        <v>0</v>
      </c>
      <c r="AL150" s="645"/>
      <c r="AM150" s="645">
        <v>0</v>
      </c>
      <c r="AN150" s="646"/>
      <c r="AO150" s="647"/>
      <c r="AP150" s="647"/>
      <c r="AQ150" s="657"/>
      <c r="AR150" s="235" t="str">
        <f>IFERROR(WWWW[[#This Row],['# of Water passed at source]]/WWWW[[#This Row],['# of Water tested at source]],"no test")</f>
        <v>no test</v>
      </c>
      <c r="AS150" s="237" t="str">
        <f>IFERROR(WWWW[[#This Row],['# of Water passed at HH]]/WWWW[[#This Row],['# of Water tested at HH]],"no test")</f>
        <v>no test</v>
      </c>
      <c r="AT150" s="237">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U150" s="237">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AV150" s="237">
        <f>IF(WWWW[[#This Row],[Location Type 1]]="Village",WWWW[[#This Row],[Access to safe drinking water for Village]],WWWW[[#This Row],[Access to safe drinking water for Camp]])</f>
        <v>0</v>
      </c>
      <c r="AW150" s="414">
        <f>WWWW[[#This Row],[%Equitable and continuous access to sufficient quantity of safe drinking water]]*WWWW[[#This Row],[Total PoP ]]</f>
        <v>0</v>
      </c>
      <c r="AX150" s="237">
        <f>IF((WWWW[[#This Row],['# Existing protected/fenced ponds ]]*250)/WWWW[[#This Row],[Total PoP ]]&gt;1,1,WWWW[[#This Row],['# Existing protected/fenced ponds ]]*250/WWWW[[#This Row],[Total PoP ]])</f>
        <v>0</v>
      </c>
      <c r="AY150" s="414">
        <f>WWWW[[#This Row],[Access to unimproved water points]]*WWWW[[#This Row],[Total PoP ]]</f>
        <v>0</v>
      </c>
      <c r="AZ150" s="237">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A150" s="414">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B150" s="414">
        <f>ROUND(WWWW[[#This Row],['#people Equitable and continuous access to sufficient quantity of domestic water borehole n ponds_2]]/500,0)</f>
        <v>0</v>
      </c>
      <c r="BC150" s="235">
        <f>1-WWWW[[#This Row],[%Equitable and continuous access to sufficient quantity of domestic water borehole n ponds]]</f>
        <v>1</v>
      </c>
      <c r="BD150" s="414">
        <f>WWWW[[#This Row],[%equitable and continuous access to sufficient quantity of safe drinking and domestic water''s GAP]]*WWWW[[#This Row],[Total PoP ]]</f>
        <v>972</v>
      </c>
      <c r="BE150" s="238">
        <f>IF(WWWW[[#This Row],[Total required water points]]-WWWW[[#This Row],['#Water points coverage]]&lt;0,0,WWWW[[#This Row],[Total required water points]]-WWWW[[#This Row],['#Water points coverage]])</f>
        <v>2</v>
      </c>
      <c r="BF150" s="238">
        <f>ROUND(IF(WWWW[[#This Row],[Total PoP ]]&lt;500,1,WWWW[[#This Row],[Total PoP ]]/500),0)</f>
        <v>2</v>
      </c>
      <c r="BG150" s="238" t="str">
        <f>IF(AND(WWWW[[#This Row],[%of Water samples which passed at water source]]="no test",WWWW[[#This Row],[%Water samples which passed at HH]]="no test"),"No Test","Tested")</f>
        <v>No Test</v>
      </c>
      <c r="BH150" s="238">
        <f>WWWW[[#This Row],['# Existing functional latrines]]+WWWW[[#This Row],['# Existing latrines dysfunctional]]</f>
        <v>0</v>
      </c>
      <c r="BI150" s="235">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J150" s="675">
        <f>WWWW[[#This Row],[% people access to functioning Latrine]]*WWWW[[#This Row],[Total PoP ]]</f>
        <v>0</v>
      </c>
      <c r="BK150" s="235">
        <f>IF(WWWW[[#This Row],[Location Type 1]]="camp",WWWW[[#This Row],['# potential required new latrines]]/(WWWW[[#This Row],[Total PoP ]]/20),WWWW[[#This Row],['# potential required new latrines]]/(WWWW[[#This Row],[Total PoP ]]/6))</f>
        <v>1</v>
      </c>
      <c r="BL150" s="414">
        <f>IF(WWWW[[#This Row],[Total required Latrines]]-WWWW[[#This Row],[Total '# of latrine]]&lt;0,0,WWWW[[#This Row],[Total required Latrines]]-WWWW[[#This Row],[Total '# of latrine]])</f>
        <v>162</v>
      </c>
      <c r="BM150" s="238">
        <f>ROUND(IF(WWWW[[#This Row],[Location Type 1]]="camp",WWWW[[#This Row],[Total PoP ]]/20,WWWW[[#This Row],[Total PoP ]]/6),0)</f>
        <v>162</v>
      </c>
      <c r="BN150" s="239">
        <f>IF(OR(WWWW[[#This Row],['# Existing latrines dysfunctional]]="",WWWW[[#This Row],['# Existing latrines dysfunctional]]=0),0,WWWW[[#This Row],['# Existing latrines dysfunctional]]/WWWW[[#This Row],[Total '# of latrine]])</f>
        <v>0</v>
      </c>
      <c r="BO150" s="675"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P150" s="235">
        <f>WWWW[[#This Row],[People adopt basic personal and community hygiene practices]]/WWWW[[#This Row],[Total PoP ]]</f>
        <v>0</v>
      </c>
      <c r="BQ150" s="239">
        <f>1-WWWW[[#This Row],[Hygiene Coverage%]]</f>
        <v>1</v>
      </c>
      <c r="BR150" s="405">
        <f>IF(500*WWWW[[#This Row],['# Hygiene Promoters ]]&gt;WWWW[[#This Row],[Total PoP ]],WWWW[[#This Row],[Total PoP ]],500*WWWW[[#This Row],['# Hygiene Promoters ]])</f>
        <v>0</v>
      </c>
      <c r="BS150" s="405">
        <f>IF(WWWW[[#This Row],[% of HH with access to Sanitary Pad]]&gt;=100%,1,0)</f>
        <v>0</v>
      </c>
      <c r="BT150" s="405">
        <f>IF(WWWW[[#This Row],[Total PoP ]]=0,0,IF(WWWW[[#This Row],['# Hygiene Promoters ]]=0,0,IF(WWWW[[#This Row],[Location Type 1]]="Village",IF(WWWW[[#This Row],[Total PoP ]]/WWWW[[#This Row],['# Hygiene Promoters ]]&lt;1000,1,0),IF(WWWW[[#This Row],[Total PoP ]]/WWWW[[#This Row],['# Hygiene Promoters ]]&lt;600,1,0))))</f>
        <v>0</v>
      </c>
      <c r="BU150" s="405">
        <f>IF(WWWW[[#This Row],[%HH with access to soap]]&gt;=100%,1,0)</f>
        <v>0</v>
      </c>
      <c r="BV150" s="405">
        <f>IF(WWWW[[#This Row],[% of HHs with access to Sanitary pad more than '#%]]+WWWW[[#This Row],[Ratio of Hyiene promoters to people less than '#]]+WWWW[[#This Row],[% of HHs with access to soap more than '#%]]&gt;=2,WWWW[[#This Row],[Total PoP ]],0)</f>
        <v>0</v>
      </c>
      <c r="BW150" s="346">
        <f>WWWW[[#This Row],['# people reached by regular dedicated hygiene promotion_5]]/WWWW[[#This Row],[Total PoP ]]</f>
        <v>0</v>
      </c>
      <c r="BX150" s="346">
        <f>IF(WWWW[[#This Row],['# HH received soaps]]/WWWW[[#This Row],[Total HH]]&gt;1,1,WWWW[[#This Row],['# HH received soaps]]/WWWW[[#This Row],[Total HH]])</f>
        <v>0</v>
      </c>
      <c r="BY150" s="346">
        <f>IF(WWWW[[#This Row],['# HH received Sanitary Pads]]/WWWW[[#This Row],[Total HH]]&gt;1,1,WWWW[[#This Row],['# HH received Sanitary Pads]]/WWWW[[#This Row],[Total HH]])</f>
        <v>0</v>
      </c>
      <c r="BZ150" s="720">
        <f>WWWW[[#This Row],['# HH received soaps]]*5</f>
        <v>0</v>
      </c>
      <c r="CA150" s="720">
        <f>WWWW[[#This Row],['# HH received Sanitary Pads]]*5</f>
        <v>0</v>
      </c>
      <c r="CB150" s="675">
        <f>IF(WWWW[[#This Row],['# People with access to soap]]&gt;WWWW[[#This Row],['# People with access to Sanity Pads]],WWWW[[#This Row],['# People with access to soap]],WWWW[[#This Row],['# People with access to Sanity Pads]])</f>
        <v>0</v>
      </c>
      <c r="CC150" s="414">
        <f>WWWW[[#This Row],[Total HH]]*WWWW[[#This Row],[%HHs with access to functional hand washing stations]]</f>
        <v>0</v>
      </c>
      <c r="CD150" s="240">
        <f>VLOOKUP(WWWW[[#This Row],[Site Name]],SiteDB6[],8,FALSE)</f>
        <v>0</v>
      </c>
      <c r="CE150" s="240">
        <f>VLOOKUP(WWWW[[#This Row],[Site Name]],SiteDB6[],9,FALSE)</f>
        <v>0</v>
      </c>
      <c r="CF150" s="240" t="str">
        <f>VLOOKUP(WWWW[[#This Row],[Site Name]],SiteDB6[],10,FALSE)</f>
        <v>Village_Not HRP</v>
      </c>
      <c r="CG150" s="240" t="str">
        <f>VLOOKUP(WWWW[[#This Row],[Site Name]],SiteDB6[],11,FALSE)</f>
        <v>Village</v>
      </c>
      <c r="CH150" s="240" t="str">
        <f>VLOOKUP(WWWW[[#This Row],[Site Name]],SiteDB6[],12,FALSE)</f>
        <v>Village_Not HRP</v>
      </c>
      <c r="CI150" s="240" t="str">
        <f>VLOOKUP(WWWW[[#This Row],[Site Name]],SiteDB6[],13,FALSE)</f>
        <v>Chin</v>
      </c>
      <c r="CJ150" s="240">
        <f>VLOOKUP(WWWW[[#This Row],[Site Name]],SiteDB6[],14,FALSE)</f>
        <v>0</v>
      </c>
      <c r="CK150" s="240">
        <f>VLOOKUP(WWWW[[#This Row],[Site Name]],SiteDB6[],15,FALSE)</f>
        <v>0</v>
      </c>
      <c r="CL150" s="240" t="str">
        <f>VLOOKUP(WWWW[[#This Row],[Site Name]],SiteDB6[],4,FALSE)</f>
        <v/>
      </c>
      <c r="CM150" s="235" t="str">
        <f t="shared" si="2"/>
        <v>Covered</v>
      </c>
      <c r="CN150" s="240"/>
    </row>
    <row r="151" spans="1:92" ht="15.75" hidden="1" customHeight="1" x14ac:dyDescent="0.25">
      <c r="A151" s="548" t="s">
        <v>1409</v>
      </c>
      <c r="B151" s="541" t="s">
        <v>2570</v>
      </c>
      <c r="C151" s="541" t="s">
        <v>464</v>
      </c>
      <c r="D151" s="541" t="s">
        <v>496</v>
      </c>
      <c r="E151" s="541" t="s">
        <v>544</v>
      </c>
      <c r="F151" s="41">
        <f>ROUND(WWWW[[#This Row],[Total PoP ]]/5,0)</f>
        <v>58</v>
      </c>
      <c r="G151" s="414">
        <v>290</v>
      </c>
      <c r="H151" s="233"/>
      <c r="I151" s="169" t="s">
        <v>498</v>
      </c>
      <c r="J151" s="234">
        <v>43586</v>
      </c>
      <c r="K151" s="169"/>
      <c r="L151" s="169" t="s">
        <v>48</v>
      </c>
      <c r="M151" s="171">
        <v>0</v>
      </c>
      <c r="N151" s="366">
        <v>0</v>
      </c>
      <c r="O151" s="608">
        <v>0</v>
      </c>
      <c r="P151" s="609">
        <v>0</v>
      </c>
      <c r="Q151" s="610"/>
      <c r="R151" s="611"/>
      <c r="S151" s="611">
        <v>0</v>
      </c>
      <c r="T151" s="606"/>
      <c r="U151" s="606"/>
      <c r="V151" s="606"/>
      <c r="W151" s="606"/>
      <c r="X151" s="606"/>
      <c r="Y151" s="604"/>
      <c r="Z151" s="598">
        <v>0</v>
      </c>
      <c r="AA151" s="599"/>
      <c r="AB151" s="629"/>
      <c r="AC151" s="632">
        <v>0</v>
      </c>
      <c r="AD151" s="628" t="s">
        <v>296</v>
      </c>
      <c r="AE151" s="80" t="s">
        <v>296</v>
      </c>
      <c r="AF151" s="80"/>
      <c r="AG151" s="80"/>
      <c r="AH151" s="633"/>
      <c r="AI151" s="652">
        <v>0</v>
      </c>
      <c r="AJ151" s="653"/>
      <c r="AK151" s="651">
        <v>0</v>
      </c>
      <c r="AL151" s="645"/>
      <c r="AM151" s="645">
        <v>0</v>
      </c>
      <c r="AN151" s="646"/>
      <c r="AO151" s="600"/>
      <c r="AP151" s="600"/>
      <c r="AQ151" s="658"/>
      <c r="AR151" s="235" t="str">
        <f>IFERROR(WWWW[[#This Row],['# of Water passed at source]]/WWWW[[#This Row],['# of Water tested at source]],"no test")</f>
        <v>no test</v>
      </c>
      <c r="AS151" s="237" t="str">
        <f>IFERROR(WWWW[[#This Row],['# of Water passed at HH]]/WWWW[[#This Row],['# of Water tested at HH]],"no test")</f>
        <v>no test</v>
      </c>
      <c r="AT151" s="237">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U151" s="237">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AV151" s="237">
        <f>IF(WWWW[[#This Row],[Location Type 1]]="Village",WWWW[[#This Row],[Access to safe drinking water for Village]],WWWW[[#This Row],[Access to safe drinking water for Camp]])</f>
        <v>0</v>
      </c>
      <c r="AW151" s="414">
        <f>WWWW[[#This Row],[%Equitable and continuous access to sufficient quantity of safe drinking water]]*WWWW[[#This Row],[Total PoP ]]</f>
        <v>0</v>
      </c>
      <c r="AX151" s="237">
        <f>IF((WWWW[[#This Row],['# Existing protected/fenced ponds ]]*250)/WWWW[[#This Row],[Total PoP ]]&gt;1,1,WWWW[[#This Row],['# Existing protected/fenced ponds ]]*250/WWWW[[#This Row],[Total PoP ]])</f>
        <v>0</v>
      </c>
      <c r="AY151" s="414">
        <f>WWWW[[#This Row],[Access to unimproved water points]]*WWWW[[#This Row],[Total PoP ]]</f>
        <v>0</v>
      </c>
      <c r="AZ151" s="237">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A151" s="414">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B151" s="414">
        <f>ROUND(WWWW[[#This Row],['#people Equitable and continuous access to sufficient quantity of domestic water borehole n ponds_2]]/500,0)</f>
        <v>0</v>
      </c>
      <c r="BC151" s="235">
        <f>1-WWWW[[#This Row],[%Equitable and continuous access to sufficient quantity of domestic water borehole n ponds]]</f>
        <v>1</v>
      </c>
      <c r="BD151" s="414">
        <f>WWWW[[#This Row],[%equitable and continuous access to sufficient quantity of safe drinking and domestic water''s GAP]]*WWWW[[#This Row],[Total PoP ]]</f>
        <v>290</v>
      </c>
      <c r="BE151" s="238">
        <f>IF(WWWW[[#This Row],[Total required water points]]-WWWW[[#This Row],['#Water points coverage]]&lt;0,0,WWWW[[#This Row],[Total required water points]]-WWWW[[#This Row],['#Water points coverage]])</f>
        <v>1</v>
      </c>
      <c r="BF151" s="238">
        <f>ROUND(IF(WWWW[[#This Row],[Total PoP ]]&lt;500,1,WWWW[[#This Row],[Total PoP ]]/500),0)</f>
        <v>1</v>
      </c>
      <c r="BG151" s="238" t="str">
        <f>IF(AND(WWWW[[#This Row],[%of Water samples which passed at water source]]="no test",WWWW[[#This Row],[%Water samples which passed at HH]]="no test"),"No Test","Tested")</f>
        <v>No Test</v>
      </c>
      <c r="BH151" s="238">
        <f>WWWW[[#This Row],['# Existing functional latrines]]+WWWW[[#This Row],['# Existing latrines dysfunctional]]</f>
        <v>0</v>
      </c>
      <c r="BI151" s="235">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J151" s="675">
        <f>WWWW[[#This Row],[% people access to functioning Latrine]]*WWWW[[#This Row],[Total PoP ]]</f>
        <v>0</v>
      </c>
      <c r="BK151" s="235">
        <f>IF(WWWW[[#This Row],[Location Type 1]]="camp",WWWW[[#This Row],['# potential required new latrines]]/(WWWW[[#This Row],[Total PoP ]]/20),WWWW[[#This Row],['# potential required new latrines]]/(WWWW[[#This Row],[Total PoP ]]/6))</f>
        <v>0.99310344827586206</v>
      </c>
      <c r="BL151" s="414">
        <f>IF(WWWW[[#This Row],[Total required Latrines]]-WWWW[[#This Row],[Total '# of latrine]]&lt;0,0,WWWW[[#This Row],[Total required Latrines]]-WWWW[[#This Row],[Total '# of latrine]])</f>
        <v>48</v>
      </c>
      <c r="BM151" s="238">
        <f>ROUND(IF(WWWW[[#This Row],[Location Type 1]]="camp",WWWW[[#This Row],[Total PoP ]]/20,WWWW[[#This Row],[Total PoP ]]/6),0)</f>
        <v>48</v>
      </c>
      <c r="BN151" s="239">
        <f>IF(OR(WWWW[[#This Row],['# Existing latrines dysfunctional]]="",WWWW[[#This Row],['# Existing latrines dysfunctional]]=0),0,WWWW[[#This Row],['# Existing latrines dysfunctional]]/WWWW[[#This Row],[Total '# of latrine]])</f>
        <v>0</v>
      </c>
      <c r="BO151" s="675"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P151" s="235">
        <f>WWWW[[#This Row],[People adopt basic personal and community hygiene practices]]/WWWW[[#This Row],[Total PoP ]]</f>
        <v>0</v>
      </c>
      <c r="BQ151" s="239">
        <f>1-WWWW[[#This Row],[Hygiene Coverage%]]</f>
        <v>1</v>
      </c>
      <c r="BR151" s="405">
        <f>IF(500*WWWW[[#This Row],['# Hygiene Promoters ]]&gt;WWWW[[#This Row],[Total PoP ]],WWWW[[#This Row],[Total PoP ]],500*WWWW[[#This Row],['# Hygiene Promoters ]])</f>
        <v>0</v>
      </c>
      <c r="BS151" s="405">
        <f>IF(WWWW[[#This Row],[% of HH with access to Sanitary Pad]]&gt;=100%,1,0)</f>
        <v>0</v>
      </c>
      <c r="BT151" s="405">
        <f>IF(WWWW[[#This Row],[Total PoP ]]=0,0,IF(WWWW[[#This Row],['# Hygiene Promoters ]]=0,0,IF(WWWW[[#This Row],[Location Type 1]]="Village",IF(WWWW[[#This Row],[Total PoP ]]/WWWW[[#This Row],['# Hygiene Promoters ]]&lt;1000,1,0),IF(WWWW[[#This Row],[Total PoP ]]/WWWW[[#This Row],['# Hygiene Promoters ]]&lt;600,1,0))))</f>
        <v>0</v>
      </c>
      <c r="BU151" s="405">
        <f>IF(WWWW[[#This Row],[%HH with access to soap]]&gt;=100%,1,0)</f>
        <v>0</v>
      </c>
      <c r="BV151" s="405">
        <f>IF(WWWW[[#This Row],[% of HHs with access to Sanitary pad more than '#%]]+WWWW[[#This Row],[Ratio of Hyiene promoters to people less than '#]]+WWWW[[#This Row],[% of HHs with access to soap more than '#%]]&gt;=2,WWWW[[#This Row],[Total PoP ]],0)</f>
        <v>0</v>
      </c>
      <c r="BW151" s="346">
        <f>WWWW[[#This Row],['# people reached by regular dedicated hygiene promotion_5]]/WWWW[[#This Row],[Total PoP ]]</f>
        <v>0</v>
      </c>
      <c r="BX151" s="346">
        <f>IF(WWWW[[#This Row],['# HH received soaps]]/WWWW[[#This Row],[Total HH]]&gt;1,1,WWWW[[#This Row],['# HH received soaps]]/WWWW[[#This Row],[Total HH]])</f>
        <v>0</v>
      </c>
      <c r="BY151" s="346">
        <f>IF(WWWW[[#This Row],['# HH received Sanitary Pads]]/WWWW[[#This Row],[Total HH]]&gt;1,1,WWWW[[#This Row],['# HH received Sanitary Pads]]/WWWW[[#This Row],[Total HH]])</f>
        <v>0</v>
      </c>
      <c r="BZ151" s="720">
        <f>WWWW[[#This Row],['# HH received soaps]]*5</f>
        <v>0</v>
      </c>
      <c r="CA151" s="720">
        <f>WWWW[[#This Row],['# HH received Sanitary Pads]]*5</f>
        <v>0</v>
      </c>
      <c r="CB151" s="675">
        <f>IF(WWWW[[#This Row],['# People with access to soap]]&gt;WWWW[[#This Row],['# People with access to Sanity Pads]],WWWW[[#This Row],['# People with access to soap]],WWWW[[#This Row],['# People with access to Sanity Pads]])</f>
        <v>0</v>
      </c>
      <c r="CC151" s="414">
        <f>WWWW[[#This Row],[Total HH]]*WWWW[[#This Row],[%HHs with access to functional hand washing stations]]</f>
        <v>0</v>
      </c>
      <c r="CD151" s="240">
        <f>VLOOKUP(WWWW[[#This Row],[Site Name]],SiteDB6[],8,FALSE)</f>
        <v>0</v>
      </c>
      <c r="CE151" s="240">
        <f>VLOOKUP(WWWW[[#This Row],[Site Name]],SiteDB6[],9,FALSE)</f>
        <v>0</v>
      </c>
      <c r="CF151" s="240" t="str">
        <f>VLOOKUP(WWWW[[#This Row],[Site Name]],SiteDB6[],10,FALSE)</f>
        <v>Village_Not HRP</v>
      </c>
      <c r="CG151" s="240" t="str">
        <f>VLOOKUP(WWWW[[#This Row],[Site Name]],SiteDB6[],11,FALSE)</f>
        <v>Village</v>
      </c>
      <c r="CH151" s="240" t="str">
        <f>VLOOKUP(WWWW[[#This Row],[Site Name]],SiteDB6[],12,FALSE)</f>
        <v>Village_Not HRP</v>
      </c>
      <c r="CI151" s="240" t="str">
        <f>VLOOKUP(WWWW[[#This Row],[Site Name]],SiteDB6[],13,FALSE)</f>
        <v>Rakhine</v>
      </c>
      <c r="CJ151" s="240">
        <f>VLOOKUP(WWWW[[#This Row],[Site Name]],SiteDB6[],14,FALSE)</f>
        <v>19.484790802001999</v>
      </c>
      <c r="CK151" s="240">
        <f>VLOOKUP(WWWW[[#This Row],[Site Name]],SiteDB6[],15,FALSE)</f>
        <v>94.007926940917997</v>
      </c>
      <c r="CL151" s="240" t="str">
        <f>VLOOKUP(WWWW[[#This Row],[Site Name]],SiteDB6[],4,FALSE)</f>
        <v>199191</v>
      </c>
      <c r="CM151" s="235" t="str">
        <f t="shared" si="2"/>
        <v>Covered</v>
      </c>
      <c r="CN151" s="240"/>
    </row>
    <row r="152" spans="1:92" ht="15.75" hidden="1" customHeight="1" x14ac:dyDescent="0.25">
      <c r="A152" s="548" t="s">
        <v>1409</v>
      </c>
      <c r="B152" s="530" t="s">
        <v>2570</v>
      </c>
      <c r="C152" s="531" t="s">
        <v>464</v>
      </c>
      <c r="D152" s="531" t="s">
        <v>496</v>
      </c>
      <c r="E152" s="531" t="s">
        <v>545</v>
      </c>
      <c r="F152" s="41">
        <f>ROUND(WWWW[[#This Row],[Total PoP ]]/5,0)</f>
        <v>47</v>
      </c>
      <c r="G152" s="405">
        <v>237</v>
      </c>
      <c r="H152" s="41"/>
      <c r="I152" s="41" t="s">
        <v>498</v>
      </c>
      <c r="J152" s="388">
        <v>43586</v>
      </c>
      <c r="K152" s="41"/>
      <c r="L152" s="41" t="s">
        <v>48</v>
      </c>
      <c r="M152" s="404">
        <v>0</v>
      </c>
      <c r="N152" s="366">
        <v>0</v>
      </c>
      <c r="O152" s="605">
        <v>0</v>
      </c>
      <c r="P152" s="606">
        <v>0</v>
      </c>
      <c r="Q152" s="606"/>
      <c r="R152" s="607"/>
      <c r="S152" s="607">
        <v>0</v>
      </c>
      <c r="T152" s="607"/>
      <c r="U152" s="607"/>
      <c r="V152" s="607"/>
      <c r="W152" s="607"/>
      <c r="X152" s="607"/>
      <c r="Y152" s="607"/>
      <c r="Z152" s="598">
        <v>0</v>
      </c>
      <c r="AA152" s="598"/>
      <c r="AB152" s="80"/>
      <c r="AC152" s="598">
        <v>0</v>
      </c>
      <c r="AD152" s="598" t="s">
        <v>296</v>
      </c>
      <c r="AE152" s="599" t="s">
        <v>296</v>
      </c>
      <c r="AF152" s="599"/>
      <c r="AG152" s="598"/>
      <c r="AH152" s="598"/>
      <c r="AI152" s="649">
        <v>0</v>
      </c>
      <c r="AJ152" s="650"/>
      <c r="AK152" s="650">
        <v>0</v>
      </c>
      <c r="AL152" s="645"/>
      <c r="AM152" s="645">
        <v>0</v>
      </c>
      <c r="AN152" s="646"/>
      <c r="AO152" s="600"/>
      <c r="AP152" s="600"/>
      <c r="AQ152" s="651"/>
      <c r="AR152" s="42" t="str">
        <f>IFERROR(WWWW[[#This Row],['# of Water passed at source]]/WWWW[[#This Row],['# of Water tested at source]],"no test")</f>
        <v>no test</v>
      </c>
      <c r="AS152" s="389" t="str">
        <f>IFERROR(WWWW[[#This Row],['# of Water passed at HH]]/WWWW[[#This Row],['# of Water tested at HH]],"no test")</f>
        <v>no test</v>
      </c>
      <c r="AT152" s="407">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U152" s="407">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AV152" s="407">
        <f>IF(WWWW[[#This Row],[Location Type 1]]="Village",WWWW[[#This Row],[Access to safe drinking water for Village]],WWWW[[#This Row],[Access to safe drinking water for Camp]])</f>
        <v>0</v>
      </c>
      <c r="AW152" s="405">
        <f>WWWW[[#This Row],[%Equitable and continuous access to sufficient quantity of safe drinking water]]*WWWW[[#This Row],[Total PoP ]]</f>
        <v>0</v>
      </c>
      <c r="AX152" s="407">
        <f>IF((WWWW[[#This Row],['# Existing protected/fenced ponds ]]*250)/WWWW[[#This Row],[Total PoP ]]&gt;1,1,WWWW[[#This Row],['# Existing protected/fenced ponds ]]*250/WWWW[[#This Row],[Total PoP ]])</f>
        <v>0</v>
      </c>
      <c r="AY152" s="43">
        <f>WWWW[[#This Row],[Access to unimproved water points]]*WWWW[[#This Row],[Total PoP ]]</f>
        <v>0</v>
      </c>
      <c r="AZ152" s="407">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A152" s="405">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B152" s="414">
        <f>ROUND(WWWW[[#This Row],['#people Equitable and continuous access to sufficient quantity of domestic water borehole n ponds_2]]/500,0)</f>
        <v>0</v>
      </c>
      <c r="BC152" s="42">
        <f>1-WWWW[[#This Row],[%Equitable and continuous access to sufficient quantity of domestic water borehole n ponds]]</f>
        <v>1</v>
      </c>
      <c r="BD152" s="43">
        <f>WWWW[[#This Row],[%equitable and continuous access to sufficient quantity of safe drinking and domestic water''s GAP]]*WWWW[[#This Row],[Total PoP ]]</f>
        <v>237</v>
      </c>
      <c r="BE152" s="406">
        <f>IF(WWWW[[#This Row],[Total required water points]]-WWWW[[#This Row],['#Water points coverage]]&lt;0,0,WWWW[[#This Row],[Total required water points]]-WWWW[[#This Row],['#Water points coverage]])</f>
        <v>1</v>
      </c>
      <c r="BF152" s="406">
        <f>ROUND(IF(WWWW[[#This Row],[Total PoP ]]&lt;500,1,WWWW[[#This Row],[Total PoP ]]/500),0)</f>
        <v>1</v>
      </c>
      <c r="BG152" s="97" t="str">
        <f>IF(AND(WWWW[[#This Row],[%of Water samples which passed at water source]]="no test",WWWW[[#This Row],[%Water samples which passed at HH]]="no test"),"No Test","Tested")</f>
        <v>No Test</v>
      </c>
      <c r="BH152" s="97">
        <f>WWWW[[#This Row],['# Existing functional latrines]]+WWWW[[#This Row],['# Existing latrines dysfunctional]]</f>
        <v>0</v>
      </c>
      <c r="BI152" s="42">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J152" s="676">
        <f>WWWW[[#This Row],[% people access to functioning Latrine]]*WWWW[[#This Row],[Total PoP ]]</f>
        <v>0</v>
      </c>
      <c r="BK152" s="42">
        <f>IF(WWWW[[#This Row],[Location Type 1]]="camp",WWWW[[#This Row],['# potential required new latrines]]/(WWWW[[#This Row],[Total PoP ]]/20),WWWW[[#This Row],['# potential required new latrines]]/(WWWW[[#This Row],[Total PoP ]]/6))</f>
        <v>1.0126582278481013</v>
      </c>
      <c r="BL152" s="43">
        <f>IF(WWWW[[#This Row],[Total required Latrines]]-WWWW[[#This Row],[Total '# of latrine]]&lt;0,0,WWWW[[#This Row],[Total required Latrines]]-WWWW[[#This Row],[Total '# of latrine]])</f>
        <v>40</v>
      </c>
      <c r="BM152" s="97">
        <f>ROUND(IF(WWWW[[#This Row],[Location Type 1]]="camp",WWWW[[#This Row],[Total PoP ]]/20,WWWW[[#This Row],[Total PoP ]]/6),0)</f>
        <v>40</v>
      </c>
      <c r="BN152" s="390">
        <f>IF(OR(WWWW[[#This Row],['# Existing latrines dysfunctional]]="",WWWW[[#This Row],['# Existing latrines dysfunctional]]=0),0,WWWW[[#This Row],['# Existing latrines dysfunctional]]/WWWW[[#This Row],[Total '# of latrine]])</f>
        <v>0</v>
      </c>
      <c r="BO152" s="676"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P152" s="42">
        <f>WWWW[[#This Row],[People adopt basic personal and community hygiene practices]]/WWWW[[#This Row],[Total PoP ]]</f>
        <v>0</v>
      </c>
      <c r="BQ152" s="390">
        <f>1-WWWW[[#This Row],[Hygiene Coverage%]]</f>
        <v>1</v>
      </c>
      <c r="BR152" s="405">
        <f>IF(500*WWWW[[#This Row],['# Hygiene Promoters ]]&gt;WWWW[[#This Row],[Total PoP ]],WWWW[[#This Row],[Total PoP ]],500*WWWW[[#This Row],['# Hygiene Promoters ]])</f>
        <v>0</v>
      </c>
      <c r="BS152" s="405">
        <f>IF(WWWW[[#This Row],[% of HH with access to Sanitary Pad]]&gt;=100%,1,0)</f>
        <v>0</v>
      </c>
      <c r="BT152" s="405">
        <f>IF(WWWW[[#This Row],[Total PoP ]]=0,0,IF(WWWW[[#This Row],['# Hygiene Promoters ]]=0,0,IF(WWWW[[#This Row],[Location Type 1]]="Village",IF(WWWW[[#This Row],[Total PoP ]]/WWWW[[#This Row],['# Hygiene Promoters ]]&lt;1000,1,0),IF(WWWW[[#This Row],[Total PoP ]]/WWWW[[#This Row],['# Hygiene Promoters ]]&lt;600,1,0))))</f>
        <v>0</v>
      </c>
      <c r="BU152" s="405">
        <f>IF(WWWW[[#This Row],[%HH with access to soap]]&gt;=100%,1,0)</f>
        <v>0</v>
      </c>
      <c r="BV152" s="405">
        <f>IF(WWWW[[#This Row],[% of HHs with access to Sanitary pad more than '#%]]+WWWW[[#This Row],[Ratio of Hyiene promoters to people less than '#]]+WWWW[[#This Row],[% of HHs with access to soap more than '#%]]&gt;=2,WWWW[[#This Row],[Total PoP ]],0)</f>
        <v>0</v>
      </c>
      <c r="BW152" s="391">
        <f>WWWW[[#This Row],['# people reached by regular dedicated hygiene promotion_5]]/WWWW[[#This Row],[Total PoP ]]</f>
        <v>0</v>
      </c>
      <c r="BX152" s="391">
        <f>IF(WWWW[[#This Row],['# HH received soaps]]/WWWW[[#This Row],[Total HH]]&gt;1,1,WWWW[[#This Row],['# HH received soaps]]/WWWW[[#This Row],[Total HH]])</f>
        <v>0</v>
      </c>
      <c r="BY152" s="391">
        <f>IF(WWWW[[#This Row],['# HH received Sanitary Pads]]/WWWW[[#This Row],[Total HH]]&gt;1,1,WWWW[[#This Row],['# HH received Sanitary Pads]]/WWWW[[#This Row],[Total HH]])</f>
        <v>0</v>
      </c>
      <c r="BZ152" s="721">
        <f>WWWW[[#This Row],['# HH received soaps]]*5</f>
        <v>0</v>
      </c>
      <c r="CA152" s="721">
        <f>WWWW[[#This Row],['# HH received Sanitary Pads]]*5</f>
        <v>0</v>
      </c>
      <c r="CB152" s="406">
        <f>IF(WWWW[[#This Row],['# People with access to soap]]&gt;WWWW[[#This Row],['# People with access to Sanity Pads]],WWWW[[#This Row],['# People with access to soap]],WWWW[[#This Row],['# People with access to Sanity Pads]])</f>
        <v>0</v>
      </c>
      <c r="CC152" s="43">
        <f>WWWW[[#This Row],[Total HH]]*WWWW[[#This Row],[%HHs with access to functional hand washing stations]]</f>
        <v>0</v>
      </c>
      <c r="CD152" s="240">
        <f>VLOOKUP(WWWW[[#This Row],[Site Name]],SiteDB6[],8,FALSE)</f>
        <v>0</v>
      </c>
      <c r="CE152" s="240">
        <f>VLOOKUP(WWWW[[#This Row],[Site Name]],SiteDB6[],9,FALSE)</f>
        <v>0</v>
      </c>
      <c r="CF152" s="240" t="str">
        <f>VLOOKUP(WWWW[[#This Row],[Site Name]],SiteDB6[],10,FALSE)</f>
        <v>Village_Not HRP</v>
      </c>
      <c r="CG152" s="240" t="str">
        <f>VLOOKUP(WWWW[[#This Row],[Site Name]],SiteDB6[],11,FALSE)</f>
        <v>Village</v>
      </c>
      <c r="CH152" s="240" t="str">
        <f>VLOOKUP(WWWW[[#This Row],[Site Name]],SiteDB6[],12,FALSE)</f>
        <v>Village_Not HRP</v>
      </c>
      <c r="CI152" s="240" t="str">
        <f>VLOOKUP(WWWW[[#This Row],[Site Name]],SiteDB6[],13,FALSE)</f>
        <v>Rakhine</v>
      </c>
      <c r="CJ152" s="240">
        <f>VLOOKUP(WWWW[[#This Row],[Site Name]],SiteDB6[],14,FALSE)</f>
        <v>19.591590881347699</v>
      </c>
      <c r="CK152" s="240">
        <f>VLOOKUP(WWWW[[#This Row],[Site Name]],SiteDB6[],15,FALSE)</f>
        <v>93.808258056640597</v>
      </c>
      <c r="CL152" s="240">
        <f>VLOOKUP(WWWW[[#This Row],[Site Name]],SiteDB6[],4,FALSE)</f>
        <v>199195</v>
      </c>
      <c r="CM152" s="42" t="str">
        <f t="shared" si="2"/>
        <v>Covered</v>
      </c>
      <c r="CN152" s="42"/>
    </row>
    <row r="153" spans="1:92" ht="15.75" hidden="1" customHeight="1" x14ac:dyDescent="0.25">
      <c r="A153" s="548" t="s">
        <v>1409</v>
      </c>
      <c r="B153" s="530" t="s">
        <v>2570</v>
      </c>
      <c r="C153" s="531" t="s">
        <v>464</v>
      </c>
      <c r="D153" s="531" t="s">
        <v>496</v>
      </c>
      <c r="E153" s="531" t="s">
        <v>546</v>
      </c>
      <c r="F153" s="41">
        <f>ROUND(WWWW[[#This Row],[Total PoP ]]/5,0)</f>
        <v>34</v>
      </c>
      <c r="G153" s="405">
        <v>171</v>
      </c>
      <c r="H153" s="41"/>
      <c r="I153" s="41" t="s">
        <v>498</v>
      </c>
      <c r="J153" s="388">
        <v>43586</v>
      </c>
      <c r="K153" s="41"/>
      <c r="L153" s="41" t="s">
        <v>48</v>
      </c>
      <c r="M153" s="404">
        <v>0</v>
      </c>
      <c r="N153" s="366">
        <v>0</v>
      </c>
      <c r="O153" s="605">
        <v>0</v>
      </c>
      <c r="P153" s="606">
        <v>0</v>
      </c>
      <c r="Q153" s="606"/>
      <c r="R153" s="607"/>
      <c r="S153" s="607">
        <v>0</v>
      </c>
      <c r="T153" s="607"/>
      <c r="U153" s="607"/>
      <c r="V153" s="607"/>
      <c r="W153" s="607"/>
      <c r="X153" s="607"/>
      <c r="Y153" s="607"/>
      <c r="Z153" s="598">
        <v>0</v>
      </c>
      <c r="AA153" s="598"/>
      <c r="AB153" s="80"/>
      <c r="AC153" s="598">
        <v>0</v>
      </c>
      <c r="AD153" s="598" t="s">
        <v>296</v>
      </c>
      <c r="AE153" s="599" t="s">
        <v>296</v>
      </c>
      <c r="AF153" s="599"/>
      <c r="AG153" s="598"/>
      <c r="AH153" s="598"/>
      <c r="AI153" s="649">
        <v>0</v>
      </c>
      <c r="AJ153" s="650"/>
      <c r="AK153" s="650">
        <v>0</v>
      </c>
      <c r="AL153" s="645"/>
      <c r="AM153" s="645">
        <v>0</v>
      </c>
      <c r="AN153" s="646"/>
      <c r="AO153" s="600"/>
      <c r="AP153" s="600"/>
      <c r="AQ153" s="651"/>
      <c r="AR153" s="42" t="str">
        <f>IFERROR(WWWW[[#This Row],['# of Water passed at source]]/WWWW[[#This Row],['# of Water tested at source]],"no test")</f>
        <v>no test</v>
      </c>
      <c r="AS153" s="389" t="str">
        <f>IFERROR(WWWW[[#This Row],['# of Water passed at HH]]/WWWW[[#This Row],['# of Water tested at HH]],"no test")</f>
        <v>no test</v>
      </c>
      <c r="AT153" s="407">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U153" s="407">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AV153" s="407">
        <f>IF(WWWW[[#This Row],[Location Type 1]]="Village",WWWW[[#This Row],[Access to safe drinking water for Village]],WWWW[[#This Row],[Access to safe drinking water for Camp]])</f>
        <v>0</v>
      </c>
      <c r="AW153" s="405">
        <f>WWWW[[#This Row],[%Equitable and continuous access to sufficient quantity of safe drinking water]]*WWWW[[#This Row],[Total PoP ]]</f>
        <v>0</v>
      </c>
      <c r="AX153" s="407">
        <f>IF((WWWW[[#This Row],['# Existing protected/fenced ponds ]]*250)/WWWW[[#This Row],[Total PoP ]]&gt;1,1,WWWW[[#This Row],['# Existing protected/fenced ponds ]]*250/WWWW[[#This Row],[Total PoP ]])</f>
        <v>0</v>
      </c>
      <c r="AY153" s="43">
        <f>WWWW[[#This Row],[Access to unimproved water points]]*WWWW[[#This Row],[Total PoP ]]</f>
        <v>0</v>
      </c>
      <c r="AZ153" s="407">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A153" s="405">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B153" s="414">
        <f>ROUND(WWWW[[#This Row],['#people Equitable and continuous access to sufficient quantity of domestic water borehole n ponds_2]]/500,0)</f>
        <v>0</v>
      </c>
      <c r="BC153" s="42">
        <f>1-WWWW[[#This Row],[%Equitable and continuous access to sufficient quantity of domestic water borehole n ponds]]</f>
        <v>1</v>
      </c>
      <c r="BD153" s="43">
        <f>WWWW[[#This Row],[%equitable and continuous access to sufficient quantity of safe drinking and domestic water''s GAP]]*WWWW[[#This Row],[Total PoP ]]</f>
        <v>171</v>
      </c>
      <c r="BE153" s="406">
        <f>IF(WWWW[[#This Row],[Total required water points]]-WWWW[[#This Row],['#Water points coverage]]&lt;0,0,WWWW[[#This Row],[Total required water points]]-WWWW[[#This Row],['#Water points coverage]])</f>
        <v>1</v>
      </c>
      <c r="BF153" s="406">
        <f>ROUND(IF(WWWW[[#This Row],[Total PoP ]]&lt;500,1,WWWW[[#This Row],[Total PoP ]]/500),0)</f>
        <v>1</v>
      </c>
      <c r="BG153" s="97" t="str">
        <f>IF(AND(WWWW[[#This Row],[%of Water samples which passed at water source]]="no test",WWWW[[#This Row],[%Water samples which passed at HH]]="no test"),"No Test","Tested")</f>
        <v>No Test</v>
      </c>
      <c r="BH153" s="97">
        <f>WWWW[[#This Row],['# Existing functional latrines]]+WWWW[[#This Row],['# Existing latrines dysfunctional]]</f>
        <v>0</v>
      </c>
      <c r="BI153" s="42">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J153" s="676">
        <f>WWWW[[#This Row],[% people access to functioning Latrine]]*WWWW[[#This Row],[Total PoP ]]</f>
        <v>0</v>
      </c>
      <c r="BK153" s="42">
        <f>IF(WWWW[[#This Row],[Location Type 1]]="camp",WWWW[[#This Row],['# potential required new latrines]]/(WWWW[[#This Row],[Total PoP ]]/20),WWWW[[#This Row],['# potential required new latrines]]/(WWWW[[#This Row],[Total PoP ]]/6))</f>
        <v>1.0175438596491229</v>
      </c>
      <c r="BL153" s="43">
        <f>IF(WWWW[[#This Row],[Total required Latrines]]-WWWW[[#This Row],[Total '# of latrine]]&lt;0,0,WWWW[[#This Row],[Total required Latrines]]-WWWW[[#This Row],[Total '# of latrine]])</f>
        <v>29</v>
      </c>
      <c r="BM153" s="97">
        <f>ROUND(IF(WWWW[[#This Row],[Location Type 1]]="camp",WWWW[[#This Row],[Total PoP ]]/20,WWWW[[#This Row],[Total PoP ]]/6),0)</f>
        <v>29</v>
      </c>
      <c r="BN153" s="390">
        <f>IF(OR(WWWW[[#This Row],['# Existing latrines dysfunctional]]="",WWWW[[#This Row],['# Existing latrines dysfunctional]]=0),0,WWWW[[#This Row],['# Existing latrines dysfunctional]]/WWWW[[#This Row],[Total '# of latrine]])</f>
        <v>0</v>
      </c>
      <c r="BO153" s="676"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P153" s="42">
        <f>WWWW[[#This Row],[People adopt basic personal and community hygiene practices]]/WWWW[[#This Row],[Total PoP ]]</f>
        <v>0</v>
      </c>
      <c r="BQ153" s="390">
        <f>1-WWWW[[#This Row],[Hygiene Coverage%]]</f>
        <v>1</v>
      </c>
      <c r="BR153" s="405">
        <f>IF(500*WWWW[[#This Row],['# Hygiene Promoters ]]&gt;WWWW[[#This Row],[Total PoP ]],WWWW[[#This Row],[Total PoP ]],500*WWWW[[#This Row],['# Hygiene Promoters ]])</f>
        <v>0</v>
      </c>
      <c r="BS153" s="405">
        <f>IF(WWWW[[#This Row],[% of HH with access to Sanitary Pad]]&gt;=100%,1,0)</f>
        <v>0</v>
      </c>
      <c r="BT153" s="405">
        <f>IF(WWWW[[#This Row],[Total PoP ]]=0,0,IF(WWWW[[#This Row],['# Hygiene Promoters ]]=0,0,IF(WWWW[[#This Row],[Location Type 1]]="Village",IF(WWWW[[#This Row],[Total PoP ]]/WWWW[[#This Row],['# Hygiene Promoters ]]&lt;1000,1,0),IF(WWWW[[#This Row],[Total PoP ]]/WWWW[[#This Row],['# Hygiene Promoters ]]&lt;600,1,0))))</f>
        <v>0</v>
      </c>
      <c r="BU153" s="405">
        <f>IF(WWWW[[#This Row],[%HH with access to soap]]&gt;=100%,1,0)</f>
        <v>0</v>
      </c>
      <c r="BV153" s="405">
        <f>IF(WWWW[[#This Row],[% of HHs with access to Sanitary pad more than '#%]]+WWWW[[#This Row],[Ratio of Hyiene promoters to people less than '#]]+WWWW[[#This Row],[% of HHs with access to soap more than '#%]]&gt;=2,WWWW[[#This Row],[Total PoP ]],0)</f>
        <v>0</v>
      </c>
      <c r="BW153" s="391">
        <f>WWWW[[#This Row],['# people reached by regular dedicated hygiene promotion_5]]/WWWW[[#This Row],[Total PoP ]]</f>
        <v>0</v>
      </c>
      <c r="BX153" s="391">
        <f>IF(WWWW[[#This Row],['# HH received soaps]]/WWWW[[#This Row],[Total HH]]&gt;1,1,WWWW[[#This Row],['# HH received soaps]]/WWWW[[#This Row],[Total HH]])</f>
        <v>0</v>
      </c>
      <c r="BY153" s="391">
        <f>IF(WWWW[[#This Row],['# HH received Sanitary Pads]]/WWWW[[#This Row],[Total HH]]&gt;1,1,WWWW[[#This Row],['# HH received Sanitary Pads]]/WWWW[[#This Row],[Total HH]])</f>
        <v>0</v>
      </c>
      <c r="BZ153" s="721">
        <f>WWWW[[#This Row],['# HH received soaps]]*5</f>
        <v>0</v>
      </c>
      <c r="CA153" s="721">
        <f>WWWW[[#This Row],['# HH received Sanitary Pads]]*5</f>
        <v>0</v>
      </c>
      <c r="CB153" s="406">
        <f>IF(WWWW[[#This Row],['# People with access to soap]]&gt;WWWW[[#This Row],['# People with access to Sanity Pads]],WWWW[[#This Row],['# People with access to soap]],WWWW[[#This Row],['# People with access to Sanity Pads]])</f>
        <v>0</v>
      </c>
      <c r="CC153" s="43">
        <f>WWWW[[#This Row],[Total HH]]*WWWW[[#This Row],[%HHs with access to functional hand washing stations]]</f>
        <v>0</v>
      </c>
      <c r="CD153" s="240">
        <f>VLOOKUP(WWWW[[#This Row],[Site Name]],SiteDB6[],8,FALSE)</f>
        <v>0</v>
      </c>
      <c r="CE153" s="240">
        <f>VLOOKUP(WWWW[[#This Row],[Site Name]],SiteDB6[],9,FALSE)</f>
        <v>0</v>
      </c>
      <c r="CF153" s="240" t="str">
        <f>VLOOKUP(WWWW[[#This Row],[Site Name]],SiteDB6[],10,FALSE)</f>
        <v>Village_Not HRP</v>
      </c>
      <c r="CG153" s="240" t="str">
        <f>VLOOKUP(WWWW[[#This Row],[Site Name]],SiteDB6[],11,FALSE)</f>
        <v>Village</v>
      </c>
      <c r="CH153" s="240" t="str">
        <f>VLOOKUP(WWWW[[#This Row],[Site Name]],SiteDB6[],12,FALSE)</f>
        <v>Village_Not HRP</v>
      </c>
      <c r="CI153" s="240" t="str">
        <f>VLOOKUP(WWWW[[#This Row],[Site Name]],SiteDB6[],13,FALSE)</f>
        <v>Rakhine</v>
      </c>
      <c r="CJ153" s="240">
        <f>VLOOKUP(WWWW[[#This Row],[Site Name]],SiteDB6[],14,FALSE)</f>
        <v>19.610979080200199</v>
      </c>
      <c r="CK153" s="240">
        <f>VLOOKUP(WWWW[[#This Row],[Site Name]],SiteDB6[],15,FALSE)</f>
        <v>93.9847412109375</v>
      </c>
      <c r="CL153" s="240" t="str">
        <f>VLOOKUP(WWWW[[#This Row],[Site Name]],SiteDB6[],4,FALSE)</f>
        <v>199264</v>
      </c>
      <c r="CM153" s="42" t="str">
        <f t="shared" si="2"/>
        <v>Covered</v>
      </c>
      <c r="CN153" s="42"/>
    </row>
    <row r="154" spans="1:92" ht="15.75" hidden="1" customHeight="1" x14ac:dyDescent="0.25">
      <c r="A154" s="548" t="s">
        <v>1409</v>
      </c>
      <c r="B154" s="541" t="s">
        <v>2570</v>
      </c>
      <c r="C154" s="541" t="s">
        <v>464</v>
      </c>
      <c r="D154" s="541" t="s">
        <v>496</v>
      </c>
      <c r="E154" s="541" t="s">
        <v>547</v>
      </c>
      <c r="F154" s="402">
        <f>ROUND(WWWW[[#This Row],[Total PoP ]]/5,0)</f>
        <v>144</v>
      </c>
      <c r="G154" s="732">
        <v>719</v>
      </c>
      <c r="H154" s="169"/>
      <c r="I154" s="169" t="s">
        <v>498</v>
      </c>
      <c r="J154" s="170">
        <v>43586</v>
      </c>
      <c r="K154" s="169"/>
      <c r="L154" s="169" t="s">
        <v>48</v>
      </c>
      <c r="M154" s="171">
        <v>0</v>
      </c>
      <c r="N154" s="366">
        <v>0</v>
      </c>
      <c r="O154" s="608">
        <v>0</v>
      </c>
      <c r="P154" s="609">
        <v>0</v>
      </c>
      <c r="Q154" s="615"/>
      <c r="R154" s="604"/>
      <c r="S154" s="604">
        <v>0</v>
      </c>
      <c r="T154" s="604"/>
      <c r="U154" s="604"/>
      <c r="V154" s="604"/>
      <c r="W154" s="604"/>
      <c r="X154" s="604"/>
      <c r="Y154" s="604"/>
      <c r="Z154" s="628">
        <v>0</v>
      </c>
      <c r="AA154" s="628"/>
      <c r="AB154" s="628"/>
      <c r="AC154" s="628">
        <v>0</v>
      </c>
      <c r="AD154" s="628" t="s">
        <v>296</v>
      </c>
      <c r="AE154" s="631" t="s">
        <v>296</v>
      </c>
      <c r="AF154" s="629"/>
      <c r="AG154" s="629"/>
      <c r="AH154" s="628"/>
      <c r="AI154" s="659">
        <v>0</v>
      </c>
      <c r="AJ154" s="644"/>
      <c r="AK154" s="644">
        <v>0</v>
      </c>
      <c r="AL154" s="645"/>
      <c r="AM154" s="645">
        <v>0</v>
      </c>
      <c r="AN154" s="646"/>
      <c r="AO154" s="647"/>
      <c r="AP154" s="647"/>
      <c r="AQ154" s="658"/>
      <c r="AR154" s="235" t="str">
        <f>IFERROR(WWWW[[#This Row],['# of Water passed at source]]/WWWW[[#This Row],['# of Water tested at source]],"no test")</f>
        <v>no test</v>
      </c>
      <c r="AS154" s="237" t="str">
        <f>IFERROR(WWWW[[#This Row],['# of Water passed at HH]]/WWWW[[#This Row],['# of Water tested at HH]],"no test")</f>
        <v>no test</v>
      </c>
      <c r="AT154" s="237">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U154" s="237">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AV154" s="237">
        <f>IF(WWWW[[#This Row],[Location Type 1]]="Village",WWWW[[#This Row],[Access to safe drinking water for Village]],WWWW[[#This Row],[Access to safe drinking water for Camp]])</f>
        <v>0</v>
      </c>
      <c r="AW154" s="414">
        <f>WWWW[[#This Row],[%Equitable and continuous access to sufficient quantity of safe drinking water]]*WWWW[[#This Row],[Total PoP ]]</f>
        <v>0</v>
      </c>
      <c r="AX154" s="237">
        <f>IF((WWWW[[#This Row],['# Existing protected/fenced ponds ]]*250)/WWWW[[#This Row],[Total PoP ]]&gt;1,1,WWWW[[#This Row],['# Existing protected/fenced ponds ]]*250/WWWW[[#This Row],[Total PoP ]])</f>
        <v>0</v>
      </c>
      <c r="AY154" s="236">
        <f>WWWW[[#This Row],[Access to unimproved water points]]*WWWW[[#This Row],[Total PoP ]]</f>
        <v>0</v>
      </c>
      <c r="AZ154" s="237">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A154" s="414">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B154" s="414">
        <f>ROUND(WWWW[[#This Row],['#people Equitable and continuous access to sufficient quantity of domestic water borehole n ponds_2]]/500,0)</f>
        <v>0</v>
      </c>
      <c r="BC154" s="235">
        <f>1-WWWW[[#This Row],[%Equitable and continuous access to sufficient quantity of domestic water borehole n ponds]]</f>
        <v>1</v>
      </c>
      <c r="BD154" s="236">
        <f>WWWW[[#This Row],[%equitable and continuous access to sufficient quantity of safe drinking and domestic water''s GAP]]*WWWW[[#This Row],[Total PoP ]]</f>
        <v>719</v>
      </c>
      <c r="BE154" s="238">
        <f>IF(WWWW[[#This Row],[Total required water points]]-WWWW[[#This Row],['#Water points coverage]]&lt;0,0,WWWW[[#This Row],[Total required water points]]-WWWW[[#This Row],['#Water points coverage]])</f>
        <v>1</v>
      </c>
      <c r="BF154" s="238">
        <f>ROUND(IF(WWWW[[#This Row],[Total PoP ]]&lt;500,1,WWWW[[#This Row],[Total PoP ]]/500),0)</f>
        <v>1</v>
      </c>
      <c r="BG154" s="238" t="str">
        <f>IF(AND(WWWW[[#This Row],[%of Water samples which passed at water source]]="no test",WWWW[[#This Row],[%Water samples which passed at HH]]="no test"),"No Test","Tested")</f>
        <v>No Test</v>
      </c>
      <c r="BH154" s="238">
        <f>WWWW[[#This Row],['# Existing functional latrines]]+WWWW[[#This Row],['# Existing latrines dysfunctional]]</f>
        <v>0</v>
      </c>
      <c r="BI154" s="235">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J154" s="675">
        <f>WWWW[[#This Row],[% people access to functioning Latrine]]*WWWW[[#This Row],[Total PoP ]]</f>
        <v>0</v>
      </c>
      <c r="BK154" s="235">
        <f>IF(WWWW[[#This Row],[Location Type 1]]="camp",WWWW[[#This Row],['# potential required new latrines]]/(WWWW[[#This Row],[Total PoP ]]/20),WWWW[[#This Row],['# potential required new latrines]]/(WWWW[[#This Row],[Total PoP ]]/6))</f>
        <v>1.0013908205841446</v>
      </c>
      <c r="BL154" s="236">
        <f>IF(WWWW[[#This Row],[Total required Latrines]]-WWWW[[#This Row],[Total '# of latrine]]&lt;0,0,WWWW[[#This Row],[Total required Latrines]]-WWWW[[#This Row],[Total '# of latrine]])</f>
        <v>120</v>
      </c>
      <c r="BM154" s="238">
        <f>ROUND(IF(WWWW[[#This Row],[Location Type 1]]="camp",WWWW[[#This Row],[Total PoP ]]/20,WWWW[[#This Row],[Total PoP ]]/6),0)</f>
        <v>120</v>
      </c>
      <c r="BN154" s="239">
        <f>IF(OR(WWWW[[#This Row],['# Existing latrines dysfunctional]]="",WWWW[[#This Row],['# Existing latrines dysfunctional]]=0),0,WWWW[[#This Row],['# Existing latrines dysfunctional]]/WWWW[[#This Row],[Total '# of latrine]])</f>
        <v>0</v>
      </c>
      <c r="BO154" s="675"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P154" s="235">
        <f>WWWW[[#This Row],[People adopt basic personal and community hygiene practices]]/WWWW[[#This Row],[Total PoP ]]</f>
        <v>0</v>
      </c>
      <c r="BQ154" s="239">
        <f>1-WWWW[[#This Row],[Hygiene Coverage%]]</f>
        <v>1</v>
      </c>
      <c r="BR154" s="405">
        <f>IF(500*WWWW[[#This Row],['# Hygiene Promoters ]]&gt;WWWW[[#This Row],[Total PoP ]],WWWW[[#This Row],[Total PoP ]],500*WWWW[[#This Row],['# Hygiene Promoters ]])</f>
        <v>0</v>
      </c>
      <c r="BS154" s="405">
        <f>IF(WWWW[[#This Row],[% of HH with access to Sanitary Pad]]&gt;=100%,1,0)</f>
        <v>0</v>
      </c>
      <c r="BT154" s="405">
        <f>IF(WWWW[[#This Row],[Total PoP ]]=0,0,IF(WWWW[[#This Row],['# Hygiene Promoters ]]=0,0,IF(WWWW[[#This Row],[Location Type 1]]="Village",IF(WWWW[[#This Row],[Total PoP ]]/WWWW[[#This Row],['# Hygiene Promoters ]]&lt;1000,1,0),IF(WWWW[[#This Row],[Total PoP ]]/WWWW[[#This Row],['# Hygiene Promoters ]]&lt;600,1,0))))</f>
        <v>0</v>
      </c>
      <c r="BU154" s="405">
        <f>IF(WWWW[[#This Row],[%HH with access to soap]]&gt;=100%,1,0)</f>
        <v>0</v>
      </c>
      <c r="BV154" s="405">
        <f>IF(WWWW[[#This Row],[% of HHs with access to Sanitary pad more than '#%]]+WWWW[[#This Row],[Ratio of Hyiene promoters to people less than '#]]+WWWW[[#This Row],[% of HHs with access to soap more than '#%]]&gt;=2,WWWW[[#This Row],[Total PoP ]],0)</f>
        <v>0</v>
      </c>
      <c r="BW154" s="346">
        <f>WWWW[[#This Row],['# people reached by regular dedicated hygiene promotion_5]]/WWWW[[#This Row],[Total PoP ]]</f>
        <v>0</v>
      </c>
      <c r="BX154" s="346">
        <f>IF(WWWW[[#This Row],['# HH received soaps]]/WWWW[[#This Row],[Total HH]]&gt;1,1,WWWW[[#This Row],['# HH received soaps]]/WWWW[[#This Row],[Total HH]])</f>
        <v>0</v>
      </c>
      <c r="BY154" s="346">
        <f>IF(WWWW[[#This Row],['# HH received Sanitary Pads]]/WWWW[[#This Row],[Total HH]]&gt;1,1,WWWW[[#This Row],['# HH received Sanitary Pads]]/WWWW[[#This Row],[Total HH]])</f>
        <v>0</v>
      </c>
      <c r="BZ154" s="720">
        <f>WWWW[[#This Row],['# HH received soaps]]*5</f>
        <v>0</v>
      </c>
      <c r="CA154" s="720">
        <f>WWWW[[#This Row],['# HH received Sanitary Pads]]*5</f>
        <v>0</v>
      </c>
      <c r="CB154" s="675">
        <f>IF(WWWW[[#This Row],['# People with access to soap]]&gt;WWWW[[#This Row],['# People with access to Sanity Pads]],WWWW[[#This Row],['# People with access to soap]],WWWW[[#This Row],['# People with access to Sanity Pads]])</f>
        <v>0</v>
      </c>
      <c r="CC154" s="236">
        <f>WWWW[[#This Row],[Total HH]]*WWWW[[#This Row],[%HHs with access to functional hand washing stations]]</f>
        <v>0</v>
      </c>
      <c r="CD154" s="240">
        <f>VLOOKUP(WWWW[[#This Row],[Site Name]],SiteDB6[],8,FALSE)</f>
        <v>0</v>
      </c>
      <c r="CE154" s="240">
        <f>VLOOKUP(WWWW[[#This Row],[Site Name]],SiteDB6[],9,FALSE)</f>
        <v>0</v>
      </c>
      <c r="CF154" s="240" t="str">
        <f>VLOOKUP(WWWW[[#This Row],[Site Name]],SiteDB6[],10,FALSE)</f>
        <v>Village_Not HRP</v>
      </c>
      <c r="CG154" s="240" t="str">
        <f>VLOOKUP(WWWW[[#This Row],[Site Name]],SiteDB6[],11,FALSE)</f>
        <v>Village</v>
      </c>
      <c r="CH154" s="240" t="str">
        <f>VLOOKUP(WWWW[[#This Row],[Site Name]],SiteDB6[],12,FALSE)</f>
        <v>Village_Not HRP</v>
      </c>
      <c r="CI154" s="240" t="str">
        <f>VLOOKUP(WWWW[[#This Row],[Site Name]],SiteDB6[],13,FALSE)</f>
        <v>Rakhine</v>
      </c>
      <c r="CJ154" s="240">
        <f>VLOOKUP(WWWW[[#This Row],[Site Name]],SiteDB6[],14,FALSE)</f>
        <v>19.611209869384801</v>
      </c>
      <c r="CK154" s="240">
        <f>VLOOKUP(WWWW[[#This Row],[Site Name]],SiteDB6[],15,FALSE)</f>
        <v>93.995933532714801</v>
      </c>
      <c r="CL154" s="240" t="str">
        <f>VLOOKUP(WWWW[[#This Row],[Site Name]],SiteDB6[],4,FALSE)</f>
        <v>199261</v>
      </c>
      <c r="CM154" s="235" t="str">
        <f t="shared" si="2"/>
        <v>Covered</v>
      </c>
      <c r="CN154" s="240"/>
    </row>
    <row r="155" spans="1:92" ht="15.75" hidden="1" customHeight="1" x14ac:dyDescent="0.25">
      <c r="A155" s="548" t="s">
        <v>1409</v>
      </c>
      <c r="B155" s="530" t="s">
        <v>2570</v>
      </c>
      <c r="C155" s="531" t="s">
        <v>464</v>
      </c>
      <c r="D155" s="531" t="s">
        <v>496</v>
      </c>
      <c r="E155" s="531" t="s">
        <v>548</v>
      </c>
      <c r="F155" s="402">
        <f>ROUND(WWWW[[#This Row],[Total PoP ]]/5,0)</f>
        <v>84</v>
      </c>
      <c r="G155" s="405">
        <v>419</v>
      </c>
      <c r="H155" s="402"/>
      <c r="I155" s="402" t="s">
        <v>498</v>
      </c>
      <c r="J155" s="403">
        <v>43586</v>
      </c>
      <c r="K155" s="402"/>
      <c r="L155" s="402" t="s">
        <v>48</v>
      </c>
      <c r="M155" s="404">
        <v>0</v>
      </c>
      <c r="N155" s="366">
        <v>0</v>
      </c>
      <c r="O155" s="612">
        <v>0</v>
      </c>
      <c r="P155" s="606">
        <v>0</v>
      </c>
      <c r="Q155" s="606"/>
      <c r="R155" s="607"/>
      <c r="S155" s="607">
        <v>0</v>
      </c>
      <c r="T155" s="607"/>
      <c r="U155" s="607"/>
      <c r="V155" s="607"/>
      <c r="W155" s="607"/>
      <c r="X155" s="607"/>
      <c r="Y155" s="607"/>
      <c r="Z155" s="598">
        <v>0</v>
      </c>
      <c r="AA155" s="598"/>
      <c r="AB155" s="80"/>
      <c r="AC155" s="598">
        <v>0</v>
      </c>
      <c r="AD155" s="598" t="s">
        <v>296</v>
      </c>
      <c r="AE155" s="599" t="s">
        <v>296</v>
      </c>
      <c r="AF155" s="599"/>
      <c r="AG155" s="598"/>
      <c r="AH155" s="598"/>
      <c r="AI155" s="649">
        <v>0</v>
      </c>
      <c r="AJ155" s="650"/>
      <c r="AK155" s="650">
        <v>0</v>
      </c>
      <c r="AL155" s="645"/>
      <c r="AM155" s="645">
        <v>0</v>
      </c>
      <c r="AN155" s="646"/>
      <c r="AO155" s="600"/>
      <c r="AP155" s="600"/>
      <c r="AQ155" s="651"/>
      <c r="AR155" s="404" t="str">
        <f>IFERROR(WWWW[[#This Row],['# of Water passed at source]]/WWWW[[#This Row],['# of Water tested at source]],"no test")</f>
        <v>no test</v>
      </c>
      <c r="AS155" s="407" t="str">
        <f>IFERROR(WWWW[[#This Row],['# of Water passed at HH]]/WWWW[[#This Row],['# of Water tested at HH]],"no test")</f>
        <v>no test</v>
      </c>
      <c r="AT155" s="407">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U155" s="407">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AV155" s="407">
        <f>IF(WWWW[[#This Row],[Location Type 1]]="Village",WWWW[[#This Row],[Access to safe drinking water for Village]],WWWW[[#This Row],[Access to safe drinking water for Camp]])</f>
        <v>0</v>
      </c>
      <c r="AW155" s="405">
        <f>WWWW[[#This Row],[%Equitable and continuous access to sufficient quantity of safe drinking water]]*WWWW[[#This Row],[Total PoP ]]</f>
        <v>0</v>
      </c>
      <c r="AX155" s="407">
        <f>IF((WWWW[[#This Row],['# Existing protected/fenced ponds ]]*250)/WWWW[[#This Row],[Total PoP ]]&gt;1,1,WWWW[[#This Row],['# Existing protected/fenced ponds ]]*250/WWWW[[#This Row],[Total PoP ]])</f>
        <v>0</v>
      </c>
      <c r="AY155" s="405">
        <f>WWWW[[#This Row],[Access to unimproved water points]]*WWWW[[#This Row],[Total PoP ]]</f>
        <v>0</v>
      </c>
      <c r="AZ155" s="407">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A155" s="405">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B155" s="414">
        <f>ROUND(WWWW[[#This Row],['#people Equitable and continuous access to sufficient quantity of domestic water borehole n ponds_2]]/500,0)</f>
        <v>0</v>
      </c>
      <c r="BC155" s="404">
        <f>1-WWWW[[#This Row],[%Equitable and continuous access to sufficient quantity of domestic water borehole n ponds]]</f>
        <v>1</v>
      </c>
      <c r="BD155" s="405">
        <f>WWWW[[#This Row],[%equitable and continuous access to sufficient quantity of safe drinking and domestic water''s GAP]]*WWWW[[#This Row],[Total PoP ]]</f>
        <v>419</v>
      </c>
      <c r="BE155" s="406">
        <f>IF(WWWW[[#This Row],[Total required water points]]-WWWW[[#This Row],['#Water points coverage]]&lt;0,0,WWWW[[#This Row],[Total required water points]]-WWWW[[#This Row],['#Water points coverage]])</f>
        <v>1</v>
      </c>
      <c r="BF155" s="406">
        <f>ROUND(IF(WWWW[[#This Row],[Total PoP ]]&lt;500,1,WWWW[[#This Row],[Total PoP ]]/500),0)</f>
        <v>1</v>
      </c>
      <c r="BG155" s="406" t="str">
        <f>IF(AND(WWWW[[#This Row],[%of Water samples which passed at water source]]="no test",WWWW[[#This Row],[%Water samples which passed at HH]]="no test"),"No Test","Tested")</f>
        <v>No Test</v>
      </c>
      <c r="BH155" s="406">
        <f>WWWW[[#This Row],['# Existing functional latrines]]+WWWW[[#This Row],['# Existing latrines dysfunctional]]</f>
        <v>0</v>
      </c>
      <c r="BI155" s="404">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J155" s="676">
        <f>WWWW[[#This Row],[% people access to functioning Latrine]]*WWWW[[#This Row],[Total PoP ]]</f>
        <v>0</v>
      </c>
      <c r="BK155" s="404">
        <f>IF(WWWW[[#This Row],[Location Type 1]]="camp",WWWW[[#This Row],['# potential required new latrines]]/(WWWW[[#This Row],[Total PoP ]]/20),WWWW[[#This Row],['# potential required new latrines]]/(WWWW[[#This Row],[Total PoP ]]/6))</f>
        <v>1.0023866348448689</v>
      </c>
      <c r="BL155" s="405">
        <f>IF(WWWW[[#This Row],[Total required Latrines]]-WWWW[[#This Row],[Total '# of latrine]]&lt;0,0,WWWW[[#This Row],[Total required Latrines]]-WWWW[[#This Row],[Total '# of latrine]])</f>
        <v>70</v>
      </c>
      <c r="BM155" s="406">
        <f>ROUND(IF(WWWW[[#This Row],[Location Type 1]]="camp",WWWW[[#This Row],[Total PoP ]]/20,WWWW[[#This Row],[Total PoP ]]/6),0)</f>
        <v>70</v>
      </c>
      <c r="BN155" s="408">
        <f>IF(OR(WWWW[[#This Row],['# Existing latrines dysfunctional]]="",WWWW[[#This Row],['# Existing latrines dysfunctional]]=0),0,WWWW[[#This Row],['# Existing latrines dysfunctional]]/WWWW[[#This Row],[Total '# of latrine]])</f>
        <v>0</v>
      </c>
      <c r="BO155" s="676"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P155" s="404">
        <f>WWWW[[#This Row],[People adopt basic personal and community hygiene practices]]/WWWW[[#This Row],[Total PoP ]]</f>
        <v>0</v>
      </c>
      <c r="BQ155" s="408">
        <f>1-WWWW[[#This Row],[Hygiene Coverage%]]</f>
        <v>1</v>
      </c>
      <c r="BR155" s="405">
        <f>IF(500*WWWW[[#This Row],['# Hygiene Promoters ]]&gt;WWWW[[#This Row],[Total PoP ]],WWWW[[#This Row],[Total PoP ]],500*WWWW[[#This Row],['# Hygiene Promoters ]])</f>
        <v>0</v>
      </c>
      <c r="BS155" s="405">
        <f>IF(WWWW[[#This Row],[% of HH with access to Sanitary Pad]]&gt;=100%,1,0)</f>
        <v>0</v>
      </c>
      <c r="BT155" s="405">
        <f>IF(WWWW[[#This Row],[Total PoP ]]=0,0,IF(WWWW[[#This Row],['# Hygiene Promoters ]]=0,0,IF(WWWW[[#This Row],[Location Type 1]]="Village",IF(WWWW[[#This Row],[Total PoP ]]/WWWW[[#This Row],['# Hygiene Promoters ]]&lt;1000,1,0),IF(WWWW[[#This Row],[Total PoP ]]/WWWW[[#This Row],['# Hygiene Promoters ]]&lt;600,1,0))))</f>
        <v>0</v>
      </c>
      <c r="BU155" s="405">
        <f>IF(WWWW[[#This Row],[%HH with access to soap]]&gt;=100%,1,0)</f>
        <v>0</v>
      </c>
      <c r="BV155" s="405">
        <f>IF(WWWW[[#This Row],[% of HHs with access to Sanitary pad more than '#%]]+WWWW[[#This Row],[Ratio of Hyiene promoters to people less than '#]]+WWWW[[#This Row],[% of HHs with access to soap more than '#%]]&gt;=2,WWWW[[#This Row],[Total PoP ]],0)</f>
        <v>0</v>
      </c>
      <c r="BW155" s="391">
        <f>WWWW[[#This Row],['# people reached by regular dedicated hygiene promotion_5]]/WWWW[[#This Row],[Total PoP ]]</f>
        <v>0</v>
      </c>
      <c r="BX155" s="391">
        <f>IF(WWWW[[#This Row],['# HH received soaps]]/WWWW[[#This Row],[Total HH]]&gt;1,1,WWWW[[#This Row],['# HH received soaps]]/WWWW[[#This Row],[Total HH]])</f>
        <v>0</v>
      </c>
      <c r="BY155" s="391">
        <f>IF(WWWW[[#This Row],['# HH received Sanitary Pads]]/WWWW[[#This Row],[Total HH]]&gt;1,1,WWWW[[#This Row],['# HH received Sanitary Pads]]/WWWW[[#This Row],[Total HH]])</f>
        <v>0</v>
      </c>
      <c r="BZ155" s="721">
        <f>WWWW[[#This Row],['# HH received soaps]]*5</f>
        <v>0</v>
      </c>
      <c r="CA155" s="721">
        <f>WWWW[[#This Row],['# HH received Sanitary Pads]]*5</f>
        <v>0</v>
      </c>
      <c r="CB155" s="406">
        <f>IF(WWWW[[#This Row],['# People with access to soap]]&gt;WWWW[[#This Row],['# People with access to Sanity Pads]],WWWW[[#This Row],['# People with access to soap]],WWWW[[#This Row],['# People with access to Sanity Pads]])</f>
        <v>0</v>
      </c>
      <c r="CC155" s="405">
        <f>WWWW[[#This Row],[Total HH]]*WWWW[[#This Row],[%HHs with access to functional hand washing stations]]</f>
        <v>0</v>
      </c>
      <c r="CD155" s="240">
        <f>VLOOKUP(WWWW[[#This Row],[Site Name]],SiteDB6[],8,FALSE)</f>
        <v>0</v>
      </c>
      <c r="CE155" s="240">
        <f>VLOOKUP(WWWW[[#This Row],[Site Name]],SiteDB6[],9,FALSE)</f>
        <v>0</v>
      </c>
      <c r="CF155" s="240" t="str">
        <f>VLOOKUP(WWWW[[#This Row],[Site Name]],SiteDB6[],10,FALSE)</f>
        <v>Village_Not HRP</v>
      </c>
      <c r="CG155" s="240" t="str">
        <f>VLOOKUP(WWWW[[#This Row],[Site Name]],SiteDB6[],11,FALSE)</f>
        <v>Village</v>
      </c>
      <c r="CH155" s="240" t="str">
        <f>VLOOKUP(WWWW[[#This Row],[Site Name]],SiteDB6[],12,FALSE)</f>
        <v>Village_Not HRP</v>
      </c>
      <c r="CI155" s="240" t="str">
        <f>VLOOKUP(WWWW[[#This Row],[Site Name]],SiteDB6[],13,FALSE)</f>
        <v>Rakhine</v>
      </c>
      <c r="CJ155" s="240">
        <f>VLOOKUP(WWWW[[#This Row],[Site Name]],SiteDB6[],14,FALSE)</f>
        <v>19.615800857543899</v>
      </c>
      <c r="CK155" s="240">
        <f>VLOOKUP(WWWW[[#This Row],[Site Name]],SiteDB6[],15,FALSE)</f>
        <v>94.000473022460895</v>
      </c>
      <c r="CL155" s="240" t="str">
        <f>VLOOKUP(WWWW[[#This Row],[Site Name]],SiteDB6[],4,FALSE)</f>
        <v>199262</v>
      </c>
      <c r="CM155" s="235" t="str">
        <f t="shared" si="2"/>
        <v>Covered</v>
      </c>
      <c r="CN155" s="404"/>
    </row>
    <row r="156" spans="1:92" ht="15.75" hidden="1" customHeight="1" x14ac:dyDescent="0.25">
      <c r="A156" s="548" t="s">
        <v>1409</v>
      </c>
      <c r="B156" s="531" t="s">
        <v>2570</v>
      </c>
      <c r="C156" s="531" t="s">
        <v>464</v>
      </c>
      <c r="D156" s="531" t="s">
        <v>496</v>
      </c>
      <c r="E156" s="531" t="s">
        <v>549</v>
      </c>
      <c r="F156" s="402">
        <f>ROUND(WWWW[[#This Row],[Total PoP ]]/5,0)</f>
        <v>27</v>
      </c>
      <c r="G156" s="731">
        <v>136</v>
      </c>
      <c r="H156" s="314"/>
      <c r="I156" s="314" t="s">
        <v>498</v>
      </c>
      <c r="J156" s="315">
        <v>43586</v>
      </c>
      <c r="K156" s="314"/>
      <c r="L156" s="314" t="s">
        <v>48</v>
      </c>
      <c r="M156" s="316">
        <v>0</v>
      </c>
      <c r="N156" s="366">
        <v>0</v>
      </c>
      <c r="O156" s="612">
        <v>0</v>
      </c>
      <c r="P156" s="606">
        <v>0</v>
      </c>
      <c r="Q156" s="606"/>
      <c r="R156" s="607"/>
      <c r="S156" s="607">
        <v>0</v>
      </c>
      <c r="T156" s="607"/>
      <c r="U156" s="607"/>
      <c r="V156" s="607"/>
      <c r="W156" s="607"/>
      <c r="X156" s="604"/>
      <c r="Y156" s="607"/>
      <c r="Z156" s="628">
        <v>0</v>
      </c>
      <c r="AA156" s="599"/>
      <c r="AB156" s="628"/>
      <c r="AC156" s="628">
        <v>0</v>
      </c>
      <c r="AD156" s="598" t="s">
        <v>296</v>
      </c>
      <c r="AE156" s="599" t="s">
        <v>296</v>
      </c>
      <c r="AF156" s="80"/>
      <c r="AG156" s="80"/>
      <c r="AH156" s="599"/>
      <c r="AI156" s="649">
        <v>0</v>
      </c>
      <c r="AJ156" s="653"/>
      <c r="AK156" s="651">
        <v>0</v>
      </c>
      <c r="AL156" s="645"/>
      <c r="AM156" s="645">
        <v>0</v>
      </c>
      <c r="AN156" s="646"/>
      <c r="AO156" s="600"/>
      <c r="AP156" s="647"/>
      <c r="AQ156" s="658"/>
      <c r="AR156" s="235" t="str">
        <f>IFERROR(WWWW[[#This Row],['# of Water passed at source]]/WWWW[[#This Row],['# of Water tested at source]],"no test")</f>
        <v>no test</v>
      </c>
      <c r="AS156" s="237" t="str">
        <f>IFERROR(WWWW[[#This Row],['# of Water passed at HH]]/WWWW[[#This Row],['# of Water tested at HH]],"no test")</f>
        <v>no test</v>
      </c>
      <c r="AT156" s="237">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U156" s="237">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AV156" s="237">
        <f>IF(WWWW[[#This Row],[Location Type 1]]="Village",WWWW[[#This Row],[Access to safe drinking water for Village]],WWWW[[#This Row],[Access to safe drinking water for Camp]])</f>
        <v>0</v>
      </c>
      <c r="AW156" s="414">
        <f>WWWW[[#This Row],[%Equitable and continuous access to sufficient quantity of safe drinking water]]*WWWW[[#This Row],[Total PoP ]]</f>
        <v>0</v>
      </c>
      <c r="AX156" s="237">
        <f>IF((WWWW[[#This Row],['# Existing protected/fenced ponds ]]*250)/WWWW[[#This Row],[Total PoP ]]&gt;1,1,WWWW[[#This Row],['# Existing protected/fenced ponds ]]*250/WWWW[[#This Row],[Total PoP ]])</f>
        <v>0</v>
      </c>
      <c r="AY156" s="414">
        <f>WWWW[[#This Row],[Access to unimproved water points]]*WWWW[[#This Row],[Total PoP ]]</f>
        <v>0</v>
      </c>
      <c r="AZ156" s="237">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A156" s="414">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B156" s="414">
        <f>ROUND(WWWW[[#This Row],['#people Equitable and continuous access to sufficient quantity of domestic water borehole n ponds_2]]/500,0)</f>
        <v>0</v>
      </c>
      <c r="BC156" s="235">
        <f>1-WWWW[[#This Row],[%Equitable and continuous access to sufficient quantity of domestic water borehole n ponds]]</f>
        <v>1</v>
      </c>
      <c r="BD156" s="414">
        <f>WWWW[[#This Row],[%equitable and continuous access to sufficient quantity of safe drinking and domestic water''s GAP]]*WWWW[[#This Row],[Total PoP ]]</f>
        <v>136</v>
      </c>
      <c r="BE156" s="238">
        <f>IF(WWWW[[#This Row],[Total required water points]]-WWWW[[#This Row],['#Water points coverage]]&lt;0,0,WWWW[[#This Row],[Total required water points]]-WWWW[[#This Row],['#Water points coverage]])</f>
        <v>1</v>
      </c>
      <c r="BF156" s="238">
        <f>ROUND(IF(WWWW[[#This Row],[Total PoP ]]&lt;500,1,WWWW[[#This Row],[Total PoP ]]/500),0)</f>
        <v>1</v>
      </c>
      <c r="BG156" s="238" t="str">
        <f>IF(AND(WWWW[[#This Row],[%of Water samples which passed at water source]]="no test",WWWW[[#This Row],[%Water samples which passed at HH]]="no test"),"No Test","Tested")</f>
        <v>No Test</v>
      </c>
      <c r="BH156" s="238">
        <f>WWWW[[#This Row],['# Existing functional latrines]]+WWWW[[#This Row],['# Existing latrines dysfunctional]]</f>
        <v>0</v>
      </c>
      <c r="BI156" s="235">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J156" s="675">
        <f>WWWW[[#This Row],[% people access to functioning Latrine]]*WWWW[[#This Row],[Total PoP ]]</f>
        <v>0</v>
      </c>
      <c r="BK156" s="235">
        <f>IF(WWWW[[#This Row],[Location Type 1]]="camp",WWWW[[#This Row],['# potential required new latrines]]/(WWWW[[#This Row],[Total PoP ]]/20),WWWW[[#This Row],['# potential required new latrines]]/(WWWW[[#This Row],[Total PoP ]]/6))</f>
        <v>1.0147058823529411</v>
      </c>
      <c r="BL156" s="414">
        <f>IF(WWWW[[#This Row],[Total required Latrines]]-WWWW[[#This Row],[Total '# of latrine]]&lt;0,0,WWWW[[#This Row],[Total required Latrines]]-WWWW[[#This Row],[Total '# of latrine]])</f>
        <v>23</v>
      </c>
      <c r="BM156" s="238">
        <f>ROUND(IF(WWWW[[#This Row],[Location Type 1]]="camp",WWWW[[#This Row],[Total PoP ]]/20,WWWW[[#This Row],[Total PoP ]]/6),0)</f>
        <v>23</v>
      </c>
      <c r="BN156" s="239">
        <f>IF(OR(WWWW[[#This Row],['# Existing latrines dysfunctional]]="",WWWW[[#This Row],['# Existing latrines dysfunctional]]=0),0,WWWW[[#This Row],['# Existing latrines dysfunctional]]/WWWW[[#This Row],[Total '# of latrine]])</f>
        <v>0</v>
      </c>
      <c r="BO156" s="675"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P156" s="235">
        <f>WWWW[[#This Row],[People adopt basic personal and community hygiene practices]]/WWWW[[#This Row],[Total PoP ]]</f>
        <v>0</v>
      </c>
      <c r="BQ156" s="239">
        <f>1-WWWW[[#This Row],[Hygiene Coverage%]]</f>
        <v>1</v>
      </c>
      <c r="BR156" s="414">
        <f>IF(500*WWWW[[#This Row],['# Hygiene Promoters ]]&gt;WWWW[[#This Row],[Total PoP ]],WWWW[[#This Row],[Total PoP ]],500*WWWW[[#This Row],['# Hygiene Promoters ]])</f>
        <v>0</v>
      </c>
      <c r="BS156" s="414">
        <f>IF(WWWW[[#This Row],[% of HH with access to Sanitary Pad]]&gt;=100%,1,0)</f>
        <v>0</v>
      </c>
      <c r="BT156" s="414">
        <f>IF(WWWW[[#This Row],[Total PoP ]]=0,0,IF(WWWW[[#This Row],['# Hygiene Promoters ]]=0,0,IF(WWWW[[#This Row],[Location Type 1]]="Village",IF(WWWW[[#This Row],[Total PoP ]]/WWWW[[#This Row],['# Hygiene Promoters ]]&lt;1000,1,0),IF(WWWW[[#This Row],[Total PoP ]]/WWWW[[#This Row],['# Hygiene Promoters ]]&lt;600,1,0))))</f>
        <v>0</v>
      </c>
      <c r="BU156" s="414">
        <f>IF(WWWW[[#This Row],[%HH with access to soap]]&gt;=100%,1,0)</f>
        <v>0</v>
      </c>
      <c r="BV156" s="414">
        <f>IF(WWWW[[#This Row],[% of HHs with access to Sanitary pad more than '#%]]+WWWW[[#This Row],[Ratio of Hyiene promoters to people less than '#]]+WWWW[[#This Row],[% of HHs with access to soap more than '#%]]&gt;=2,WWWW[[#This Row],[Total PoP ]],0)</f>
        <v>0</v>
      </c>
      <c r="BW156" s="346">
        <f>WWWW[[#This Row],['# people reached by regular dedicated hygiene promotion_5]]/WWWW[[#This Row],[Total PoP ]]</f>
        <v>0</v>
      </c>
      <c r="BX156" s="346">
        <f>IF(WWWW[[#This Row],['# HH received soaps]]/WWWW[[#This Row],[Total HH]]&gt;1,1,WWWW[[#This Row],['# HH received soaps]]/WWWW[[#This Row],[Total HH]])</f>
        <v>0</v>
      </c>
      <c r="BY156" s="346">
        <f>IF(WWWW[[#This Row],['# HH received Sanitary Pads]]/WWWW[[#This Row],[Total HH]]&gt;1,1,WWWW[[#This Row],['# HH received Sanitary Pads]]/WWWW[[#This Row],[Total HH]])</f>
        <v>0</v>
      </c>
      <c r="BZ156" s="720">
        <f>WWWW[[#This Row],['# HH received soaps]]*5</f>
        <v>0</v>
      </c>
      <c r="CA156" s="720">
        <f>WWWW[[#This Row],['# HH received Sanitary Pads]]*5</f>
        <v>0</v>
      </c>
      <c r="CB156" s="238">
        <f>IF(WWWW[[#This Row],['# People with access to soap]]&gt;WWWW[[#This Row],['# People with access to Sanity Pads]],WWWW[[#This Row],['# People with access to soap]],WWWW[[#This Row],['# People with access to Sanity Pads]])</f>
        <v>0</v>
      </c>
      <c r="CC156" s="414">
        <f>WWWW[[#This Row],[Total HH]]*WWWW[[#This Row],[%HHs with access to functional hand washing stations]]</f>
        <v>0</v>
      </c>
      <c r="CD156" s="240">
        <f>VLOOKUP(WWWW[[#This Row],[Site Name]],SiteDB6[],8,FALSE)</f>
        <v>0</v>
      </c>
      <c r="CE156" s="240">
        <f>VLOOKUP(WWWW[[#This Row],[Site Name]],SiteDB6[],9,FALSE)</f>
        <v>0</v>
      </c>
      <c r="CF156" s="240" t="str">
        <f>VLOOKUP(WWWW[[#This Row],[Site Name]],SiteDB6[],10,FALSE)</f>
        <v>Village_Not HRP</v>
      </c>
      <c r="CG156" s="240" t="str">
        <f>VLOOKUP(WWWW[[#This Row],[Site Name]],SiteDB6[],11,FALSE)</f>
        <v>Village</v>
      </c>
      <c r="CH156" s="240" t="str">
        <f>VLOOKUP(WWWW[[#This Row],[Site Name]],SiteDB6[],12,FALSE)</f>
        <v>Village_Not HRP</v>
      </c>
      <c r="CI156" s="240" t="str">
        <f>VLOOKUP(WWWW[[#This Row],[Site Name]],SiteDB6[],13,FALSE)</f>
        <v>Chin+Rakhine</v>
      </c>
      <c r="CJ156" s="240">
        <f>VLOOKUP(WWWW[[#This Row],[Site Name]],SiteDB6[],14,FALSE)</f>
        <v>19.619289398193398</v>
      </c>
      <c r="CK156" s="240">
        <f>VLOOKUP(WWWW[[#This Row],[Site Name]],SiteDB6[],15,FALSE)</f>
        <v>93.959686279296903</v>
      </c>
      <c r="CL156" s="240" t="str">
        <f>VLOOKUP(WWWW[[#This Row],[Site Name]],SiteDB6[],4,FALSE)</f>
        <v>199266</v>
      </c>
      <c r="CM156" s="235" t="str">
        <f t="shared" si="2"/>
        <v>Covered</v>
      </c>
      <c r="CN156" s="235"/>
    </row>
    <row r="157" spans="1:92" ht="15.75" hidden="1" customHeight="1" x14ac:dyDescent="0.25">
      <c r="A157" s="548" t="s">
        <v>1409</v>
      </c>
      <c r="B157" s="531" t="s">
        <v>2570</v>
      </c>
      <c r="C157" s="531" t="s">
        <v>464</v>
      </c>
      <c r="D157" s="531" t="s">
        <v>496</v>
      </c>
      <c r="E157" s="530" t="s">
        <v>550</v>
      </c>
      <c r="F157" s="402">
        <f>ROUND(WWWW[[#This Row],[Total PoP ]]/5,0)</f>
        <v>72</v>
      </c>
      <c r="G157" s="731">
        <v>360</v>
      </c>
      <c r="H157" s="314"/>
      <c r="I157" s="314" t="s">
        <v>498</v>
      </c>
      <c r="J157" s="365">
        <v>43586</v>
      </c>
      <c r="K157" s="365"/>
      <c r="L157" s="364" t="s">
        <v>48</v>
      </c>
      <c r="M157" s="366">
        <v>0</v>
      </c>
      <c r="N157" s="366">
        <v>0</v>
      </c>
      <c r="O157" s="601">
        <v>0</v>
      </c>
      <c r="P157" s="602">
        <v>0</v>
      </c>
      <c r="Q157" s="602"/>
      <c r="R157" s="603"/>
      <c r="S157" s="603">
        <v>0</v>
      </c>
      <c r="T157" s="604"/>
      <c r="U157" s="604"/>
      <c r="V157" s="604"/>
      <c r="W157" s="604"/>
      <c r="X157" s="604"/>
      <c r="Y157" s="604"/>
      <c r="Z157" s="628">
        <v>0</v>
      </c>
      <c r="AA157" s="628"/>
      <c r="AB157" s="629"/>
      <c r="AC157" s="630">
        <v>0</v>
      </c>
      <c r="AD157" s="630" t="s">
        <v>296</v>
      </c>
      <c r="AE157" s="631" t="s">
        <v>296</v>
      </c>
      <c r="AF157" s="631"/>
      <c r="AG157" s="631"/>
      <c r="AH157" s="630"/>
      <c r="AI157" s="642">
        <v>0</v>
      </c>
      <c r="AJ157" s="643"/>
      <c r="AK157" s="644">
        <v>0</v>
      </c>
      <c r="AL157" s="645"/>
      <c r="AM157" s="645">
        <v>0</v>
      </c>
      <c r="AN157" s="646"/>
      <c r="AO157" s="647"/>
      <c r="AP157" s="647"/>
      <c r="AQ157" s="648"/>
      <c r="AR157" s="235" t="str">
        <f>IFERROR(WWWW[[#This Row],['# of Water passed at source]]/WWWW[[#This Row],['# of Water tested at source]],"no test")</f>
        <v>no test</v>
      </c>
      <c r="AS157" s="237" t="str">
        <f>IFERROR(WWWW[[#This Row],['# of Water passed at HH]]/WWWW[[#This Row],['# of Water tested at HH]],"no test")</f>
        <v>no test</v>
      </c>
      <c r="AT157" s="400">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U157" s="400">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AV157" s="400">
        <f>IF(WWWW[[#This Row],[Location Type 1]]="Village",WWWW[[#This Row],[Access to safe drinking water for Village]],WWWW[[#This Row],[Access to safe drinking water for Camp]])</f>
        <v>0</v>
      </c>
      <c r="AW157" s="414">
        <f>WWWW[[#This Row],[%Equitable and continuous access to sufficient quantity of safe drinking water]]*WWWW[[#This Row],[Total PoP ]]</f>
        <v>0</v>
      </c>
      <c r="AX157" s="400">
        <f>IF((WWWW[[#This Row],['# Existing protected/fenced ponds ]]*250)/WWWW[[#This Row],[Total PoP ]]&gt;1,1,WWWW[[#This Row],['# Existing protected/fenced ponds ]]*250/WWWW[[#This Row],[Total PoP ]])</f>
        <v>0</v>
      </c>
      <c r="AY157" s="367">
        <f>WWWW[[#This Row],[Access to unimproved water points]]*WWWW[[#This Row],[Total PoP ]]</f>
        <v>0</v>
      </c>
      <c r="AZ157" s="400">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A157" s="367">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B157" s="414">
        <f>ROUND(WWWW[[#This Row],['#people Equitable and continuous access to sufficient quantity of domestic water borehole n ponds_2]]/500,0)</f>
        <v>0</v>
      </c>
      <c r="BC157" s="235">
        <f>1-WWWW[[#This Row],[%Equitable and continuous access to sufficient quantity of domestic water borehole n ponds]]</f>
        <v>1</v>
      </c>
      <c r="BD157" s="367">
        <f>WWWW[[#This Row],[%equitable and continuous access to sufficient quantity of safe drinking and domestic water''s GAP]]*WWWW[[#This Row],[Total PoP ]]</f>
        <v>360</v>
      </c>
      <c r="BE157" s="238">
        <f>IF(WWWW[[#This Row],[Total required water points]]-WWWW[[#This Row],['#Water points coverage]]&lt;0,0,WWWW[[#This Row],[Total required water points]]-WWWW[[#This Row],['#Water points coverage]])</f>
        <v>1</v>
      </c>
      <c r="BF157" s="368">
        <f>ROUND(IF(WWWW[[#This Row],[Total PoP ]]&lt;500,1,WWWW[[#This Row],[Total PoP ]]/500),0)</f>
        <v>1</v>
      </c>
      <c r="BG157" s="368" t="str">
        <f>IF(AND(WWWW[[#This Row],[%of Water samples which passed at water source]]="no test",WWWW[[#This Row],[%Water samples which passed at HH]]="no test"),"No Test","Tested")</f>
        <v>No Test</v>
      </c>
      <c r="BH157" s="238">
        <f>WWWW[[#This Row],['# Existing functional latrines]]+WWWW[[#This Row],['# Existing latrines dysfunctional]]</f>
        <v>0</v>
      </c>
      <c r="BI157" s="366">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J157" s="675">
        <f>WWWW[[#This Row],[% people access to functioning Latrine]]*WWWW[[#This Row],[Total PoP ]]</f>
        <v>0</v>
      </c>
      <c r="BK157" s="235">
        <f>IF(WWWW[[#This Row],[Location Type 1]]="camp",WWWW[[#This Row],['# potential required new latrines]]/(WWWW[[#This Row],[Total PoP ]]/20),WWWW[[#This Row],['# potential required new latrines]]/(WWWW[[#This Row],[Total PoP ]]/6))</f>
        <v>1</v>
      </c>
      <c r="BL157" s="414">
        <f>IF(WWWW[[#This Row],[Total required Latrines]]-WWWW[[#This Row],[Total '# of latrine]]&lt;0,0,WWWW[[#This Row],[Total required Latrines]]-WWWW[[#This Row],[Total '# of latrine]])</f>
        <v>60</v>
      </c>
      <c r="BM157" s="368">
        <f>ROUND(IF(WWWW[[#This Row],[Location Type 1]]="camp",WWWW[[#This Row],[Total PoP ]]/20,WWWW[[#This Row],[Total PoP ]]/6),0)</f>
        <v>60</v>
      </c>
      <c r="BN157" s="369">
        <f>IF(OR(WWWW[[#This Row],['# Existing latrines dysfunctional]]="",WWWW[[#This Row],['# Existing latrines dysfunctional]]=0),0,WWWW[[#This Row],['# Existing latrines dysfunctional]]/WWWW[[#This Row],[Total '# of latrine]])</f>
        <v>0</v>
      </c>
      <c r="BO157" s="675"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P157" s="235">
        <f>WWWW[[#This Row],[People adopt basic personal and community hygiene practices]]/WWWW[[#This Row],[Total PoP ]]</f>
        <v>0</v>
      </c>
      <c r="BQ157" s="369">
        <f>1-WWWW[[#This Row],[Hygiene Coverage%]]</f>
        <v>1</v>
      </c>
      <c r="BR157" s="367">
        <f>IF(500*WWWW[[#This Row],['# Hygiene Promoters ]]&gt;WWWW[[#This Row],[Total PoP ]],WWWW[[#This Row],[Total PoP ]],500*WWWW[[#This Row],['# Hygiene Promoters ]])</f>
        <v>0</v>
      </c>
      <c r="BS157" s="367">
        <f>IF(WWWW[[#This Row],[% of HH with access to Sanitary Pad]]&gt;=100%,1,0)</f>
        <v>0</v>
      </c>
      <c r="BT157" s="367">
        <f>IF(WWWW[[#This Row],[Total PoP ]]=0,0,IF(WWWW[[#This Row],['# Hygiene Promoters ]]=0,0,IF(WWWW[[#This Row],[Location Type 1]]="Village",IF(WWWW[[#This Row],[Total PoP ]]/WWWW[[#This Row],['# Hygiene Promoters ]]&lt;1000,1,0),IF(WWWW[[#This Row],[Total PoP ]]/WWWW[[#This Row],['# Hygiene Promoters ]]&lt;600,1,0))))</f>
        <v>0</v>
      </c>
      <c r="BU157" s="367">
        <f>IF(WWWW[[#This Row],[%HH with access to soap]]&gt;=100%,1,0)</f>
        <v>0</v>
      </c>
      <c r="BV157" s="367">
        <f>IF(WWWW[[#This Row],[% of HHs with access to Sanitary pad more than '#%]]+WWWW[[#This Row],[Ratio of Hyiene promoters to people less than '#]]+WWWW[[#This Row],[% of HHs with access to soap more than '#%]]&gt;=2,WWWW[[#This Row],[Total PoP ]],0)</f>
        <v>0</v>
      </c>
      <c r="BW157" s="346">
        <f>WWWW[[#This Row],['# people reached by regular dedicated hygiene promotion_5]]/WWWW[[#This Row],[Total PoP ]]</f>
        <v>0</v>
      </c>
      <c r="BX157" s="346">
        <f>IF(WWWW[[#This Row],['# HH received soaps]]/WWWW[[#This Row],[Total HH]]&gt;1,1,WWWW[[#This Row],['# HH received soaps]]/WWWW[[#This Row],[Total HH]])</f>
        <v>0</v>
      </c>
      <c r="BY157" s="346">
        <f>IF(WWWW[[#This Row],['# HH received Sanitary Pads]]/WWWW[[#This Row],[Total HH]]&gt;1,1,WWWW[[#This Row],['# HH received Sanitary Pads]]/WWWW[[#This Row],[Total HH]])</f>
        <v>0</v>
      </c>
      <c r="BZ157" s="720">
        <f>WWWW[[#This Row],['# HH received soaps]]*5</f>
        <v>0</v>
      </c>
      <c r="CA157" s="720">
        <f>WWWW[[#This Row],['# HH received Sanitary Pads]]*5</f>
        <v>0</v>
      </c>
      <c r="CB157" s="238">
        <f>IF(WWWW[[#This Row],['# People with access to soap]]&gt;WWWW[[#This Row],['# People with access to Sanity Pads]],WWWW[[#This Row],['# People with access to soap]],WWWW[[#This Row],['# People with access to Sanity Pads]])</f>
        <v>0</v>
      </c>
      <c r="CC157" s="367">
        <f>WWWW[[#This Row],[Total HH]]*WWWW[[#This Row],[%HHs with access to functional hand washing stations]]</f>
        <v>0</v>
      </c>
      <c r="CD157" s="240">
        <f>VLOOKUP(WWWW[[#This Row],[Site Name]],SiteDB6[],8,FALSE)</f>
        <v>0</v>
      </c>
      <c r="CE157" s="240">
        <f>VLOOKUP(WWWW[[#This Row],[Site Name]],SiteDB6[],9,FALSE)</f>
        <v>0</v>
      </c>
      <c r="CF157" s="240" t="str">
        <f>VLOOKUP(WWWW[[#This Row],[Site Name]],SiteDB6[],10,FALSE)</f>
        <v>Village_Not HRP</v>
      </c>
      <c r="CG157" s="240" t="str">
        <f>VLOOKUP(WWWW[[#This Row],[Site Name]],SiteDB6[],11,FALSE)</f>
        <v>Village</v>
      </c>
      <c r="CH157" s="240" t="str">
        <f>VLOOKUP(WWWW[[#This Row],[Site Name]],SiteDB6[],12,FALSE)</f>
        <v>Village_Not HRP</v>
      </c>
      <c r="CI157" s="240" t="str">
        <f>VLOOKUP(WWWW[[#This Row],[Site Name]],SiteDB6[],13,FALSE)</f>
        <v>Rakhine</v>
      </c>
      <c r="CJ157" s="240">
        <f>VLOOKUP(WWWW[[#This Row],[Site Name]],SiteDB6[],14,FALSE)</f>
        <v>19.627199172973601</v>
      </c>
      <c r="CK157" s="240">
        <f>VLOOKUP(WWWW[[#This Row],[Site Name]],SiteDB6[],15,FALSE)</f>
        <v>93.962989807128906</v>
      </c>
      <c r="CL157" s="240" t="str">
        <f>VLOOKUP(WWWW[[#This Row],[Site Name]],SiteDB6[],4,FALSE)</f>
        <v>199265</v>
      </c>
      <c r="CM157" s="235" t="str">
        <f t="shared" si="2"/>
        <v>Covered</v>
      </c>
      <c r="CN157" s="366"/>
    </row>
    <row r="158" spans="1:92" ht="15.75" hidden="1" customHeight="1" x14ac:dyDescent="0.25">
      <c r="A158" s="548" t="s">
        <v>1409</v>
      </c>
      <c r="B158" s="530" t="s">
        <v>2570</v>
      </c>
      <c r="C158" s="531" t="s">
        <v>464</v>
      </c>
      <c r="D158" s="531" t="s">
        <v>496</v>
      </c>
      <c r="E158" s="531" t="s">
        <v>551</v>
      </c>
      <c r="F158" s="41">
        <f>ROUND(WWWW[[#This Row],[Total PoP ]]/5,0)</f>
        <v>89</v>
      </c>
      <c r="G158" s="405">
        <v>443</v>
      </c>
      <c r="H158" s="41"/>
      <c r="I158" s="41" t="s">
        <v>498</v>
      </c>
      <c r="J158" s="388">
        <v>43586</v>
      </c>
      <c r="K158" s="41"/>
      <c r="L158" s="41" t="s">
        <v>48</v>
      </c>
      <c r="M158" s="404">
        <v>0</v>
      </c>
      <c r="N158" s="366">
        <v>0</v>
      </c>
      <c r="O158" s="612">
        <v>0</v>
      </c>
      <c r="P158" s="606">
        <v>0</v>
      </c>
      <c r="Q158" s="606"/>
      <c r="R158" s="607"/>
      <c r="S158" s="607">
        <v>0</v>
      </c>
      <c r="T158" s="607"/>
      <c r="U158" s="607"/>
      <c r="V158" s="607"/>
      <c r="W158" s="607"/>
      <c r="X158" s="607"/>
      <c r="Y158" s="607"/>
      <c r="Z158" s="598">
        <v>0</v>
      </c>
      <c r="AA158" s="598"/>
      <c r="AB158" s="80"/>
      <c r="AC158" s="598">
        <v>0</v>
      </c>
      <c r="AD158" s="598" t="s">
        <v>296</v>
      </c>
      <c r="AE158" s="599" t="s">
        <v>296</v>
      </c>
      <c r="AF158" s="599"/>
      <c r="AG158" s="598"/>
      <c r="AH158" s="598"/>
      <c r="AI158" s="649">
        <v>0</v>
      </c>
      <c r="AJ158" s="650"/>
      <c r="AK158" s="650">
        <v>0</v>
      </c>
      <c r="AL158" s="645"/>
      <c r="AM158" s="645">
        <v>0</v>
      </c>
      <c r="AN158" s="646"/>
      <c r="AO158" s="600"/>
      <c r="AP158" s="600"/>
      <c r="AQ158" s="651"/>
      <c r="AR158" s="42" t="str">
        <f>IFERROR(WWWW[[#This Row],['# of Water passed at source]]/WWWW[[#This Row],['# of Water tested at source]],"no test")</f>
        <v>no test</v>
      </c>
      <c r="AS158" s="389" t="str">
        <f>IFERROR(WWWW[[#This Row],['# of Water passed at HH]]/WWWW[[#This Row],['# of Water tested at HH]],"no test")</f>
        <v>no test</v>
      </c>
      <c r="AT158" s="407">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U158" s="407">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AV158" s="407">
        <f>IF(WWWW[[#This Row],[Location Type 1]]="Village",WWWW[[#This Row],[Access to safe drinking water for Village]],WWWW[[#This Row],[Access to safe drinking water for Camp]])</f>
        <v>0</v>
      </c>
      <c r="AW158" s="405">
        <f>WWWW[[#This Row],[%Equitable and continuous access to sufficient quantity of safe drinking water]]*WWWW[[#This Row],[Total PoP ]]</f>
        <v>0</v>
      </c>
      <c r="AX158" s="407">
        <f>IF((WWWW[[#This Row],['# Existing protected/fenced ponds ]]*250)/WWWW[[#This Row],[Total PoP ]]&gt;1,1,WWWW[[#This Row],['# Existing protected/fenced ponds ]]*250/WWWW[[#This Row],[Total PoP ]])</f>
        <v>0</v>
      </c>
      <c r="AY158" s="43">
        <f>WWWW[[#This Row],[Access to unimproved water points]]*WWWW[[#This Row],[Total PoP ]]</f>
        <v>0</v>
      </c>
      <c r="AZ158" s="407">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A158" s="405">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B158" s="414">
        <f>ROUND(WWWW[[#This Row],['#people Equitable and continuous access to sufficient quantity of domestic water borehole n ponds_2]]/500,0)</f>
        <v>0</v>
      </c>
      <c r="BC158" s="42">
        <f>1-WWWW[[#This Row],[%Equitable and continuous access to sufficient quantity of domestic water borehole n ponds]]</f>
        <v>1</v>
      </c>
      <c r="BD158" s="43">
        <f>WWWW[[#This Row],[%equitable and continuous access to sufficient quantity of safe drinking and domestic water''s GAP]]*WWWW[[#This Row],[Total PoP ]]</f>
        <v>443</v>
      </c>
      <c r="BE158" s="406">
        <f>IF(WWWW[[#This Row],[Total required water points]]-WWWW[[#This Row],['#Water points coverage]]&lt;0,0,WWWW[[#This Row],[Total required water points]]-WWWW[[#This Row],['#Water points coverage]])</f>
        <v>1</v>
      </c>
      <c r="BF158" s="406">
        <f>ROUND(IF(WWWW[[#This Row],[Total PoP ]]&lt;500,1,WWWW[[#This Row],[Total PoP ]]/500),0)</f>
        <v>1</v>
      </c>
      <c r="BG158" s="97" t="str">
        <f>IF(AND(WWWW[[#This Row],[%of Water samples which passed at water source]]="no test",WWWW[[#This Row],[%Water samples which passed at HH]]="no test"),"No Test","Tested")</f>
        <v>No Test</v>
      </c>
      <c r="BH158" s="97">
        <f>WWWW[[#This Row],['# Existing functional latrines]]+WWWW[[#This Row],['# Existing latrines dysfunctional]]</f>
        <v>0</v>
      </c>
      <c r="BI158" s="42">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J158" s="676">
        <f>WWWW[[#This Row],[% people access to functioning Latrine]]*WWWW[[#This Row],[Total PoP ]]</f>
        <v>0</v>
      </c>
      <c r="BK158" s="42">
        <f>IF(WWWW[[#This Row],[Location Type 1]]="camp",WWWW[[#This Row],['# potential required new latrines]]/(WWWW[[#This Row],[Total PoP ]]/20),WWWW[[#This Row],['# potential required new latrines]]/(WWWW[[#This Row],[Total PoP ]]/6))</f>
        <v>1.0022573363431151</v>
      </c>
      <c r="BL158" s="43">
        <f>IF(WWWW[[#This Row],[Total required Latrines]]-WWWW[[#This Row],[Total '# of latrine]]&lt;0,0,WWWW[[#This Row],[Total required Latrines]]-WWWW[[#This Row],[Total '# of latrine]])</f>
        <v>74</v>
      </c>
      <c r="BM158" s="97">
        <f>ROUND(IF(WWWW[[#This Row],[Location Type 1]]="camp",WWWW[[#This Row],[Total PoP ]]/20,WWWW[[#This Row],[Total PoP ]]/6),0)</f>
        <v>74</v>
      </c>
      <c r="BN158" s="390">
        <f>IF(OR(WWWW[[#This Row],['# Existing latrines dysfunctional]]="",WWWW[[#This Row],['# Existing latrines dysfunctional]]=0),0,WWWW[[#This Row],['# Existing latrines dysfunctional]]/WWWW[[#This Row],[Total '# of latrine]])</f>
        <v>0</v>
      </c>
      <c r="BO158" s="676"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P158" s="42">
        <f>WWWW[[#This Row],[People adopt basic personal and community hygiene practices]]/WWWW[[#This Row],[Total PoP ]]</f>
        <v>0</v>
      </c>
      <c r="BQ158" s="390">
        <f>1-WWWW[[#This Row],[Hygiene Coverage%]]</f>
        <v>1</v>
      </c>
      <c r="BR158" s="405">
        <f>IF(500*WWWW[[#This Row],['# Hygiene Promoters ]]&gt;WWWW[[#This Row],[Total PoP ]],WWWW[[#This Row],[Total PoP ]],500*WWWW[[#This Row],['# Hygiene Promoters ]])</f>
        <v>0</v>
      </c>
      <c r="BS158" s="405">
        <f>IF(WWWW[[#This Row],[% of HH with access to Sanitary Pad]]&gt;=100%,1,0)</f>
        <v>0</v>
      </c>
      <c r="BT158" s="405">
        <f>IF(WWWW[[#This Row],[Total PoP ]]=0,0,IF(WWWW[[#This Row],['# Hygiene Promoters ]]=0,0,IF(WWWW[[#This Row],[Location Type 1]]="Village",IF(WWWW[[#This Row],[Total PoP ]]/WWWW[[#This Row],['# Hygiene Promoters ]]&lt;1000,1,0),IF(WWWW[[#This Row],[Total PoP ]]/WWWW[[#This Row],['# Hygiene Promoters ]]&lt;600,1,0))))</f>
        <v>0</v>
      </c>
      <c r="BU158" s="405">
        <f>IF(WWWW[[#This Row],[%HH with access to soap]]&gt;=100%,1,0)</f>
        <v>0</v>
      </c>
      <c r="BV158" s="405">
        <f>IF(WWWW[[#This Row],[% of HHs with access to Sanitary pad more than '#%]]+WWWW[[#This Row],[Ratio of Hyiene promoters to people less than '#]]+WWWW[[#This Row],[% of HHs with access to soap more than '#%]]&gt;=2,WWWW[[#This Row],[Total PoP ]],0)</f>
        <v>0</v>
      </c>
      <c r="BW158" s="391">
        <f>WWWW[[#This Row],['# people reached by regular dedicated hygiene promotion_5]]/WWWW[[#This Row],[Total PoP ]]</f>
        <v>0</v>
      </c>
      <c r="BX158" s="391">
        <f>IF(WWWW[[#This Row],['# HH received soaps]]/WWWW[[#This Row],[Total HH]]&gt;1,1,WWWW[[#This Row],['# HH received soaps]]/WWWW[[#This Row],[Total HH]])</f>
        <v>0</v>
      </c>
      <c r="BY158" s="391">
        <f>IF(WWWW[[#This Row],['# HH received Sanitary Pads]]/WWWW[[#This Row],[Total HH]]&gt;1,1,WWWW[[#This Row],['# HH received Sanitary Pads]]/WWWW[[#This Row],[Total HH]])</f>
        <v>0</v>
      </c>
      <c r="BZ158" s="721">
        <f>WWWW[[#This Row],['# HH received soaps]]*5</f>
        <v>0</v>
      </c>
      <c r="CA158" s="721">
        <f>WWWW[[#This Row],['# HH received Sanitary Pads]]*5</f>
        <v>0</v>
      </c>
      <c r="CB158" s="406">
        <f>IF(WWWW[[#This Row],['# People with access to soap]]&gt;WWWW[[#This Row],['# People with access to Sanity Pads]],WWWW[[#This Row],['# People with access to soap]],WWWW[[#This Row],['# People with access to Sanity Pads]])</f>
        <v>0</v>
      </c>
      <c r="CC158" s="43">
        <f>WWWW[[#This Row],[Total HH]]*WWWW[[#This Row],[%HHs with access to functional hand washing stations]]</f>
        <v>0</v>
      </c>
      <c r="CD158" s="240">
        <f>VLOOKUP(WWWW[[#This Row],[Site Name]],SiteDB6[],8,FALSE)</f>
        <v>0</v>
      </c>
      <c r="CE158" s="240">
        <f>VLOOKUP(WWWW[[#This Row],[Site Name]],SiteDB6[],9,FALSE)</f>
        <v>0</v>
      </c>
      <c r="CF158" s="240" t="str">
        <f>VLOOKUP(WWWW[[#This Row],[Site Name]],SiteDB6[],10,FALSE)</f>
        <v>Village_Not HRP</v>
      </c>
      <c r="CG158" s="240" t="str">
        <f>VLOOKUP(WWWW[[#This Row],[Site Name]],SiteDB6[],11,FALSE)</f>
        <v>Village</v>
      </c>
      <c r="CH158" s="240" t="str">
        <f>VLOOKUP(WWWW[[#This Row],[Site Name]],SiteDB6[],12,FALSE)</f>
        <v>Village_Not HRP</v>
      </c>
      <c r="CI158" s="240" t="str">
        <f>VLOOKUP(WWWW[[#This Row],[Site Name]],SiteDB6[],13,FALSE)</f>
        <v>Chin+Rakhine</v>
      </c>
      <c r="CJ158" s="240">
        <f>VLOOKUP(WWWW[[#This Row],[Site Name]],SiteDB6[],14,FALSE)</f>
        <v>19.639009475708001</v>
      </c>
      <c r="CK158" s="240">
        <f>VLOOKUP(WWWW[[#This Row],[Site Name]],SiteDB6[],15,FALSE)</f>
        <v>94.036079406738295</v>
      </c>
      <c r="CL158" s="240" t="str">
        <f>VLOOKUP(WWWW[[#This Row],[Site Name]],SiteDB6[],4,FALSE)</f>
        <v>199223</v>
      </c>
      <c r="CM158" s="235" t="str">
        <f t="shared" si="2"/>
        <v>Covered</v>
      </c>
      <c r="CN158" s="42"/>
    </row>
    <row r="159" spans="1:92" ht="15.75" hidden="1" customHeight="1" x14ac:dyDescent="0.25">
      <c r="A159" s="548" t="s">
        <v>1409</v>
      </c>
      <c r="B159" s="530" t="s">
        <v>2570</v>
      </c>
      <c r="C159" s="531" t="s">
        <v>464</v>
      </c>
      <c r="D159" s="531" t="s">
        <v>496</v>
      </c>
      <c r="E159" s="531" t="s">
        <v>552</v>
      </c>
      <c r="F159" s="41">
        <f>ROUND(WWWW[[#This Row],[Total PoP ]]/5,0)</f>
        <v>248</v>
      </c>
      <c r="G159" s="405">
        <v>1241</v>
      </c>
      <c r="H159" s="41"/>
      <c r="I159" s="402" t="s">
        <v>498</v>
      </c>
      <c r="J159" s="403">
        <v>43586</v>
      </c>
      <c r="K159" s="402"/>
      <c r="L159" s="402" t="s">
        <v>48</v>
      </c>
      <c r="M159" s="404">
        <v>0</v>
      </c>
      <c r="N159" s="366">
        <v>0</v>
      </c>
      <c r="O159" s="605">
        <v>0</v>
      </c>
      <c r="P159" s="606">
        <v>0</v>
      </c>
      <c r="Q159" s="606"/>
      <c r="R159" s="607"/>
      <c r="S159" s="607">
        <v>0</v>
      </c>
      <c r="T159" s="607"/>
      <c r="U159" s="607"/>
      <c r="V159" s="607"/>
      <c r="W159" s="607"/>
      <c r="X159" s="607"/>
      <c r="Y159" s="607"/>
      <c r="Z159" s="598">
        <v>0</v>
      </c>
      <c r="AA159" s="598"/>
      <c r="AB159" s="80"/>
      <c r="AC159" s="598">
        <v>0</v>
      </c>
      <c r="AD159" s="598" t="s">
        <v>296</v>
      </c>
      <c r="AE159" s="599" t="s">
        <v>296</v>
      </c>
      <c r="AF159" s="599"/>
      <c r="AG159" s="598"/>
      <c r="AH159" s="598"/>
      <c r="AI159" s="649">
        <v>0</v>
      </c>
      <c r="AJ159" s="650"/>
      <c r="AK159" s="650">
        <v>0</v>
      </c>
      <c r="AL159" s="645"/>
      <c r="AM159" s="645">
        <v>0</v>
      </c>
      <c r="AN159" s="646"/>
      <c r="AO159" s="600"/>
      <c r="AP159" s="600"/>
      <c r="AQ159" s="651"/>
      <c r="AR159" s="42" t="str">
        <f>IFERROR(WWWW[[#This Row],['# of Water passed at source]]/WWWW[[#This Row],['# of Water tested at source]],"no test")</f>
        <v>no test</v>
      </c>
      <c r="AS159" s="389" t="str">
        <f>IFERROR(WWWW[[#This Row],['# of Water passed at HH]]/WWWW[[#This Row],['# of Water tested at HH]],"no test")</f>
        <v>no test</v>
      </c>
      <c r="AT159" s="407">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U159" s="407">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AV159" s="407">
        <f>IF(WWWW[[#This Row],[Location Type 1]]="Village",WWWW[[#This Row],[Access to safe drinking water for Village]],WWWW[[#This Row],[Access to safe drinking water for Camp]])</f>
        <v>0</v>
      </c>
      <c r="AW159" s="405">
        <f>WWWW[[#This Row],[%Equitable and continuous access to sufficient quantity of safe drinking water]]*WWWW[[#This Row],[Total PoP ]]</f>
        <v>0</v>
      </c>
      <c r="AX159" s="407">
        <f>IF((WWWW[[#This Row],['# Existing protected/fenced ponds ]]*250)/WWWW[[#This Row],[Total PoP ]]&gt;1,1,WWWW[[#This Row],['# Existing protected/fenced ponds ]]*250/WWWW[[#This Row],[Total PoP ]])</f>
        <v>0</v>
      </c>
      <c r="AY159" s="43">
        <f>WWWW[[#This Row],[Access to unimproved water points]]*WWWW[[#This Row],[Total PoP ]]</f>
        <v>0</v>
      </c>
      <c r="AZ159" s="407">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A159" s="405">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B159" s="414">
        <f>ROUND(WWWW[[#This Row],['#people Equitable and continuous access to sufficient quantity of domestic water borehole n ponds_2]]/500,0)</f>
        <v>0</v>
      </c>
      <c r="BC159" s="42">
        <f>1-WWWW[[#This Row],[%Equitable and continuous access to sufficient quantity of domestic water borehole n ponds]]</f>
        <v>1</v>
      </c>
      <c r="BD159" s="43">
        <f>WWWW[[#This Row],[%equitable and continuous access to sufficient quantity of safe drinking and domestic water''s GAP]]*WWWW[[#This Row],[Total PoP ]]</f>
        <v>1241</v>
      </c>
      <c r="BE159" s="406">
        <f>IF(WWWW[[#This Row],[Total required water points]]-WWWW[[#This Row],['#Water points coverage]]&lt;0,0,WWWW[[#This Row],[Total required water points]]-WWWW[[#This Row],['#Water points coverage]])</f>
        <v>2</v>
      </c>
      <c r="BF159" s="406">
        <f>ROUND(IF(WWWW[[#This Row],[Total PoP ]]&lt;500,1,WWWW[[#This Row],[Total PoP ]]/500),0)</f>
        <v>2</v>
      </c>
      <c r="BG159" s="97" t="str">
        <f>IF(AND(WWWW[[#This Row],[%of Water samples which passed at water source]]="no test",WWWW[[#This Row],[%Water samples which passed at HH]]="no test"),"No Test","Tested")</f>
        <v>No Test</v>
      </c>
      <c r="BH159" s="97">
        <f>WWWW[[#This Row],['# Existing functional latrines]]+WWWW[[#This Row],['# Existing latrines dysfunctional]]</f>
        <v>0</v>
      </c>
      <c r="BI159" s="42">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J159" s="676">
        <f>WWWW[[#This Row],[% people access to functioning Latrine]]*WWWW[[#This Row],[Total PoP ]]</f>
        <v>0</v>
      </c>
      <c r="BK159" s="42">
        <f>IF(WWWW[[#This Row],[Location Type 1]]="camp",WWWW[[#This Row],['# potential required new latrines]]/(WWWW[[#This Row],[Total PoP ]]/20),WWWW[[#This Row],['# potential required new latrines]]/(WWWW[[#This Row],[Total PoP ]]/6))</f>
        <v>1.0008058017727639</v>
      </c>
      <c r="BL159" s="43">
        <f>IF(WWWW[[#This Row],[Total required Latrines]]-WWWW[[#This Row],[Total '# of latrine]]&lt;0,0,WWWW[[#This Row],[Total required Latrines]]-WWWW[[#This Row],[Total '# of latrine]])</f>
        <v>207</v>
      </c>
      <c r="BM159" s="97">
        <f>ROUND(IF(WWWW[[#This Row],[Location Type 1]]="camp",WWWW[[#This Row],[Total PoP ]]/20,WWWW[[#This Row],[Total PoP ]]/6),0)</f>
        <v>207</v>
      </c>
      <c r="BN159" s="390">
        <f>IF(OR(WWWW[[#This Row],['# Existing latrines dysfunctional]]="",WWWW[[#This Row],['# Existing latrines dysfunctional]]=0),0,WWWW[[#This Row],['# Existing latrines dysfunctional]]/WWWW[[#This Row],[Total '# of latrine]])</f>
        <v>0</v>
      </c>
      <c r="BO159" s="676"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P159" s="42">
        <f>WWWW[[#This Row],[People adopt basic personal and community hygiene practices]]/WWWW[[#This Row],[Total PoP ]]</f>
        <v>0</v>
      </c>
      <c r="BQ159" s="390">
        <f>1-WWWW[[#This Row],[Hygiene Coverage%]]</f>
        <v>1</v>
      </c>
      <c r="BR159" s="405">
        <f>IF(500*WWWW[[#This Row],['# Hygiene Promoters ]]&gt;WWWW[[#This Row],[Total PoP ]],WWWW[[#This Row],[Total PoP ]],500*WWWW[[#This Row],['# Hygiene Promoters ]])</f>
        <v>0</v>
      </c>
      <c r="BS159" s="405">
        <f>IF(WWWW[[#This Row],[% of HH with access to Sanitary Pad]]&gt;=100%,1,0)</f>
        <v>0</v>
      </c>
      <c r="BT159" s="405">
        <f>IF(WWWW[[#This Row],[Total PoP ]]=0,0,IF(WWWW[[#This Row],['# Hygiene Promoters ]]=0,0,IF(WWWW[[#This Row],[Location Type 1]]="Village",IF(WWWW[[#This Row],[Total PoP ]]/WWWW[[#This Row],['# Hygiene Promoters ]]&lt;1000,1,0),IF(WWWW[[#This Row],[Total PoP ]]/WWWW[[#This Row],['# Hygiene Promoters ]]&lt;600,1,0))))</f>
        <v>0</v>
      </c>
      <c r="BU159" s="405">
        <f>IF(WWWW[[#This Row],[%HH with access to soap]]&gt;=100%,1,0)</f>
        <v>0</v>
      </c>
      <c r="BV159" s="405">
        <f>IF(WWWW[[#This Row],[% of HHs with access to Sanitary pad more than '#%]]+WWWW[[#This Row],[Ratio of Hyiene promoters to people less than '#]]+WWWW[[#This Row],[% of HHs with access to soap more than '#%]]&gt;=2,WWWW[[#This Row],[Total PoP ]],0)</f>
        <v>0</v>
      </c>
      <c r="BW159" s="391">
        <f>WWWW[[#This Row],['# people reached by regular dedicated hygiene promotion_5]]/WWWW[[#This Row],[Total PoP ]]</f>
        <v>0</v>
      </c>
      <c r="BX159" s="391">
        <f>IF(WWWW[[#This Row],['# HH received soaps]]/WWWW[[#This Row],[Total HH]]&gt;1,1,WWWW[[#This Row],['# HH received soaps]]/WWWW[[#This Row],[Total HH]])</f>
        <v>0</v>
      </c>
      <c r="BY159" s="391">
        <f>IF(WWWW[[#This Row],['# HH received Sanitary Pads]]/WWWW[[#This Row],[Total HH]]&gt;1,1,WWWW[[#This Row],['# HH received Sanitary Pads]]/WWWW[[#This Row],[Total HH]])</f>
        <v>0</v>
      </c>
      <c r="BZ159" s="721">
        <f>WWWW[[#This Row],['# HH received soaps]]*5</f>
        <v>0</v>
      </c>
      <c r="CA159" s="721">
        <f>WWWW[[#This Row],['# HH received Sanitary Pads]]*5</f>
        <v>0</v>
      </c>
      <c r="CB159" s="406">
        <f>IF(WWWW[[#This Row],['# People with access to soap]]&gt;WWWW[[#This Row],['# People with access to Sanity Pads]],WWWW[[#This Row],['# People with access to soap]],WWWW[[#This Row],['# People with access to Sanity Pads]])</f>
        <v>0</v>
      </c>
      <c r="CC159" s="43">
        <f>WWWW[[#This Row],[Total HH]]*WWWW[[#This Row],[%HHs with access to functional hand washing stations]]</f>
        <v>0</v>
      </c>
      <c r="CD159" s="240">
        <f>VLOOKUP(WWWW[[#This Row],[Site Name]],SiteDB6[],8,FALSE)</f>
        <v>0</v>
      </c>
      <c r="CE159" s="240">
        <f>VLOOKUP(WWWW[[#This Row],[Site Name]],SiteDB6[],9,FALSE)</f>
        <v>0</v>
      </c>
      <c r="CF159" s="240" t="str">
        <f>VLOOKUP(WWWW[[#This Row],[Site Name]],SiteDB6[],10,FALSE)</f>
        <v>Village_Not HRP</v>
      </c>
      <c r="CG159" s="240" t="str">
        <f>VLOOKUP(WWWW[[#This Row],[Site Name]],SiteDB6[],11,FALSE)</f>
        <v>Village</v>
      </c>
      <c r="CH159" s="240" t="str">
        <f>VLOOKUP(WWWW[[#This Row],[Site Name]],SiteDB6[],12,FALSE)</f>
        <v>Village_Not HRP</v>
      </c>
      <c r="CI159" s="240" t="str">
        <f>VLOOKUP(WWWW[[#This Row],[Site Name]],SiteDB6[],13,FALSE)</f>
        <v>Rakhine</v>
      </c>
      <c r="CJ159" s="240">
        <f>VLOOKUP(WWWW[[#This Row],[Site Name]],SiteDB6[],14,FALSE)</f>
        <v>19.646549224853501</v>
      </c>
      <c r="CK159" s="240">
        <f>VLOOKUP(WWWW[[#This Row],[Site Name]],SiteDB6[],15,FALSE)</f>
        <v>94.004188537597699</v>
      </c>
      <c r="CL159" s="240" t="str">
        <f>VLOOKUP(WWWW[[#This Row],[Site Name]],SiteDB6[],4,FALSE)</f>
        <v>199218</v>
      </c>
      <c r="CM159" s="42" t="str">
        <f t="shared" si="2"/>
        <v>Covered</v>
      </c>
      <c r="CN159" s="42"/>
    </row>
    <row r="160" spans="1:92" ht="15.75" hidden="1" customHeight="1" x14ac:dyDescent="0.25">
      <c r="A160" s="548" t="s">
        <v>1409</v>
      </c>
      <c r="B160" s="530" t="s">
        <v>2570</v>
      </c>
      <c r="C160" s="531" t="s">
        <v>464</v>
      </c>
      <c r="D160" s="531" t="s">
        <v>496</v>
      </c>
      <c r="E160" s="531" t="s">
        <v>553</v>
      </c>
      <c r="F160" s="41">
        <f>ROUND(WWWW[[#This Row],[Total PoP ]]/5,0)</f>
        <v>110</v>
      </c>
      <c r="G160" s="405">
        <v>549</v>
      </c>
      <c r="H160" s="41"/>
      <c r="I160" s="402" t="s">
        <v>498</v>
      </c>
      <c r="J160" s="403">
        <v>43586</v>
      </c>
      <c r="K160" s="402"/>
      <c r="L160" s="402" t="s">
        <v>48</v>
      </c>
      <c r="M160" s="404">
        <v>0</v>
      </c>
      <c r="N160" s="366">
        <v>0</v>
      </c>
      <c r="O160" s="605">
        <v>0</v>
      </c>
      <c r="P160" s="606">
        <v>0</v>
      </c>
      <c r="Q160" s="606"/>
      <c r="R160" s="607"/>
      <c r="S160" s="607">
        <v>0</v>
      </c>
      <c r="T160" s="607"/>
      <c r="U160" s="607"/>
      <c r="V160" s="607"/>
      <c r="W160" s="607"/>
      <c r="X160" s="607"/>
      <c r="Y160" s="607"/>
      <c r="Z160" s="598">
        <v>0</v>
      </c>
      <c r="AA160" s="598"/>
      <c r="AB160" s="80"/>
      <c r="AC160" s="598">
        <v>0</v>
      </c>
      <c r="AD160" s="598" t="s">
        <v>296</v>
      </c>
      <c r="AE160" s="599" t="s">
        <v>296</v>
      </c>
      <c r="AF160" s="599"/>
      <c r="AG160" s="598"/>
      <c r="AH160" s="598"/>
      <c r="AI160" s="649">
        <v>0</v>
      </c>
      <c r="AJ160" s="650"/>
      <c r="AK160" s="650">
        <v>0</v>
      </c>
      <c r="AL160" s="645"/>
      <c r="AM160" s="645">
        <v>0</v>
      </c>
      <c r="AN160" s="646"/>
      <c r="AO160" s="600"/>
      <c r="AP160" s="600"/>
      <c r="AQ160" s="651"/>
      <c r="AR160" s="42" t="str">
        <f>IFERROR(WWWW[[#This Row],['# of Water passed at source]]/WWWW[[#This Row],['# of Water tested at source]],"no test")</f>
        <v>no test</v>
      </c>
      <c r="AS160" s="389" t="str">
        <f>IFERROR(WWWW[[#This Row],['# of Water passed at HH]]/WWWW[[#This Row],['# of Water tested at HH]],"no test")</f>
        <v>no test</v>
      </c>
      <c r="AT160" s="407">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U160" s="407">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AV160" s="407">
        <f>IF(WWWW[[#This Row],[Location Type 1]]="Village",WWWW[[#This Row],[Access to safe drinking water for Village]],WWWW[[#This Row],[Access to safe drinking water for Camp]])</f>
        <v>0</v>
      </c>
      <c r="AW160" s="405">
        <f>WWWW[[#This Row],[%Equitable and continuous access to sufficient quantity of safe drinking water]]*WWWW[[#This Row],[Total PoP ]]</f>
        <v>0</v>
      </c>
      <c r="AX160" s="407">
        <f>IF((WWWW[[#This Row],['# Existing protected/fenced ponds ]]*250)/WWWW[[#This Row],[Total PoP ]]&gt;1,1,WWWW[[#This Row],['# Existing protected/fenced ponds ]]*250/WWWW[[#This Row],[Total PoP ]])</f>
        <v>0</v>
      </c>
      <c r="AY160" s="43">
        <f>WWWW[[#This Row],[Access to unimproved water points]]*WWWW[[#This Row],[Total PoP ]]</f>
        <v>0</v>
      </c>
      <c r="AZ160" s="407">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A160" s="405">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B160" s="414">
        <f>ROUND(WWWW[[#This Row],['#people Equitable and continuous access to sufficient quantity of domestic water borehole n ponds_2]]/500,0)</f>
        <v>0</v>
      </c>
      <c r="BC160" s="42">
        <f>1-WWWW[[#This Row],[%Equitable and continuous access to sufficient quantity of domestic water borehole n ponds]]</f>
        <v>1</v>
      </c>
      <c r="BD160" s="43">
        <f>WWWW[[#This Row],[%equitable and continuous access to sufficient quantity of safe drinking and domestic water''s GAP]]*WWWW[[#This Row],[Total PoP ]]</f>
        <v>549</v>
      </c>
      <c r="BE160" s="406">
        <f>IF(WWWW[[#This Row],[Total required water points]]-WWWW[[#This Row],['#Water points coverage]]&lt;0,0,WWWW[[#This Row],[Total required water points]]-WWWW[[#This Row],['#Water points coverage]])</f>
        <v>1</v>
      </c>
      <c r="BF160" s="406">
        <f>ROUND(IF(WWWW[[#This Row],[Total PoP ]]&lt;500,1,WWWW[[#This Row],[Total PoP ]]/500),0)</f>
        <v>1</v>
      </c>
      <c r="BG160" s="97" t="str">
        <f>IF(AND(WWWW[[#This Row],[%of Water samples which passed at water source]]="no test",WWWW[[#This Row],[%Water samples which passed at HH]]="no test"),"No Test","Tested")</f>
        <v>No Test</v>
      </c>
      <c r="BH160" s="97">
        <f>WWWW[[#This Row],['# Existing functional latrines]]+WWWW[[#This Row],['# Existing latrines dysfunctional]]</f>
        <v>0</v>
      </c>
      <c r="BI160" s="42">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J160" s="676">
        <f>WWWW[[#This Row],[% people access to functioning Latrine]]*WWWW[[#This Row],[Total PoP ]]</f>
        <v>0</v>
      </c>
      <c r="BK160" s="42">
        <f>IF(WWWW[[#This Row],[Location Type 1]]="camp",WWWW[[#This Row],['# potential required new latrines]]/(WWWW[[#This Row],[Total PoP ]]/20),WWWW[[#This Row],['# potential required new latrines]]/(WWWW[[#This Row],[Total PoP ]]/6))</f>
        <v>1.0054644808743169</v>
      </c>
      <c r="BL160" s="43">
        <f>IF(WWWW[[#This Row],[Total required Latrines]]-WWWW[[#This Row],[Total '# of latrine]]&lt;0,0,WWWW[[#This Row],[Total required Latrines]]-WWWW[[#This Row],[Total '# of latrine]])</f>
        <v>92</v>
      </c>
      <c r="BM160" s="97">
        <f>ROUND(IF(WWWW[[#This Row],[Location Type 1]]="camp",WWWW[[#This Row],[Total PoP ]]/20,WWWW[[#This Row],[Total PoP ]]/6),0)</f>
        <v>92</v>
      </c>
      <c r="BN160" s="390">
        <f>IF(OR(WWWW[[#This Row],['# Existing latrines dysfunctional]]="",WWWW[[#This Row],['# Existing latrines dysfunctional]]=0),0,WWWW[[#This Row],['# Existing latrines dysfunctional]]/WWWW[[#This Row],[Total '# of latrine]])</f>
        <v>0</v>
      </c>
      <c r="BO160" s="676"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P160" s="42">
        <f>WWWW[[#This Row],[People adopt basic personal and community hygiene practices]]/WWWW[[#This Row],[Total PoP ]]</f>
        <v>0</v>
      </c>
      <c r="BQ160" s="390">
        <f>1-WWWW[[#This Row],[Hygiene Coverage%]]</f>
        <v>1</v>
      </c>
      <c r="BR160" s="405">
        <f>IF(500*WWWW[[#This Row],['# Hygiene Promoters ]]&gt;WWWW[[#This Row],[Total PoP ]],WWWW[[#This Row],[Total PoP ]],500*WWWW[[#This Row],['# Hygiene Promoters ]])</f>
        <v>0</v>
      </c>
      <c r="BS160" s="405">
        <f>IF(WWWW[[#This Row],[% of HH with access to Sanitary Pad]]&gt;=100%,1,0)</f>
        <v>0</v>
      </c>
      <c r="BT160" s="405">
        <f>IF(WWWW[[#This Row],[Total PoP ]]=0,0,IF(WWWW[[#This Row],['# Hygiene Promoters ]]=0,0,IF(WWWW[[#This Row],[Location Type 1]]="Village",IF(WWWW[[#This Row],[Total PoP ]]/WWWW[[#This Row],['# Hygiene Promoters ]]&lt;1000,1,0),IF(WWWW[[#This Row],[Total PoP ]]/WWWW[[#This Row],['# Hygiene Promoters ]]&lt;600,1,0))))</f>
        <v>0</v>
      </c>
      <c r="BU160" s="405">
        <f>IF(WWWW[[#This Row],[%HH with access to soap]]&gt;=100%,1,0)</f>
        <v>0</v>
      </c>
      <c r="BV160" s="405">
        <f>IF(WWWW[[#This Row],[% of HHs with access to Sanitary pad more than '#%]]+WWWW[[#This Row],[Ratio of Hyiene promoters to people less than '#]]+WWWW[[#This Row],[% of HHs with access to soap more than '#%]]&gt;=2,WWWW[[#This Row],[Total PoP ]],0)</f>
        <v>0</v>
      </c>
      <c r="BW160" s="391">
        <f>WWWW[[#This Row],['# people reached by regular dedicated hygiene promotion_5]]/WWWW[[#This Row],[Total PoP ]]</f>
        <v>0</v>
      </c>
      <c r="BX160" s="391">
        <f>IF(WWWW[[#This Row],['# HH received soaps]]/WWWW[[#This Row],[Total HH]]&gt;1,1,WWWW[[#This Row],['# HH received soaps]]/WWWW[[#This Row],[Total HH]])</f>
        <v>0</v>
      </c>
      <c r="BY160" s="391">
        <f>IF(WWWW[[#This Row],['# HH received Sanitary Pads]]/WWWW[[#This Row],[Total HH]]&gt;1,1,WWWW[[#This Row],['# HH received Sanitary Pads]]/WWWW[[#This Row],[Total HH]])</f>
        <v>0</v>
      </c>
      <c r="BZ160" s="721">
        <f>WWWW[[#This Row],['# HH received soaps]]*5</f>
        <v>0</v>
      </c>
      <c r="CA160" s="721">
        <f>WWWW[[#This Row],['# HH received Sanitary Pads]]*5</f>
        <v>0</v>
      </c>
      <c r="CB160" s="406">
        <f>IF(WWWW[[#This Row],['# People with access to soap]]&gt;WWWW[[#This Row],['# People with access to Sanity Pads]],WWWW[[#This Row],['# People with access to soap]],WWWW[[#This Row],['# People with access to Sanity Pads]])</f>
        <v>0</v>
      </c>
      <c r="CC160" s="43">
        <f>WWWW[[#This Row],[Total HH]]*WWWW[[#This Row],[%HHs with access to functional hand washing stations]]</f>
        <v>0</v>
      </c>
      <c r="CD160" s="240">
        <f>VLOOKUP(WWWW[[#This Row],[Site Name]],SiteDB6[],8,FALSE)</f>
        <v>0</v>
      </c>
      <c r="CE160" s="240">
        <f>VLOOKUP(WWWW[[#This Row],[Site Name]],SiteDB6[],9,FALSE)</f>
        <v>0</v>
      </c>
      <c r="CF160" s="240" t="str">
        <f>VLOOKUP(WWWW[[#This Row],[Site Name]],SiteDB6[],10,FALSE)</f>
        <v>Village_Not HRP</v>
      </c>
      <c r="CG160" s="240" t="str">
        <f>VLOOKUP(WWWW[[#This Row],[Site Name]],SiteDB6[],11,FALSE)</f>
        <v>Village</v>
      </c>
      <c r="CH160" s="240" t="str">
        <f>VLOOKUP(WWWW[[#This Row],[Site Name]],SiteDB6[],12,FALSE)</f>
        <v>Village_Not HRP</v>
      </c>
      <c r="CI160" s="240" t="str">
        <f>VLOOKUP(WWWW[[#This Row],[Site Name]],SiteDB6[],13,FALSE)</f>
        <v>Chin+Rakhine</v>
      </c>
      <c r="CJ160" s="240">
        <f>VLOOKUP(WWWW[[#This Row],[Site Name]],SiteDB6[],14,FALSE)</f>
        <v>19.686580657958999</v>
      </c>
      <c r="CK160" s="240">
        <f>VLOOKUP(WWWW[[#This Row],[Site Name]],SiteDB6[],15,FALSE)</f>
        <v>94.048843383789105</v>
      </c>
      <c r="CL160" s="240" t="str">
        <f>VLOOKUP(WWWW[[#This Row],[Site Name]],SiteDB6[],4,FALSE)</f>
        <v>199156</v>
      </c>
      <c r="CM160" s="42" t="str">
        <f t="shared" si="2"/>
        <v>Covered</v>
      </c>
      <c r="CN160" s="42"/>
    </row>
    <row r="161" spans="1:92" ht="15.75" hidden="1" customHeight="1" x14ac:dyDescent="0.25">
      <c r="A161" s="548" t="s">
        <v>1409</v>
      </c>
      <c r="B161" s="530" t="s">
        <v>2570</v>
      </c>
      <c r="C161" s="531" t="s">
        <v>464</v>
      </c>
      <c r="D161" s="531" t="s">
        <v>496</v>
      </c>
      <c r="E161" s="531" t="s">
        <v>554</v>
      </c>
      <c r="F161" s="402">
        <f>ROUND(WWWW[[#This Row],[Total PoP ]]/5,0)</f>
        <v>75</v>
      </c>
      <c r="G161" s="405">
        <v>373</v>
      </c>
      <c r="H161" s="402"/>
      <c r="I161" s="402" t="s">
        <v>498</v>
      </c>
      <c r="J161" s="403">
        <v>43586</v>
      </c>
      <c r="K161" s="402"/>
      <c r="L161" s="402" t="s">
        <v>48</v>
      </c>
      <c r="M161" s="404">
        <v>0</v>
      </c>
      <c r="N161" s="366">
        <v>0</v>
      </c>
      <c r="O161" s="605">
        <v>0</v>
      </c>
      <c r="P161" s="606">
        <v>0</v>
      </c>
      <c r="Q161" s="606"/>
      <c r="R161" s="607"/>
      <c r="S161" s="607">
        <v>0</v>
      </c>
      <c r="T161" s="607"/>
      <c r="U161" s="607"/>
      <c r="V161" s="607"/>
      <c r="W161" s="607"/>
      <c r="X161" s="607"/>
      <c r="Y161" s="607"/>
      <c r="Z161" s="598">
        <v>0</v>
      </c>
      <c r="AA161" s="598"/>
      <c r="AB161" s="80"/>
      <c r="AC161" s="598">
        <v>0</v>
      </c>
      <c r="AD161" s="598" t="s">
        <v>296</v>
      </c>
      <c r="AE161" s="599" t="s">
        <v>296</v>
      </c>
      <c r="AF161" s="599"/>
      <c r="AG161" s="598"/>
      <c r="AH161" s="598"/>
      <c r="AI161" s="649">
        <v>0</v>
      </c>
      <c r="AJ161" s="650"/>
      <c r="AK161" s="650">
        <v>0</v>
      </c>
      <c r="AL161" s="645"/>
      <c r="AM161" s="645">
        <v>0</v>
      </c>
      <c r="AN161" s="646"/>
      <c r="AO161" s="600"/>
      <c r="AP161" s="600"/>
      <c r="AQ161" s="651"/>
      <c r="AR161" s="404" t="str">
        <f>IFERROR(WWWW[[#This Row],['# of Water passed at source]]/WWWW[[#This Row],['# of Water tested at source]],"no test")</f>
        <v>no test</v>
      </c>
      <c r="AS161" s="407" t="str">
        <f>IFERROR(WWWW[[#This Row],['# of Water passed at HH]]/WWWW[[#This Row],['# of Water tested at HH]],"no test")</f>
        <v>no test</v>
      </c>
      <c r="AT161" s="407">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U161" s="407">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AV161" s="407">
        <f>IF(WWWW[[#This Row],[Location Type 1]]="Village",WWWW[[#This Row],[Access to safe drinking water for Village]],WWWW[[#This Row],[Access to safe drinking water for Camp]])</f>
        <v>0</v>
      </c>
      <c r="AW161" s="405">
        <f>WWWW[[#This Row],[%Equitable and continuous access to sufficient quantity of safe drinking water]]*WWWW[[#This Row],[Total PoP ]]</f>
        <v>0</v>
      </c>
      <c r="AX161" s="407">
        <f>IF((WWWW[[#This Row],['# Existing protected/fenced ponds ]]*250)/WWWW[[#This Row],[Total PoP ]]&gt;1,1,WWWW[[#This Row],['# Existing protected/fenced ponds ]]*250/WWWW[[#This Row],[Total PoP ]])</f>
        <v>0</v>
      </c>
      <c r="AY161" s="405">
        <f>WWWW[[#This Row],[Access to unimproved water points]]*WWWW[[#This Row],[Total PoP ]]</f>
        <v>0</v>
      </c>
      <c r="AZ161" s="407">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A161" s="405">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B161" s="414">
        <f>ROUND(WWWW[[#This Row],['#people Equitable and continuous access to sufficient quantity of domestic water borehole n ponds_2]]/500,0)</f>
        <v>0</v>
      </c>
      <c r="BC161" s="404">
        <f>1-WWWW[[#This Row],[%Equitable and continuous access to sufficient quantity of domestic water borehole n ponds]]</f>
        <v>1</v>
      </c>
      <c r="BD161" s="405">
        <f>WWWW[[#This Row],[%equitable and continuous access to sufficient quantity of safe drinking and domestic water''s GAP]]*WWWW[[#This Row],[Total PoP ]]</f>
        <v>373</v>
      </c>
      <c r="BE161" s="406">
        <f>IF(WWWW[[#This Row],[Total required water points]]-WWWW[[#This Row],['#Water points coverage]]&lt;0,0,WWWW[[#This Row],[Total required water points]]-WWWW[[#This Row],['#Water points coverage]])</f>
        <v>1</v>
      </c>
      <c r="BF161" s="406">
        <f>ROUND(IF(WWWW[[#This Row],[Total PoP ]]&lt;500,1,WWWW[[#This Row],[Total PoP ]]/500),0)</f>
        <v>1</v>
      </c>
      <c r="BG161" s="406" t="str">
        <f>IF(AND(WWWW[[#This Row],[%of Water samples which passed at water source]]="no test",WWWW[[#This Row],[%Water samples which passed at HH]]="no test"),"No Test","Tested")</f>
        <v>No Test</v>
      </c>
      <c r="BH161" s="406">
        <f>WWWW[[#This Row],['# Existing functional latrines]]+WWWW[[#This Row],['# Existing latrines dysfunctional]]</f>
        <v>0</v>
      </c>
      <c r="BI161" s="404">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J161" s="676">
        <f>WWWW[[#This Row],[% people access to functioning Latrine]]*WWWW[[#This Row],[Total PoP ]]</f>
        <v>0</v>
      </c>
      <c r="BK161" s="404">
        <f>IF(WWWW[[#This Row],[Location Type 1]]="camp",WWWW[[#This Row],['# potential required new latrines]]/(WWWW[[#This Row],[Total PoP ]]/20),WWWW[[#This Row],['# potential required new latrines]]/(WWWW[[#This Row],[Total PoP ]]/6))</f>
        <v>0.99731903485254692</v>
      </c>
      <c r="BL161" s="405">
        <f>IF(WWWW[[#This Row],[Total required Latrines]]-WWWW[[#This Row],[Total '# of latrine]]&lt;0,0,WWWW[[#This Row],[Total required Latrines]]-WWWW[[#This Row],[Total '# of latrine]])</f>
        <v>62</v>
      </c>
      <c r="BM161" s="406">
        <f>ROUND(IF(WWWW[[#This Row],[Location Type 1]]="camp",WWWW[[#This Row],[Total PoP ]]/20,WWWW[[#This Row],[Total PoP ]]/6),0)</f>
        <v>62</v>
      </c>
      <c r="BN161" s="408">
        <f>IF(OR(WWWW[[#This Row],['# Existing latrines dysfunctional]]="",WWWW[[#This Row],['# Existing latrines dysfunctional]]=0),0,WWWW[[#This Row],['# Existing latrines dysfunctional]]/WWWW[[#This Row],[Total '# of latrine]])</f>
        <v>0</v>
      </c>
      <c r="BO161" s="676"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P161" s="404">
        <f>WWWW[[#This Row],[People adopt basic personal and community hygiene practices]]/WWWW[[#This Row],[Total PoP ]]</f>
        <v>0</v>
      </c>
      <c r="BQ161" s="408">
        <f>1-WWWW[[#This Row],[Hygiene Coverage%]]</f>
        <v>1</v>
      </c>
      <c r="BR161" s="405">
        <f>IF(500*WWWW[[#This Row],['# Hygiene Promoters ]]&gt;WWWW[[#This Row],[Total PoP ]],WWWW[[#This Row],[Total PoP ]],500*WWWW[[#This Row],['# Hygiene Promoters ]])</f>
        <v>0</v>
      </c>
      <c r="BS161" s="405">
        <f>IF(WWWW[[#This Row],[% of HH with access to Sanitary Pad]]&gt;=100%,1,0)</f>
        <v>0</v>
      </c>
      <c r="BT161" s="405">
        <f>IF(WWWW[[#This Row],[Total PoP ]]=0,0,IF(WWWW[[#This Row],['# Hygiene Promoters ]]=0,0,IF(WWWW[[#This Row],[Location Type 1]]="Village",IF(WWWW[[#This Row],[Total PoP ]]/WWWW[[#This Row],['# Hygiene Promoters ]]&lt;1000,1,0),IF(WWWW[[#This Row],[Total PoP ]]/WWWW[[#This Row],['# Hygiene Promoters ]]&lt;600,1,0))))</f>
        <v>0</v>
      </c>
      <c r="BU161" s="405">
        <f>IF(WWWW[[#This Row],[%HH with access to soap]]&gt;=100%,1,0)</f>
        <v>0</v>
      </c>
      <c r="BV161" s="405">
        <f>IF(WWWW[[#This Row],[% of HHs with access to Sanitary pad more than '#%]]+WWWW[[#This Row],[Ratio of Hyiene promoters to people less than '#]]+WWWW[[#This Row],[% of HHs with access to soap more than '#%]]&gt;=2,WWWW[[#This Row],[Total PoP ]],0)</f>
        <v>0</v>
      </c>
      <c r="BW161" s="391">
        <f>WWWW[[#This Row],['# people reached by regular dedicated hygiene promotion_5]]/WWWW[[#This Row],[Total PoP ]]</f>
        <v>0</v>
      </c>
      <c r="BX161" s="391">
        <f>IF(WWWW[[#This Row],['# HH received soaps]]/WWWW[[#This Row],[Total HH]]&gt;1,1,WWWW[[#This Row],['# HH received soaps]]/WWWW[[#This Row],[Total HH]])</f>
        <v>0</v>
      </c>
      <c r="BY161" s="391">
        <f>IF(WWWW[[#This Row],['# HH received Sanitary Pads]]/WWWW[[#This Row],[Total HH]]&gt;1,1,WWWW[[#This Row],['# HH received Sanitary Pads]]/WWWW[[#This Row],[Total HH]])</f>
        <v>0</v>
      </c>
      <c r="BZ161" s="721">
        <f>WWWW[[#This Row],['# HH received soaps]]*5</f>
        <v>0</v>
      </c>
      <c r="CA161" s="721">
        <f>WWWW[[#This Row],['# HH received Sanitary Pads]]*5</f>
        <v>0</v>
      </c>
      <c r="CB161" s="406">
        <f>IF(WWWW[[#This Row],['# People with access to soap]]&gt;WWWW[[#This Row],['# People with access to Sanity Pads]],WWWW[[#This Row],['# People with access to soap]],WWWW[[#This Row],['# People with access to Sanity Pads]])</f>
        <v>0</v>
      </c>
      <c r="CC161" s="405">
        <f>WWWW[[#This Row],[Total HH]]*WWWW[[#This Row],[%HHs with access to functional hand washing stations]]</f>
        <v>0</v>
      </c>
      <c r="CD161" s="240">
        <f>VLOOKUP(WWWW[[#This Row],[Site Name]],SiteDB6[],8,FALSE)</f>
        <v>0</v>
      </c>
      <c r="CE161" s="240">
        <f>VLOOKUP(WWWW[[#This Row],[Site Name]],SiteDB6[],9,FALSE)</f>
        <v>0</v>
      </c>
      <c r="CF161" s="240" t="str">
        <f>VLOOKUP(WWWW[[#This Row],[Site Name]],SiteDB6[],10,FALSE)</f>
        <v>Village_Not HRP</v>
      </c>
      <c r="CG161" s="240" t="str">
        <f>VLOOKUP(WWWW[[#This Row],[Site Name]],SiteDB6[],11,FALSE)</f>
        <v>Village</v>
      </c>
      <c r="CH161" s="240" t="str">
        <f>VLOOKUP(WWWW[[#This Row],[Site Name]],SiteDB6[],12,FALSE)</f>
        <v>Village_Not HRP</v>
      </c>
      <c r="CI161" s="240" t="str">
        <f>VLOOKUP(WWWW[[#This Row],[Site Name]],SiteDB6[],13,FALSE)</f>
        <v>Chin+Rakhine</v>
      </c>
      <c r="CJ161" s="240">
        <f>VLOOKUP(WWWW[[#This Row],[Site Name]],SiteDB6[],14,FALSE)</f>
        <v>19.7062797546387</v>
      </c>
      <c r="CK161" s="240">
        <f>VLOOKUP(WWWW[[#This Row],[Site Name]],SiteDB6[],15,FALSE)</f>
        <v>94.016433715820298</v>
      </c>
      <c r="CL161" s="240" t="str">
        <f>VLOOKUP(WWWW[[#This Row],[Site Name]],SiteDB6[],4,FALSE)</f>
        <v>199161</v>
      </c>
      <c r="CM161" s="404" t="str">
        <f t="shared" si="2"/>
        <v>Covered</v>
      </c>
      <c r="CN161" s="404"/>
    </row>
    <row r="162" spans="1:92" ht="15.75" hidden="1" customHeight="1" x14ac:dyDescent="0.25">
      <c r="A162" s="548" t="s">
        <v>1409</v>
      </c>
      <c r="B162" s="530" t="s">
        <v>2570</v>
      </c>
      <c r="C162" s="531" t="s">
        <v>464</v>
      </c>
      <c r="D162" s="531" t="s">
        <v>496</v>
      </c>
      <c r="E162" s="531" t="s">
        <v>555</v>
      </c>
      <c r="F162" s="402">
        <f>ROUND(WWWW[[#This Row],[Total PoP ]]/5,0)</f>
        <v>55</v>
      </c>
      <c r="G162" s="405">
        <v>273</v>
      </c>
      <c r="H162" s="402"/>
      <c r="I162" s="402" t="s">
        <v>498</v>
      </c>
      <c r="J162" s="403">
        <v>43586</v>
      </c>
      <c r="K162" s="402"/>
      <c r="L162" s="402" t="s">
        <v>48</v>
      </c>
      <c r="M162" s="404">
        <v>0</v>
      </c>
      <c r="N162" s="366">
        <v>0</v>
      </c>
      <c r="O162" s="605">
        <v>0</v>
      </c>
      <c r="P162" s="606">
        <v>0</v>
      </c>
      <c r="Q162" s="606"/>
      <c r="R162" s="607"/>
      <c r="S162" s="607">
        <v>0</v>
      </c>
      <c r="T162" s="607"/>
      <c r="U162" s="607"/>
      <c r="V162" s="607"/>
      <c r="W162" s="607"/>
      <c r="X162" s="607"/>
      <c r="Y162" s="607"/>
      <c r="Z162" s="598">
        <v>0</v>
      </c>
      <c r="AA162" s="598"/>
      <c r="AB162" s="80"/>
      <c r="AC162" s="598">
        <v>0</v>
      </c>
      <c r="AD162" s="598" t="s">
        <v>296</v>
      </c>
      <c r="AE162" s="599" t="s">
        <v>296</v>
      </c>
      <c r="AF162" s="599"/>
      <c r="AG162" s="598"/>
      <c r="AH162" s="598"/>
      <c r="AI162" s="649">
        <v>0</v>
      </c>
      <c r="AJ162" s="650"/>
      <c r="AK162" s="650">
        <v>0</v>
      </c>
      <c r="AL162" s="645"/>
      <c r="AM162" s="645">
        <v>0</v>
      </c>
      <c r="AN162" s="646"/>
      <c r="AO162" s="600"/>
      <c r="AP162" s="600"/>
      <c r="AQ162" s="651"/>
      <c r="AR162" s="404" t="str">
        <f>IFERROR(WWWW[[#This Row],['# of Water passed at source]]/WWWW[[#This Row],['# of Water tested at source]],"no test")</f>
        <v>no test</v>
      </c>
      <c r="AS162" s="407" t="str">
        <f>IFERROR(WWWW[[#This Row],['# of Water passed at HH]]/WWWW[[#This Row],['# of Water tested at HH]],"no test")</f>
        <v>no test</v>
      </c>
      <c r="AT162" s="407">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U162" s="407">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AV162" s="407">
        <f>IF(WWWW[[#This Row],[Location Type 1]]="Village",WWWW[[#This Row],[Access to safe drinking water for Village]],WWWW[[#This Row],[Access to safe drinking water for Camp]])</f>
        <v>0</v>
      </c>
      <c r="AW162" s="405">
        <f>WWWW[[#This Row],[%Equitable and continuous access to sufficient quantity of safe drinking water]]*WWWW[[#This Row],[Total PoP ]]</f>
        <v>0</v>
      </c>
      <c r="AX162" s="407">
        <f>IF((WWWW[[#This Row],['# Existing protected/fenced ponds ]]*250)/WWWW[[#This Row],[Total PoP ]]&gt;1,1,WWWW[[#This Row],['# Existing protected/fenced ponds ]]*250/WWWW[[#This Row],[Total PoP ]])</f>
        <v>0</v>
      </c>
      <c r="AY162" s="405">
        <f>WWWW[[#This Row],[Access to unimproved water points]]*WWWW[[#This Row],[Total PoP ]]</f>
        <v>0</v>
      </c>
      <c r="AZ162" s="407">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A162" s="405">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B162" s="414">
        <f>ROUND(WWWW[[#This Row],['#people Equitable and continuous access to sufficient quantity of domestic water borehole n ponds_2]]/500,0)</f>
        <v>0</v>
      </c>
      <c r="BC162" s="404">
        <f>1-WWWW[[#This Row],[%Equitable and continuous access to sufficient quantity of domestic water borehole n ponds]]</f>
        <v>1</v>
      </c>
      <c r="BD162" s="405">
        <f>WWWW[[#This Row],[%equitable and continuous access to sufficient quantity of safe drinking and domestic water''s GAP]]*WWWW[[#This Row],[Total PoP ]]</f>
        <v>273</v>
      </c>
      <c r="BE162" s="406">
        <f>IF(WWWW[[#This Row],[Total required water points]]-WWWW[[#This Row],['#Water points coverage]]&lt;0,0,WWWW[[#This Row],[Total required water points]]-WWWW[[#This Row],['#Water points coverage]])</f>
        <v>1</v>
      </c>
      <c r="BF162" s="406">
        <f>ROUND(IF(WWWW[[#This Row],[Total PoP ]]&lt;500,1,WWWW[[#This Row],[Total PoP ]]/500),0)</f>
        <v>1</v>
      </c>
      <c r="BG162" s="406" t="str">
        <f>IF(AND(WWWW[[#This Row],[%of Water samples which passed at water source]]="no test",WWWW[[#This Row],[%Water samples which passed at HH]]="no test"),"No Test","Tested")</f>
        <v>No Test</v>
      </c>
      <c r="BH162" s="406">
        <f>WWWW[[#This Row],['# Existing functional latrines]]+WWWW[[#This Row],['# Existing latrines dysfunctional]]</f>
        <v>0</v>
      </c>
      <c r="BI162" s="404">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J162" s="676">
        <f>WWWW[[#This Row],[% people access to functioning Latrine]]*WWWW[[#This Row],[Total PoP ]]</f>
        <v>0</v>
      </c>
      <c r="BK162" s="404">
        <f>IF(WWWW[[#This Row],[Location Type 1]]="camp",WWWW[[#This Row],['# potential required new latrines]]/(WWWW[[#This Row],[Total PoP ]]/20),WWWW[[#This Row],['# potential required new latrines]]/(WWWW[[#This Row],[Total PoP ]]/6))</f>
        <v>1.0109890109890109</v>
      </c>
      <c r="BL162" s="405">
        <f>IF(WWWW[[#This Row],[Total required Latrines]]-WWWW[[#This Row],[Total '# of latrine]]&lt;0,0,WWWW[[#This Row],[Total required Latrines]]-WWWW[[#This Row],[Total '# of latrine]])</f>
        <v>46</v>
      </c>
      <c r="BM162" s="406">
        <f>ROUND(IF(WWWW[[#This Row],[Location Type 1]]="camp",WWWW[[#This Row],[Total PoP ]]/20,WWWW[[#This Row],[Total PoP ]]/6),0)</f>
        <v>46</v>
      </c>
      <c r="BN162" s="408">
        <f>IF(OR(WWWW[[#This Row],['# Existing latrines dysfunctional]]="",WWWW[[#This Row],['# Existing latrines dysfunctional]]=0),0,WWWW[[#This Row],['# Existing latrines dysfunctional]]/WWWW[[#This Row],[Total '# of latrine]])</f>
        <v>0</v>
      </c>
      <c r="BO162" s="676"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P162" s="404">
        <f>WWWW[[#This Row],[People adopt basic personal and community hygiene practices]]/WWWW[[#This Row],[Total PoP ]]</f>
        <v>0</v>
      </c>
      <c r="BQ162" s="408">
        <f>1-WWWW[[#This Row],[Hygiene Coverage%]]</f>
        <v>1</v>
      </c>
      <c r="BR162" s="405">
        <f>IF(500*WWWW[[#This Row],['# Hygiene Promoters ]]&gt;WWWW[[#This Row],[Total PoP ]],WWWW[[#This Row],[Total PoP ]],500*WWWW[[#This Row],['# Hygiene Promoters ]])</f>
        <v>0</v>
      </c>
      <c r="BS162" s="405">
        <f>IF(WWWW[[#This Row],[% of HH with access to Sanitary Pad]]&gt;=100%,1,0)</f>
        <v>0</v>
      </c>
      <c r="BT162" s="405">
        <f>IF(WWWW[[#This Row],[Total PoP ]]=0,0,IF(WWWW[[#This Row],['# Hygiene Promoters ]]=0,0,IF(WWWW[[#This Row],[Location Type 1]]="Village",IF(WWWW[[#This Row],[Total PoP ]]/WWWW[[#This Row],['# Hygiene Promoters ]]&lt;1000,1,0),IF(WWWW[[#This Row],[Total PoP ]]/WWWW[[#This Row],['# Hygiene Promoters ]]&lt;600,1,0))))</f>
        <v>0</v>
      </c>
      <c r="BU162" s="405">
        <f>IF(WWWW[[#This Row],[%HH with access to soap]]&gt;=100%,1,0)</f>
        <v>0</v>
      </c>
      <c r="BV162" s="405">
        <f>IF(WWWW[[#This Row],[% of HHs with access to Sanitary pad more than '#%]]+WWWW[[#This Row],[Ratio of Hyiene promoters to people less than '#]]+WWWW[[#This Row],[% of HHs with access to soap more than '#%]]&gt;=2,WWWW[[#This Row],[Total PoP ]],0)</f>
        <v>0</v>
      </c>
      <c r="BW162" s="391">
        <f>WWWW[[#This Row],['# people reached by regular dedicated hygiene promotion_5]]/WWWW[[#This Row],[Total PoP ]]</f>
        <v>0</v>
      </c>
      <c r="BX162" s="391">
        <f>IF(WWWW[[#This Row],['# HH received soaps]]/WWWW[[#This Row],[Total HH]]&gt;1,1,WWWW[[#This Row],['# HH received soaps]]/WWWW[[#This Row],[Total HH]])</f>
        <v>0</v>
      </c>
      <c r="BY162" s="391">
        <f>IF(WWWW[[#This Row],['# HH received Sanitary Pads]]/WWWW[[#This Row],[Total HH]]&gt;1,1,WWWW[[#This Row],['# HH received Sanitary Pads]]/WWWW[[#This Row],[Total HH]])</f>
        <v>0</v>
      </c>
      <c r="BZ162" s="721">
        <f>WWWW[[#This Row],['# HH received soaps]]*5</f>
        <v>0</v>
      </c>
      <c r="CA162" s="721">
        <f>WWWW[[#This Row],['# HH received Sanitary Pads]]*5</f>
        <v>0</v>
      </c>
      <c r="CB162" s="406">
        <f>IF(WWWW[[#This Row],['# People with access to soap]]&gt;WWWW[[#This Row],['# People with access to Sanity Pads]],WWWW[[#This Row],['# People with access to soap]],WWWW[[#This Row],['# People with access to Sanity Pads]])</f>
        <v>0</v>
      </c>
      <c r="CC162" s="405">
        <f>WWWW[[#This Row],[Total HH]]*WWWW[[#This Row],[%HHs with access to functional hand washing stations]]</f>
        <v>0</v>
      </c>
      <c r="CD162" s="240">
        <f>VLOOKUP(WWWW[[#This Row],[Site Name]],SiteDB6[],8,FALSE)</f>
        <v>0</v>
      </c>
      <c r="CE162" s="240">
        <f>VLOOKUP(WWWW[[#This Row],[Site Name]],SiteDB6[],9,FALSE)</f>
        <v>0</v>
      </c>
      <c r="CF162" s="240" t="str">
        <f>VLOOKUP(WWWW[[#This Row],[Site Name]],SiteDB6[],10,FALSE)</f>
        <v>Village_Not HRP</v>
      </c>
      <c r="CG162" s="240" t="str">
        <f>VLOOKUP(WWWW[[#This Row],[Site Name]],SiteDB6[],11,FALSE)</f>
        <v>Village</v>
      </c>
      <c r="CH162" s="240" t="str">
        <f>VLOOKUP(WWWW[[#This Row],[Site Name]],SiteDB6[],12,FALSE)</f>
        <v>Village_Not HRP</v>
      </c>
      <c r="CI162" s="240" t="str">
        <f>VLOOKUP(WWWW[[#This Row],[Site Name]],SiteDB6[],13,FALSE)</f>
        <v>Rakhine</v>
      </c>
      <c r="CJ162" s="240">
        <f>VLOOKUP(WWWW[[#This Row],[Site Name]],SiteDB6[],14,FALSE)</f>
        <v>19.721389770507798</v>
      </c>
      <c r="CK162" s="240">
        <f>VLOOKUP(WWWW[[#This Row],[Site Name]],SiteDB6[],15,FALSE)</f>
        <v>94.019851684570298</v>
      </c>
      <c r="CL162" s="240" t="str">
        <f>VLOOKUP(WWWW[[#This Row],[Site Name]],SiteDB6[],4,FALSE)</f>
        <v>199159</v>
      </c>
      <c r="CM162" s="404" t="str">
        <f t="shared" si="2"/>
        <v>Covered</v>
      </c>
      <c r="CN162" s="404"/>
    </row>
    <row r="163" spans="1:92" ht="15.75" hidden="1" customHeight="1" x14ac:dyDescent="0.25">
      <c r="A163" s="548" t="s">
        <v>1409</v>
      </c>
      <c r="B163" s="530" t="s">
        <v>2570</v>
      </c>
      <c r="C163" s="531" t="s">
        <v>464</v>
      </c>
      <c r="D163" s="531" t="s">
        <v>496</v>
      </c>
      <c r="E163" s="531" t="s">
        <v>556</v>
      </c>
      <c r="F163" s="41">
        <f>ROUND(WWWW[[#This Row],[Total PoP ]]/5,0)</f>
        <v>44</v>
      </c>
      <c r="G163" s="405">
        <v>221</v>
      </c>
      <c r="H163" s="41"/>
      <c r="I163" s="402" t="s">
        <v>498</v>
      </c>
      <c r="J163" s="403">
        <v>43586</v>
      </c>
      <c r="K163" s="41"/>
      <c r="L163" s="402" t="s">
        <v>48</v>
      </c>
      <c r="M163" s="404">
        <v>0</v>
      </c>
      <c r="N163" s="366">
        <v>0</v>
      </c>
      <c r="O163" s="612">
        <v>0</v>
      </c>
      <c r="P163" s="606">
        <v>0</v>
      </c>
      <c r="Q163" s="606"/>
      <c r="R163" s="607"/>
      <c r="S163" s="607">
        <v>0</v>
      </c>
      <c r="T163" s="607"/>
      <c r="U163" s="607"/>
      <c r="V163" s="607"/>
      <c r="W163" s="607"/>
      <c r="X163" s="607"/>
      <c r="Y163" s="607"/>
      <c r="Z163" s="598">
        <v>0</v>
      </c>
      <c r="AA163" s="598"/>
      <c r="AB163" s="80"/>
      <c r="AC163" s="598">
        <v>0</v>
      </c>
      <c r="AD163" s="598" t="s">
        <v>296</v>
      </c>
      <c r="AE163" s="599" t="s">
        <v>296</v>
      </c>
      <c r="AF163" s="599"/>
      <c r="AG163" s="598"/>
      <c r="AH163" s="598"/>
      <c r="AI163" s="649">
        <v>0</v>
      </c>
      <c r="AJ163" s="650"/>
      <c r="AK163" s="650">
        <v>0</v>
      </c>
      <c r="AL163" s="645"/>
      <c r="AM163" s="645">
        <v>0</v>
      </c>
      <c r="AN163" s="646"/>
      <c r="AO163" s="600"/>
      <c r="AP163" s="600"/>
      <c r="AQ163" s="651"/>
      <c r="AR163" s="42" t="str">
        <f>IFERROR(WWWW[[#This Row],['# of Water passed at source]]/WWWW[[#This Row],['# of Water tested at source]],"no test")</f>
        <v>no test</v>
      </c>
      <c r="AS163" s="389" t="str">
        <f>IFERROR(WWWW[[#This Row],['# of Water passed at HH]]/WWWW[[#This Row],['# of Water tested at HH]],"no test")</f>
        <v>no test</v>
      </c>
      <c r="AT163" s="407">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U163" s="407">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AV163" s="407">
        <f>IF(WWWW[[#This Row],[Location Type 1]]="Village",WWWW[[#This Row],[Access to safe drinking water for Village]],WWWW[[#This Row],[Access to safe drinking water for Camp]])</f>
        <v>0</v>
      </c>
      <c r="AW163" s="405">
        <f>WWWW[[#This Row],[%Equitable and continuous access to sufficient quantity of safe drinking water]]*WWWW[[#This Row],[Total PoP ]]</f>
        <v>0</v>
      </c>
      <c r="AX163" s="407">
        <f>IF((WWWW[[#This Row],['# Existing protected/fenced ponds ]]*250)/WWWW[[#This Row],[Total PoP ]]&gt;1,1,WWWW[[#This Row],['# Existing protected/fenced ponds ]]*250/WWWW[[#This Row],[Total PoP ]])</f>
        <v>0</v>
      </c>
      <c r="AY163" s="43">
        <f>WWWW[[#This Row],[Access to unimproved water points]]*WWWW[[#This Row],[Total PoP ]]</f>
        <v>0</v>
      </c>
      <c r="AZ163" s="407">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A163" s="405">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B163" s="414">
        <f>ROUND(WWWW[[#This Row],['#people Equitable and continuous access to sufficient quantity of domestic water borehole n ponds_2]]/500,0)</f>
        <v>0</v>
      </c>
      <c r="BC163" s="42">
        <f>1-WWWW[[#This Row],[%Equitable and continuous access to sufficient quantity of domestic water borehole n ponds]]</f>
        <v>1</v>
      </c>
      <c r="BD163" s="43">
        <f>WWWW[[#This Row],[%equitable and continuous access to sufficient quantity of safe drinking and domestic water''s GAP]]*WWWW[[#This Row],[Total PoP ]]</f>
        <v>221</v>
      </c>
      <c r="BE163" s="406">
        <f>IF(WWWW[[#This Row],[Total required water points]]-WWWW[[#This Row],['#Water points coverage]]&lt;0,0,WWWW[[#This Row],[Total required water points]]-WWWW[[#This Row],['#Water points coverage]])</f>
        <v>1</v>
      </c>
      <c r="BF163" s="406">
        <f>ROUND(IF(WWWW[[#This Row],[Total PoP ]]&lt;500,1,WWWW[[#This Row],[Total PoP ]]/500),0)</f>
        <v>1</v>
      </c>
      <c r="BG163" s="97" t="str">
        <f>IF(AND(WWWW[[#This Row],[%of Water samples which passed at water source]]="no test",WWWW[[#This Row],[%Water samples which passed at HH]]="no test"),"No Test","Tested")</f>
        <v>No Test</v>
      </c>
      <c r="BH163" s="97">
        <f>WWWW[[#This Row],['# Existing functional latrines]]+WWWW[[#This Row],['# Existing latrines dysfunctional]]</f>
        <v>0</v>
      </c>
      <c r="BI163" s="42">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J163" s="676">
        <f>WWWW[[#This Row],[% people access to functioning Latrine]]*WWWW[[#This Row],[Total PoP ]]</f>
        <v>0</v>
      </c>
      <c r="BK163" s="42">
        <f>IF(WWWW[[#This Row],[Location Type 1]]="camp",WWWW[[#This Row],['# potential required new latrines]]/(WWWW[[#This Row],[Total PoP ]]/20),WWWW[[#This Row],['# potential required new latrines]]/(WWWW[[#This Row],[Total PoP ]]/6))</f>
        <v>1.004524886877828</v>
      </c>
      <c r="BL163" s="43">
        <f>IF(WWWW[[#This Row],[Total required Latrines]]-WWWW[[#This Row],[Total '# of latrine]]&lt;0,0,WWWW[[#This Row],[Total required Latrines]]-WWWW[[#This Row],[Total '# of latrine]])</f>
        <v>37</v>
      </c>
      <c r="BM163" s="97">
        <f>ROUND(IF(WWWW[[#This Row],[Location Type 1]]="camp",WWWW[[#This Row],[Total PoP ]]/20,WWWW[[#This Row],[Total PoP ]]/6),0)</f>
        <v>37</v>
      </c>
      <c r="BN163" s="390">
        <f>IF(OR(WWWW[[#This Row],['# Existing latrines dysfunctional]]="",WWWW[[#This Row],['# Existing latrines dysfunctional]]=0),0,WWWW[[#This Row],['# Existing latrines dysfunctional]]/WWWW[[#This Row],[Total '# of latrine]])</f>
        <v>0</v>
      </c>
      <c r="BO163" s="676"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P163" s="42">
        <f>WWWW[[#This Row],[People adopt basic personal and community hygiene practices]]/WWWW[[#This Row],[Total PoP ]]</f>
        <v>0</v>
      </c>
      <c r="BQ163" s="390">
        <f>1-WWWW[[#This Row],[Hygiene Coverage%]]</f>
        <v>1</v>
      </c>
      <c r="BR163" s="405">
        <f>IF(500*WWWW[[#This Row],['# Hygiene Promoters ]]&gt;WWWW[[#This Row],[Total PoP ]],WWWW[[#This Row],[Total PoP ]],500*WWWW[[#This Row],['# Hygiene Promoters ]])</f>
        <v>0</v>
      </c>
      <c r="BS163" s="405">
        <f>IF(WWWW[[#This Row],[% of HH with access to Sanitary Pad]]&gt;=100%,1,0)</f>
        <v>0</v>
      </c>
      <c r="BT163" s="405">
        <f>IF(WWWW[[#This Row],[Total PoP ]]=0,0,IF(WWWW[[#This Row],['# Hygiene Promoters ]]=0,0,IF(WWWW[[#This Row],[Location Type 1]]="Village",IF(WWWW[[#This Row],[Total PoP ]]/WWWW[[#This Row],['# Hygiene Promoters ]]&lt;1000,1,0),IF(WWWW[[#This Row],[Total PoP ]]/WWWW[[#This Row],['# Hygiene Promoters ]]&lt;600,1,0))))</f>
        <v>0</v>
      </c>
      <c r="BU163" s="405">
        <f>IF(WWWW[[#This Row],[%HH with access to soap]]&gt;=100%,1,0)</f>
        <v>0</v>
      </c>
      <c r="BV163" s="405">
        <f>IF(WWWW[[#This Row],[% of HHs with access to Sanitary pad more than '#%]]+WWWW[[#This Row],[Ratio of Hyiene promoters to people less than '#]]+WWWW[[#This Row],[% of HHs with access to soap more than '#%]]&gt;=2,WWWW[[#This Row],[Total PoP ]],0)</f>
        <v>0</v>
      </c>
      <c r="BW163" s="391">
        <f>WWWW[[#This Row],['# people reached by regular dedicated hygiene promotion_5]]/WWWW[[#This Row],[Total PoP ]]</f>
        <v>0</v>
      </c>
      <c r="BX163" s="391">
        <f>IF(WWWW[[#This Row],['# HH received soaps]]/WWWW[[#This Row],[Total HH]]&gt;1,1,WWWW[[#This Row],['# HH received soaps]]/WWWW[[#This Row],[Total HH]])</f>
        <v>0</v>
      </c>
      <c r="BY163" s="391">
        <f>IF(WWWW[[#This Row],['# HH received Sanitary Pads]]/WWWW[[#This Row],[Total HH]]&gt;1,1,WWWW[[#This Row],['# HH received Sanitary Pads]]/WWWW[[#This Row],[Total HH]])</f>
        <v>0</v>
      </c>
      <c r="BZ163" s="721">
        <f>WWWW[[#This Row],['# HH received soaps]]*5</f>
        <v>0</v>
      </c>
      <c r="CA163" s="721">
        <f>WWWW[[#This Row],['# HH received Sanitary Pads]]*5</f>
        <v>0</v>
      </c>
      <c r="CB163" s="406">
        <f>IF(WWWW[[#This Row],['# People with access to soap]]&gt;WWWW[[#This Row],['# People with access to Sanity Pads]],WWWW[[#This Row],['# People with access to soap]],WWWW[[#This Row],['# People with access to Sanity Pads]])</f>
        <v>0</v>
      </c>
      <c r="CC163" s="43">
        <f>WWWW[[#This Row],[Total HH]]*WWWW[[#This Row],[%HHs with access to functional hand washing stations]]</f>
        <v>0</v>
      </c>
      <c r="CD163" s="240">
        <f>VLOOKUP(WWWW[[#This Row],[Site Name]],SiteDB6[],8,FALSE)</f>
        <v>0</v>
      </c>
      <c r="CE163" s="240">
        <f>VLOOKUP(WWWW[[#This Row],[Site Name]],SiteDB6[],9,FALSE)</f>
        <v>0</v>
      </c>
      <c r="CF163" s="240" t="str">
        <f>VLOOKUP(WWWW[[#This Row],[Site Name]],SiteDB6[],10,FALSE)</f>
        <v>Village_Not HRP</v>
      </c>
      <c r="CG163" s="240" t="str">
        <f>VLOOKUP(WWWW[[#This Row],[Site Name]],SiteDB6[],11,FALSE)</f>
        <v>Village</v>
      </c>
      <c r="CH163" s="240" t="str">
        <f>VLOOKUP(WWWW[[#This Row],[Site Name]],SiteDB6[],12,FALSE)</f>
        <v>Village_Not HRP</v>
      </c>
      <c r="CI163" s="240" t="str">
        <f>VLOOKUP(WWWW[[#This Row],[Site Name]],SiteDB6[],13,FALSE)</f>
        <v>Rakhine</v>
      </c>
      <c r="CJ163" s="240">
        <f>VLOOKUP(WWWW[[#This Row],[Site Name]],SiteDB6[],14,FALSE)</f>
        <v>19.725629806518601</v>
      </c>
      <c r="CK163" s="240">
        <f>VLOOKUP(WWWW[[#This Row],[Site Name]],SiteDB6[],15,FALSE)</f>
        <v>94.031059265136705</v>
      </c>
      <c r="CL163" s="240" t="str">
        <f>VLOOKUP(WWWW[[#This Row],[Site Name]],SiteDB6[],4,FALSE)</f>
        <v>199158</v>
      </c>
      <c r="CM163" s="235" t="str">
        <f t="shared" si="2"/>
        <v>Covered</v>
      </c>
      <c r="CN163" s="42"/>
    </row>
    <row r="164" spans="1:92" ht="15.75" hidden="1" customHeight="1" x14ac:dyDescent="0.25">
      <c r="A164" s="548" t="s">
        <v>1409</v>
      </c>
      <c r="B164" s="541" t="s">
        <v>2570</v>
      </c>
      <c r="C164" s="541" t="s">
        <v>464</v>
      </c>
      <c r="D164" s="541" t="s">
        <v>496</v>
      </c>
      <c r="E164" s="541" t="s">
        <v>557</v>
      </c>
      <c r="F164" s="402">
        <f>ROUND(WWWW[[#This Row],[Total PoP ]]/5,0)</f>
        <v>68</v>
      </c>
      <c r="G164" s="732">
        <v>342</v>
      </c>
      <c r="H164" s="169"/>
      <c r="I164" s="169" t="s">
        <v>498</v>
      </c>
      <c r="J164" s="170">
        <v>43586</v>
      </c>
      <c r="K164" s="169"/>
      <c r="L164" s="169" t="s">
        <v>48</v>
      </c>
      <c r="M164" s="171">
        <v>0</v>
      </c>
      <c r="N164" s="366">
        <v>0</v>
      </c>
      <c r="O164" s="608">
        <v>0</v>
      </c>
      <c r="P164" s="609">
        <v>0</v>
      </c>
      <c r="Q164" s="615"/>
      <c r="R164" s="604"/>
      <c r="S164" s="604">
        <v>0</v>
      </c>
      <c r="T164" s="604"/>
      <c r="U164" s="604"/>
      <c r="V164" s="604"/>
      <c r="W164" s="604"/>
      <c r="X164" s="604"/>
      <c r="Y164" s="604"/>
      <c r="Z164" s="628">
        <v>0</v>
      </c>
      <c r="AA164" s="628"/>
      <c r="AB164" s="628"/>
      <c r="AC164" s="628">
        <v>0</v>
      </c>
      <c r="AD164" s="628" t="s">
        <v>296</v>
      </c>
      <c r="AE164" s="631" t="s">
        <v>296</v>
      </c>
      <c r="AF164" s="629"/>
      <c r="AG164" s="629"/>
      <c r="AH164" s="628"/>
      <c r="AI164" s="659">
        <v>0</v>
      </c>
      <c r="AJ164" s="644"/>
      <c r="AK164" s="644">
        <v>0</v>
      </c>
      <c r="AL164" s="645"/>
      <c r="AM164" s="645">
        <v>0</v>
      </c>
      <c r="AN164" s="646"/>
      <c r="AO164" s="647"/>
      <c r="AP164" s="647"/>
      <c r="AQ164" s="658"/>
      <c r="AR164" s="235" t="str">
        <f>IFERROR(WWWW[[#This Row],['# of Water passed at source]]/WWWW[[#This Row],['# of Water tested at source]],"no test")</f>
        <v>no test</v>
      </c>
      <c r="AS164" s="237" t="str">
        <f>IFERROR(WWWW[[#This Row],['# of Water passed at HH]]/WWWW[[#This Row],['# of Water tested at HH]],"no test")</f>
        <v>no test</v>
      </c>
      <c r="AT164" s="237">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U164" s="237">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AV164" s="237">
        <f>IF(WWWW[[#This Row],[Location Type 1]]="Village",WWWW[[#This Row],[Access to safe drinking water for Village]],WWWW[[#This Row],[Access to safe drinking water for Camp]])</f>
        <v>0</v>
      </c>
      <c r="AW164" s="414">
        <f>WWWW[[#This Row],[%Equitable and continuous access to sufficient quantity of safe drinking water]]*WWWW[[#This Row],[Total PoP ]]</f>
        <v>0</v>
      </c>
      <c r="AX164" s="237">
        <f>IF((WWWW[[#This Row],['# Existing protected/fenced ponds ]]*250)/WWWW[[#This Row],[Total PoP ]]&gt;1,1,WWWW[[#This Row],['# Existing protected/fenced ponds ]]*250/WWWW[[#This Row],[Total PoP ]])</f>
        <v>0</v>
      </c>
      <c r="AY164" s="236">
        <f>WWWW[[#This Row],[Access to unimproved water points]]*WWWW[[#This Row],[Total PoP ]]</f>
        <v>0</v>
      </c>
      <c r="AZ164" s="237">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A164" s="414">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B164" s="414">
        <f>ROUND(WWWW[[#This Row],['#people Equitable and continuous access to sufficient quantity of domestic water borehole n ponds_2]]/500,0)</f>
        <v>0</v>
      </c>
      <c r="BC164" s="235">
        <f>1-WWWW[[#This Row],[%Equitable and continuous access to sufficient quantity of domestic water borehole n ponds]]</f>
        <v>1</v>
      </c>
      <c r="BD164" s="236">
        <f>WWWW[[#This Row],[%equitable and continuous access to sufficient quantity of safe drinking and domestic water''s GAP]]*WWWW[[#This Row],[Total PoP ]]</f>
        <v>342</v>
      </c>
      <c r="BE164" s="238">
        <f>IF(WWWW[[#This Row],[Total required water points]]-WWWW[[#This Row],['#Water points coverage]]&lt;0,0,WWWW[[#This Row],[Total required water points]]-WWWW[[#This Row],['#Water points coverage]])</f>
        <v>1</v>
      </c>
      <c r="BF164" s="238">
        <f>ROUND(IF(WWWW[[#This Row],[Total PoP ]]&lt;500,1,WWWW[[#This Row],[Total PoP ]]/500),0)</f>
        <v>1</v>
      </c>
      <c r="BG164" s="238" t="str">
        <f>IF(AND(WWWW[[#This Row],[%of Water samples which passed at water source]]="no test",WWWW[[#This Row],[%Water samples which passed at HH]]="no test"),"No Test","Tested")</f>
        <v>No Test</v>
      </c>
      <c r="BH164" s="238">
        <f>WWWW[[#This Row],['# Existing functional latrines]]+WWWW[[#This Row],['# Existing latrines dysfunctional]]</f>
        <v>0</v>
      </c>
      <c r="BI164" s="235">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J164" s="675">
        <f>WWWW[[#This Row],[% people access to functioning Latrine]]*WWWW[[#This Row],[Total PoP ]]</f>
        <v>0</v>
      </c>
      <c r="BK164" s="235">
        <f>IF(WWWW[[#This Row],[Location Type 1]]="camp",WWWW[[#This Row],['# potential required new latrines]]/(WWWW[[#This Row],[Total PoP ]]/20),WWWW[[#This Row],['# potential required new latrines]]/(WWWW[[#This Row],[Total PoP ]]/6))</f>
        <v>1</v>
      </c>
      <c r="BL164" s="236">
        <f>IF(WWWW[[#This Row],[Total required Latrines]]-WWWW[[#This Row],[Total '# of latrine]]&lt;0,0,WWWW[[#This Row],[Total required Latrines]]-WWWW[[#This Row],[Total '# of latrine]])</f>
        <v>57</v>
      </c>
      <c r="BM164" s="238">
        <f>ROUND(IF(WWWW[[#This Row],[Location Type 1]]="camp",WWWW[[#This Row],[Total PoP ]]/20,WWWW[[#This Row],[Total PoP ]]/6),0)</f>
        <v>57</v>
      </c>
      <c r="BN164" s="239">
        <f>IF(OR(WWWW[[#This Row],['# Existing latrines dysfunctional]]="",WWWW[[#This Row],['# Existing latrines dysfunctional]]=0),0,WWWW[[#This Row],['# Existing latrines dysfunctional]]/WWWW[[#This Row],[Total '# of latrine]])</f>
        <v>0</v>
      </c>
      <c r="BO164" s="675"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P164" s="235">
        <f>WWWW[[#This Row],[People adopt basic personal and community hygiene practices]]/WWWW[[#This Row],[Total PoP ]]</f>
        <v>0</v>
      </c>
      <c r="BQ164" s="239">
        <f>1-WWWW[[#This Row],[Hygiene Coverage%]]</f>
        <v>1</v>
      </c>
      <c r="BR164" s="405">
        <f>IF(500*WWWW[[#This Row],['# Hygiene Promoters ]]&gt;WWWW[[#This Row],[Total PoP ]],WWWW[[#This Row],[Total PoP ]],500*WWWW[[#This Row],['# Hygiene Promoters ]])</f>
        <v>0</v>
      </c>
      <c r="BS164" s="405">
        <f>IF(WWWW[[#This Row],[% of HH with access to Sanitary Pad]]&gt;=100%,1,0)</f>
        <v>0</v>
      </c>
      <c r="BT164" s="405">
        <f>IF(WWWW[[#This Row],[Total PoP ]]=0,0,IF(WWWW[[#This Row],['# Hygiene Promoters ]]=0,0,IF(WWWW[[#This Row],[Location Type 1]]="Village",IF(WWWW[[#This Row],[Total PoP ]]/WWWW[[#This Row],['# Hygiene Promoters ]]&lt;1000,1,0),IF(WWWW[[#This Row],[Total PoP ]]/WWWW[[#This Row],['# Hygiene Promoters ]]&lt;600,1,0))))</f>
        <v>0</v>
      </c>
      <c r="BU164" s="405">
        <f>IF(WWWW[[#This Row],[%HH with access to soap]]&gt;=100%,1,0)</f>
        <v>0</v>
      </c>
      <c r="BV164" s="405">
        <f>IF(WWWW[[#This Row],[% of HHs with access to Sanitary pad more than '#%]]+WWWW[[#This Row],[Ratio of Hyiene promoters to people less than '#]]+WWWW[[#This Row],[% of HHs with access to soap more than '#%]]&gt;=2,WWWW[[#This Row],[Total PoP ]],0)</f>
        <v>0</v>
      </c>
      <c r="BW164" s="346">
        <f>WWWW[[#This Row],['# people reached by regular dedicated hygiene promotion_5]]/WWWW[[#This Row],[Total PoP ]]</f>
        <v>0</v>
      </c>
      <c r="BX164" s="346">
        <f>IF(WWWW[[#This Row],['# HH received soaps]]/WWWW[[#This Row],[Total HH]]&gt;1,1,WWWW[[#This Row],['# HH received soaps]]/WWWW[[#This Row],[Total HH]])</f>
        <v>0</v>
      </c>
      <c r="BY164" s="346">
        <f>IF(WWWW[[#This Row],['# HH received Sanitary Pads]]/WWWW[[#This Row],[Total HH]]&gt;1,1,WWWW[[#This Row],['# HH received Sanitary Pads]]/WWWW[[#This Row],[Total HH]])</f>
        <v>0</v>
      </c>
      <c r="BZ164" s="720">
        <f>WWWW[[#This Row],['# HH received soaps]]*5</f>
        <v>0</v>
      </c>
      <c r="CA164" s="720">
        <f>WWWW[[#This Row],['# HH received Sanitary Pads]]*5</f>
        <v>0</v>
      </c>
      <c r="CB164" s="675">
        <f>IF(WWWW[[#This Row],['# People with access to soap]]&gt;WWWW[[#This Row],['# People with access to Sanity Pads]],WWWW[[#This Row],['# People with access to soap]],WWWW[[#This Row],['# People with access to Sanity Pads]])</f>
        <v>0</v>
      </c>
      <c r="CC164" s="236">
        <f>WWWW[[#This Row],[Total HH]]*WWWW[[#This Row],[%HHs with access to functional hand washing stations]]</f>
        <v>0</v>
      </c>
      <c r="CD164" s="240">
        <f>VLOOKUP(WWWW[[#This Row],[Site Name]],SiteDB6[],8,FALSE)</f>
        <v>0</v>
      </c>
      <c r="CE164" s="240">
        <f>VLOOKUP(WWWW[[#This Row],[Site Name]],SiteDB6[],9,FALSE)</f>
        <v>0</v>
      </c>
      <c r="CF164" s="240" t="str">
        <f>VLOOKUP(WWWW[[#This Row],[Site Name]],SiteDB6[],10,FALSE)</f>
        <v>Village_Not HRP</v>
      </c>
      <c r="CG164" s="240" t="str">
        <f>VLOOKUP(WWWW[[#This Row],[Site Name]],SiteDB6[],11,FALSE)</f>
        <v>Village</v>
      </c>
      <c r="CH164" s="240" t="str">
        <f>VLOOKUP(WWWW[[#This Row],[Site Name]],SiteDB6[],12,FALSE)</f>
        <v>Village_Not HRP</v>
      </c>
      <c r="CI164" s="240" t="str">
        <f>VLOOKUP(WWWW[[#This Row],[Site Name]],SiteDB6[],13,FALSE)</f>
        <v>Chin+Rakhine</v>
      </c>
      <c r="CJ164" s="240">
        <f>VLOOKUP(WWWW[[#This Row],[Site Name]],SiteDB6[],14,FALSE)</f>
        <v>19.726810455322301</v>
      </c>
      <c r="CK164" s="240">
        <f>VLOOKUP(WWWW[[#This Row],[Site Name]],SiteDB6[],15,FALSE)</f>
        <v>94.0286865234375</v>
      </c>
      <c r="CL164" s="240" t="str">
        <f>VLOOKUP(WWWW[[#This Row],[Site Name]],SiteDB6[],4,FALSE)</f>
        <v>199157</v>
      </c>
      <c r="CM164" s="235" t="str">
        <f t="shared" si="2"/>
        <v>Covered</v>
      </c>
      <c r="CN164" s="240"/>
    </row>
    <row r="165" spans="1:92" ht="15.75" hidden="1" customHeight="1" x14ac:dyDescent="0.25">
      <c r="A165" s="548" t="s">
        <v>1409</v>
      </c>
      <c r="B165" s="593" t="s">
        <v>2570</v>
      </c>
      <c r="C165" s="593" t="s">
        <v>464</v>
      </c>
      <c r="D165" s="593" t="s">
        <v>496</v>
      </c>
      <c r="E165" s="593" t="s">
        <v>558</v>
      </c>
      <c r="F165" s="402">
        <f>ROUND(WWWW[[#This Row],[Total PoP ]]/5,0)</f>
        <v>75</v>
      </c>
      <c r="G165" s="733">
        <v>375</v>
      </c>
      <c r="H165" s="309"/>
      <c r="I165" s="309" t="s">
        <v>498</v>
      </c>
      <c r="J165" s="310">
        <v>43586</v>
      </c>
      <c r="K165" s="309"/>
      <c r="L165" s="309" t="s">
        <v>48</v>
      </c>
      <c r="M165" s="306">
        <v>0</v>
      </c>
      <c r="N165" s="366">
        <v>0</v>
      </c>
      <c r="O165" s="608">
        <v>0</v>
      </c>
      <c r="P165" s="609">
        <v>0</v>
      </c>
      <c r="Q165" s="616"/>
      <c r="R165" s="617"/>
      <c r="S165" s="617">
        <v>0</v>
      </c>
      <c r="T165" s="607"/>
      <c r="U165" s="607"/>
      <c r="V165" s="607"/>
      <c r="W165" s="607"/>
      <c r="X165" s="604"/>
      <c r="Y165" s="607"/>
      <c r="Z165" s="598">
        <v>0</v>
      </c>
      <c r="AA165" s="599"/>
      <c r="AB165" s="629"/>
      <c r="AC165" s="635">
        <v>0</v>
      </c>
      <c r="AD165" s="635" t="s">
        <v>296</v>
      </c>
      <c r="AE165" s="599" t="s">
        <v>296</v>
      </c>
      <c r="AF165" s="80"/>
      <c r="AG165" s="80"/>
      <c r="AH165" s="636"/>
      <c r="AI165" s="660">
        <v>0</v>
      </c>
      <c r="AJ165" s="661"/>
      <c r="AK165" s="651">
        <v>0</v>
      </c>
      <c r="AL165" s="645"/>
      <c r="AM165" s="645">
        <v>0</v>
      </c>
      <c r="AN165" s="646"/>
      <c r="AO165" s="600"/>
      <c r="AP165" s="600"/>
      <c r="AQ165" s="662"/>
      <c r="AR165" s="235" t="str">
        <f>IFERROR(WWWW[[#This Row],['# of Water passed at source]]/WWWW[[#This Row],['# of Water tested at source]],"no test")</f>
        <v>no test</v>
      </c>
      <c r="AS165" s="237" t="str">
        <f>IFERROR(WWWW[[#This Row],['# of Water passed at HH]]/WWWW[[#This Row],['# of Water tested at HH]],"no test")</f>
        <v>no test</v>
      </c>
      <c r="AT165" s="237">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U165" s="237">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AV165" s="237">
        <f>IF(WWWW[[#This Row],[Location Type 1]]="Village",WWWW[[#This Row],[Access to safe drinking water for Village]],WWWW[[#This Row],[Access to safe drinking water for Camp]])</f>
        <v>0</v>
      </c>
      <c r="AW165" s="414">
        <f>WWWW[[#This Row],[%Equitable and continuous access to sufficient quantity of safe drinking water]]*WWWW[[#This Row],[Total PoP ]]</f>
        <v>0</v>
      </c>
      <c r="AX165" s="237">
        <f>IF((WWWW[[#This Row],['# Existing protected/fenced ponds ]]*250)/WWWW[[#This Row],[Total PoP ]]&gt;1,1,WWWW[[#This Row],['# Existing protected/fenced ponds ]]*250/WWWW[[#This Row],[Total PoP ]])</f>
        <v>0</v>
      </c>
      <c r="AY165" s="236">
        <f>WWWW[[#This Row],[Access to unimproved water points]]*WWWW[[#This Row],[Total PoP ]]</f>
        <v>0</v>
      </c>
      <c r="AZ165" s="237">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A165" s="414">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B165" s="414">
        <f>ROUND(WWWW[[#This Row],['#people Equitable and continuous access to sufficient quantity of domestic water borehole n ponds_2]]/500,0)</f>
        <v>0</v>
      </c>
      <c r="BC165" s="235">
        <f>1-WWWW[[#This Row],[%Equitable and continuous access to sufficient quantity of domestic water borehole n ponds]]</f>
        <v>1</v>
      </c>
      <c r="BD165" s="236">
        <f>WWWW[[#This Row],[%equitable and continuous access to sufficient quantity of safe drinking and domestic water''s GAP]]*WWWW[[#This Row],[Total PoP ]]</f>
        <v>375</v>
      </c>
      <c r="BE165" s="238">
        <f>IF(WWWW[[#This Row],[Total required water points]]-WWWW[[#This Row],['#Water points coverage]]&lt;0,0,WWWW[[#This Row],[Total required water points]]-WWWW[[#This Row],['#Water points coverage]])</f>
        <v>1</v>
      </c>
      <c r="BF165" s="238">
        <f>ROUND(IF(WWWW[[#This Row],[Total PoP ]]&lt;500,1,WWWW[[#This Row],[Total PoP ]]/500),0)</f>
        <v>1</v>
      </c>
      <c r="BG165" s="238" t="str">
        <f>IF(AND(WWWW[[#This Row],[%of Water samples which passed at water source]]="no test",WWWW[[#This Row],[%Water samples which passed at HH]]="no test"),"No Test","Tested")</f>
        <v>No Test</v>
      </c>
      <c r="BH165" s="238">
        <f>WWWW[[#This Row],['# Existing functional latrines]]+WWWW[[#This Row],['# Existing latrines dysfunctional]]</f>
        <v>0</v>
      </c>
      <c r="BI165" s="235">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J165" s="675">
        <f>WWWW[[#This Row],[% people access to functioning Latrine]]*WWWW[[#This Row],[Total PoP ]]</f>
        <v>0</v>
      </c>
      <c r="BK165" s="235">
        <f>IF(WWWW[[#This Row],[Location Type 1]]="camp",WWWW[[#This Row],['# potential required new latrines]]/(WWWW[[#This Row],[Total PoP ]]/20),WWWW[[#This Row],['# potential required new latrines]]/(WWWW[[#This Row],[Total PoP ]]/6))</f>
        <v>1.008</v>
      </c>
      <c r="BL165" s="236">
        <f>IF(WWWW[[#This Row],[Total required Latrines]]-WWWW[[#This Row],[Total '# of latrine]]&lt;0,0,WWWW[[#This Row],[Total required Latrines]]-WWWW[[#This Row],[Total '# of latrine]])</f>
        <v>63</v>
      </c>
      <c r="BM165" s="238">
        <f>ROUND(IF(WWWW[[#This Row],[Location Type 1]]="camp",WWWW[[#This Row],[Total PoP ]]/20,WWWW[[#This Row],[Total PoP ]]/6),0)</f>
        <v>63</v>
      </c>
      <c r="BN165" s="239">
        <f>IF(OR(WWWW[[#This Row],['# Existing latrines dysfunctional]]="",WWWW[[#This Row],['# Existing latrines dysfunctional]]=0),0,WWWW[[#This Row],['# Existing latrines dysfunctional]]/WWWW[[#This Row],[Total '# of latrine]])</f>
        <v>0</v>
      </c>
      <c r="BO165" s="675"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P165" s="235">
        <f>WWWW[[#This Row],[People adopt basic personal and community hygiene practices]]/WWWW[[#This Row],[Total PoP ]]</f>
        <v>0</v>
      </c>
      <c r="BQ165" s="239">
        <f>1-WWWW[[#This Row],[Hygiene Coverage%]]</f>
        <v>1</v>
      </c>
      <c r="BR165" s="405">
        <f>IF(500*WWWW[[#This Row],['# Hygiene Promoters ]]&gt;WWWW[[#This Row],[Total PoP ]],WWWW[[#This Row],[Total PoP ]],500*WWWW[[#This Row],['# Hygiene Promoters ]])</f>
        <v>0</v>
      </c>
      <c r="BS165" s="405">
        <f>IF(WWWW[[#This Row],[% of HH with access to Sanitary Pad]]&gt;=100%,1,0)</f>
        <v>0</v>
      </c>
      <c r="BT165" s="405">
        <f>IF(WWWW[[#This Row],[Total PoP ]]=0,0,IF(WWWW[[#This Row],['# Hygiene Promoters ]]=0,0,IF(WWWW[[#This Row],[Location Type 1]]="Village",IF(WWWW[[#This Row],[Total PoP ]]/WWWW[[#This Row],['# Hygiene Promoters ]]&lt;1000,1,0),IF(WWWW[[#This Row],[Total PoP ]]/WWWW[[#This Row],['# Hygiene Promoters ]]&lt;600,1,0))))</f>
        <v>0</v>
      </c>
      <c r="BU165" s="405">
        <f>IF(WWWW[[#This Row],[%HH with access to soap]]&gt;=100%,1,0)</f>
        <v>0</v>
      </c>
      <c r="BV165" s="405">
        <f>IF(WWWW[[#This Row],[% of HHs with access to Sanitary pad more than '#%]]+WWWW[[#This Row],[Ratio of Hyiene promoters to people less than '#]]+WWWW[[#This Row],[% of HHs with access to soap more than '#%]]&gt;=2,WWWW[[#This Row],[Total PoP ]],0)</f>
        <v>0</v>
      </c>
      <c r="BW165" s="346">
        <f>WWWW[[#This Row],['# people reached by regular dedicated hygiene promotion_5]]/WWWW[[#This Row],[Total PoP ]]</f>
        <v>0</v>
      </c>
      <c r="BX165" s="346">
        <f>IF(WWWW[[#This Row],['# HH received soaps]]/WWWW[[#This Row],[Total HH]]&gt;1,1,WWWW[[#This Row],['# HH received soaps]]/WWWW[[#This Row],[Total HH]])</f>
        <v>0</v>
      </c>
      <c r="BY165" s="346">
        <f>IF(WWWW[[#This Row],['# HH received Sanitary Pads]]/WWWW[[#This Row],[Total HH]]&gt;1,1,WWWW[[#This Row],['# HH received Sanitary Pads]]/WWWW[[#This Row],[Total HH]])</f>
        <v>0</v>
      </c>
      <c r="BZ165" s="720">
        <f>WWWW[[#This Row],['# HH received soaps]]*5</f>
        <v>0</v>
      </c>
      <c r="CA165" s="720">
        <f>WWWW[[#This Row],['# HH received Sanitary Pads]]*5</f>
        <v>0</v>
      </c>
      <c r="CB165" s="675">
        <f>IF(WWWW[[#This Row],['# People with access to soap]]&gt;WWWW[[#This Row],['# People with access to Sanity Pads]],WWWW[[#This Row],['# People with access to soap]],WWWW[[#This Row],['# People with access to Sanity Pads]])</f>
        <v>0</v>
      </c>
      <c r="CC165" s="236">
        <f>WWWW[[#This Row],[Total HH]]*WWWW[[#This Row],[%HHs with access to functional hand washing stations]]</f>
        <v>0</v>
      </c>
      <c r="CD165" s="240">
        <f>VLOOKUP(WWWW[[#This Row],[Site Name]],SiteDB6[],8,FALSE)</f>
        <v>0</v>
      </c>
      <c r="CE165" s="240">
        <f>VLOOKUP(WWWW[[#This Row],[Site Name]],SiteDB6[],9,FALSE)</f>
        <v>0</v>
      </c>
      <c r="CF165" s="240" t="str">
        <f>VLOOKUP(WWWW[[#This Row],[Site Name]],SiteDB6[],10,FALSE)</f>
        <v>Village_Not HRP</v>
      </c>
      <c r="CG165" s="240" t="str">
        <f>VLOOKUP(WWWW[[#This Row],[Site Name]],SiteDB6[],11,FALSE)</f>
        <v>Village</v>
      </c>
      <c r="CH165" s="240" t="str">
        <f>VLOOKUP(WWWW[[#This Row],[Site Name]],SiteDB6[],12,FALSE)</f>
        <v>Village_Not HRP</v>
      </c>
      <c r="CI165" s="240" t="str">
        <f>VLOOKUP(WWWW[[#This Row],[Site Name]],SiteDB6[],13,FALSE)</f>
        <v>Rakhine</v>
      </c>
      <c r="CJ165" s="240">
        <f>VLOOKUP(WWWW[[#This Row],[Site Name]],SiteDB6[],14,FALSE)</f>
        <v>19.738719940185501</v>
      </c>
      <c r="CK165" s="240">
        <f>VLOOKUP(WWWW[[#This Row],[Site Name]],SiteDB6[],15,FALSE)</f>
        <v>94.035491943359403</v>
      </c>
      <c r="CL165" s="240" t="str">
        <f>VLOOKUP(WWWW[[#This Row],[Site Name]],SiteDB6[],4,FALSE)</f>
        <v>199160</v>
      </c>
      <c r="CM165" s="235" t="str">
        <f t="shared" si="2"/>
        <v>Covered</v>
      </c>
      <c r="CN165" s="240"/>
    </row>
    <row r="166" spans="1:92" ht="15.75" hidden="1" customHeight="1" x14ac:dyDescent="0.25">
      <c r="A166" s="548" t="s">
        <v>1409</v>
      </c>
      <c r="B166" s="541" t="s">
        <v>2570</v>
      </c>
      <c r="C166" s="541" t="s">
        <v>464</v>
      </c>
      <c r="D166" s="541" t="s">
        <v>496</v>
      </c>
      <c r="E166" s="541" t="s">
        <v>559</v>
      </c>
      <c r="F166" s="402">
        <f>ROUND(WWWW[[#This Row],[Total PoP ]]/5,0)</f>
        <v>123</v>
      </c>
      <c r="G166" s="732">
        <v>615</v>
      </c>
      <c r="H166" s="169"/>
      <c r="I166" s="169" t="s">
        <v>498</v>
      </c>
      <c r="J166" s="170">
        <v>43586</v>
      </c>
      <c r="K166" s="169"/>
      <c r="L166" s="169" t="s">
        <v>48</v>
      </c>
      <c r="M166" s="171">
        <v>0</v>
      </c>
      <c r="N166" s="366">
        <v>0</v>
      </c>
      <c r="O166" s="608">
        <v>0</v>
      </c>
      <c r="P166" s="609">
        <v>0</v>
      </c>
      <c r="Q166" s="610"/>
      <c r="R166" s="611"/>
      <c r="S166" s="611">
        <v>0</v>
      </c>
      <c r="T166" s="611"/>
      <c r="U166" s="604"/>
      <c r="V166" s="606"/>
      <c r="W166" s="606"/>
      <c r="X166" s="604"/>
      <c r="Y166" s="607"/>
      <c r="Z166" s="598">
        <v>0</v>
      </c>
      <c r="AA166" s="599"/>
      <c r="AB166" s="629"/>
      <c r="AC166" s="632">
        <v>0</v>
      </c>
      <c r="AD166" s="80" t="s">
        <v>296</v>
      </c>
      <c r="AE166" s="80" t="s">
        <v>296</v>
      </c>
      <c r="AF166" s="80"/>
      <c r="AG166" s="80"/>
      <c r="AH166" s="633"/>
      <c r="AI166" s="652">
        <v>0</v>
      </c>
      <c r="AJ166" s="653"/>
      <c r="AK166" s="651">
        <v>0</v>
      </c>
      <c r="AL166" s="645"/>
      <c r="AM166" s="645">
        <v>0</v>
      </c>
      <c r="AN166" s="646"/>
      <c r="AO166" s="600"/>
      <c r="AP166" s="600"/>
      <c r="AQ166" s="654"/>
      <c r="AR166" s="235" t="str">
        <f>IFERROR(WWWW[[#This Row],['# of Water passed at source]]/WWWW[[#This Row],['# of Water tested at source]],"no test")</f>
        <v>no test</v>
      </c>
      <c r="AS166" s="237" t="str">
        <f>IFERROR(WWWW[[#This Row],['# of Water passed at HH]]/WWWW[[#This Row],['# of Water tested at HH]],"no test")</f>
        <v>no test</v>
      </c>
      <c r="AT166" s="237">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U166" s="237">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AV166" s="237">
        <f>IF(WWWW[[#This Row],[Location Type 1]]="Village",WWWW[[#This Row],[Access to safe drinking water for Village]],WWWW[[#This Row],[Access to safe drinking water for Camp]])</f>
        <v>0</v>
      </c>
      <c r="AW166" s="414">
        <f>WWWW[[#This Row],[%Equitable and continuous access to sufficient quantity of safe drinking water]]*WWWW[[#This Row],[Total PoP ]]</f>
        <v>0</v>
      </c>
      <c r="AX166" s="237">
        <f>IF((WWWW[[#This Row],['# Existing protected/fenced ponds ]]*250)/WWWW[[#This Row],[Total PoP ]]&gt;1,1,WWWW[[#This Row],['# Existing protected/fenced ponds ]]*250/WWWW[[#This Row],[Total PoP ]])</f>
        <v>0</v>
      </c>
      <c r="AY166" s="236">
        <f>WWWW[[#This Row],[Access to unimproved water points]]*WWWW[[#This Row],[Total PoP ]]</f>
        <v>0</v>
      </c>
      <c r="AZ166" s="237">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A166" s="414">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B166" s="414">
        <f>ROUND(WWWW[[#This Row],['#people Equitable and continuous access to sufficient quantity of domestic water borehole n ponds_2]]/500,0)</f>
        <v>0</v>
      </c>
      <c r="BC166" s="235">
        <f>1-WWWW[[#This Row],[%Equitable and continuous access to sufficient quantity of domestic water borehole n ponds]]</f>
        <v>1</v>
      </c>
      <c r="BD166" s="236">
        <f>WWWW[[#This Row],[%equitable and continuous access to sufficient quantity of safe drinking and domestic water''s GAP]]*WWWW[[#This Row],[Total PoP ]]</f>
        <v>615</v>
      </c>
      <c r="BE166" s="238">
        <f>IF(WWWW[[#This Row],[Total required water points]]-WWWW[[#This Row],['#Water points coverage]]&lt;0,0,WWWW[[#This Row],[Total required water points]]-WWWW[[#This Row],['#Water points coverage]])</f>
        <v>1</v>
      </c>
      <c r="BF166" s="238">
        <f>ROUND(IF(WWWW[[#This Row],[Total PoP ]]&lt;500,1,WWWW[[#This Row],[Total PoP ]]/500),0)</f>
        <v>1</v>
      </c>
      <c r="BG166" s="238" t="str">
        <f>IF(AND(WWWW[[#This Row],[%of Water samples which passed at water source]]="no test",WWWW[[#This Row],[%Water samples which passed at HH]]="no test"),"No Test","Tested")</f>
        <v>No Test</v>
      </c>
      <c r="BH166" s="238">
        <f>WWWW[[#This Row],['# Existing functional latrines]]+WWWW[[#This Row],['# Existing latrines dysfunctional]]</f>
        <v>0</v>
      </c>
      <c r="BI166" s="235">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J166" s="675">
        <f>WWWW[[#This Row],[% people access to functioning Latrine]]*WWWW[[#This Row],[Total PoP ]]</f>
        <v>0</v>
      </c>
      <c r="BK166" s="235">
        <f>IF(WWWW[[#This Row],[Location Type 1]]="camp",WWWW[[#This Row],['# potential required new latrines]]/(WWWW[[#This Row],[Total PoP ]]/20),WWWW[[#This Row],['# potential required new latrines]]/(WWWW[[#This Row],[Total PoP ]]/6))</f>
        <v>1.0048780487804878</v>
      </c>
      <c r="BL166" s="236">
        <f>IF(WWWW[[#This Row],[Total required Latrines]]-WWWW[[#This Row],[Total '# of latrine]]&lt;0,0,WWWW[[#This Row],[Total required Latrines]]-WWWW[[#This Row],[Total '# of latrine]])</f>
        <v>103</v>
      </c>
      <c r="BM166" s="238">
        <f>ROUND(IF(WWWW[[#This Row],[Location Type 1]]="camp",WWWW[[#This Row],[Total PoP ]]/20,WWWW[[#This Row],[Total PoP ]]/6),0)</f>
        <v>103</v>
      </c>
      <c r="BN166" s="239">
        <f>IF(OR(WWWW[[#This Row],['# Existing latrines dysfunctional]]="",WWWW[[#This Row],['# Existing latrines dysfunctional]]=0),0,WWWW[[#This Row],['# Existing latrines dysfunctional]]/WWWW[[#This Row],[Total '# of latrine]])</f>
        <v>0</v>
      </c>
      <c r="BO166" s="675"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P166" s="235">
        <f>WWWW[[#This Row],[People adopt basic personal and community hygiene practices]]/WWWW[[#This Row],[Total PoP ]]</f>
        <v>0</v>
      </c>
      <c r="BQ166" s="239">
        <f>1-WWWW[[#This Row],[Hygiene Coverage%]]</f>
        <v>1</v>
      </c>
      <c r="BR166" s="405">
        <f>IF(500*WWWW[[#This Row],['# Hygiene Promoters ]]&gt;WWWW[[#This Row],[Total PoP ]],WWWW[[#This Row],[Total PoP ]],500*WWWW[[#This Row],['# Hygiene Promoters ]])</f>
        <v>0</v>
      </c>
      <c r="BS166" s="405">
        <f>IF(WWWW[[#This Row],[% of HH with access to Sanitary Pad]]&gt;=100%,1,0)</f>
        <v>0</v>
      </c>
      <c r="BT166" s="405">
        <f>IF(WWWW[[#This Row],[Total PoP ]]=0,0,IF(WWWW[[#This Row],['# Hygiene Promoters ]]=0,0,IF(WWWW[[#This Row],[Location Type 1]]="Village",IF(WWWW[[#This Row],[Total PoP ]]/WWWW[[#This Row],['# Hygiene Promoters ]]&lt;1000,1,0),IF(WWWW[[#This Row],[Total PoP ]]/WWWW[[#This Row],['# Hygiene Promoters ]]&lt;600,1,0))))</f>
        <v>0</v>
      </c>
      <c r="BU166" s="405">
        <f>IF(WWWW[[#This Row],[%HH with access to soap]]&gt;=100%,1,0)</f>
        <v>0</v>
      </c>
      <c r="BV166" s="405">
        <f>IF(WWWW[[#This Row],[% of HHs with access to Sanitary pad more than '#%]]+WWWW[[#This Row],[Ratio of Hyiene promoters to people less than '#]]+WWWW[[#This Row],[% of HHs with access to soap more than '#%]]&gt;=2,WWWW[[#This Row],[Total PoP ]],0)</f>
        <v>0</v>
      </c>
      <c r="BW166" s="346">
        <f>WWWW[[#This Row],['# people reached by regular dedicated hygiene promotion_5]]/WWWW[[#This Row],[Total PoP ]]</f>
        <v>0</v>
      </c>
      <c r="BX166" s="346">
        <f>IF(WWWW[[#This Row],['# HH received soaps]]/WWWW[[#This Row],[Total HH]]&gt;1,1,WWWW[[#This Row],['# HH received soaps]]/WWWW[[#This Row],[Total HH]])</f>
        <v>0</v>
      </c>
      <c r="BY166" s="346">
        <f>IF(WWWW[[#This Row],['# HH received Sanitary Pads]]/WWWW[[#This Row],[Total HH]]&gt;1,1,WWWW[[#This Row],['# HH received Sanitary Pads]]/WWWW[[#This Row],[Total HH]])</f>
        <v>0</v>
      </c>
      <c r="BZ166" s="720">
        <f>WWWW[[#This Row],['# HH received soaps]]*5</f>
        <v>0</v>
      </c>
      <c r="CA166" s="720">
        <f>WWWW[[#This Row],['# HH received Sanitary Pads]]*5</f>
        <v>0</v>
      </c>
      <c r="CB166" s="675">
        <f>IF(WWWW[[#This Row],['# People with access to soap]]&gt;WWWW[[#This Row],['# People with access to Sanity Pads]],WWWW[[#This Row],['# People with access to soap]],WWWW[[#This Row],['# People with access to Sanity Pads]])</f>
        <v>0</v>
      </c>
      <c r="CC166" s="236">
        <f>WWWW[[#This Row],[Total HH]]*WWWW[[#This Row],[%HHs with access to functional hand washing stations]]</f>
        <v>0</v>
      </c>
      <c r="CD166" s="240">
        <f>VLOOKUP(WWWW[[#This Row],[Site Name]],SiteDB6[],8,FALSE)</f>
        <v>0</v>
      </c>
      <c r="CE166" s="240">
        <f>VLOOKUP(WWWW[[#This Row],[Site Name]],SiteDB6[],9,FALSE)</f>
        <v>0</v>
      </c>
      <c r="CF166" s="240" t="str">
        <f>VLOOKUP(WWWW[[#This Row],[Site Name]],SiteDB6[],10,FALSE)</f>
        <v>Village_Not HRP</v>
      </c>
      <c r="CG166" s="240" t="str">
        <f>VLOOKUP(WWWW[[#This Row],[Site Name]],SiteDB6[],11,FALSE)</f>
        <v>Village</v>
      </c>
      <c r="CH166" s="240" t="str">
        <f>VLOOKUP(WWWW[[#This Row],[Site Name]],SiteDB6[],12,FALSE)</f>
        <v>Village_Not HRP</v>
      </c>
      <c r="CI166" s="240" t="str">
        <f>VLOOKUP(WWWW[[#This Row],[Site Name]],SiteDB6[],13,FALSE)</f>
        <v>Rakhine</v>
      </c>
      <c r="CJ166" s="240">
        <f>VLOOKUP(WWWW[[#This Row],[Site Name]],SiteDB6[],14,FALSE)</f>
        <v>19.9044303894043</v>
      </c>
      <c r="CK166" s="240">
        <f>VLOOKUP(WWWW[[#This Row],[Site Name]],SiteDB6[],15,FALSE)</f>
        <v>93.792778015136705</v>
      </c>
      <c r="CL166" s="240" t="str">
        <f>VLOOKUP(WWWW[[#This Row],[Site Name]],SiteDB6[],4,FALSE)</f>
        <v>199137</v>
      </c>
      <c r="CM166" s="235" t="str">
        <f t="shared" si="2"/>
        <v>Covered</v>
      </c>
      <c r="CN166" s="240"/>
    </row>
    <row r="167" spans="1:92" ht="15.75" hidden="1" customHeight="1" x14ac:dyDescent="0.25">
      <c r="A167" s="548" t="s">
        <v>1409</v>
      </c>
      <c r="B167" s="530" t="s">
        <v>2570</v>
      </c>
      <c r="C167" s="531" t="s">
        <v>464</v>
      </c>
      <c r="D167" s="531" t="s">
        <v>496</v>
      </c>
      <c r="E167" s="531" t="s">
        <v>560</v>
      </c>
      <c r="F167" s="402">
        <f>ROUND(WWWW[[#This Row],[Total PoP ]]/5,0)</f>
        <v>229</v>
      </c>
      <c r="G167" s="731">
        <v>1147</v>
      </c>
      <c r="H167" s="314"/>
      <c r="I167" s="314" t="s">
        <v>498</v>
      </c>
      <c r="J167" s="315">
        <v>43586</v>
      </c>
      <c r="K167" s="314"/>
      <c r="L167" s="314" t="s">
        <v>48</v>
      </c>
      <c r="M167" s="316">
        <v>0</v>
      </c>
      <c r="N167" s="366">
        <v>0</v>
      </c>
      <c r="O167" s="608">
        <v>0</v>
      </c>
      <c r="P167" s="609">
        <v>0</v>
      </c>
      <c r="Q167" s="613"/>
      <c r="R167" s="614"/>
      <c r="S167" s="614">
        <v>0</v>
      </c>
      <c r="T167" s="604"/>
      <c r="U167" s="604"/>
      <c r="V167" s="604"/>
      <c r="W167" s="604"/>
      <c r="X167" s="604"/>
      <c r="Y167" s="604"/>
      <c r="Z167" s="628">
        <v>0</v>
      </c>
      <c r="AA167" s="628"/>
      <c r="AB167" s="634"/>
      <c r="AC167" s="634">
        <v>0</v>
      </c>
      <c r="AD167" s="634" t="s">
        <v>296</v>
      </c>
      <c r="AE167" s="631" t="s">
        <v>296</v>
      </c>
      <c r="AF167" s="629"/>
      <c r="AG167" s="629"/>
      <c r="AH167" s="634"/>
      <c r="AI167" s="655">
        <v>0</v>
      </c>
      <c r="AJ167" s="656"/>
      <c r="AK167" s="644">
        <v>0</v>
      </c>
      <c r="AL167" s="645"/>
      <c r="AM167" s="645">
        <v>0</v>
      </c>
      <c r="AN167" s="646"/>
      <c r="AO167" s="647"/>
      <c r="AP167" s="647"/>
      <c r="AQ167" s="657"/>
      <c r="AR167" s="235" t="str">
        <f>IFERROR(WWWW[[#This Row],['# of Water passed at source]]/WWWW[[#This Row],['# of Water tested at source]],"no test")</f>
        <v>no test</v>
      </c>
      <c r="AS167" s="237" t="str">
        <f>IFERROR(WWWW[[#This Row],['# of Water passed at HH]]/WWWW[[#This Row],['# of Water tested at HH]],"no test")</f>
        <v>no test</v>
      </c>
      <c r="AT167" s="237">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U167" s="237">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AV167" s="237">
        <f>IF(WWWW[[#This Row],[Location Type 1]]="Village",WWWW[[#This Row],[Access to safe drinking water for Village]],WWWW[[#This Row],[Access to safe drinking water for Camp]])</f>
        <v>0</v>
      </c>
      <c r="AW167" s="414">
        <f>WWWW[[#This Row],[%Equitable and continuous access to sufficient quantity of safe drinking water]]*WWWW[[#This Row],[Total PoP ]]</f>
        <v>0</v>
      </c>
      <c r="AX167" s="237">
        <f>IF((WWWW[[#This Row],['# Existing protected/fenced ponds ]]*250)/WWWW[[#This Row],[Total PoP ]]&gt;1,1,WWWW[[#This Row],['# Existing protected/fenced ponds ]]*250/WWWW[[#This Row],[Total PoP ]])</f>
        <v>0</v>
      </c>
      <c r="AY167" s="414">
        <f>WWWW[[#This Row],[Access to unimproved water points]]*WWWW[[#This Row],[Total PoP ]]</f>
        <v>0</v>
      </c>
      <c r="AZ167" s="237">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A167" s="414">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B167" s="414">
        <f>ROUND(WWWW[[#This Row],['#people Equitable and continuous access to sufficient quantity of domestic water borehole n ponds_2]]/500,0)</f>
        <v>0</v>
      </c>
      <c r="BC167" s="235">
        <f>1-WWWW[[#This Row],[%Equitable and continuous access to sufficient quantity of domestic water borehole n ponds]]</f>
        <v>1</v>
      </c>
      <c r="BD167" s="414">
        <f>WWWW[[#This Row],[%equitable and continuous access to sufficient quantity of safe drinking and domestic water''s GAP]]*WWWW[[#This Row],[Total PoP ]]</f>
        <v>1147</v>
      </c>
      <c r="BE167" s="238">
        <f>IF(WWWW[[#This Row],[Total required water points]]-WWWW[[#This Row],['#Water points coverage]]&lt;0,0,WWWW[[#This Row],[Total required water points]]-WWWW[[#This Row],['#Water points coverage]])</f>
        <v>2</v>
      </c>
      <c r="BF167" s="238">
        <f>ROUND(IF(WWWW[[#This Row],[Total PoP ]]&lt;500,1,WWWW[[#This Row],[Total PoP ]]/500),0)</f>
        <v>2</v>
      </c>
      <c r="BG167" s="238" t="str">
        <f>IF(AND(WWWW[[#This Row],[%of Water samples which passed at water source]]="no test",WWWW[[#This Row],[%Water samples which passed at HH]]="no test"),"No Test","Tested")</f>
        <v>No Test</v>
      </c>
      <c r="BH167" s="238">
        <f>WWWW[[#This Row],['# Existing functional latrines]]+WWWW[[#This Row],['# Existing latrines dysfunctional]]</f>
        <v>0</v>
      </c>
      <c r="BI167" s="235">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J167" s="675">
        <f>WWWW[[#This Row],[% people access to functioning Latrine]]*WWWW[[#This Row],[Total PoP ]]</f>
        <v>0</v>
      </c>
      <c r="BK167" s="235">
        <f>IF(WWWW[[#This Row],[Location Type 1]]="camp",WWWW[[#This Row],['# potential required new latrines]]/(WWWW[[#This Row],[Total PoP ]]/20),WWWW[[#This Row],['# potential required new latrines]]/(WWWW[[#This Row],[Total PoP ]]/6))</f>
        <v>0.99912816041848307</v>
      </c>
      <c r="BL167" s="414">
        <f>IF(WWWW[[#This Row],[Total required Latrines]]-WWWW[[#This Row],[Total '# of latrine]]&lt;0,0,WWWW[[#This Row],[Total required Latrines]]-WWWW[[#This Row],[Total '# of latrine]])</f>
        <v>191</v>
      </c>
      <c r="BM167" s="238">
        <f>ROUND(IF(WWWW[[#This Row],[Location Type 1]]="camp",WWWW[[#This Row],[Total PoP ]]/20,WWWW[[#This Row],[Total PoP ]]/6),0)</f>
        <v>191</v>
      </c>
      <c r="BN167" s="239">
        <f>IF(OR(WWWW[[#This Row],['# Existing latrines dysfunctional]]="",WWWW[[#This Row],['# Existing latrines dysfunctional]]=0),0,WWWW[[#This Row],['# Existing latrines dysfunctional]]/WWWW[[#This Row],[Total '# of latrine]])</f>
        <v>0</v>
      </c>
      <c r="BO167" s="675"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P167" s="235">
        <f>WWWW[[#This Row],[People adopt basic personal and community hygiene practices]]/WWWW[[#This Row],[Total PoP ]]</f>
        <v>0</v>
      </c>
      <c r="BQ167" s="239">
        <f>1-WWWW[[#This Row],[Hygiene Coverage%]]</f>
        <v>1</v>
      </c>
      <c r="BR167" s="405">
        <f>IF(500*WWWW[[#This Row],['# Hygiene Promoters ]]&gt;WWWW[[#This Row],[Total PoP ]],WWWW[[#This Row],[Total PoP ]],500*WWWW[[#This Row],['# Hygiene Promoters ]])</f>
        <v>0</v>
      </c>
      <c r="BS167" s="405">
        <f>IF(WWWW[[#This Row],[% of HH with access to Sanitary Pad]]&gt;=100%,1,0)</f>
        <v>0</v>
      </c>
      <c r="BT167" s="405">
        <f>IF(WWWW[[#This Row],[Total PoP ]]=0,0,IF(WWWW[[#This Row],['# Hygiene Promoters ]]=0,0,IF(WWWW[[#This Row],[Location Type 1]]="Village",IF(WWWW[[#This Row],[Total PoP ]]/WWWW[[#This Row],['# Hygiene Promoters ]]&lt;1000,1,0),IF(WWWW[[#This Row],[Total PoP ]]/WWWW[[#This Row],['# Hygiene Promoters ]]&lt;600,1,0))))</f>
        <v>0</v>
      </c>
      <c r="BU167" s="405">
        <f>IF(WWWW[[#This Row],[%HH with access to soap]]&gt;=100%,1,0)</f>
        <v>0</v>
      </c>
      <c r="BV167" s="405">
        <f>IF(WWWW[[#This Row],[% of HHs with access to Sanitary pad more than '#%]]+WWWW[[#This Row],[Ratio of Hyiene promoters to people less than '#]]+WWWW[[#This Row],[% of HHs with access to soap more than '#%]]&gt;=2,WWWW[[#This Row],[Total PoP ]],0)</f>
        <v>0</v>
      </c>
      <c r="BW167" s="346">
        <f>WWWW[[#This Row],['# people reached by regular dedicated hygiene promotion_5]]/WWWW[[#This Row],[Total PoP ]]</f>
        <v>0</v>
      </c>
      <c r="BX167" s="346">
        <f>IF(WWWW[[#This Row],['# HH received soaps]]/WWWW[[#This Row],[Total HH]]&gt;1,1,WWWW[[#This Row],['# HH received soaps]]/WWWW[[#This Row],[Total HH]])</f>
        <v>0</v>
      </c>
      <c r="BY167" s="346">
        <f>IF(WWWW[[#This Row],['# HH received Sanitary Pads]]/WWWW[[#This Row],[Total HH]]&gt;1,1,WWWW[[#This Row],['# HH received Sanitary Pads]]/WWWW[[#This Row],[Total HH]])</f>
        <v>0</v>
      </c>
      <c r="BZ167" s="720">
        <f>WWWW[[#This Row],['# HH received soaps]]*5</f>
        <v>0</v>
      </c>
      <c r="CA167" s="720">
        <f>WWWW[[#This Row],['# HH received Sanitary Pads]]*5</f>
        <v>0</v>
      </c>
      <c r="CB167" s="675">
        <f>IF(WWWW[[#This Row],['# People with access to soap]]&gt;WWWW[[#This Row],['# People with access to Sanity Pads]],WWWW[[#This Row],['# People with access to soap]],WWWW[[#This Row],['# People with access to Sanity Pads]])</f>
        <v>0</v>
      </c>
      <c r="CC167" s="414">
        <f>WWWW[[#This Row],[Total HH]]*WWWW[[#This Row],[%HHs with access to functional hand washing stations]]</f>
        <v>0</v>
      </c>
      <c r="CD167" s="240">
        <f>VLOOKUP(WWWW[[#This Row],[Site Name]],SiteDB6[],8,FALSE)</f>
        <v>0</v>
      </c>
      <c r="CE167" s="240">
        <f>VLOOKUP(WWWW[[#This Row],[Site Name]],SiteDB6[],9,FALSE)</f>
        <v>0</v>
      </c>
      <c r="CF167" s="240" t="str">
        <f>VLOOKUP(WWWW[[#This Row],[Site Name]],SiteDB6[],10,FALSE)</f>
        <v>Village_Not HRP</v>
      </c>
      <c r="CG167" s="240" t="str">
        <f>VLOOKUP(WWWW[[#This Row],[Site Name]],SiteDB6[],11,FALSE)</f>
        <v>Village</v>
      </c>
      <c r="CH167" s="240" t="str">
        <f>VLOOKUP(WWWW[[#This Row],[Site Name]],SiteDB6[],12,FALSE)</f>
        <v>Village_Not HRP</v>
      </c>
      <c r="CI167" s="240" t="str">
        <f>VLOOKUP(WWWW[[#This Row],[Site Name]],SiteDB6[],13,FALSE)</f>
        <v>Rakhine</v>
      </c>
      <c r="CJ167" s="240">
        <f>VLOOKUP(WWWW[[#This Row],[Site Name]],SiteDB6[],14,FALSE)</f>
        <v>19.925739288330099</v>
      </c>
      <c r="CK167" s="240">
        <f>VLOOKUP(WWWW[[#This Row],[Site Name]],SiteDB6[],15,FALSE)</f>
        <v>93.792991638183594</v>
      </c>
      <c r="CL167" s="240" t="str">
        <f>VLOOKUP(WWWW[[#This Row],[Site Name]],SiteDB6[],4,FALSE)</f>
        <v>199133</v>
      </c>
      <c r="CM167" s="235" t="str">
        <f t="shared" si="2"/>
        <v>Covered</v>
      </c>
      <c r="CN167" s="240"/>
    </row>
    <row r="168" spans="1:92" ht="15.75" hidden="1" customHeight="1" x14ac:dyDescent="0.25">
      <c r="A168" s="548" t="s">
        <v>1409</v>
      </c>
      <c r="B168" s="531" t="s">
        <v>2570</v>
      </c>
      <c r="C168" s="531" t="s">
        <v>464</v>
      </c>
      <c r="D168" s="531" t="s">
        <v>496</v>
      </c>
      <c r="E168" s="531" t="s">
        <v>561</v>
      </c>
      <c r="F168" s="402">
        <f>ROUND(WWWW[[#This Row],[Total PoP ]]/5,0)</f>
        <v>115</v>
      </c>
      <c r="G168" s="731">
        <v>575</v>
      </c>
      <c r="H168" s="314"/>
      <c r="I168" s="314" t="s">
        <v>498</v>
      </c>
      <c r="J168" s="315">
        <v>43586</v>
      </c>
      <c r="K168" s="314"/>
      <c r="L168" s="314" t="s">
        <v>48</v>
      </c>
      <c r="M168" s="316">
        <v>0</v>
      </c>
      <c r="N168" s="366">
        <v>0</v>
      </c>
      <c r="O168" s="618">
        <v>0</v>
      </c>
      <c r="P168" s="618">
        <v>0</v>
      </c>
      <c r="Q168" s="613"/>
      <c r="R168" s="614"/>
      <c r="S168" s="614">
        <v>0</v>
      </c>
      <c r="T168" s="604"/>
      <c r="U168" s="604"/>
      <c r="V168" s="604"/>
      <c r="W168" s="604"/>
      <c r="X168" s="604"/>
      <c r="Y168" s="604"/>
      <c r="Z168" s="628">
        <v>0</v>
      </c>
      <c r="AA168" s="634"/>
      <c r="AB168" s="634"/>
      <c r="AC168" s="634">
        <v>0</v>
      </c>
      <c r="AD168" s="628" t="s">
        <v>296</v>
      </c>
      <c r="AE168" s="631" t="s">
        <v>296</v>
      </c>
      <c r="AF168" s="629"/>
      <c r="AG168" s="629"/>
      <c r="AH168" s="634"/>
      <c r="AI168" s="655">
        <v>0</v>
      </c>
      <c r="AJ168" s="656"/>
      <c r="AK168" s="644">
        <v>0</v>
      </c>
      <c r="AL168" s="645"/>
      <c r="AM168" s="645">
        <v>0</v>
      </c>
      <c r="AN168" s="646"/>
      <c r="AO168" s="647"/>
      <c r="AP168" s="647"/>
      <c r="AQ168" s="657"/>
      <c r="AR168" s="235" t="str">
        <f>IFERROR(WWWW[[#This Row],['# of Water passed at source]]/WWWW[[#This Row],['# of Water tested at source]],"no test")</f>
        <v>no test</v>
      </c>
      <c r="AS168" s="237" t="str">
        <f>IFERROR(WWWW[[#This Row],['# of Water passed at HH]]/WWWW[[#This Row],['# of Water tested at HH]],"no test")</f>
        <v>no test</v>
      </c>
      <c r="AT168" s="237">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U168" s="237">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AV168" s="237">
        <f>IF(WWWW[[#This Row],[Location Type 1]]="Village",WWWW[[#This Row],[Access to safe drinking water for Village]],WWWW[[#This Row],[Access to safe drinking water for Camp]])</f>
        <v>0</v>
      </c>
      <c r="AW168" s="414">
        <f>WWWW[[#This Row],[%Equitable and continuous access to sufficient quantity of safe drinking water]]*WWWW[[#This Row],[Total PoP ]]</f>
        <v>0</v>
      </c>
      <c r="AX168" s="237">
        <f>IF((WWWW[[#This Row],['# Existing protected/fenced ponds ]]*250)/WWWW[[#This Row],[Total PoP ]]&gt;1,1,WWWW[[#This Row],['# Existing protected/fenced ponds ]]*250/WWWW[[#This Row],[Total PoP ]])</f>
        <v>0</v>
      </c>
      <c r="AY168" s="236">
        <f>WWWW[[#This Row],[Access to unimproved water points]]*WWWW[[#This Row],[Total PoP ]]</f>
        <v>0</v>
      </c>
      <c r="AZ168" s="237">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A168" s="414">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B168" s="414">
        <f>ROUND(WWWW[[#This Row],['#people Equitable and continuous access to sufficient quantity of domestic water borehole n ponds_2]]/500,0)</f>
        <v>0</v>
      </c>
      <c r="BC168" s="235">
        <f>1-WWWW[[#This Row],[%Equitable and continuous access to sufficient quantity of domestic water borehole n ponds]]</f>
        <v>1</v>
      </c>
      <c r="BD168" s="236">
        <f>WWWW[[#This Row],[%equitable and continuous access to sufficient quantity of safe drinking and domestic water''s GAP]]*WWWW[[#This Row],[Total PoP ]]</f>
        <v>575</v>
      </c>
      <c r="BE168" s="238">
        <f>IF(WWWW[[#This Row],[Total required water points]]-WWWW[[#This Row],['#Water points coverage]]&lt;0,0,WWWW[[#This Row],[Total required water points]]-WWWW[[#This Row],['#Water points coverage]])</f>
        <v>1</v>
      </c>
      <c r="BF168" s="238">
        <f>ROUND(IF(WWWW[[#This Row],[Total PoP ]]&lt;500,1,WWWW[[#This Row],[Total PoP ]]/500),0)</f>
        <v>1</v>
      </c>
      <c r="BG168" s="238" t="str">
        <f>IF(AND(WWWW[[#This Row],[%of Water samples which passed at water source]]="no test",WWWW[[#This Row],[%Water samples which passed at HH]]="no test"),"No Test","Tested")</f>
        <v>No Test</v>
      </c>
      <c r="BH168" s="238">
        <f>WWWW[[#This Row],['# Existing functional latrines]]+WWWW[[#This Row],['# Existing latrines dysfunctional]]</f>
        <v>0</v>
      </c>
      <c r="BI168" s="235">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J168" s="675">
        <f>WWWW[[#This Row],[% people access to functioning Latrine]]*WWWW[[#This Row],[Total PoP ]]</f>
        <v>0</v>
      </c>
      <c r="BK168" s="235">
        <f>IF(WWWW[[#This Row],[Location Type 1]]="camp",WWWW[[#This Row],['# potential required new latrines]]/(WWWW[[#This Row],[Total PoP ]]/20),WWWW[[#This Row],['# potential required new latrines]]/(WWWW[[#This Row],[Total PoP ]]/6))</f>
        <v>1.0017391304347827</v>
      </c>
      <c r="BL168" s="236">
        <f>IF(WWWW[[#This Row],[Total required Latrines]]-WWWW[[#This Row],[Total '# of latrine]]&lt;0,0,WWWW[[#This Row],[Total required Latrines]]-WWWW[[#This Row],[Total '# of latrine]])</f>
        <v>96</v>
      </c>
      <c r="BM168" s="238">
        <f>ROUND(IF(WWWW[[#This Row],[Location Type 1]]="camp",WWWW[[#This Row],[Total PoP ]]/20,WWWW[[#This Row],[Total PoP ]]/6),0)</f>
        <v>96</v>
      </c>
      <c r="BN168" s="239">
        <f>IF(OR(WWWW[[#This Row],['# Existing latrines dysfunctional]]="",WWWW[[#This Row],['# Existing latrines dysfunctional]]=0),0,WWWW[[#This Row],['# Existing latrines dysfunctional]]/WWWW[[#This Row],[Total '# of latrine]])</f>
        <v>0</v>
      </c>
      <c r="BO168" s="675"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P168" s="235">
        <f>WWWW[[#This Row],[People adopt basic personal and community hygiene practices]]/WWWW[[#This Row],[Total PoP ]]</f>
        <v>0</v>
      </c>
      <c r="BQ168" s="239">
        <f>1-WWWW[[#This Row],[Hygiene Coverage%]]</f>
        <v>1</v>
      </c>
      <c r="BR168" s="405">
        <f>IF(500*WWWW[[#This Row],['# Hygiene Promoters ]]&gt;WWWW[[#This Row],[Total PoP ]],WWWW[[#This Row],[Total PoP ]],500*WWWW[[#This Row],['# Hygiene Promoters ]])</f>
        <v>0</v>
      </c>
      <c r="BS168" s="405">
        <f>IF(WWWW[[#This Row],[% of HH with access to Sanitary Pad]]&gt;=100%,1,0)</f>
        <v>0</v>
      </c>
      <c r="BT168" s="405">
        <f>IF(WWWW[[#This Row],[Total PoP ]]=0,0,IF(WWWW[[#This Row],['# Hygiene Promoters ]]=0,0,IF(WWWW[[#This Row],[Location Type 1]]="Village",IF(WWWW[[#This Row],[Total PoP ]]/WWWW[[#This Row],['# Hygiene Promoters ]]&lt;1000,1,0),IF(WWWW[[#This Row],[Total PoP ]]/WWWW[[#This Row],['# Hygiene Promoters ]]&lt;600,1,0))))</f>
        <v>0</v>
      </c>
      <c r="BU168" s="405">
        <f>IF(WWWW[[#This Row],[%HH with access to soap]]&gt;=100%,1,0)</f>
        <v>0</v>
      </c>
      <c r="BV168" s="405">
        <f>IF(WWWW[[#This Row],[% of HHs with access to Sanitary pad more than '#%]]+WWWW[[#This Row],[Ratio of Hyiene promoters to people less than '#]]+WWWW[[#This Row],[% of HHs with access to soap more than '#%]]&gt;=2,WWWW[[#This Row],[Total PoP ]],0)</f>
        <v>0</v>
      </c>
      <c r="BW168" s="346">
        <f>WWWW[[#This Row],['# people reached by regular dedicated hygiene promotion_5]]/WWWW[[#This Row],[Total PoP ]]</f>
        <v>0</v>
      </c>
      <c r="BX168" s="346">
        <f>IF(WWWW[[#This Row],['# HH received soaps]]/WWWW[[#This Row],[Total HH]]&gt;1,1,WWWW[[#This Row],['# HH received soaps]]/WWWW[[#This Row],[Total HH]])</f>
        <v>0</v>
      </c>
      <c r="BY168" s="346">
        <f>IF(WWWW[[#This Row],['# HH received Sanitary Pads]]/WWWW[[#This Row],[Total HH]]&gt;1,1,WWWW[[#This Row],['# HH received Sanitary Pads]]/WWWW[[#This Row],[Total HH]])</f>
        <v>0</v>
      </c>
      <c r="BZ168" s="720">
        <f>WWWW[[#This Row],['# HH received soaps]]*5</f>
        <v>0</v>
      </c>
      <c r="CA168" s="720">
        <f>WWWW[[#This Row],['# HH received Sanitary Pads]]*5</f>
        <v>0</v>
      </c>
      <c r="CB168" s="675">
        <f>IF(WWWW[[#This Row],['# People with access to soap]]&gt;WWWW[[#This Row],['# People with access to Sanity Pads]],WWWW[[#This Row],['# People with access to soap]],WWWW[[#This Row],['# People with access to Sanity Pads]])</f>
        <v>0</v>
      </c>
      <c r="CC168" s="236">
        <f>WWWW[[#This Row],[Total HH]]*WWWW[[#This Row],[%HHs with access to functional hand washing stations]]</f>
        <v>0</v>
      </c>
      <c r="CD168" s="240">
        <f>VLOOKUP(WWWW[[#This Row],[Site Name]],SiteDB6[],8,FALSE)</f>
        <v>0</v>
      </c>
      <c r="CE168" s="240">
        <f>VLOOKUP(WWWW[[#This Row],[Site Name]],SiteDB6[],9,FALSE)</f>
        <v>0</v>
      </c>
      <c r="CF168" s="240" t="str">
        <f>VLOOKUP(WWWW[[#This Row],[Site Name]],SiteDB6[],10,FALSE)</f>
        <v>Village_Not HRP</v>
      </c>
      <c r="CG168" s="240" t="str">
        <f>VLOOKUP(WWWW[[#This Row],[Site Name]],SiteDB6[],11,FALSE)</f>
        <v>Village</v>
      </c>
      <c r="CH168" s="240" t="str">
        <f>VLOOKUP(WWWW[[#This Row],[Site Name]],SiteDB6[],12,FALSE)</f>
        <v>Village_Not HRP</v>
      </c>
      <c r="CI168" s="240" t="str">
        <f>VLOOKUP(WWWW[[#This Row],[Site Name]],SiteDB6[],13,FALSE)</f>
        <v>Chin+Rakhine</v>
      </c>
      <c r="CJ168" s="240">
        <f>VLOOKUP(WWWW[[#This Row],[Site Name]],SiteDB6[],14,FALSE)</f>
        <v>19.930080413818398</v>
      </c>
      <c r="CK168" s="240">
        <f>VLOOKUP(WWWW[[#This Row],[Site Name]],SiteDB6[],15,FALSE)</f>
        <v>93.787002563476605</v>
      </c>
      <c r="CL168" s="240" t="str">
        <f>VLOOKUP(WWWW[[#This Row],[Site Name]],SiteDB6[],4,FALSE)</f>
        <v>199135</v>
      </c>
      <c r="CM168" s="235" t="str">
        <f t="shared" si="2"/>
        <v>Covered</v>
      </c>
      <c r="CN168" s="240"/>
    </row>
    <row r="169" spans="1:92" ht="15.75" hidden="1" customHeight="1" x14ac:dyDescent="0.25">
      <c r="A169" s="548" t="s">
        <v>1409</v>
      </c>
      <c r="B169" s="530" t="s">
        <v>2570</v>
      </c>
      <c r="C169" s="531" t="s">
        <v>464</v>
      </c>
      <c r="D169" s="531" t="s">
        <v>496</v>
      </c>
      <c r="E169" s="531" t="s">
        <v>562</v>
      </c>
      <c r="F169" s="41">
        <f>ROUND(WWWW[[#This Row],[Total PoP ]]/5,0)</f>
        <v>135</v>
      </c>
      <c r="G169" s="405">
        <v>674</v>
      </c>
      <c r="H169" s="41"/>
      <c r="I169" s="41" t="s">
        <v>498</v>
      </c>
      <c r="J169" s="388">
        <v>43586</v>
      </c>
      <c r="K169" s="41"/>
      <c r="L169" s="41" t="s">
        <v>48</v>
      </c>
      <c r="M169" s="42">
        <v>0</v>
      </c>
      <c r="N169" s="366">
        <v>0</v>
      </c>
      <c r="O169" s="612">
        <v>0</v>
      </c>
      <c r="P169" s="606">
        <v>0</v>
      </c>
      <c r="Q169" s="606"/>
      <c r="R169" s="607"/>
      <c r="S169" s="607">
        <v>0</v>
      </c>
      <c r="T169" s="607"/>
      <c r="U169" s="607"/>
      <c r="V169" s="607"/>
      <c r="W169" s="607"/>
      <c r="X169" s="607"/>
      <c r="Y169" s="607"/>
      <c r="Z169" s="598">
        <v>0</v>
      </c>
      <c r="AA169" s="598"/>
      <c r="AB169" s="80"/>
      <c r="AC169" s="598">
        <v>0</v>
      </c>
      <c r="AD169" s="598" t="s">
        <v>296</v>
      </c>
      <c r="AE169" s="599" t="s">
        <v>296</v>
      </c>
      <c r="AF169" s="599"/>
      <c r="AG169" s="598"/>
      <c r="AH169" s="598"/>
      <c r="AI169" s="649">
        <v>0</v>
      </c>
      <c r="AJ169" s="650"/>
      <c r="AK169" s="650">
        <v>0</v>
      </c>
      <c r="AL169" s="645"/>
      <c r="AM169" s="645">
        <v>0</v>
      </c>
      <c r="AN169" s="646"/>
      <c r="AO169" s="600"/>
      <c r="AP169" s="600"/>
      <c r="AQ169" s="651"/>
      <c r="AR169" s="42" t="str">
        <f>IFERROR(WWWW[[#This Row],['# of Water passed at source]]/WWWW[[#This Row],['# of Water tested at source]],"no test")</f>
        <v>no test</v>
      </c>
      <c r="AS169" s="389" t="str">
        <f>IFERROR(WWWW[[#This Row],['# of Water passed at HH]]/WWWW[[#This Row],['# of Water tested at HH]],"no test")</f>
        <v>no test</v>
      </c>
      <c r="AT169" s="407">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U169" s="407">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AV169" s="407">
        <f>IF(WWWW[[#This Row],[Location Type 1]]="Village",WWWW[[#This Row],[Access to safe drinking water for Village]],WWWW[[#This Row],[Access to safe drinking water for Camp]])</f>
        <v>0</v>
      </c>
      <c r="AW169" s="405">
        <f>WWWW[[#This Row],[%Equitable and continuous access to sufficient quantity of safe drinking water]]*WWWW[[#This Row],[Total PoP ]]</f>
        <v>0</v>
      </c>
      <c r="AX169" s="407">
        <f>IF((WWWW[[#This Row],['# Existing protected/fenced ponds ]]*250)/WWWW[[#This Row],[Total PoP ]]&gt;1,1,WWWW[[#This Row],['# Existing protected/fenced ponds ]]*250/WWWW[[#This Row],[Total PoP ]])</f>
        <v>0</v>
      </c>
      <c r="AY169" s="43">
        <f>WWWW[[#This Row],[Access to unimproved water points]]*WWWW[[#This Row],[Total PoP ]]</f>
        <v>0</v>
      </c>
      <c r="AZ169" s="407">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A169" s="405">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B169" s="414">
        <f>ROUND(WWWW[[#This Row],['#people Equitable and continuous access to sufficient quantity of domestic water borehole n ponds_2]]/500,0)</f>
        <v>0</v>
      </c>
      <c r="BC169" s="42">
        <f>1-WWWW[[#This Row],[%Equitable and continuous access to sufficient quantity of domestic water borehole n ponds]]</f>
        <v>1</v>
      </c>
      <c r="BD169" s="43">
        <f>WWWW[[#This Row],[%equitable and continuous access to sufficient quantity of safe drinking and domestic water''s GAP]]*WWWW[[#This Row],[Total PoP ]]</f>
        <v>674</v>
      </c>
      <c r="BE169" s="406">
        <f>IF(WWWW[[#This Row],[Total required water points]]-WWWW[[#This Row],['#Water points coverage]]&lt;0,0,WWWW[[#This Row],[Total required water points]]-WWWW[[#This Row],['#Water points coverage]])</f>
        <v>1</v>
      </c>
      <c r="BF169" s="406">
        <f>ROUND(IF(WWWW[[#This Row],[Total PoP ]]&lt;500,1,WWWW[[#This Row],[Total PoP ]]/500),0)</f>
        <v>1</v>
      </c>
      <c r="BG169" s="97" t="str">
        <f>IF(AND(WWWW[[#This Row],[%of Water samples which passed at water source]]="no test",WWWW[[#This Row],[%Water samples which passed at HH]]="no test"),"No Test","Tested")</f>
        <v>No Test</v>
      </c>
      <c r="BH169" s="97">
        <f>WWWW[[#This Row],['# Existing functional latrines]]+WWWW[[#This Row],['# Existing latrines dysfunctional]]</f>
        <v>0</v>
      </c>
      <c r="BI169" s="42">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J169" s="676">
        <f>WWWW[[#This Row],[% people access to functioning Latrine]]*WWWW[[#This Row],[Total PoP ]]</f>
        <v>0</v>
      </c>
      <c r="BK169" s="42">
        <f>IF(WWWW[[#This Row],[Location Type 1]]="camp",WWWW[[#This Row],['# potential required new latrines]]/(WWWW[[#This Row],[Total PoP ]]/20),WWWW[[#This Row],['# potential required new latrines]]/(WWWW[[#This Row],[Total PoP ]]/6))</f>
        <v>0.9970326409495549</v>
      </c>
      <c r="BL169" s="43">
        <f>IF(WWWW[[#This Row],[Total required Latrines]]-WWWW[[#This Row],[Total '# of latrine]]&lt;0,0,WWWW[[#This Row],[Total required Latrines]]-WWWW[[#This Row],[Total '# of latrine]])</f>
        <v>112</v>
      </c>
      <c r="BM169" s="97">
        <f>ROUND(IF(WWWW[[#This Row],[Location Type 1]]="camp",WWWW[[#This Row],[Total PoP ]]/20,WWWW[[#This Row],[Total PoP ]]/6),0)</f>
        <v>112</v>
      </c>
      <c r="BN169" s="390">
        <f>IF(OR(WWWW[[#This Row],['# Existing latrines dysfunctional]]="",WWWW[[#This Row],['# Existing latrines dysfunctional]]=0),0,WWWW[[#This Row],['# Existing latrines dysfunctional]]/WWWW[[#This Row],[Total '# of latrine]])</f>
        <v>0</v>
      </c>
      <c r="BO169" s="676"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P169" s="42">
        <f>WWWW[[#This Row],[People adopt basic personal and community hygiene practices]]/WWWW[[#This Row],[Total PoP ]]</f>
        <v>0</v>
      </c>
      <c r="BQ169" s="390">
        <f>1-WWWW[[#This Row],[Hygiene Coverage%]]</f>
        <v>1</v>
      </c>
      <c r="BR169" s="405">
        <f>IF(500*WWWW[[#This Row],['# Hygiene Promoters ]]&gt;WWWW[[#This Row],[Total PoP ]],WWWW[[#This Row],[Total PoP ]],500*WWWW[[#This Row],['# Hygiene Promoters ]])</f>
        <v>0</v>
      </c>
      <c r="BS169" s="405">
        <f>IF(WWWW[[#This Row],[% of HH with access to Sanitary Pad]]&gt;=100%,1,0)</f>
        <v>0</v>
      </c>
      <c r="BT169" s="405">
        <f>IF(WWWW[[#This Row],[Total PoP ]]=0,0,IF(WWWW[[#This Row],['# Hygiene Promoters ]]=0,0,IF(WWWW[[#This Row],[Location Type 1]]="Village",IF(WWWW[[#This Row],[Total PoP ]]/WWWW[[#This Row],['# Hygiene Promoters ]]&lt;1000,1,0),IF(WWWW[[#This Row],[Total PoP ]]/WWWW[[#This Row],['# Hygiene Promoters ]]&lt;600,1,0))))</f>
        <v>0</v>
      </c>
      <c r="BU169" s="405">
        <f>IF(WWWW[[#This Row],[%HH with access to soap]]&gt;=100%,1,0)</f>
        <v>0</v>
      </c>
      <c r="BV169" s="405">
        <f>IF(WWWW[[#This Row],[% of HHs with access to Sanitary pad more than '#%]]+WWWW[[#This Row],[Ratio of Hyiene promoters to people less than '#]]+WWWW[[#This Row],[% of HHs with access to soap more than '#%]]&gt;=2,WWWW[[#This Row],[Total PoP ]],0)</f>
        <v>0</v>
      </c>
      <c r="BW169" s="391">
        <f>WWWW[[#This Row],['# people reached by regular dedicated hygiene promotion_5]]/WWWW[[#This Row],[Total PoP ]]</f>
        <v>0</v>
      </c>
      <c r="BX169" s="391">
        <f>IF(WWWW[[#This Row],['# HH received soaps]]/WWWW[[#This Row],[Total HH]]&gt;1,1,WWWW[[#This Row],['# HH received soaps]]/WWWW[[#This Row],[Total HH]])</f>
        <v>0</v>
      </c>
      <c r="BY169" s="391">
        <f>IF(WWWW[[#This Row],['# HH received Sanitary Pads]]/WWWW[[#This Row],[Total HH]]&gt;1,1,WWWW[[#This Row],['# HH received Sanitary Pads]]/WWWW[[#This Row],[Total HH]])</f>
        <v>0</v>
      </c>
      <c r="BZ169" s="721">
        <f>WWWW[[#This Row],['# HH received soaps]]*5</f>
        <v>0</v>
      </c>
      <c r="CA169" s="721">
        <f>WWWW[[#This Row],['# HH received Sanitary Pads]]*5</f>
        <v>0</v>
      </c>
      <c r="CB169" s="406">
        <f>IF(WWWW[[#This Row],['# People with access to soap]]&gt;WWWW[[#This Row],['# People with access to Sanity Pads]],WWWW[[#This Row],['# People with access to soap]],WWWW[[#This Row],['# People with access to Sanity Pads]])</f>
        <v>0</v>
      </c>
      <c r="CC169" s="43">
        <f>WWWW[[#This Row],[Total HH]]*WWWW[[#This Row],[%HHs with access to functional hand washing stations]]</f>
        <v>0</v>
      </c>
      <c r="CD169" s="240">
        <f>VLOOKUP(WWWW[[#This Row],[Site Name]],SiteDB6[],8,FALSE)</f>
        <v>0</v>
      </c>
      <c r="CE169" s="240">
        <f>VLOOKUP(WWWW[[#This Row],[Site Name]],SiteDB6[],9,FALSE)</f>
        <v>0</v>
      </c>
      <c r="CF169" s="240" t="str">
        <f>VLOOKUP(WWWW[[#This Row],[Site Name]],SiteDB6[],10,FALSE)</f>
        <v>Village_Not HRP</v>
      </c>
      <c r="CG169" s="240" t="str">
        <f>VLOOKUP(WWWW[[#This Row],[Site Name]],SiteDB6[],11,FALSE)</f>
        <v>Village</v>
      </c>
      <c r="CH169" s="240" t="str">
        <f>VLOOKUP(WWWW[[#This Row],[Site Name]],SiteDB6[],12,FALSE)</f>
        <v>Village_Not HRP</v>
      </c>
      <c r="CI169" s="240" t="str">
        <f>VLOOKUP(WWWW[[#This Row],[Site Name]],SiteDB6[],13,FALSE)</f>
        <v>Chin</v>
      </c>
      <c r="CJ169" s="240">
        <f>VLOOKUP(WWWW[[#This Row],[Site Name]],SiteDB6[],14,FALSE)</f>
        <v>19.955690383911101</v>
      </c>
      <c r="CK169" s="240">
        <f>VLOOKUP(WWWW[[#This Row],[Site Name]],SiteDB6[],15,FALSE)</f>
        <v>93.801551818847699</v>
      </c>
      <c r="CL169" s="240" t="str">
        <f>VLOOKUP(WWWW[[#This Row],[Site Name]],SiteDB6[],4,FALSE)</f>
        <v>199134</v>
      </c>
      <c r="CM169" s="235" t="str">
        <f t="shared" si="2"/>
        <v>Covered</v>
      </c>
      <c r="CN169" s="42"/>
    </row>
    <row r="170" spans="1:92" ht="15.75" hidden="1" customHeight="1" x14ac:dyDescent="0.25">
      <c r="A170" s="548" t="s">
        <v>1409</v>
      </c>
      <c r="B170" s="530" t="s">
        <v>2570</v>
      </c>
      <c r="C170" s="531" t="s">
        <v>464</v>
      </c>
      <c r="D170" s="531" t="s">
        <v>496</v>
      </c>
      <c r="E170" s="531" t="s">
        <v>563</v>
      </c>
      <c r="F170" s="402">
        <f>ROUND(WWWW[[#This Row],[Total PoP ]]/5,0)</f>
        <v>82</v>
      </c>
      <c r="G170" s="405">
        <v>412</v>
      </c>
      <c r="H170" s="402"/>
      <c r="I170" s="402" t="s">
        <v>498</v>
      </c>
      <c r="J170" s="403">
        <v>43586</v>
      </c>
      <c r="K170" s="402"/>
      <c r="L170" s="402" t="s">
        <v>48</v>
      </c>
      <c r="M170" s="404">
        <v>0</v>
      </c>
      <c r="N170" s="366">
        <v>0</v>
      </c>
      <c r="O170" s="605">
        <v>0</v>
      </c>
      <c r="P170" s="606">
        <v>0</v>
      </c>
      <c r="Q170" s="606"/>
      <c r="R170" s="607"/>
      <c r="S170" s="607">
        <v>0</v>
      </c>
      <c r="T170" s="607"/>
      <c r="U170" s="607"/>
      <c r="V170" s="607"/>
      <c r="W170" s="607"/>
      <c r="X170" s="607"/>
      <c r="Y170" s="607"/>
      <c r="Z170" s="598">
        <v>0</v>
      </c>
      <c r="AA170" s="598"/>
      <c r="AB170" s="80"/>
      <c r="AC170" s="598">
        <v>0</v>
      </c>
      <c r="AD170" s="598" t="s">
        <v>296</v>
      </c>
      <c r="AE170" s="599" t="s">
        <v>296</v>
      </c>
      <c r="AF170" s="599"/>
      <c r="AG170" s="598"/>
      <c r="AH170" s="598"/>
      <c r="AI170" s="649">
        <v>0</v>
      </c>
      <c r="AJ170" s="650"/>
      <c r="AK170" s="650">
        <v>0</v>
      </c>
      <c r="AL170" s="645"/>
      <c r="AM170" s="645">
        <v>0</v>
      </c>
      <c r="AN170" s="646"/>
      <c r="AO170" s="600"/>
      <c r="AP170" s="600"/>
      <c r="AQ170" s="651"/>
      <c r="AR170" s="404" t="str">
        <f>IFERROR(WWWW[[#This Row],['# of Water passed at source]]/WWWW[[#This Row],['# of Water tested at source]],"no test")</f>
        <v>no test</v>
      </c>
      <c r="AS170" s="407" t="str">
        <f>IFERROR(WWWW[[#This Row],['# of Water passed at HH]]/WWWW[[#This Row],['# of Water tested at HH]],"no test")</f>
        <v>no test</v>
      </c>
      <c r="AT170" s="407">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U170" s="407">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AV170" s="407">
        <f>IF(WWWW[[#This Row],[Location Type 1]]="Village",WWWW[[#This Row],[Access to safe drinking water for Village]],WWWW[[#This Row],[Access to safe drinking water for Camp]])</f>
        <v>0</v>
      </c>
      <c r="AW170" s="405">
        <f>WWWW[[#This Row],[%Equitable and continuous access to sufficient quantity of safe drinking water]]*WWWW[[#This Row],[Total PoP ]]</f>
        <v>0</v>
      </c>
      <c r="AX170" s="407">
        <f>IF((WWWW[[#This Row],['# Existing protected/fenced ponds ]]*250)/WWWW[[#This Row],[Total PoP ]]&gt;1,1,WWWW[[#This Row],['# Existing protected/fenced ponds ]]*250/WWWW[[#This Row],[Total PoP ]])</f>
        <v>0</v>
      </c>
      <c r="AY170" s="405">
        <f>WWWW[[#This Row],[Access to unimproved water points]]*WWWW[[#This Row],[Total PoP ]]</f>
        <v>0</v>
      </c>
      <c r="AZ170" s="407">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A170" s="405">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B170" s="414">
        <f>ROUND(WWWW[[#This Row],['#people Equitable and continuous access to sufficient quantity of domestic water borehole n ponds_2]]/500,0)</f>
        <v>0</v>
      </c>
      <c r="BC170" s="404">
        <f>1-WWWW[[#This Row],[%Equitable and continuous access to sufficient quantity of domestic water borehole n ponds]]</f>
        <v>1</v>
      </c>
      <c r="BD170" s="405">
        <f>WWWW[[#This Row],[%equitable and continuous access to sufficient quantity of safe drinking and domestic water''s GAP]]*WWWW[[#This Row],[Total PoP ]]</f>
        <v>412</v>
      </c>
      <c r="BE170" s="406">
        <f>IF(WWWW[[#This Row],[Total required water points]]-WWWW[[#This Row],['#Water points coverage]]&lt;0,0,WWWW[[#This Row],[Total required water points]]-WWWW[[#This Row],['#Water points coverage]])</f>
        <v>1</v>
      </c>
      <c r="BF170" s="406">
        <f>ROUND(IF(WWWW[[#This Row],[Total PoP ]]&lt;500,1,WWWW[[#This Row],[Total PoP ]]/500),0)</f>
        <v>1</v>
      </c>
      <c r="BG170" s="406" t="str">
        <f>IF(AND(WWWW[[#This Row],[%of Water samples which passed at water source]]="no test",WWWW[[#This Row],[%Water samples which passed at HH]]="no test"),"No Test","Tested")</f>
        <v>No Test</v>
      </c>
      <c r="BH170" s="406">
        <f>WWWW[[#This Row],['# Existing functional latrines]]+WWWW[[#This Row],['# Existing latrines dysfunctional]]</f>
        <v>0</v>
      </c>
      <c r="BI170" s="404">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J170" s="676">
        <f>WWWW[[#This Row],[% people access to functioning Latrine]]*WWWW[[#This Row],[Total PoP ]]</f>
        <v>0</v>
      </c>
      <c r="BK170" s="404">
        <f>IF(WWWW[[#This Row],[Location Type 1]]="camp",WWWW[[#This Row],['# potential required new latrines]]/(WWWW[[#This Row],[Total PoP ]]/20),WWWW[[#This Row],['# potential required new latrines]]/(WWWW[[#This Row],[Total PoP ]]/6))</f>
        <v>1.0048543689320388</v>
      </c>
      <c r="BL170" s="405">
        <f>IF(WWWW[[#This Row],[Total required Latrines]]-WWWW[[#This Row],[Total '# of latrine]]&lt;0,0,WWWW[[#This Row],[Total required Latrines]]-WWWW[[#This Row],[Total '# of latrine]])</f>
        <v>69</v>
      </c>
      <c r="BM170" s="406">
        <f>ROUND(IF(WWWW[[#This Row],[Location Type 1]]="camp",WWWW[[#This Row],[Total PoP ]]/20,WWWW[[#This Row],[Total PoP ]]/6),0)</f>
        <v>69</v>
      </c>
      <c r="BN170" s="408">
        <f>IF(OR(WWWW[[#This Row],['# Existing latrines dysfunctional]]="",WWWW[[#This Row],['# Existing latrines dysfunctional]]=0),0,WWWW[[#This Row],['# Existing latrines dysfunctional]]/WWWW[[#This Row],[Total '# of latrine]])</f>
        <v>0</v>
      </c>
      <c r="BO170" s="676"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P170" s="404">
        <f>WWWW[[#This Row],[People adopt basic personal and community hygiene practices]]/WWWW[[#This Row],[Total PoP ]]</f>
        <v>0</v>
      </c>
      <c r="BQ170" s="408">
        <f>1-WWWW[[#This Row],[Hygiene Coverage%]]</f>
        <v>1</v>
      </c>
      <c r="BR170" s="405">
        <f>IF(500*WWWW[[#This Row],['# Hygiene Promoters ]]&gt;WWWW[[#This Row],[Total PoP ]],WWWW[[#This Row],[Total PoP ]],500*WWWW[[#This Row],['# Hygiene Promoters ]])</f>
        <v>0</v>
      </c>
      <c r="BS170" s="405">
        <f>IF(WWWW[[#This Row],[% of HH with access to Sanitary Pad]]&gt;=100%,1,0)</f>
        <v>0</v>
      </c>
      <c r="BT170" s="405">
        <f>IF(WWWW[[#This Row],[Total PoP ]]=0,0,IF(WWWW[[#This Row],['# Hygiene Promoters ]]=0,0,IF(WWWW[[#This Row],[Location Type 1]]="Village",IF(WWWW[[#This Row],[Total PoP ]]/WWWW[[#This Row],['# Hygiene Promoters ]]&lt;1000,1,0),IF(WWWW[[#This Row],[Total PoP ]]/WWWW[[#This Row],['# Hygiene Promoters ]]&lt;600,1,0))))</f>
        <v>0</v>
      </c>
      <c r="BU170" s="405">
        <f>IF(WWWW[[#This Row],[%HH with access to soap]]&gt;=100%,1,0)</f>
        <v>0</v>
      </c>
      <c r="BV170" s="405">
        <f>IF(WWWW[[#This Row],[% of HHs with access to Sanitary pad more than '#%]]+WWWW[[#This Row],[Ratio of Hyiene promoters to people less than '#]]+WWWW[[#This Row],[% of HHs with access to soap more than '#%]]&gt;=2,WWWW[[#This Row],[Total PoP ]],0)</f>
        <v>0</v>
      </c>
      <c r="BW170" s="391">
        <f>WWWW[[#This Row],['# people reached by regular dedicated hygiene promotion_5]]/WWWW[[#This Row],[Total PoP ]]</f>
        <v>0</v>
      </c>
      <c r="BX170" s="391">
        <f>IF(WWWW[[#This Row],['# HH received soaps]]/WWWW[[#This Row],[Total HH]]&gt;1,1,WWWW[[#This Row],['# HH received soaps]]/WWWW[[#This Row],[Total HH]])</f>
        <v>0</v>
      </c>
      <c r="BY170" s="391">
        <f>IF(WWWW[[#This Row],['# HH received Sanitary Pads]]/WWWW[[#This Row],[Total HH]]&gt;1,1,WWWW[[#This Row],['# HH received Sanitary Pads]]/WWWW[[#This Row],[Total HH]])</f>
        <v>0</v>
      </c>
      <c r="BZ170" s="721">
        <f>WWWW[[#This Row],['# HH received soaps]]*5</f>
        <v>0</v>
      </c>
      <c r="CA170" s="721">
        <f>WWWW[[#This Row],['# HH received Sanitary Pads]]*5</f>
        <v>0</v>
      </c>
      <c r="CB170" s="406">
        <f>IF(WWWW[[#This Row],['# People with access to soap]]&gt;WWWW[[#This Row],['# People with access to Sanity Pads]],WWWW[[#This Row],['# People with access to soap]],WWWW[[#This Row],['# People with access to Sanity Pads]])</f>
        <v>0</v>
      </c>
      <c r="CC170" s="405">
        <f>WWWW[[#This Row],[Total HH]]*WWWW[[#This Row],[%HHs with access to functional hand washing stations]]</f>
        <v>0</v>
      </c>
      <c r="CD170" s="240">
        <f>VLOOKUP(WWWW[[#This Row],[Site Name]],SiteDB6[],8,FALSE)</f>
        <v>0</v>
      </c>
      <c r="CE170" s="240">
        <f>VLOOKUP(WWWW[[#This Row],[Site Name]],SiteDB6[],9,FALSE)</f>
        <v>0</v>
      </c>
      <c r="CF170" s="240" t="str">
        <f>VLOOKUP(WWWW[[#This Row],[Site Name]],SiteDB6[],10,FALSE)</f>
        <v>Village_Not HRP</v>
      </c>
      <c r="CG170" s="240" t="str">
        <f>VLOOKUP(WWWW[[#This Row],[Site Name]],SiteDB6[],11,FALSE)</f>
        <v>Village</v>
      </c>
      <c r="CH170" s="240" t="str">
        <f>VLOOKUP(WWWW[[#This Row],[Site Name]],SiteDB6[],12,FALSE)</f>
        <v>Village_Not HRP</v>
      </c>
      <c r="CI170" s="240" t="str">
        <f>VLOOKUP(WWWW[[#This Row],[Site Name]],SiteDB6[],13,FALSE)</f>
        <v>Chin+Rakhine</v>
      </c>
      <c r="CJ170" s="240">
        <f>VLOOKUP(WWWW[[#This Row],[Site Name]],SiteDB6[],14,FALSE)</f>
        <v>19.962713241577099</v>
      </c>
      <c r="CK170" s="240">
        <f>VLOOKUP(WWWW[[#This Row],[Site Name]],SiteDB6[],15,FALSE)</f>
        <v>93.885574340820298</v>
      </c>
      <c r="CL170" s="240" t="str">
        <f>VLOOKUP(WWWW[[#This Row],[Site Name]],SiteDB6[],4,FALSE)</f>
        <v>220838</v>
      </c>
      <c r="CM170" s="404" t="str">
        <f t="shared" si="2"/>
        <v>Covered</v>
      </c>
      <c r="CN170" s="404"/>
    </row>
    <row r="171" spans="1:92" ht="15.75" hidden="1" customHeight="1" x14ac:dyDescent="0.25">
      <c r="A171" s="548" t="s">
        <v>1409</v>
      </c>
      <c r="B171" s="530" t="s">
        <v>2570</v>
      </c>
      <c r="C171" s="531" t="s">
        <v>464</v>
      </c>
      <c r="D171" s="531" t="s">
        <v>496</v>
      </c>
      <c r="E171" s="531" t="s">
        <v>564</v>
      </c>
      <c r="F171" s="402">
        <f>ROUND(WWWW[[#This Row],[Total PoP ]]/5,0)</f>
        <v>109</v>
      </c>
      <c r="G171" s="405">
        <v>546</v>
      </c>
      <c r="H171" s="402"/>
      <c r="I171" s="402" t="s">
        <v>498</v>
      </c>
      <c r="J171" s="403">
        <v>43586</v>
      </c>
      <c r="K171" s="402"/>
      <c r="L171" s="402" t="s">
        <v>48</v>
      </c>
      <c r="M171" s="404">
        <v>0</v>
      </c>
      <c r="N171" s="366">
        <v>0</v>
      </c>
      <c r="O171" s="605">
        <v>0</v>
      </c>
      <c r="P171" s="606">
        <v>0</v>
      </c>
      <c r="Q171" s="606"/>
      <c r="R171" s="607"/>
      <c r="S171" s="607">
        <v>0</v>
      </c>
      <c r="T171" s="607"/>
      <c r="U171" s="607"/>
      <c r="V171" s="607"/>
      <c r="W171" s="607"/>
      <c r="X171" s="607"/>
      <c r="Y171" s="607"/>
      <c r="Z171" s="598">
        <v>0</v>
      </c>
      <c r="AA171" s="598"/>
      <c r="AB171" s="80"/>
      <c r="AC171" s="598">
        <v>0</v>
      </c>
      <c r="AD171" s="598" t="s">
        <v>296</v>
      </c>
      <c r="AE171" s="599" t="s">
        <v>296</v>
      </c>
      <c r="AF171" s="599"/>
      <c r="AG171" s="598"/>
      <c r="AH171" s="598"/>
      <c r="AI171" s="649">
        <v>0</v>
      </c>
      <c r="AJ171" s="650"/>
      <c r="AK171" s="650">
        <v>0</v>
      </c>
      <c r="AL171" s="645"/>
      <c r="AM171" s="645">
        <v>0</v>
      </c>
      <c r="AN171" s="646"/>
      <c r="AO171" s="600"/>
      <c r="AP171" s="600"/>
      <c r="AQ171" s="651"/>
      <c r="AR171" s="404" t="str">
        <f>IFERROR(WWWW[[#This Row],['# of Water passed at source]]/WWWW[[#This Row],['# of Water tested at source]],"no test")</f>
        <v>no test</v>
      </c>
      <c r="AS171" s="407" t="str">
        <f>IFERROR(WWWW[[#This Row],['# of Water passed at HH]]/WWWW[[#This Row],['# of Water tested at HH]],"no test")</f>
        <v>no test</v>
      </c>
      <c r="AT171" s="407">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U171" s="407">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AV171" s="407">
        <f>IF(WWWW[[#This Row],[Location Type 1]]="Village",WWWW[[#This Row],[Access to safe drinking water for Village]],WWWW[[#This Row],[Access to safe drinking water for Camp]])</f>
        <v>0</v>
      </c>
      <c r="AW171" s="405">
        <f>WWWW[[#This Row],[%Equitable and continuous access to sufficient quantity of safe drinking water]]*WWWW[[#This Row],[Total PoP ]]</f>
        <v>0</v>
      </c>
      <c r="AX171" s="407">
        <f>IF((WWWW[[#This Row],['# Existing protected/fenced ponds ]]*250)/WWWW[[#This Row],[Total PoP ]]&gt;1,1,WWWW[[#This Row],['# Existing protected/fenced ponds ]]*250/WWWW[[#This Row],[Total PoP ]])</f>
        <v>0</v>
      </c>
      <c r="AY171" s="405">
        <f>WWWW[[#This Row],[Access to unimproved water points]]*WWWW[[#This Row],[Total PoP ]]</f>
        <v>0</v>
      </c>
      <c r="AZ171" s="407">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A171" s="405">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B171" s="414">
        <f>ROUND(WWWW[[#This Row],['#people Equitable and continuous access to sufficient quantity of domestic water borehole n ponds_2]]/500,0)</f>
        <v>0</v>
      </c>
      <c r="BC171" s="404">
        <f>1-WWWW[[#This Row],[%Equitable and continuous access to sufficient quantity of domestic water borehole n ponds]]</f>
        <v>1</v>
      </c>
      <c r="BD171" s="405">
        <f>WWWW[[#This Row],[%equitable and continuous access to sufficient quantity of safe drinking and domestic water''s GAP]]*WWWW[[#This Row],[Total PoP ]]</f>
        <v>546</v>
      </c>
      <c r="BE171" s="406">
        <f>IF(WWWW[[#This Row],[Total required water points]]-WWWW[[#This Row],['#Water points coverage]]&lt;0,0,WWWW[[#This Row],[Total required water points]]-WWWW[[#This Row],['#Water points coverage]])</f>
        <v>1</v>
      </c>
      <c r="BF171" s="406">
        <f>ROUND(IF(WWWW[[#This Row],[Total PoP ]]&lt;500,1,WWWW[[#This Row],[Total PoP ]]/500),0)</f>
        <v>1</v>
      </c>
      <c r="BG171" s="406" t="str">
        <f>IF(AND(WWWW[[#This Row],[%of Water samples which passed at water source]]="no test",WWWW[[#This Row],[%Water samples which passed at HH]]="no test"),"No Test","Tested")</f>
        <v>No Test</v>
      </c>
      <c r="BH171" s="406">
        <f>WWWW[[#This Row],['# Existing functional latrines]]+WWWW[[#This Row],['# Existing latrines dysfunctional]]</f>
        <v>0</v>
      </c>
      <c r="BI171" s="404">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J171" s="676">
        <f>WWWW[[#This Row],[% people access to functioning Latrine]]*WWWW[[#This Row],[Total PoP ]]</f>
        <v>0</v>
      </c>
      <c r="BK171" s="404">
        <f>IF(WWWW[[#This Row],[Location Type 1]]="camp",WWWW[[#This Row],['# potential required new latrines]]/(WWWW[[#This Row],[Total PoP ]]/20),WWWW[[#This Row],['# potential required new latrines]]/(WWWW[[#This Row],[Total PoP ]]/6))</f>
        <v>1</v>
      </c>
      <c r="BL171" s="405">
        <f>IF(WWWW[[#This Row],[Total required Latrines]]-WWWW[[#This Row],[Total '# of latrine]]&lt;0,0,WWWW[[#This Row],[Total required Latrines]]-WWWW[[#This Row],[Total '# of latrine]])</f>
        <v>91</v>
      </c>
      <c r="BM171" s="406">
        <f>ROUND(IF(WWWW[[#This Row],[Location Type 1]]="camp",WWWW[[#This Row],[Total PoP ]]/20,WWWW[[#This Row],[Total PoP ]]/6),0)</f>
        <v>91</v>
      </c>
      <c r="BN171" s="408">
        <f>IF(OR(WWWW[[#This Row],['# Existing latrines dysfunctional]]="",WWWW[[#This Row],['# Existing latrines dysfunctional]]=0),0,WWWW[[#This Row],['# Existing latrines dysfunctional]]/WWWW[[#This Row],[Total '# of latrine]])</f>
        <v>0</v>
      </c>
      <c r="BO171" s="676"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P171" s="404">
        <f>WWWW[[#This Row],[People adopt basic personal and community hygiene practices]]/WWWW[[#This Row],[Total PoP ]]</f>
        <v>0</v>
      </c>
      <c r="BQ171" s="408">
        <f>1-WWWW[[#This Row],[Hygiene Coverage%]]</f>
        <v>1</v>
      </c>
      <c r="BR171" s="405">
        <f>IF(500*WWWW[[#This Row],['# Hygiene Promoters ]]&gt;WWWW[[#This Row],[Total PoP ]],WWWW[[#This Row],[Total PoP ]],500*WWWW[[#This Row],['# Hygiene Promoters ]])</f>
        <v>0</v>
      </c>
      <c r="BS171" s="405">
        <f>IF(WWWW[[#This Row],[% of HH with access to Sanitary Pad]]&gt;=100%,1,0)</f>
        <v>0</v>
      </c>
      <c r="BT171" s="405">
        <f>IF(WWWW[[#This Row],[Total PoP ]]=0,0,IF(WWWW[[#This Row],['# Hygiene Promoters ]]=0,0,IF(WWWW[[#This Row],[Location Type 1]]="Village",IF(WWWW[[#This Row],[Total PoP ]]/WWWW[[#This Row],['# Hygiene Promoters ]]&lt;1000,1,0),IF(WWWW[[#This Row],[Total PoP ]]/WWWW[[#This Row],['# Hygiene Promoters ]]&lt;600,1,0))))</f>
        <v>0</v>
      </c>
      <c r="BU171" s="405">
        <f>IF(WWWW[[#This Row],[%HH with access to soap]]&gt;=100%,1,0)</f>
        <v>0</v>
      </c>
      <c r="BV171" s="405">
        <f>IF(WWWW[[#This Row],[% of HHs with access to Sanitary pad more than '#%]]+WWWW[[#This Row],[Ratio of Hyiene promoters to people less than '#]]+WWWW[[#This Row],[% of HHs with access to soap more than '#%]]&gt;=2,WWWW[[#This Row],[Total PoP ]],0)</f>
        <v>0</v>
      </c>
      <c r="BW171" s="391">
        <f>WWWW[[#This Row],['# people reached by regular dedicated hygiene promotion_5]]/WWWW[[#This Row],[Total PoP ]]</f>
        <v>0</v>
      </c>
      <c r="BX171" s="391">
        <f>IF(WWWW[[#This Row],['# HH received soaps]]/WWWW[[#This Row],[Total HH]]&gt;1,1,WWWW[[#This Row],['# HH received soaps]]/WWWW[[#This Row],[Total HH]])</f>
        <v>0</v>
      </c>
      <c r="BY171" s="391">
        <f>IF(WWWW[[#This Row],['# HH received Sanitary Pads]]/WWWW[[#This Row],[Total HH]]&gt;1,1,WWWW[[#This Row],['# HH received Sanitary Pads]]/WWWW[[#This Row],[Total HH]])</f>
        <v>0</v>
      </c>
      <c r="BZ171" s="721">
        <f>WWWW[[#This Row],['# HH received soaps]]*5</f>
        <v>0</v>
      </c>
      <c r="CA171" s="721">
        <f>WWWW[[#This Row],['# HH received Sanitary Pads]]*5</f>
        <v>0</v>
      </c>
      <c r="CB171" s="406">
        <f>IF(WWWW[[#This Row],['# People with access to soap]]&gt;WWWW[[#This Row],['# People with access to Sanity Pads]],WWWW[[#This Row],['# People with access to soap]],WWWW[[#This Row],['# People with access to Sanity Pads]])</f>
        <v>0</v>
      </c>
      <c r="CC171" s="405">
        <f>WWWW[[#This Row],[Total HH]]*WWWW[[#This Row],[%HHs with access to functional hand washing stations]]</f>
        <v>0</v>
      </c>
      <c r="CD171" s="240">
        <f>VLOOKUP(WWWW[[#This Row],[Site Name]],SiteDB6[],8,FALSE)</f>
        <v>0</v>
      </c>
      <c r="CE171" s="240">
        <f>VLOOKUP(WWWW[[#This Row],[Site Name]],SiteDB6[],9,FALSE)</f>
        <v>0</v>
      </c>
      <c r="CF171" s="240" t="str">
        <f>VLOOKUP(WWWW[[#This Row],[Site Name]],SiteDB6[],10,FALSE)</f>
        <v>Village_Not HRP</v>
      </c>
      <c r="CG171" s="240" t="str">
        <f>VLOOKUP(WWWW[[#This Row],[Site Name]],SiteDB6[],11,FALSE)</f>
        <v>Village</v>
      </c>
      <c r="CH171" s="240" t="str">
        <f>VLOOKUP(WWWW[[#This Row],[Site Name]],SiteDB6[],12,FALSE)</f>
        <v>Village_Not HRP</v>
      </c>
      <c r="CI171" s="240" t="str">
        <f>VLOOKUP(WWWW[[#This Row],[Site Name]],SiteDB6[],13,FALSE)</f>
        <v>Rakhine</v>
      </c>
      <c r="CJ171" s="240">
        <f>VLOOKUP(WWWW[[#This Row],[Site Name]],SiteDB6[],14,FALSE)</f>
        <v>19.985679626464801</v>
      </c>
      <c r="CK171" s="240">
        <f>VLOOKUP(WWWW[[#This Row],[Site Name]],SiteDB6[],15,FALSE)</f>
        <v>93.843322753906307</v>
      </c>
      <c r="CL171" s="240" t="str">
        <f>VLOOKUP(WWWW[[#This Row],[Site Name]],SiteDB6[],4,FALSE)</f>
        <v>199235</v>
      </c>
      <c r="CM171" s="404" t="str">
        <f t="shared" si="2"/>
        <v>Covered</v>
      </c>
      <c r="CN171" s="404"/>
    </row>
    <row r="172" spans="1:92" ht="15.75" hidden="1" customHeight="1" x14ac:dyDescent="0.25">
      <c r="A172" s="548" t="s">
        <v>1409</v>
      </c>
      <c r="B172" s="531" t="s">
        <v>2570</v>
      </c>
      <c r="C172" s="531" t="s">
        <v>464</v>
      </c>
      <c r="D172" s="531" t="s">
        <v>496</v>
      </c>
      <c r="E172" s="531" t="s">
        <v>565</v>
      </c>
      <c r="F172" s="402">
        <f>ROUND(WWWW[[#This Row],[Total PoP ]]/5,0)</f>
        <v>235</v>
      </c>
      <c r="G172" s="731">
        <v>1176</v>
      </c>
      <c r="H172" s="314"/>
      <c r="I172" s="314" t="s">
        <v>498</v>
      </c>
      <c r="J172" s="315">
        <v>43586</v>
      </c>
      <c r="K172" s="314"/>
      <c r="L172" s="314" t="s">
        <v>48</v>
      </c>
      <c r="M172" s="316">
        <v>0</v>
      </c>
      <c r="N172" s="366">
        <v>0</v>
      </c>
      <c r="O172" s="612">
        <v>0</v>
      </c>
      <c r="P172" s="606">
        <v>0</v>
      </c>
      <c r="Q172" s="606"/>
      <c r="R172" s="607"/>
      <c r="S172" s="607">
        <v>0</v>
      </c>
      <c r="T172" s="607"/>
      <c r="U172" s="607"/>
      <c r="V172" s="607"/>
      <c r="W172" s="607"/>
      <c r="X172" s="604"/>
      <c r="Y172" s="607"/>
      <c r="Z172" s="628">
        <v>0</v>
      </c>
      <c r="AA172" s="599"/>
      <c r="AB172" s="629"/>
      <c r="AC172" s="628">
        <v>0</v>
      </c>
      <c r="AD172" s="598" t="s">
        <v>296</v>
      </c>
      <c r="AE172" s="599" t="s">
        <v>296</v>
      </c>
      <c r="AF172" s="80"/>
      <c r="AG172" s="80"/>
      <c r="AH172" s="599"/>
      <c r="AI172" s="649">
        <v>0</v>
      </c>
      <c r="AJ172" s="653"/>
      <c r="AK172" s="651">
        <v>0</v>
      </c>
      <c r="AL172" s="645"/>
      <c r="AM172" s="645">
        <v>0</v>
      </c>
      <c r="AN172" s="646"/>
      <c r="AO172" s="600"/>
      <c r="AP172" s="647"/>
      <c r="AQ172" s="658"/>
      <c r="AR172" s="235" t="str">
        <f>IFERROR(WWWW[[#This Row],['# of Water passed at source]]/WWWW[[#This Row],['# of Water tested at source]],"no test")</f>
        <v>no test</v>
      </c>
      <c r="AS172" s="237" t="str">
        <f>IFERROR(WWWW[[#This Row],['# of Water passed at HH]]/WWWW[[#This Row],['# of Water tested at HH]],"no test")</f>
        <v>no test</v>
      </c>
      <c r="AT172" s="237">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U172" s="237">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AV172" s="237">
        <f>IF(WWWW[[#This Row],[Location Type 1]]="Village",WWWW[[#This Row],[Access to safe drinking water for Village]],WWWW[[#This Row],[Access to safe drinking water for Camp]])</f>
        <v>0</v>
      </c>
      <c r="AW172" s="414">
        <f>WWWW[[#This Row],[%Equitable and continuous access to sufficient quantity of safe drinking water]]*WWWW[[#This Row],[Total PoP ]]</f>
        <v>0</v>
      </c>
      <c r="AX172" s="237">
        <f>IF((WWWW[[#This Row],['# Existing protected/fenced ponds ]]*250)/WWWW[[#This Row],[Total PoP ]]&gt;1,1,WWWW[[#This Row],['# Existing protected/fenced ponds ]]*250/WWWW[[#This Row],[Total PoP ]])</f>
        <v>0</v>
      </c>
      <c r="AY172" s="414">
        <f>WWWW[[#This Row],[Access to unimproved water points]]*WWWW[[#This Row],[Total PoP ]]</f>
        <v>0</v>
      </c>
      <c r="AZ172" s="237">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A172" s="414">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B172" s="414">
        <f>ROUND(WWWW[[#This Row],['#people Equitable and continuous access to sufficient quantity of domestic water borehole n ponds_2]]/500,0)</f>
        <v>0</v>
      </c>
      <c r="BC172" s="235">
        <f>1-WWWW[[#This Row],[%Equitable and continuous access to sufficient quantity of domestic water borehole n ponds]]</f>
        <v>1</v>
      </c>
      <c r="BD172" s="414">
        <f>WWWW[[#This Row],[%equitable and continuous access to sufficient quantity of safe drinking and domestic water''s GAP]]*WWWW[[#This Row],[Total PoP ]]</f>
        <v>1176</v>
      </c>
      <c r="BE172" s="238">
        <f>IF(WWWW[[#This Row],[Total required water points]]-WWWW[[#This Row],['#Water points coverage]]&lt;0,0,WWWW[[#This Row],[Total required water points]]-WWWW[[#This Row],['#Water points coverage]])</f>
        <v>2</v>
      </c>
      <c r="BF172" s="238">
        <f>ROUND(IF(WWWW[[#This Row],[Total PoP ]]&lt;500,1,WWWW[[#This Row],[Total PoP ]]/500),0)</f>
        <v>2</v>
      </c>
      <c r="BG172" s="238" t="str">
        <f>IF(AND(WWWW[[#This Row],[%of Water samples which passed at water source]]="no test",WWWW[[#This Row],[%Water samples which passed at HH]]="no test"),"No Test","Tested")</f>
        <v>No Test</v>
      </c>
      <c r="BH172" s="238">
        <f>WWWW[[#This Row],['# Existing functional latrines]]+WWWW[[#This Row],['# Existing latrines dysfunctional]]</f>
        <v>0</v>
      </c>
      <c r="BI172" s="235">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J172" s="675">
        <f>WWWW[[#This Row],[% people access to functioning Latrine]]*WWWW[[#This Row],[Total PoP ]]</f>
        <v>0</v>
      </c>
      <c r="BK172" s="235">
        <f>IF(WWWW[[#This Row],[Location Type 1]]="camp",WWWW[[#This Row],['# potential required new latrines]]/(WWWW[[#This Row],[Total PoP ]]/20),WWWW[[#This Row],['# potential required new latrines]]/(WWWW[[#This Row],[Total PoP ]]/6))</f>
        <v>1</v>
      </c>
      <c r="BL172" s="414">
        <f>IF(WWWW[[#This Row],[Total required Latrines]]-WWWW[[#This Row],[Total '# of latrine]]&lt;0,0,WWWW[[#This Row],[Total required Latrines]]-WWWW[[#This Row],[Total '# of latrine]])</f>
        <v>196</v>
      </c>
      <c r="BM172" s="238">
        <f>ROUND(IF(WWWW[[#This Row],[Location Type 1]]="camp",WWWW[[#This Row],[Total PoP ]]/20,WWWW[[#This Row],[Total PoP ]]/6),0)</f>
        <v>196</v>
      </c>
      <c r="BN172" s="239">
        <f>IF(OR(WWWW[[#This Row],['# Existing latrines dysfunctional]]="",WWWW[[#This Row],['# Existing latrines dysfunctional]]=0),0,WWWW[[#This Row],['# Existing latrines dysfunctional]]/WWWW[[#This Row],[Total '# of latrine]])</f>
        <v>0</v>
      </c>
      <c r="BO172" s="675"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P172" s="235">
        <f>WWWW[[#This Row],[People adopt basic personal and community hygiene practices]]/WWWW[[#This Row],[Total PoP ]]</f>
        <v>0</v>
      </c>
      <c r="BQ172" s="239">
        <f>1-WWWW[[#This Row],[Hygiene Coverage%]]</f>
        <v>1</v>
      </c>
      <c r="BR172" s="414">
        <f>IF(500*WWWW[[#This Row],['# Hygiene Promoters ]]&gt;WWWW[[#This Row],[Total PoP ]],WWWW[[#This Row],[Total PoP ]],500*WWWW[[#This Row],['# Hygiene Promoters ]])</f>
        <v>0</v>
      </c>
      <c r="BS172" s="414">
        <f>IF(WWWW[[#This Row],[% of HH with access to Sanitary Pad]]&gt;=100%,1,0)</f>
        <v>0</v>
      </c>
      <c r="BT172" s="414">
        <f>IF(WWWW[[#This Row],[Total PoP ]]=0,0,IF(WWWW[[#This Row],['# Hygiene Promoters ]]=0,0,IF(WWWW[[#This Row],[Location Type 1]]="Village",IF(WWWW[[#This Row],[Total PoP ]]/WWWW[[#This Row],['# Hygiene Promoters ]]&lt;1000,1,0),IF(WWWW[[#This Row],[Total PoP ]]/WWWW[[#This Row],['# Hygiene Promoters ]]&lt;600,1,0))))</f>
        <v>0</v>
      </c>
      <c r="BU172" s="414">
        <f>IF(WWWW[[#This Row],[%HH with access to soap]]&gt;=100%,1,0)</f>
        <v>0</v>
      </c>
      <c r="BV172" s="414">
        <f>IF(WWWW[[#This Row],[% of HHs with access to Sanitary pad more than '#%]]+WWWW[[#This Row],[Ratio of Hyiene promoters to people less than '#]]+WWWW[[#This Row],[% of HHs with access to soap more than '#%]]&gt;=2,WWWW[[#This Row],[Total PoP ]],0)</f>
        <v>0</v>
      </c>
      <c r="BW172" s="346">
        <f>WWWW[[#This Row],['# people reached by regular dedicated hygiene promotion_5]]/WWWW[[#This Row],[Total PoP ]]</f>
        <v>0</v>
      </c>
      <c r="BX172" s="346">
        <f>IF(WWWW[[#This Row],['# HH received soaps]]/WWWW[[#This Row],[Total HH]]&gt;1,1,WWWW[[#This Row],['# HH received soaps]]/WWWW[[#This Row],[Total HH]])</f>
        <v>0</v>
      </c>
      <c r="BY172" s="346">
        <f>IF(WWWW[[#This Row],['# HH received Sanitary Pads]]/WWWW[[#This Row],[Total HH]]&gt;1,1,WWWW[[#This Row],['# HH received Sanitary Pads]]/WWWW[[#This Row],[Total HH]])</f>
        <v>0</v>
      </c>
      <c r="BZ172" s="720">
        <f>WWWW[[#This Row],['# HH received soaps]]*5</f>
        <v>0</v>
      </c>
      <c r="CA172" s="720">
        <f>WWWW[[#This Row],['# HH received Sanitary Pads]]*5</f>
        <v>0</v>
      </c>
      <c r="CB172" s="238">
        <f>IF(WWWW[[#This Row],['# People with access to soap]]&gt;WWWW[[#This Row],['# People with access to Sanity Pads]],WWWW[[#This Row],['# People with access to soap]],WWWW[[#This Row],['# People with access to Sanity Pads]])</f>
        <v>0</v>
      </c>
      <c r="CC172" s="414">
        <f>WWWW[[#This Row],[Total HH]]*WWWW[[#This Row],[%HHs with access to functional hand washing stations]]</f>
        <v>0</v>
      </c>
      <c r="CD172" s="240">
        <f>VLOOKUP(WWWW[[#This Row],[Site Name]],SiteDB6[],8,FALSE)</f>
        <v>0</v>
      </c>
      <c r="CE172" s="240">
        <f>VLOOKUP(WWWW[[#This Row],[Site Name]],SiteDB6[],9,FALSE)</f>
        <v>0</v>
      </c>
      <c r="CF172" s="240" t="str">
        <f>VLOOKUP(WWWW[[#This Row],[Site Name]],SiteDB6[],10,FALSE)</f>
        <v>Village_Not HRP</v>
      </c>
      <c r="CG172" s="240" t="str">
        <f>VLOOKUP(WWWW[[#This Row],[Site Name]],SiteDB6[],11,FALSE)</f>
        <v>Village</v>
      </c>
      <c r="CH172" s="240" t="str">
        <f>VLOOKUP(WWWW[[#This Row],[Site Name]],SiteDB6[],12,FALSE)</f>
        <v>Village_Not HRP</v>
      </c>
      <c r="CI172" s="240" t="str">
        <f>VLOOKUP(WWWW[[#This Row],[Site Name]],SiteDB6[],13,FALSE)</f>
        <v>Chin+Rakhine</v>
      </c>
      <c r="CJ172" s="240">
        <f>VLOOKUP(WWWW[[#This Row],[Site Name]],SiteDB6[],14,FALSE)</f>
        <v>19.988599777221701</v>
      </c>
      <c r="CK172" s="240">
        <f>VLOOKUP(WWWW[[#This Row],[Site Name]],SiteDB6[],15,FALSE)</f>
        <v>93.803939819335895</v>
      </c>
      <c r="CL172" s="240" t="str">
        <f>VLOOKUP(WWWW[[#This Row],[Site Name]],SiteDB6[],4,FALSE)</f>
        <v>199241</v>
      </c>
      <c r="CM172" s="235" t="str">
        <f t="shared" si="2"/>
        <v>Covered</v>
      </c>
      <c r="CN172" s="235"/>
    </row>
    <row r="173" spans="1:92" ht="15.75" hidden="1" customHeight="1" x14ac:dyDescent="0.25">
      <c r="A173" s="548" t="s">
        <v>1409</v>
      </c>
      <c r="B173" s="531" t="s">
        <v>2570</v>
      </c>
      <c r="C173" s="531" t="s">
        <v>464</v>
      </c>
      <c r="D173" s="531" t="s">
        <v>496</v>
      </c>
      <c r="E173" s="530" t="s">
        <v>566</v>
      </c>
      <c r="F173" s="402">
        <f>ROUND(WWWW[[#This Row],[Total PoP ]]/5,0)</f>
        <v>157</v>
      </c>
      <c r="G173" s="731">
        <v>786</v>
      </c>
      <c r="H173" s="314"/>
      <c r="I173" s="314" t="s">
        <v>498</v>
      </c>
      <c r="J173" s="365">
        <v>43586</v>
      </c>
      <c r="K173" s="365"/>
      <c r="L173" s="364" t="s">
        <v>48</v>
      </c>
      <c r="M173" s="366">
        <v>0</v>
      </c>
      <c r="N173" s="366">
        <v>0</v>
      </c>
      <c r="O173" s="601">
        <v>0</v>
      </c>
      <c r="P173" s="602">
        <v>0</v>
      </c>
      <c r="Q173" s="602"/>
      <c r="R173" s="603"/>
      <c r="S173" s="603">
        <v>0</v>
      </c>
      <c r="T173" s="604"/>
      <c r="U173" s="604"/>
      <c r="V173" s="604"/>
      <c r="W173" s="604"/>
      <c r="X173" s="604"/>
      <c r="Y173" s="604"/>
      <c r="Z173" s="628">
        <v>0</v>
      </c>
      <c r="AA173" s="628"/>
      <c r="AB173" s="629"/>
      <c r="AC173" s="630">
        <v>0</v>
      </c>
      <c r="AD173" s="630" t="s">
        <v>296</v>
      </c>
      <c r="AE173" s="631" t="s">
        <v>296</v>
      </c>
      <c r="AF173" s="631"/>
      <c r="AG173" s="631"/>
      <c r="AH173" s="630"/>
      <c r="AI173" s="642">
        <v>0</v>
      </c>
      <c r="AJ173" s="643"/>
      <c r="AK173" s="644">
        <v>0</v>
      </c>
      <c r="AL173" s="645"/>
      <c r="AM173" s="645">
        <v>0</v>
      </c>
      <c r="AN173" s="646"/>
      <c r="AO173" s="647"/>
      <c r="AP173" s="647"/>
      <c r="AQ173" s="648"/>
      <c r="AR173" s="235" t="str">
        <f>IFERROR(WWWW[[#This Row],['# of Water passed at source]]/WWWW[[#This Row],['# of Water tested at source]],"no test")</f>
        <v>no test</v>
      </c>
      <c r="AS173" s="237" t="str">
        <f>IFERROR(WWWW[[#This Row],['# of Water passed at HH]]/WWWW[[#This Row],['# of Water tested at HH]],"no test")</f>
        <v>no test</v>
      </c>
      <c r="AT173" s="400">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U173" s="400">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AV173" s="400">
        <f>IF(WWWW[[#This Row],[Location Type 1]]="Village",WWWW[[#This Row],[Access to safe drinking water for Village]],WWWW[[#This Row],[Access to safe drinking water for Camp]])</f>
        <v>0</v>
      </c>
      <c r="AW173" s="414">
        <f>WWWW[[#This Row],[%Equitable and continuous access to sufficient quantity of safe drinking water]]*WWWW[[#This Row],[Total PoP ]]</f>
        <v>0</v>
      </c>
      <c r="AX173" s="400">
        <f>IF((WWWW[[#This Row],['# Existing protected/fenced ponds ]]*250)/WWWW[[#This Row],[Total PoP ]]&gt;1,1,WWWW[[#This Row],['# Existing protected/fenced ponds ]]*250/WWWW[[#This Row],[Total PoP ]])</f>
        <v>0</v>
      </c>
      <c r="AY173" s="367">
        <f>WWWW[[#This Row],[Access to unimproved water points]]*WWWW[[#This Row],[Total PoP ]]</f>
        <v>0</v>
      </c>
      <c r="AZ173" s="400">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A173" s="367">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B173" s="414">
        <f>ROUND(WWWW[[#This Row],['#people Equitable and continuous access to sufficient quantity of domestic water borehole n ponds_2]]/500,0)</f>
        <v>0</v>
      </c>
      <c r="BC173" s="235">
        <f>1-WWWW[[#This Row],[%Equitable and continuous access to sufficient quantity of domestic water borehole n ponds]]</f>
        <v>1</v>
      </c>
      <c r="BD173" s="367">
        <f>WWWW[[#This Row],[%equitable and continuous access to sufficient quantity of safe drinking and domestic water''s GAP]]*WWWW[[#This Row],[Total PoP ]]</f>
        <v>786</v>
      </c>
      <c r="BE173" s="238">
        <f>IF(WWWW[[#This Row],[Total required water points]]-WWWW[[#This Row],['#Water points coverage]]&lt;0,0,WWWW[[#This Row],[Total required water points]]-WWWW[[#This Row],['#Water points coverage]])</f>
        <v>2</v>
      </c>
      <c r="BF173" s="368">
        <f>ROUND(IF(WWWW[[#This Row],[Total PoP ]]&lt;500,1,WWWW[[#This Row],[Total PoP ]]/500),0)</f>
        <v>2</v>
      </c>
      <c r="BG173" s="368" t="str">
        <f>IF(AND(WWWW[[#This Row],[%of Water samples which passed at water source]]="no test",WWWW[[#This Row],[%Water samples which passed at HH]]="no test"),"No Test","Tested")</f>
        <v>No Test</v>
      </c>
      <c r="BH173" s="238">
        <f>WWWW[[#This Row],['# Existing functional latrines]]+WWWW[[#This Row],['# Existing latrines dysfunctional]]</f>
        <v>0</v>
      </c>
      <c r="BI173" s="366">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J173" s="675">
        <f>WWWW[[#This Row],[% people access to functioning Latrine]]*WWWW[[#This Row],[Total PoP ]]</f>
        <v>0</v>
      </c>
      <c r="BK173" s="235">
        <f>IF(WWWW[[#This Row],[Location Type 1]]="camp",WWWW[[#This Row],['# potential required new latrines]]/(WWWW[[#This Row],[Total PoP ]]/20),WWWW[[#This Row],['# potential required new latrines]]/(WWWW[[#This Row],[Total PoP ]]/6))</f>
        <v>1</v>
      </c>
      <c r="BL173" s="236">
        <f>IF(WWWW[[#This Row],[Total required Latrines]]-WWWW[[#This Row],[Total '# of latrine]]&lt;0,0,WWWW[[#This Row],[Total required Latrines]]-WWWW[[#This Row],[Total '# of latrine]])</f>
        <v>131</v>
      </c>
      <c r="BM173" s="368">
        <f>ROUND(IF(WWWW[[#This Row],[Location Type 1]]="camp",WWWW[[#This Row],[Total PoP ]]/20,WWWW[[#This Row],[Total PoP ]]/6),0)</f>
        <v>131</v>
      </c>
      <c r="BN173" s="369">
        <f>IF(OR(WWWW[[#This Row],['# Existing latrines dysfunctional]]="",WWWW[[#This Row],['# Existing latrines dysfunctional]]=0),0,WWWW[[#This Row],['# Existing latrines dysfunctional]]/WWWW[[#This Row],[Total '# of latrine]])</f>
        <v>0</v>
      </c>
      <c r="BO173" s="675"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P173" s="235">
        <f>WWWW[[#This Row],[People adopt basic personal and community hygiene practices]]/WWWW[[#This Row],[Total PoP ]]</f>
        <v>0</v>
      </c>
      <c r="BQ173" s="369">
        <f>1-WWWW[[#This Row],[Hygiene Coverage%]]</f>
        <v>1</v>
      </c>
      <c r="BR173" s="367">
        <f>IF(500*WWWW[[#This Row],['# Hygiene Promoters ]]&gt;WWWW[[#This Row],[Total PoP ]],WWWW[[#This Row],[Total PoP ]],500*WWWW[[#This Row],['# Hygiene Promoters ]])</f>
        <v>0</v>
      </c>
      <c r="BS173" s="367">
        <f>IF(WWWW[[#This Row],[% of HH with access to Sanitary Pad]]&gt;=100%,1,0)</f>
        <v>0</v>
      </c>
      <c r="BT173" s="367">
        <f>IF(WWWW[[#This Row],[Total PoP ]]=0,0,IF(WWWW[[#This Row],['# Hygiene Promoters ]]=0,0,IF(WWWW[[#This Row],[Location Type 1]]="Village",IF(WWWW[[#This Row],[Total PoP ]]/WWWW[[#This Row],['# Hygiene Promoters ]]&lt;1000,1,0),IF(WWWW[[#This Row],[Total PoP ]]/WWWW[[#This Row],['# Hygiene Promoters ]]&lt;600,1,0))))</f>
        <v>0</v>
      </c>
      <c r="BU173" s="367">
        <f>IF(WWWW[[#This Row],[%HH with access to soap]]&gt;=100%,1,0)</f>
        <v>0</v>
      </c>
      <c r="BV173" s="367">
        <f>IF(WWWW[[#This Row],[% of HHs with access to Sanitary pad more than '#%]]+WWWW[[#This Row],[Ratio of Hyiene promoters to people less than '#]]+WWWW[[#This Row],[% of HHs with access to soap more than '#%]]&gt;=2,WWWW[[#This Row],[Total PoP ]],0)</f>
        <v>0</v>
      </c>
      <c r="BW173" s="346">
        <f>WWWW[[#This Row],['# people reached by regular dedicated hygiene promotion_5]]/WWWW[[#This Row],[Total PoP ]]</f>
        <v>0</v>
      </c>
      <c r="BX173" s="346">
        <f>IF(WWWW[[#This Row],['# HH received soaps]]/WWWW[[#This Row],[Total HH]]&gt;1,1,WWWW[[#This Row],['# HH received soaps]]/WWWW[[#This Row],[Total HH]])</f>
        <v>0</v>
      </c>
      <c r="BY173" s="346">
        <f>IF(WWWW[[#This Row],['# HH received Sanitary Pads]]/WWWW[[#This Row],[Total HH]]&gt;1,1,WWWW[[#This Row],['# HH received Sanitary Pads]]/WWWW[[#This Row],[Total HH]])</f>
        <v>0</v>
      </c>
      <c r="BZ173" s="720">
        <f>WWWW[[#This Row],['# HH received soaps]]*5</f>
        <v>0</v>
      </c>
      <c r="CA173" s="720">
        <f>WWWW[[#This Row],['# HH received Sanitary Pads]]*5</f>
        <v>0</v>
      </c>
      <c r="CB173" s="238">
        <f>IF(WWWW[[#This Row],['# People with access to soap]]&gt;WWWW[[#This Row],['# People with access to Sanity Pads]],WWWW[[#This Row],['# People with access to soap]],WWWW[[#This Row],['# People with access to Sanity Pads]])</f>
        <v>0</v>
      </c>
      <c r="CC173" s="367">
        <f>WWWW[[#This Row],[Total HH]]*WWWW[[#This Row],[%HHs with access to functional hand washing stations]]</f>
        <v>0</v>
      </c>
      <c r="CD173" s="240">
        <f>VLOOKUP(WWWW[[#This Row],[Site Name]],SiteDB6[],8,FALSE)</f>
        <v>0</v>
      </c>
      <c r="CE173" s="240">
        <f>VLOOKUP(WWWW[[#This Row],[Site Name]],SiteDB6[],9,FALSE)</f>
        <v>0</v>
      </c>
      <c r="CF173" s="240" t="str">
        <f>VLOOKUP(WWWW[[#This Row],[Site Name]],SiteDB6[],10,FALSE)</f>
        <v>Village_Not HRP</v>
      </c>
      <c r="CG173" s="240" t="str">
        <f>VLOOKUP(WWWW[[#This Row],[Site Name]],SiteDB6[],11,FALSE)</f>
        <v>Village</v>
      </c>
      <c r="CH173" s="240" t="str">
        <f>VLOOKUP(WWWW[[#This Row],[Site Name]],SiteDB6[],12,FALSE)</f>
        <v>Village_Not HRP</v>
      </c>
      <c r="CI173" s="240" t="str">
        <f>VLOOKUP(WWWW[[#This Row],[Site Name]],SiteDB6[],13,FALSE)</f>
        <v>Rakhine</v>
      </c>
      <c r="CJ173" s="240">
        <f>VLOOKUP(WWWW[[#This Row],[Site Name]],SiteDB6[],14,FALSE)</f>
        <v>19.988689422607401</v>
      </c>
      <c r="CK173" s="240">
        <f>VLOOKUP(WWWW[[#This Row],[Site Name]],SiteDB6[],15,FALSE)</f>
        <v>93.842460632324205</v>
      </c>
      <c r="CL173" s="240" t="str">
        <f>VLOOKUP(WWWW[[#This Row],[Site Name]],SiteDB6[],4,FALSE)</f>
        <v>199236</v>
      </c>
      <c r="CM173" s="235" t="str">
        <f t="shared" si="2"/>
        <v>Covered</v>
      </c>
      <c r="CN173" s="366"/>
    </row>
    <row r="174" spans="1:92" ht="15.75" hidden="1" customHeight="1" x14ac:dyDescent="0.25">
      <c r="A174" s="548" t="s">
        <v>1409</v>
      </c>
      <c r="B174" s="530" t="s">
        <v>2570</v>
      </c>
      <c r="C174" s="531" t="s">
        <v>464</v>
      </c>
      <c r="D174" s="531" t="s">
        <v>496</v>
      </c>
      <c r="E174" s="531" t="s">
        <v>567</v>
      </c>
      <c r="F174" s="402">
        <f>ROUND(WWWW[[#This Row],[Total PoP ]]/5,0)</f>
        <v>104</v>
      </c>
      <c r="G174" s="405">
        <v>521</v>
      </c>
      <c r="H174" s="402"/>
      <c r="I174" s="402" t="s">
        <v>498</v>
      </c>
      <c r="J174" s="403">
        <v>43586</v>
      </c>
      <c r="K174" s="402"/>
      <c r="L174" s="402" t="s">
        <v>48</v>
      </c>
      <c r="M174" s="404">
        <v>0</v>
      </c>
      <c r="N174" s="366">
        <v>0</v>
      </c>
      <c r="O174" s="605">
        <v>0</v>
      </c>
      <c r="P174" s="606">
        <v>0</v>
      </c>
      <c r="Q174" s="606"/>
      <c r="R174" s="607"/>
      <c r="S174" s="607">
        <v>0</v>
      </c>
      <c r="T174" s="607"/>
      <c r="U174" s="607"/>
      <c r="V174" s="607"/>
      <c r="W174" s="607"/>
      <c r="X174" s="607"/>
      <c r="Y174" s="607"/>
      <c r="Z174" s="598">
        <v>0</v>
      </c>
      <c r="AA174" s="598"/>
      <c r="AB174" s="80"/>
      <c r="AC174" s="598">
        <v>0</v>
      </c>
      <c r="AD174" s="598" t="s">
        <v>296</v>
      </c>
      <c r="AE174" s="599" t="s">
        <v>296</v>
      </c>
      <c r="AF174" s="599"/>
      <c r="AG174" s="598"/>
      <c r="AH174" s="598"/>
      <c r="AI174" s="649">
        <v>0</v>
      </c>
      <c r="AJ174" s="650"/>
      <c r="AK174" s="650">
        <v>0</v>
      </c>
      <c r="AL174" s="645"/>
      <c r="AM174" s="645">
        <v>0</v>
      </c>
      <c r="AN174" s="646"/>
      <c r="AO174" s="600"/>
      <c r="AP174" s="600"/>
      <c r="AQ174" s="651"/>
      <c r="AR174" s="404" t="str">
        <f>IFERROR(WWWW[[#This Row],['# of Water passed at source]]/WWWW[[#This Row],['# of Water tested at source]],"no test")</f>
        <v>no test</v>
      </c>
      <c r="AS174" s="407" t="str">
        <f>IFERROR(WWWW[[#This Row],['# of Water passed at HH]]/WWWW[[#This Row],['# of Water tested at HH]],"no test")</f>
        <v>no test</v>
      </c>
      <c r="AT174" s="407">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U174" s="407">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AV174" s="407">
        <f>IF(WWWW[[#This Row],[Location Type 1]]="Village",WWWW[[#This Row],[Access to safe drinking water for Village]],WWWW[[#This Row],[Access to safe drinking water for Camp]])</f>
        <v>0</v>
      </c>
      <c r="AW174" s="405">
        <f>WWWW[[#This Row],[%Equitable and continuous access to sufficient quantity of safe drinking water]]*WWWW[[#This Row],[Total PoP ]]</f>
        <v>0</v>
      </c>
      <c r="AX174" s="407">
        <f>IF((WWWW[[#This Row],['# Existing protected/fenced ponds ]]*250)/WWWW[[#This Row],[Total PoP ]]&gt;1,1,WWWW[[#This Row],['# Existing protected/fenced ponds ]]*250/WWWW[[#This Row],[Total PoP ]])</f>
        <v>0</v>
      </c>
      <c r="AY174" s="405">
        <f>WWWW[[#This Row],[Access to unimproved water points]]*WWWW[[#This Row],[Total PoP ]]</f>
        <v>0</v>
      </c>
      <c r="AZ174" s="407">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A174" s="405">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B174" s="414">
        <f>ROUND(WWWW[[#This Row],['#people Equitable and continuous access to sufficient quantity of domestic water borehole n ponds_2]]/500,0)</f>
        <v>0</v>
      </c>
      <c r="BC174" s="404">
        <f>1-WWWW[[#This Row],[%Equitable and continuous access to sufficient quantity of domestic water borehole n ponds]]</f>
        <v>1</v>
      </c>
      <c r="BD174" s="405">
        <f>WWWW[[#This Row],[%equitable and continuous access to sufficient quantity of safe drinking and domestic water''s GAP]]*WWWW[[#This Row],[Total PoP ]]</f>
        <v>521</v>
      </c>
      <c r="BE174" s="406">
        <f>IF(WWWW[[#This Row],[Total required water points]]-WWWW[[#This Row],['#Water points coverage]]&lt;0,0,WWWW[[#This Row],[Total required water points]]-WWWW[[#This Row],['#Water points coverage]])</f>
        <v>1</v>
      </c>
      <c r="BF174" s="406">
        <f>ROUND(IF(WWWW[[#This Row],[Total PoP ]]&lt;500,1,WWWW[[#This Row],[Total PoP ]]/500),0)</f>
        <v>1</v>
      </c>
      <c r="BG174" s="406" t="str">
        <f>IF(AND(WWWW[[#This Row],[%of Water samples which passed at water source]]="no test",WWWW[[#This Row],[%Water samples which passed at HH]]="no test"),"No Test","Tested")</f>
        <v>No Test</v>
      </c>
      <c r="BH174" s="406">
        <f>WWWW[[#This Row],['# Existing functional latrines]]+WWWW[[#This Row],['# Existing latrines dysfunctional]]</f>
        <v>0</v>
      </c>
      <c r="BI174" s="404">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J174" s="676">
        <f>WWWW[[#This Row],[% people access to functioning Latrine]]*WWWW[[#This Row],[Total PoP ]]</f>
        <v>0</v>
      </c>
      <c r="BK174" s="404">
        <f>IF(WWWW[[#This Row],[Location Type 1]]="camp",WWWW[[#This Row],['# potential required new latrines]]/(WWWW[[#This Row],[Total PoP ]]/20),WWWW[[#This Row],['# potential required new latrines]]/(WWWW[[#This Row],[Total PoP ]]/6))</f>
        <v>1.0019193857965452</v>
      </c>
      <c r="BL174" s="405">
        <f>IF(WWWW[[#This Row],[Total required Latrines]]-WWWW[[#This Row],[Total '# of latrine]]&lt;0,0,WWWW[[#This Row],[Total required Latrines]]-WWWW[[#This Row],[Total '# of latrine]])</f>
        <v>87</v>
      </c>
      <c r="BM174" s="406">
        <f>ROUND(IF(WWWW[[#This Row],[Location Type 1]]="camp",WWWW[[#This Row],[Total PoP ]]/20,WWWW[[#This Row],[Total PoP ]]/6),0)</f>
        <v>87</v>
      </c>
      <c r="BN174" s="408">
        <f>IF(OR(WWWW[[#This Row],['# Existing latrines dysfunctional]]="",WWWW[[#This Row],['# Existing latrines dysfunctional]]=0),0,WWWW[[#This Row],['# Existing latrines dysfunctional]]/WWWW[[#This Row],[Total '# of latrine]])</f>
        <v>0</v>
      </c>
      <c r="BO174" s="676"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P174" s="404">
        <f>WWWW[[#This Row],[People adopt basic personal and community hygiene practices]]/WWWW[[#This Row],[Total PoP ]]</f>
        <v>0</v>
      </c>
      <c r="BQ174" s="408">
        <f>1-WWWW[[#This Row],[Hygiene Coverage%]]</f>
        <v>1</v>
      </c>
      <c r="BR174" s="405">
        <f>IF(500*WWWW[[#This Row],['# Hygiene Promoters ]]&gt;WWWW[[#This Row],[Total PoP ]],WWWW[[#This Row],[Total PoP ]],500*WWWW[[#This Row],['# Hygiene Promoters ]])</f>
        <v>0</v>
      </c>
      <c r="BS174" s="405">
        <f>IF(WWWW[[#This Row],[% of HH with access to Sanitary Pad]]&gt;=100%,1,0)</f>
        <v>0</v>
      </c>
      <c r="BT174" s="405">
        <f>IF(WWWW[[#This Row],[Total PoP ]]=0,0,IF(WWWW[[#This Row],['# Hygiene Promoters ]]=0,0,IF(WWWW[[#This Row],[Location Type 1]]="Village",IF(WWWW[[#This Row],[Total PoP ]]/WWWW[[#This Row],['# Hygiene Promoters ]]&lt;1000,1,0),IF(WWWW[[#This Row],[Total PoP ]]/WWWW[[#This Row],['# Hygiene Promoters ]]&lt;600,1,0))))</f>
        <v>0</v>
      </c>
      <c r="BU174" s="405">
        <f>IF(WWWW[[#This Row],[%HH with access to soap]]&gt;=100%,1,0)</f>
        <v>0</v>
      </c>
      <c r="BV174" s="405">
        <f>IF(WWWW[[#This Row],[% of HHs with access to Sanitary pad more than '#%]]+WWWW[[#This Row],[Ratio of Hyiene promoters to people less than '#]]+WWWW[[#This Row],[% of HHs with access to soap more than '#%]]&gt;=2,WWWW[[#This Row],[Total PoP ]],0)</f>
        <v>0</v>
      </c>
      <c r="BW174" s="391">
        <f>WWWW[[#This Row],['# people reached by regular dedicated hygiene promotion_5]]/WWWW[[#This Row],[Total PoP ]]</f>
        <v>0</v>
      </c>
      <c r="BX174" s="391">
        <f>IF(WWWW[[#This Row],['# HH received soaps]]/WWWW[[#This Row],[Total HH]]&gt;1,1,WWWW[[#This Row],['# HH received soaps]]/WWWW[[#This Row],[Total HH]])</f>
        <v>0</v>
      </c>
      <c r="BY174" s="391">
        <f>IF(WWWW[[#This Row],['# HH received Sanitary Pads]]/WWWW[[#This Row],[Total HH]]&gt;1,1,WWWW[[#This Row],['# HH received Sanitary Pads]]/WWWW[[#This Row],[Total HH]])</f>
        <v>0</v>
      </c>
      <c r="BZ174" s="721">
        <f>WWWW[[#This Row],['# HH received soaps]]*5</f>
        <v>0</v>
      </c>
      <c r="CA174" s="721">
        <f>WWWW[[#This Row],['# HH received Sanitary Pads]]*5</f>
        <v>0</v>
      </c>
      <c r="CB174" s="406">
        <f>IF(WWWW[[#This Row],['# People with access to soap]]&gt;WWWW[[#This Row],['# People with access to Sanity Pads]],WWWW[[#This Row],['# People with access to soap]],WWWW[[#This Row],['# People with access to Sanity Pads]])</f>
        <v>0</v>
      </c>
      <c r="CC174" s="405">
        <f>WWWW[[#This Row],[Total HH]]*WWWW[[#This Row],[%HHs with access to functional hand washing stations]]</f>
        <v>0</v>
      </c>
      <c r="CD174" s="240">
        <f>VLOOKUP(WWWW[[#This Row],[Site Name]],SiteDB6[],8,FALSE)</f>
        <v>0</v>
      </c>
      <c r="CE174" s="240">
        <f>VLOOKUP(WWWW[[#This Row],[Site Name]],SiteDB6[],9,FALSE)</f>
        <v>0</v>
      </c>
      <c r="CF174" s="240" t="str">
        <f>VLOOKUP(WWWW[[#This Row],[Site Name]],SiteDB6[],10,FALSE)</f>
        <v>Village_Not HRP</v>
      </c>
      <c r="CG174" s="240" t="str">
        <f>VLOOKUP(WWWW[[#This Row],[Site Name]],SiteDB6[],11,FALSE)</f>
        <v>Village</v>
      </c>
      <c r="CH174" s="240" t="str">
        <f>VLOOKUP(WWWW[[#This Row],[Site Name]],SiteDB6[],12,FALSE)</f>
        <v>Village_Not HRP</v>
      </c>
      <c r="CI174" s="240" t="str">
        <f>VLOOKUP(WWWW[[#This Row],[Site Name]],SiteDB6[],13,FALSE)</f>
        <v>Rakhine</v>
      </c>
      <c r="CJ174" s="240">
        <f>VLOOKUP(WWWW[[#This Row],[Site Name]],SiteDB6[],14,FALSE)</f>
        <v>19.989589691162099</v>
      </c>
      <c r="CK174" s="240">
        <f>VLOOKUP(WWWW[[#This Row],[Site Name]],SiteDB6[],15,FALSE)</f>
        <v>93.823867797851605</v>
      </c>
      <c r="CL174" s="240" t="str">
        <f>VLOOKUP(WWWW[[#This Row],[Site Name]],SiteDB6[],4,FALSE)</f>
        <v>199250</v>
      </c>
      <c r="CM174" s="404" t="str">
        <f t="shared" si="2"/>
        <v>Covered</v>
      </c>
      <c r="CN174" s="404"/>
    </row>
    <row r="175" spans="1:92" ht="15.75" hidden="1" customHeight="1" x14ac:dyDescent="0.25">
      <c r="A175" s="548" t="s">
        <v>1409</v>
      </c>
      <c r="B175" s="530" t="s">
        <v>2570</v>
      </c>
      <c r="C175" s="531" t="s">
        <v>464</v>
      </c>
      <c r="D175" s="531" t="s">
        <v>496</v>
      </c>
      <c r="E175" s="531" t="s">
        <v>568</v>
      </c>
      <c r="F175" s="402">
        <f>ROUND(WWWW[[#This Row],[Total PoP ]]/5,0)</f>
        <v>107</v>
      </c>
      <c r="G175" s="405">
        <v>534</v>
      </c>
      <c r="H175" s="402"/>
      <c r="I175" s="402" t="s">
        <v>498</v>
      </c>
      <c r="J175" s="403">
        <v>43586</v>
      </c>
      <c r="K175" s="402"/>
      <c r="L175" s="402" t="s">
        <v>48</v>
      </c>
      <c r="M175" s="404">
        <v>0</v>
      </c>
      <c r="N175" s="366">
        <v>0</v>
      </c>
      <c r="O175" s="605">
        <v>0</v>
      </c>
      <c r="P175" s="606">
        <v>0</v>
      </c>
      <c r="Q175" s="606"/>
      <c r="R175" s="607"/>
      <c r="S175" s="607">
        <v>0</v>
      </c>
      <c r="T175" s="607"/>
      <c r="U175" s="607"/>
      <c r="V175" s="607"/>
      <c r="W175" s="607"/>
      <c r="X175" s="607"/>
      <c r="Y175" s="607"/>
      <c r="Z175" s="598">
        <v>0</v>
      </c>
      <c r="AA175" s="598"/>
      <c r="AB175" s="80"/>
      <c r="AC175" s="598">
        <v>0</v>
      </c>
      <c r="AD175" s="598" t="s">
        <v>296</v>
      </c>
      <c r="AE175" s="599" t="s">
        <v>296</v>
      </c>
      <c r="AF175" s="599"/>
      <c r="AG175" s="598"/>
      <c r="AH175" s="598"/>
      <c r="AI175" s="649">
        <v>0</v>
      </c>
      <c r="AJ175" s="650"/>
      <c r="AK175" s="650">
        <v>0</v>
      </c>
      <c r="AL175" s="645"/>
      <c r="AM175" s="645">
        <v>0</v>
      </c>
      <c r="AN175" s="646"/>
      <c r="AO175" s="600"/>
      <c r="AP175" s="600"/>
      <c r="AQ175" s="651"/>
      <c r="AR175" s="404" t="str">
        <f>IFERROR(WWWW[[#This Row],['# of Water passed at source]]/WWWW[[#This Row],['# of Water tested at source]],"no test")</f>
        <v>no test</v>
      </c>
      <c r="AS175" s="407" t="str">
        <f>IFERROR(WWWW[[#This Row],['# of Water passed at HH]]/WWWW[[#This Row],['# of Water tested at HH]],"no test")</f>
        <v>no test</v>
      </c>
      <c r="AT175" s="407">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U175" s="407">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AV175" s="407">
        <f>IF(WWWW[[#This Row],[Location Type 1]]="Village",WWWW[[#This Row],[Access to safe drinking water for Village]],WWWW[[#This Row],[Access to safe drinking water for Camp]])</f>
        <v>0</v>
      </c>
      <c r="AW175" s="405">
        <f>WWWW[[#This Row],[%Equitable and continuous access to sufficient quantity of safe drinking water]]*WWWW[[#This Row],[Total PoP ]]</f>
        <v>0</v>
      </c>
      <c r="AX175" s="407">
        <f>IF((WWWW[[#This Row],['# Existing protected/fenced ponds ]]*250)/WWWW[[#This Row],[Total PoP ]]&gt;1,1,WWWW[[#This Row],['# Existing protected/fenced ponds ]]*250/WWWW[[#This Row],[Total PoP ]])</f>
        <v>0</v>
      </c>
      <c r="AY175" s="405">
        <f>WWWW[[#This Row],[Access to unimproved water points]]*WWWW[[#This Row],[Total PoP ]]</f>
        <v>0</v>
      </c>
      <c r="AZ175" s="407">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A175" s="405">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B175" s="414">
        <f>ROUND(WWWW[[#This Row],['#people Equitable and continuous access to sufficient quantity of domestic water borehole n ponds_2]]/500,0)</f>
        <v>0</v>
      </c>
      <c r="BC175" s="404">
        <f>1-WWWW[[#This Row],[%Equitable and continuous access to sufficient quantity of domestic water borehole n ponds]]</f>
        <v>1</v>
      </c>
      <c r="BD175" s="405">
        <f>WWWW[[#This Row],[%equitable and continuous access to sufficient quantity of safe drinking and domestic water''s GAP]]*WWWW[[#This Row],[Total PoP ]]</f>
        <v>534</v>
      </c>
      <c r="BE175" s="406">
        <f>IF(WWWW[[#This Row],[Total required water points]]-WWWW[[#This Row],['#Water points coverage]]&lt;0,0,WWWW[[#This Row],[Total required water points]]-WWWW[[#This Row],['#Water points coverage]])</f>
        <v>1</v>
      </c>
      <c r="BF175" s="406">
        <f>ROUND(IF(WWWW[[#This Row],[Total PoP ]]&lt;500,1,WWWW[[#This Row],[Total PoP ]]/500),0)</f>
        <v>1</v>
      </c>
      <c r="BG175" s="406" t="str">
        <f>IF(AND(WWWW[[#This Row],[%of Water samples which passed at water source]]="no test",WWWW[[#This Row],[%Water samples which passed at HH]]="no test"),"No Test","Tested")</f>
        <v>No Test</v>
      </c>
      <c r="BH175" s="406">
        <f>WWWW[[#This Row],['# Existing functional latrines]]+WWWW[[#This Row],['# Existing latrines dysfunctional]]</f>
        <v>0</v>
      </c>
      <c r="BI175" s="404">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J175" s="676">
        <f>WWWW[[#This Row],[% people access to functioning Latrine]]*WWWW[[#This Row],[Total PoP ]]</f>
        <v>0</v>
      </c>
      <c r="BK175" s="404">
        <f>IF(WWWW[[#This Row],[Location Type 1]]="camp",WWWW[[#This Row],['# potential required new latrines]]/(WWWW[[#This Row],[Total PoP ]]/20),WWWW[[#This Row],['# potential required new latrines]]/(WWWW[[#This Row],[Total PoP ]]/6))</f>
        <v>1</v>
      </c>
      <c r="BL175" s="405">
        <f>IF(WWWW[[#This Row],[Total required Latrines]]-WWWW[[#This Row],[Total '# of latrine]]&lt;0,0,WWWW[[#This Row],[Total required Latrines]]-WWWW[[#This Row],[Total '# of latrine]])</f>
        <v>89</v>
      </c>
      <c r="BM175" s="406">
        <f>ROUND(IF(WWWW[[#This Row],[Location Type 1]]="camp",WWWW[[#This Row],[Total PoP ]]/20,WWWW[[#This Row],[Total PoP ]]/6),0)</f>
        <v>89</v>
      </c>
      <c r="BN175" s="408">
        <f>IF(OR(WWWW[[#This Row],['# Existing latrines dysfunctional]]="",WWWW[[#This Row],['# Existing latrines dysfunctional]]=0),0,WWWW[[#This Row],['# Existing latrines dysfunctional]]/WWWW[[#This Row],[Total '# of latrine]])</f>
        <v>0</v>
      </c>
      <c r="BO175" s="676"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P175" s="404">
        <f>WWWW[[#This Row],[People adopt basic personal and community hygiene practices]]/WWWW[[#This Row],[Total PoP ]]</f>
        <v>0</v>
      </c>
      <c r="BQ175" s="408">
        <f>1-WWWW[[#This Row],[Hygiene Coverage%]]</f>
        <v>1</v>
      </c>
      <c r="BR175" s="405">
        <f>IF(500*WWWW[[#This Row],['# Hygiene Promoters ]]&gt;WWWW[[#This Row],[Total PoP ]],WWWW[[#This Row],[Total PoP ]],500*WWWW[[#This Row],['# Hygiene Promoters ]])</f>
        <v>0</v>
      </c>
      <c r="BS175" s="405">
        <f>IF(WWWW[[#This Row],[% of HH with access to Sanitary Pad]]&gt;=100%,1,0)</f>
        <v>0</v>
      </c>
      <c r="BT175" s="405">
        <f>IF(WWWW[[#This Row],[Total PoP ]]=0,0,IF(WWWW[[#This Row],['# Hygiene Promoters ]]=0,0,IF(WWWW[[#This Row],[Location Type 1]]="Village",IF(WWWW[[#This Row],[Total PoP ]]/WWWW[[#This Row],['# Hygiene Promoters ]]&lt;1000,1,0),IF(WWWW[[#This Row],[Total PoP ]]/WWWW[[#This Row],['# Hygiene Promoters ]]&lt;600,1,0))))</f>
        <v>0</v>
      </c>
      <c r="BU175" s="405">
        <f>IF(WWWW[[#This Row],[%HH with access to soap]]&gt;=100%,1,0)</f>
        <v>0</v>
      </c>
      <c r="BV175" s="405">
        <f>IF(WWWW[[#This Row],[% of HHs with access to Sanitary pad more than '#%]]+WWWW[[#This Row],[Ratio of Hyiene promoters to people less than '#]]+WWWW[[#This Row],[% of HHs with access to soap more than '#%]]&gt;=2,WWWW[[#This Row],[Total PoP ]],0)</f>
        <v>0</v>
      </c>
      <c r="BW175" s="391">
        <f>WWWW[[#This Row],['# people reached by regular dedicated hygiene promotion_5]]/WWWW[[#This Row],[Total PoP ]]</f>
        <v>0</v>
      </c>
      <c r="BX175" s="391">
        <f>IF(WWWW[[#This Row],['# HH received soaps]]/WWWW[[#This Row],[Total HH]]&gt;1,1,WWWW[[#This Row],['# HH received soaps]]/WWWW[[#This Row],[Total HH]])</f>
        <v>0</v>
      </c>
      <c r="BY175" s="391">
        <f>IF(WWWW[[#This Row],['# HH received Sanitary Pads]]/WWWW[[#This Row],[Total HH]]&gt;1,1,WWWW[[#This Row],['# HH received Sanitary Pads]]/WWWW[[#This Row],[Total HH]])</f>
        <v>0</v>
      </c>
      <c r="BZ175" s="721">
        <f>WWWW[[#This Row],['# HH received soaps]]*5</f>
        <v>0</v>
      </c>
      <c r="CA175" s="721">
        <f>WWWW[[#This Row],['# HH received Sanitary Pads]]*5</f>
        <v>0</v>
      </c>
      <c r="CB175" s="406">
        <f>IF(WWWW[[#This Row],['# People with access to soap]]&gt;WWWW[[#This Row],['# People with access to Sanity Pads]],WWWW[[#This Row],['# People with access to soap]],WWWW[[#This Row],['# People with access to Sanity Pads]])</f>
        <v>0</v>
      </c>
      <c r="CC175" s="405">
        <f>WWWW[[#This Row],[Total HH]]*WWWW[[#This Row],[%HHs with access to functional hand washing stations]]</f>
        <v>0</v>
      </c>
      <c r="CD175" s="240">
        <f>VLOOKUP(WWWW[[#This Row],[Site Name]],SiteDB6[],8,FALSE)</f>
        <v>0</v>
      </c>
      <c r="CE175" s="240">
        <f>VLOOKUP(WWWW[[#This Row],[Site Name]],SiteDB6[],9,FALSE)</f>
        <v>0</v>
      </c>
      <c r="CF175" s="240" t="str">
        <f>VLOOKUP(WWWW[[#This Row],[Site Name]],SiteDB6[],10,FALSE)</f>
        <v>Village_Not HRP</v>
      </c>
      <c r="CG175" s="240" t="str">
        <f>VLOOKUP(WWWW[[#This Row],[Site Name]],SiteDB6[],11,FALSE)</f>
        <v>Village</v>
      </c>
      <c r="CH175" s="240" t="str">
        <f>VLOOKUP(WWWW[[#This Row],[Site Name]],SiteDB6[],12,FALSE)</f>
        <v>Village_Not HRP</v>
      </c>
      <c r="CI175" s="240" t="str">
        <f>VLOOKUP(WWWW[[#This Row],[Site Name]],SiteDB6[],13,FALSE)</f>
        <v>Chin+Rakhine</v>
      </c>
      <c r="CJ175" s="240">
        <f>VLOOKUP(WWWW[[#This Row],[Site Name]],SiteDB6[],14,FALSE)</f>
        <v>19.991359710693398</v>
      </c>
      <c r="CK175" s="240">
        <f>VLOOKUP(WWWW[[#This Row],[Site Name]],SiteDB6[],15,FALSE)</f>
        <v>93.834663391113295</v>
      </c>
      <c r="CL175" s="240" t="str">
        <f>VLOOKUP(WWWW[[#This Row],[Site Name]],SiteDB6[],4,FALSE)</f>
        <v>199248</v>
      </c>
      <c r="CM175" s="404" t="str">
        <f t="shared" si="2"/>
        <v>Covered</v>
      </c>
      <c r="CN175" s="404"/>
    </row>
    <row r="176" spans="1:92" ht="15.75" hidden="1" customHeight="1" x14ac:dyDescent="0.25">
      <c r="A176" s="548" t="s">
        <v>1409</v>
      </c>
      <c r="B176" s="530" t="s">
        <v>2570</v>
      </c>
      <c r="C176" s="531" t="s">
        <v>464</v>
      </c>
      <c r="D176" s="531" t="s">
        <v>496</v>
      </c>
      <c r="E176" s="531" t="s">
        <v>569</v>
      </c>
      <c r="F176" s="402">
        <f>ROUND(WWWW[[#This Row],[Total PoP ]]/5,0)</f>
        <v>80</v>
      </c>
      <c r="G176" s="405">
        <v>398</v>
      </c>
      <c r="H176" s="402"/>
      <c r="I176" s="402" t="s">
        <v>498</v>
      </c>
      <c r="J176" s="403">
        <v>43586</v>
      </c>
      <c r="K176" s="402"/>
      <c r="L176" s="402" t="s">
        <v>48</v>
      </c>
      <c r="M176" s="404">
        <v>0</v>
      </c>
      <c r="N176" s="366">
        <v>0</v>
      </c>
      <c r="O176" s="605">
        <v>0</v>
      </c>
      <c r="P176" s="606">
        <v>0</v>
      </c>
      <c r="Q176" s="606"/>
      <c r="R176" s="607"/>
      <c r="S176" s="607">
        <v>0</v>
      </c>
      <c r="T176" s="607"/>
      <c r="U176" s="607"/>
      <c r="V176" s="607"/>
      <c r="W176" s="607"/>
      <c r="X176" s="607"/>
      <c r="Y176" s="607"/>
      <c r="Z176" s="598">
        <v>0</v>
      </c>
      <c r="AA176" s="598"/>
      <c r="AB176" s="80"/>
      <c r="AC176" s="598">
        <v>0</v>
      </c>
      <c r="AD176" s="598" t="s">
        <v>296</v>
      </c>
      <c r="AE176" s="599" t="s">
        <v>296</v>
      </c>
      <c r="AF176" s="599"/>
      <c r="AG176" s="598"/>
      <c r="AH176" s="598"/>
      <c r="AI176" s="649">
        <v>0</v>
      </c>
      <c r="AJ176" s="650"/>
      <c r="AK176" s="650">
        <v>0</v>
      </c>
      <c r="AL176" s="645"/>
      <c r="AM176" s="645">
        <v>0</v>
      </c>
      <c r="AN176" s="646"/>
      <c r="AO176" s="600"/>
      <c r="AP176" s="600"/>
      <c r="AQ176" s="651"/>
      <c r="AR176" s="404" t="str">
        <f>IFERROR(WWWW[[#This Row],['# of Water passed at source]]/WWWW[[#This Row],['# of Water tested at source]],"no test")</f>
        <v>no test</v>
      </c>
      <c r="AS176" s="407" t="str">
        <f>IFERROR(WWWW[[#This Row],['# of Water passed at HH]]/WWWW[[#This Row],['# of Water tested at HH]],"no test")</f>
        <v>no test</v>
      </c>
      <c r="AT176" s="407">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U176" s="407">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AV176" s="407">
        <f>IF(WWWW[[#This Row],[Location Type 1]]="Village",WWWW[[#This Row],[Access to safe drinking water for Village]],WWWW[[#This Row],[Access to safe drinking water for Camp]])</f>
        <v>0</v>
      </c>
      <c r="AW176" s="405">
        <f>WWWW[[#This Row],[%Equitable and continuous access to sufficient quantity of safe drinking water]]*WWWW[[#This Row],[Total PoP ]]</f>
        <v>0</v>
      </c>
      <c r="AX176" s="407">
        <f>IF((WWWW[[#This Row],['# Existing protected/fenced ponds ]]*250)/WWWW[[#This Row],[Total PoP ]]&gt;1,1,WWWW[[#This Row],['# Existing protected/fenced ponds ]]*250/WWWW[[#This Row],[Total PoP ]])</f>
        <v>0</v>
      </c>
      <c r="AY176" s="405">
        <f>WWWW[[#This Row],[Access to unimproved water points]]*WWWW[[#This Row],[Total PoP ]]</f>
        <v>0</v>
      </c>
      <c r="AZ176" s="407">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A176" s="405">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B176" s="414">
        <f>ROUND(WWWW[[#This Row],['#people Equitable and continuous access to sufficient quantity of domestic water borehole n ponds_2]]/500,0)</f>
        <v>0</v>
      </c>
      <c r="BC176" s="404">
        <f>1-WWWW[[#This Row],[%Equitable and continuous access to sufficient quantity of domestic water borehole n ponds]]</f>
        <v>1</v>
      </c>
      <c r="BD176" s="405">
        <f>WWWW[[#This Row],[%equitable and continuous access to sufficient quantity of safe drinking and domestic water''s GAP]]*WWWW[[#This Row],[Total PoP ]]</f>
        <v>398</v>
      </c>
      <c r="BE176" s="406">
        <f>IF(WWWW[[#This Row],[Total required water points]]-WWWW[[#This Row],['#Water points coverage]]&lt;0,0,WWWW[[#This Row],[Total required water points]]-WWWW[[#This Row],['#Water points coverage]])</f>
        <v>1</v>
      </c>
      <c r="BF176" s="406">
        <f>ROUND(IF(WWWW[[#This Row],[Total PoP ]]&lt;500,1,WWWW[[#This Row],[Total PoP ]]/500),0)</f>
        <v>1</v>
      </c>
      <c r="BG176" s="406" t="str">
        <f>IF(AND(WWWW[[#This Row],[%of Water samples which passed at water source]]="no test",WWWW[[#This Row],[%Water samples which passed at HH]]="no test"),"No Test","Tested")</f>
        <v>No Test</v>
      </c>
      <c r="BH176" s="406">
        <f>WWWW[[#This Row],['# Existing functional latrines]]+WWWW[[#This Row],['# Existing latrines dysfunctional]]</f>
        <v>0</v>
      </c>
      <c r="BI176" s="404">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J176" s="676">
        <f>WWWW[[#This Row],[% people access to functioning Latrine]]*WWWW[[#This Row],[Total PoP ]]</f>
        <v>0</v>
      </c>
      <c r="BK176" s="404">
        <f>IF(WWWW[[#This Row],[Location Type 1]]="camp",WWWW[[#This Row],['# potential required new latrines]]/(WWWW[[#This Row],[Total PoP ]]/20),WWWW[[#This Row],['# potential required new latrines]]/(WWWW[[#This Row],[Total PoP ]]/6))</f>
        <v>0.99497487437185939</v>
      </c>
      <c r="BL176" s="405">
        <f>IF(WWWW[[#This Row],[Total required Latrines]]-WWWW[[#This Row],[Total '# of latrine]]&lt;0,0,WWWW[[#This Row],[Total required Latrines]]-WWWW[[#This Row],[Total '# of latrine]])</f>
        <v>66</v>
      </c>
      <c r="BM176" s="406">
        <f>ROUND(IF(WWWW[[#This Row],[Location Type 1]]="camp",WWWW[[#This Row],[Total PoP ]]/20,WWWW[[#This Row],[Total PoP ]]/6),0)</f>
        <v>66</v>
      </c>
      <c r="BN176" s="408">
        <f>IF(OR(WWWW[[#This Row],['# Existing latrines dysfunctional]]="",WWWW[[#This Row],['# Existing latrines dysfunctional]]=0),0,WWWW[[#This Row],['# Existing latrines dysfunctional]]/WWWW[[#This Row],[Total '# of latrine]])</f>
        <v>0</v>
      </c>
      <c r="BO176" s="676"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P176" s="404">
        <f>WWWW[[#This Row],[People adopt basic personal and community hygiene practices]]/WWWW[[#This Row],[Total PoP ]]</f>
        <v>0</v>
      </c>
      <c r="BQ176" s="408">
        <f>1-WWWW[[#This Row],[Hygiene Coverage%]]</f>
        <v>1</v>
      </c>
      <c r="BR176" s="405">
        <f>IF(500*WWWW[[#This Row],['# Hygiene Promoters ]]&gt;WWWW[[#This Row],[Total PoP ]],WWWW[[#This Row],[Total PoP ]],500*WWWW[[#This Row],['# Hygiene Promoters ]])</f>
        <v>0</v>
      </c>
      <c r="BS176" s="405">
        <f>IF(WWWW[[#This Row],[% of HH with access to Sanitary Pad]]&gt;=100%,1,0)</f>
        <v>0</v>
      </c>
      <c r="BT176" s="405">
        <f>IF(WWWW[[#This Row],[Total PoP ]]=0,0,IF(WWWW[[#This Row],['# Hygiene Promoters ]]=0,0,IF(WWWW[[#This Row],[Location Type 1]]="Village",IF(WWWW[[#This Row],[Total PoP ]]/WWWW[[#This Row],['# Hygiene Promoters ]]&lt;1000,1,0),IF(WWWW[[#This Row],[Total PoP ]]/WWWW[[#This Row],['# Hygiene Promoters ]]&lt;600,1,0))))</f>
        <v>0</v>
      </c>
      <c r="BU176" s="405">
        <f>IF(WWWW[[#This Row],[%HH with access to soap]]&gt;=100%,1,0)</f>
        <v>0</v>
      </c>
      <c r="BV176" s="405">
        <f>IF(WWWW[[#This Row],[% of HHs with access to Sanitary pad more than '#%]]+WWWW[[#This Row],[Ratio of Hyiene promoters to people less than '#]]+WWWW[[#This Row],[% of HHs with access to soap more than '#%]]&gt;=2,WWWW[[#This Row],[Total PoP ]],0)</f>
        <v>0</v>
      </c>
      <c r="BW176" s="391">
        <f>WWWW[[#This Row],['# people reached by regular dedicated hygiene promotion_5]]/WWWW[[#This Row],[Total PoP ]]</f>
        <v>0</v>
      </c>
      <c r="BX176" s="391">
        <f>IF(WWWW[[#This Row],['# HH received soaps]]/WWWW[[#This Row],[Total HH]]&gt;1,1,WWWW[[#This Row],['# HH received soaps]]/WWWW[[#This Row],[Total HH]])</f>
        <v>0</v>
      </c>
      <c r="BY176" s="391">
        <f>IF(WWWW[[#This Row],['# HH received Sanitary Pads]]/WWWW[[#This Row],[Total HH]]&gt;1,1,WWWW[[#This Row],['# HH received Sanitary Pads]]/WWWW[[#This Row],[Total HH]])</f>
        <v>0</v>
      </c>
      <c r="BZ176" s="721">
        <f>WWWW[[#This Row],['# HH received soaps]]*5</f>
        <v>0</v>
      </c>
      <c r="CA176" s="721">
        <f>WWWW[[#This Row],['# HH received Sanitary Pads]]*5</f>
        <v>0</v>
      </c>
      <c r="CB176" s="406">
        <f>IF(WWWW[[#This Row],['# People with access to soap]]&gt;WWWW[[#This Row],['# People with access to Sanity Pads]],WWWW[[#This Row],['# People with access to soap]],WWWW[[#This Row],['# People with access to Sanity Pads]])</f>
        <v>0</v>
      </c>
      <c r="CC176" s="405">
        <f>WWWW[[#This Row],[Total HH]]*WWWW[[#This Row],[%HHs with access to functional hand washing stations]]</f>
        <v>0</v>
      </c>
      <c r="CD176" s="240">
        <f>VLOOKUP(WWWW[[#This Row],[Site Name]],SiteDB6[],8,FALSE)</f>
        <v>0</v>
      </c>
      <c r="CE176" s="240">
        <f>VLOOKUP(WWWW[[#This Row],[Site Name]],SiteDB6[],9,FALSE)</f>
        <v>0</v>
      </c>
      <c r="CF176" s="240" t="str">
        <f>VLOOKUP(WWWW[[#This Row],[Site Name]],SiteDB6[],10,FALSE)</f>
        <v>Village_Not HRP</v>
      </c>
      <c r="CG176" s="240" t="str">
        <f>VLOOKUP(WWWW[[#This Row],[Site Name]],SiteDB6[],11,FALSE)</f>
        <v>Village</v>
      </c>
      <c r="CH176" s="240" t="str">
        <f>VLOOKUP(WWWW[[#This Row],[Site Name]],SiteDB6[],12,FALSE)</f>
        <v>Village_Not HRP</v>
      </c>
      <c r="CI176" s="240" t="str">
        <f>VLOOKUP(WWWW[[#This Row],[Site Name]],SiteDB6[],13,FALSE)</f>
        <v>Rakhine</v>
      </c>
      <c r="CJ176" s="240">
        <f>VLOOKUP(WWWW[[#This Row],[Site Name]],SiteDB6[],14,FALSE)</f>
        <v>19.9947109222412</v>
      </c>
      <c r="CK176" s="240">
        <f>VLOOKUP(WWWW[[#This Row],[Site Name]],SiteDB6[],15,FALSE)</f>
        <v>93.836921691894503</v>
      </c>
      <c r="CL176" s="240" t="str">
        <f>VLOOKUP(WWWW[[#This Row],[Site Name]],SiteDB6[],4,FALSE)</f>
        <v>199233</v>
      </c>
      <c r="CM176" s="404" t="str">
        <f t="shared" si="2"/>
        <v>Covered</v>
      </c>
      <c r="CN176" s="404"/>
    </row>
    <row r="177" spans="1:92" ht="15.75" hidden="1" customHeight="1" x14ac:dyDescent="0.25">
      <c r="A177" s="548" t="s">
        <v>1409</v>
      </c>
      <c r="B177" s="530" t="s">
        <v>2570</v>
      </c>
      <c r="C177" s="531" t="s">
        <v>464</v>
      </c>
      <c r="D177" s="531" t="s">
        <v>496</v>
      </c>
      <c r="E177" s="531" t="s">
        <v>570</v>
      </c>
      <c r="F177" s="402">
        <f>ROUND(WWWW[[#This Row],[Total PoP ]]/5,0)</f>
        <v>62</v>
      </c>
      <c r="G177" s="405">
        <v>312</v>
      </c>
      <c r="H177" s="402"/>
      <c r="I177" s="402" t="s">
        <v>498</v>
      </c>
      <c r="J177" s="403">
        <v>43586</v>
      </c>
      <c r="K177" s="402"/>
      <c r="L177" s="402" t="s">
        <v>48</v>
      </c>
      <c r="M177" s="404">
        <v>0</v>
      </c>
      <c r="N177" s="366">
        <v>0</v>
      </c>
      <c r="O177" s="605">
        <v>0</v>
      </c>
      <c r="P177" s="606">
        <v>0</v>
      </c>
      <c r="Q177" s="606"/>
      <c r="R177" s="607"/>
      <c r="S177" s="607">
        <v>0</v>
      </c>
      <c r="T177" s="607"/>
      <c r="U177" s="607"/>
      <c r="V177" s="607"/>
      <c r="W177" s="607"/>
      <c r="X177" s="607"/>
      <c r="Y177" s="607"/>
      <c r="Z177" s="598">
        <v>0</v>
      </c>
      <c r="AA177" s="598"/>
      <c r="AB177" s="80"/>
      <c r="AC177" s="598">
        <v>0</v>
      </c>
      <c r="AD177" s="598" t="s">
        <v>296</v>
      </c>
      <c r="AE177" s="599" t="s">
        <v>296</v>
      </c>
      <c r="AF177" s="599"/>
      <c r="AG177" s="598"/>
      <c r="AH177" s="598"/>
      <c r="AI177" s="649">
        <v>0</v>
      </c>
      <c r="AJ177" s="650"/>
      <c r="AK177" s="650">
        <v>0</v>
      </c>
      <c r="AL177" s="645"/>
      <c r="AM177" s="645">
        <v>0</v>
      </c>
      <c r="AN177" s="646"/>
      <c r="AO177" s="600"/>
      <c r="AP177" s="600"/>
      <c r="AQ177" s="651"/>
      <c r="AR177" s="404" t="str">
        <f>IFERROR(WWWW[[#This Row],['# of Water passed at source]]/WWWW[[#This Row],['# of Water tested at source]],"no test")</f>
        <v>no test</v>
      </c>
      <c r="AS177" s="407" t="str">
        <f>IFERROR(WWWW[[#This Row],['# of Water passed at HH]]/WWWW[[#This Row],['# of Water tested at HH]],"no test")</f>
        <v>no test</v>
      </c>
      <c r="AT177" s="407">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U177" s="407">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AV177" s="407">
        <f>IF(WWWW[[#This Row],[Location Type 1]]="Village",WWWW[[#This Row],[Access to safe drinking water for Village]],WWWW[[#This Row],[Access to safe drinking water for Camp]])</f>
        <v>0</v>
      </c>
      <c r="AW177" s="405">
        <f>WWWW[[#This Row],[%Equitable and continuous access to sufficient quantity of safe drinking water]]*WWWW[[#This Row],[Total PoP ]]</f>
        <v>0</v>
      </c>
      <c r="AX177" s="407">
        <f>IF((WWWW[[#This Row],['# Existing protected/fenced ponds ]]*250)/WWWW[[#This Row],[Total PoP ]]&gt;1,1,WWWW[[#This Row],['# Existing protected/fenced ponds ]]*250/WWWW[[#This Row],[Total PoP ]])</f>
        <v>0</v>
      </c>
      <c r="AY177" s="405">
        <f>WWWW[[#This Row],[Access to unimproved water points]]*WWWW[[#This Row],[Total PoP ]]</f>
        <v>0</v>
      </c>
      <c r="AZ177" s="407">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A177" s="405">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B177" s="414">
        <f>ROUND(WWWW[[#This Row],['#people Equitable and continuous access to sufficient quantity of domestic water borehole n ponds_2]]/500,0)</f>
        <v>0</v>
      </c>
      <c r="BC177" s="404">
        <f>1-WWWW[[#This Row],[%Equitable and continuous access to sufficient quantity of domestic water borehole n ponds]]</f>
        <v>1</v>
      </c>
      <c r="BD177" s="405">
        <f>WWWW[[#This Row],[%equitable and continuous access to sufficient quantity of safe drinking and domestic water''s GAP]]*WWWW[[#This Row],[Total PoP ]]</f>
        <v>312</v>
      </c>
      <c r="BE177" s="406">
        <f>IF(WWWW[[#This Row],[Total required water points]]-WWWW[[#This Row],['#Water points coverage]]&lt;0,0,WWWW[[#This Row],[Total required water points]]-WWWW[[#This Row],['#Water points coverage]])</f>
        <v>1</v>
      </c>
      <c r="BF177" s="406">
        <f>ROUND(IF(WWWW[[#This Row],[Total PoP ]]&lt;500,1,WWWW[[#This Row],[Total PoP ]]/500),0)</f>
        <v>1</v>
      </c>
      <c r="BG177" s="406" t="str">
        <f>IF(AND(WWWW[[#This Row],[%of Water samples which passed at water source]]="no test",WWWW[[#This Row],[%Water samples which passed at HH]]="no test"),"No Test","Tested")</f>
        <v>No Test</v>
      </c>
      <c r="BH177" s="406">
        <f>WWWW[[#This Row],['# Existing functional latrines]]+WWWW[[#This Row],['# Existing latrines dysfunctional]]</f>
        <v>0</v>
      </c>
      <c r="BI177" s="404">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J177" s="676">
        <f>WWWW[[#This Row],[% people access to functioning Latrine]]*WWWW[[#This Row],[Total PoP ]]</f>
        <v>0</v>
      </c>
      <c r="BK177" s="404">
        <f>IF(WWWW[[#This Row],[Location Type 1]]="camp",WWWW[[#This Row],['# potential required new latrines]]/(WWWW[[#This Row],[Total PoP ]]/20),WWWW[[#This Row],['# potential required new latrines]]/(WWWW[[#This Row],[Total PoP ]]/6))</f>
        <v>1</v>
      </c>
      <c r="BL177" s="405">
        <f>IF(WWWW[[#This Row],[Total required Latrines]]-WWWW[[#This Row],[Total '# of latrine]]&lt;0,0,WWWW[[#This Row],[Total required Latrines]]-WWWW[[#This Row],[Total '# of latrine]])</f>
        <v>52</v>
      </c>
      <c r="BM177" s="406">
        <f>ROUND(IF(WWWW[[#This Row],[Location Type 1]]="camp",WWWW[[#This Row],[Total PoP ]]/20,WWWW[[#This Row],[Total PoP ]]/6),0)</f>
        <v>52</v>
      </c>
      <c r="BN177" s="408">
        <f>IF(OR(WWWW[[#This Row],['# Existing latrines dysfunctional]]="",WWWW[[#This Row],['# Existing latrines dysfunctional]]=0),0,WWWW[[#This Row],['# Existing latrines dysfunctional]]/WWWW[[#This Row],[Total '# of latrine]])</f>
        <v>0</v>
      </c>
      <c r="BO177" s="676"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P177" s="404">
        <f>WWWW[[#This Row],[People adopt basic personal and community hygiene practices]]/WWWW[[#This Row],[Total PoP ]]</f>
        <v>0</v>
      </c>
      <c r="BQ177" s="408">
        <f>1-WWWW[[#This Row],[Hygiene Coverage%]]</f>
        <v>1</v>
      </c>
      <c r="BR177" s="405">
        <f>IF(500*WWWW[[#This Row],['# Hygiene Promoters ]]&gt;WWWW[[#This Row],[Total PoP ]],WWWW[[#This Row],[Total PoP ]],500*WWWW[[#This Row],['# Hygiene Promoters ]])</f>
        <v>0</v>
      </c>
      <c r="BS177" s="405">
        <f>IF(WWWW[[#This Row],[% of HH with access to Sanitary Pad]]&gt;=100%,1,0)</f>
        <v>0</v>
      </c>
      <c r="BT177" s="405">
        <f>IF(WWWW[[#This Row],[Total PoP ]]=0,0,IF(WWWW[[#This Row],['# Hygiene Promoters ]]=0,0,IF(WWWW[[#This Row],[Location Type 1]]="Village",IF(WWWW[[#This Row],[Total PoP ]]/WWWW[[#This Row],['# Hygiene Promoters ]]&lt;1000,1,0),IF(WWWW[[#This Row],[Total PoP ]]/WWWW[[#This Row],['# Hygiene Promoters ]]&lt;600,1,0))))</f>
        <v>0</v>
      </c>
      <c r="BU177" s="405">
        <f>IF(WWWW[[#This Row],[%HH with access to soap]]&gt;=100%,1,0)</f>
        <v>0</v>
      </c>
      <c r="BV177" s="405">
        <f>IF(WWWW[[#This Row],[% of HHs with access to Sanitary pad more than '#%]]+WWWW[[#This Row],[Ratio of Hyiene promoters to people less than '#]]+WWWW[[#This Row],[% of HHs with access to soap more than '#%]]&gt;=2,WWWW[[#This Row],[Total PoP ]],0)</f>
        <v>0</v>
      </c>
      <c r="BW177" s="391">
        <f>WWWW[[#This Row],['# people reached by regular dedicated hygiene promotion_5]]/WWWW[[#This Row],[Total PoP ]]</f>
        <v>0</v>
      </c>
      <c r="BX177" s="391">
        <f>IF(WWWW[[#This Row],['# HH received soaps]]/WWWW[[#This Row],[Total HH]]&gt;1,1,WWWW[[#This Row],['# HH received soaps]]/WWWW[[#This Row],[Total HH]])</f>
        <v>0</v>
      </c>
      <c r="BY177" s="391">
        <f>IF(WWWW[[#This Row],['# HH received Sanitary Pads]]/WWWW[[#This Row],[Total HH]]&gt;1,1,WWWW[[#This Row],['# HH received Sanitary Pads]]/WWWW[[#This Row],[Total HH]])</f>
        <v>0</v>
      </c>
      <c r="BZ177" s="721">
        <f>WWWW[[#This Row],['# HH received soaps]]*5</f>
        <v>0</v>
      </c>
      <c r="CA177" s="721">
        <f>WWWW[[#This Row],['# HH received Sanitary Pads]]*5</f>
        <v>0</v>
      </c>
      <c r="CB177" s="406">
        <f>IF(WWWW[[#This Row],['# People with access to soap]]&gt;WWWW[[#This Row],['# People with access to Sanity Pads]],WWWW[[#This Row],['# People with access to soap]],WWWW[[#This Row],['# People with access to Sanity Pads]])</f>
        <v>0</v>
      </c>
      <c r="CC177" s="405">
        <f>WWWW[[#This Row],[Total HH]]*WWWW[[#This Row],[%HHs with access to functional hand washing stations]]</f>
        <v>0</v>
      </c>
      <c r="CD177" s="240">
        <f>VLOOKUP(WWWW[[#This Row],[Site Name]],SiteDB6[],8,FALSE)</f>
        <v>0</v>
      </c>
      <c r="CE177" s="240">
        <f>VLOOKUP(WWWW[[#This Row],[Site Name]],SiteDB6[],9,FALSE)</f>
        <v>0</v>
      </c>
      <c r="CF177" s="240" t="str">
        <f>VLOOKUP(WWWW[[#This Row],[Site Name]],SiteDB6[],10,FALSE)</f>
        <v>Village_Not HRP</v>
      </c>
      <c r="CG177" s="240" t="str">
        <f>VLOOKUP(WWWW[[#This Row],[Site Name]],SiteDB6[],11,FALSE)</f>
        <v>Village</v>
      </c>
      <c r="CH177" s="240" t="str">
        <f>VLOOKUP(WWWW[[#This Row],[Site Name]],SiteDB6[],12,FALSE)</f>
        <v>Village_Not HRP</v>
      </c>
      <c r="CI177" s="240" t="str">
        <f>VLOOKUP(WWWW[[#This Row],[Site Name]],SiteDB6[],13,FALSE)</f>
        <v>Rakhine</v>
      </c>
      <c r="CJ177" s="240">
        <f>VLOOKUP(WWWW[[#This Row],[Site Name]],SiteDB6[],14,FALSE)</f>
        <v>20.0087699890137</v>
      </c>
      <c r="CK177" s="240">
        <f>VLOOKUP(WWWW[[#This Row],[Site Name]],SiteDB6[],15,FALSE)</f>
        <v>93.816879272460895</v>
      </c>
      <c r="CL177" s="240" t="str">
        <f>VLOOKUP(WWWW[[#This Row],[Site Name]],SiteDB6[],4,FALSE)</f>
        <v>199240</v>
      </c>
      <c r="CM177" s="404" t="str">
        <f t="shared" si="2"/>
        <v>Covered</v>
      </c>
      <c r="CN177" s="404"/>
    </row>
    <row r="178" spans="1:92" ht="15.75" hidden="1" customHeight="1" x14ac:dyDescent="0.25">
      <c r="A178" s="334" t="s">
        <v>1409</v>
      </c>
      <c r="B178" s="530" t="s">
        <v>542</v>
      </c>
      <c r="C178" s="531" t="s">
        <v>464</v>
      </c>
      <c r="D178" s="531" t="s">
        <v>490</v>
      </c>
      <c r="E178" s="531" t="s">
        <v>769</v>
      </c>
      <c r="F178" s="41">
        <v>360</v>
      </c>
      <c r="G178" s="405">
        <v>1759</v>
      </c>
      <c r="H178" s="41"/>
      <c r="I178" s="41" t="s">
        <v>398</v>
      </c>
      <c r="J178" s="388">
        <v>43145</v>
      </c>
      <c r="K178" s="41">
        <v>0</v>
      </c>
      <c r="L178" s="402" t="s">
        <v>48</v>
      </c>
      <c r="M178" s="404">
        <v>0</v>
      </c>
      <c r="N178" s="366">
        <v>0</v>
      </c>
      <c r="O178" s="605">
        <v>0</v>
      </c>
      <c r="P178" s="606">
        <v>0</v>
      </c>
      <c r="Q178" s="606">
        <v>0</v>
      </c>
      <c r="R178" s="607">
        <v>3</v>
      </c>
      <c r="S178" s="607">
        <v>0</v>
      </c>
      <c r="T178" s="607"/>
      <c r="U178" s="607"/>
      <c r="V178" s="607"/>
      <c r="W178" s="607"/>
      <c r="X178" s="607"/>
      <c r="Y178" s="607"/>
      <c r="Z178" s="598">
        <v>15</v>
      </c>
      <c r="AA178" s="598">
        <v>0</v>
      </c>
      <c r="AB178" s="80"/>
      <c r="AC178" s="598">
        <v>15</v>
      </c>
      <c r="AD178" s="598" t="s">
        <v>342</v>
      </c>
      <c r="AE178" s="599" t="s">
        <v>342</v>
      </c>
      <c r="AF178" s="599"/>
      <c r="AG178" s="598"/>
      <c r="AH178" s="598" t="s">
        <v>2588</v>
      </c>
      <c r="AI178" s="649">
        <v>0</v>
      </c>
      <c r="AJ178" s="650" t="s">
        <v>294</v>
      </c>
      <c r="AK178" s="650">
        <v>0</v>
      </c>
      <c r="AL178" s="645">
        <v>0</v>
      </c>
      <c r="AM178" s="645">
        <v>7</v>
      </c>
      <c r="AN178" s="646"/>
      <c r="AO178" s="600"/>
      <c r="AP178" s="600"/>
      <c r="AQ178" s="651"/>
      <c r="AR178" s="42" t="str">
        <f>IFERROR(WWWW[[#This Row],['# of Water passed at source]]/WWWW[[#This Row],['# of Water tested at source]],"no test")</f>
        <v>no test</v>
      </c>
      <c r="AS178" s="389" t="str">
        <f>IFERROR(WWWW[[#This Row],['# of Water passed at HH]]/WWWW[[#This Row],['# of Water tested at HH]],"no test")</f>
        <v>no test</v>
      </c>
      <c r="AT178" s="407">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U178" s="407">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AV178" s="407">
        <f>IF(WWWW[[#This Row],[Location Type 1]]="Village",WWWW[[#This Row],[Access to safe drinking water for Village]],WWWW[[#This Row],[Access to safe drinking water for Camp]])</f>
        <v>0</v>
      </c>
      <c r="AW178" s="405">
        <f>WWWW[[#This Row],[%Equitable and continuous access to sufficient quantity of safe drinking water]]*WWWW[[#This Row],[Total PoP ]]</f>
        <v>0</v>
      </c>
      <c r="AX178" s="407">
        <f>IF((WWWW[[#This Row],['# Existing protected/fenced ponds ]]*250)/WWWW[[#This Row],[Total PoP ]]&gt;1,1,WWWW[[#This Row],['# Existing protected/fenced ponds ]]*250/WWWW[[#This Row],[Total PoP ]])</f>
        <v>0.42637862421830586</v>
      </c>
      <c r="AY178" s="43">
        <f>WWWW[[#This Row],[Access to unimproved water points]]*WWWW[[#This Row],[Total PoP ]]</f>
        <v>750</v>
      </c>
      <c r="AZ178" s="407">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0.42637862421830586</v>
      </c>
      <c r="BA178" s="405">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750</v>
      </c>
      <c r="BB178" s="414">
        <f>ROUND(WWWW[[#This Row],['#people Equitable and continuous access to sufficient quantity of domestic water borehole n ponds_2]]/500,0)</f>
        <v>2</v>
      </c>
      <c r="BC178" s="42">
        <f>1-WWWW[[#This Row],[%Equitable and continuous access to sufficient quantity of domestic water borehole n ponds]]</f>
        <v>0.57362137578169414</v>
      </c>
      <c r="BD178" s="43">
        <f>WWWW[[#This Row],[%equitable and continuous access to sufficient quantity of safe drinking and domestic water''s GAP]]*WWWW[[#This Row],[Total PoP ]]</f>
        <v>1009</v>
      </c>
      <c r="BE178" s="406">
        <f>IF(WWWW[[#This Row],[Total required water points]]-WWWW[[#This Row],['#Water points coverage]]&lt;0,0,WWWW[[#This Row],[Total required water points]]-WWWW[[#This Row],['#Water points coverage]])</f>
        <v>2</v>
      </c>
      <c r="BF178" s="406">
        <f>ROUND(IF(WWWW[[#This Row],[Total PoP ]]&lt;500,1,WWWW[[#This Row],[Total PoP ]]/500),0)</f>
        <v>4</v>
      </c>
      <c r="BG178" s="97" t="str">
        <f>IF(AND(WWWW[[#This Row],[%of Water samples which passed at water source]]="no test",WWWW[[#This Row],[%Water samples which passed at HH]]="no test"),"No Test","Tested")</f>
        <v>No Test</v>
      </c>
      <c r="BH178" s="97">
        <f>WWWW[[#This Row],['# Existing functional latrines]]+WWWW[[#This Row],['# Existing latrines dysfunctional]]</f>
        <v>15</v>
      </c>
      <c r="BI178" s="42">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5.1165434906196704E-2</v>
      </c>
      <c r="BJ178" s="676">
        <f>WWWW[[#This Row],[% people access to functioning Latrine]]*WWWW[[#This Row],[Total PoP ]]</f>
        <v>90</v>
      </c>
      <c r="BK178" s="42">
        <f>IF(WWWW[[#This Row],[Location Type 1]]="camp",WWWW[[#This Row],['# potential required new latrines]]/(WWWW[[#This Row],[Total PoP ]]/20),WWWW[[#This Row],['# potential required new latrines]]/(WWWW[[#This Row],[Total PoP ]]/6))</f>
        <v>0.94826606026151217</v>
      </c>
      <c r="BL178" s="43">
        <f>IF(WWWW[[#This Row],[Total required Latrines]]-WWWW[[#This Row],[Total '# of latrine]]&lt;0,0,WWWW[[#This Row],[Total required Latrines]]-WWWW[[#This Row],[Total '# of latrine]])</f>
        <v>278</v>
      </c>
      <c r="BM178" s="97">
        <f>ROUND(IF(WWWW[[#This Row],[Location Type 1]]="camp",WWWW[[#This Row],[Total PoP ]]/20,WWWW[[#This Row],[Total PoP ]]/6),0)</f>
        <v>293</v>
      </c>
      <c r="BN178" s="390">
        <f>IF(OR(WWWW[[#This Row],['# Existing latrines dysfunctional]]="",WWWW[[#This Row],['# Existing latrines dysfunctional]]=0),0,WWWW[[#This Row],['# Existing latrines dysfunctional]]/WWWW[[#This Row],[Total '# of latrine]])</f>
        <v>0</v>
      </c>
      <c r="BO178" s="676"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P178" s="42">
        <f>WWWW[[#This Row],[People adopt basic personal and community hygiene practices]]/WWWW[[#This Row],[Total PoP ]]</f>
        <v>0</v>
      </c>
      <c r="BQ178" s="390">
        <f>1-WWWW[[#This Row],[Hygiene Coverage%]]</f>
        <v>1</v>
      </c>
      <c r="BR178" s="405">
        <f>IF(500*WWWW[[#This Row],['# Hygiene Promoters ]]&gt;WWWW[[#This Row],[Total PoP ]],WWWW[[#This Row],[Total PoP ]],500*WWWW[[#This Row],['# Hygiene Promoters ]])</f>
        <v>1759</v>
      </c>
      <c r="BS178" s="405">
        <f>IF(WWWW[[#This Row],[% of HH with access to Sanitary Pad]]&gt;=100%,1,0)</f>
        <v>0</v>
      </c>
      <c r="BT178" s="405">
        <f>IF(WWWW[[#This Row],[Total PoP ]]=0,0,IF(WWWW[[#This Row],['# Hygiene Promoters ]]=0,0,IF(WWWW[[#This Row],[Location Type 1]]="Village",IF(WWWW[[#This Row],[Total PoP ]]/WWWW[[#This Row],['# Hygiene Promoters ]]&lt;1000,1,0),IF(WWWW[[#This Row],[Total PoP ]]/WWWW[[#This Row],['# Hygiene Promoters ]]&lt;600,1,0))))</f>
        <v>1</v>
      </c>
      <c r="BU178" s="405">
        <f>IF(WWWW[[#This Row],[%HH with access to soap]]&gt;=100%,1,0)</f>
        <v>0</v>
      </c>
      <c r="BV178" s="405">
        <f>IF(WWWW[[#This Row],[% of HHs with access to Sanitary pad more than '#%]]+WWWW[[#This Row],[Ratio of Hyiene promoters to people less than '#]]+WWWW[[#This Row],[% of HHs with access to soap more than '#%]]&gt;=2,WWWW[[#This Row],[Total PoP ]],0)</f>
        <v>0</v>
      </c>
      <c r="BW178" s="391">
        <f>WWWW[[#This Row],['# people reached by regular dedicated hygiene promotion_5]]/WWWW[[#This Row],[Total PoP ]]</f>
        <v>1</v>
      </c>
      <c r="BX178" s="391">
        <f>IF(WWWW[[#This Row],['# HH received soaps]]/WWWW[[#This Row],[Total HH]]&gt;1,1,WWWW[[#This Row],['# HH received soaps]]/WWWW[[#This Row],[Total HH]])</f>
        <v>0</v>
      </c>
      <c r="BY178" s="391">
        <f>IF(WWWW[[#This Row],['# HH received Sanitary Pads]]/WWWW[[#This Row],[Total HH]]&gt;1,1,WWWW[[#This Row],['# HH received Sanitary Pads]]/WWWW[[#This Row],[Total HH]])</f>
        <v>0</v>
      </c>
      <c r="BZ178" s="721">
        <f>WWWW[[#This Row],['# HH received soaps]]*5</f>
        <v>0</v>
      </c>
      <c r="CA178" s="721">
        <f>WWWW[[#This Row],['# HH received Sanitary Pads]]*5</f>
        <v>0</v>
      </c>
      <c r="CB178" s="406">
        <f>IF(WWWW[[#This Row],['# People with access to soap]]&gt;WWWW[[#This Row],['# People with access to Sanity Pads]],WWWW[[#This Row],['# People with access to soap]],WWWW[[#This Row],['# People with access to Sanity Pads]])</f>
        <v>0</v>
      </c>
      <c r="CC178" s="43">
        <f>WWWW[[#This Row],[Total HH]]*WWWW[[#This Row],[%HHs with access to functional hand washing stations]]</f>
        <v>0</v>
      </c>
      <c r="CD178" s="240">
        <f>VLOOKUP(WWWW[[#This Row],[Site Name]],SiteDB6[],8,FALSE)</f>
        <v>0</v>
      </c>
      <c r="CE178" s="240">
        <f>VLOOKUP(WWWW[[#This Row],[Site Name]],SiteDB6[],9,FALSE)</f>
        <v>0</v>
      </c>
      <c r="CF178" s="240" t="str">
        <f>VLOOKUP(WWWW[[#This Row],[Site Name]],SiteDB6[],10,FALSE)</f>
        <v>Village</v>
      </c>
      <c r="CG178" s="240" t="str">
        <f>VLOOKUP(WWWW[[#This Row],[Site Name]],SiteDB6[],11,FALSE)</f>
        <v>Village</v>
      </c>
      <c r="CH178" s="240" t="str">
        <f>VLOOKUP(WWWW[[#This Row],[Site Name]],SiteDB6[],12,FALSE)</f>
        <v>Village</v>
      </c>
      <c r="CI178" s="240" t="str">
        <f>VLOOKUP(WWWW[[#This Row],[Site Name]],SiteDB6[],13,FALSE)</f>
        <v>Rakhine</v>
      </c>
      <c r="CJ178" s="240">
        <f>VLOOKUP(WWWW[[#This Row],[Site Name]],SiteDB6[],14,FALSE)</f>
        <v>20.782770156860401</v>
      </c>
      <c r="CK178" s="240">
        <f>VLOOKUP(WWWW[[#This Row],[Site Name]],SiteDB6[],15,FALSE)</f>
        <v>92.551826477050795</v>
      </c>
      <c r="CL178" s="240">
        <f>VLOOKUP(WWWW[[#This Row],[Site Name]],SiteDB6[],4,FALSE)</f>
        <v>198388</v>
      </c>
      <c r="CM178" s="42" t="str">
        <f t="shared" si="2"/>
        <v>Covered</v>
      </c>
      <c r="CN178" s="42"/>
    </row>
    <row r="179" spans="1:92" ht="15.75" hidden="1" customHeight="1" x14ac:dyDescent="0.25">
      <c r="A179" s="334" t="s">
        <v>1409</v>
      </c>
      <c r="B179" s="530" t="s">
        <v>542</v>
      </c>
      <c r="C179" s="531" t="s">
        <v>464</v>
      </c>
      <c r="D179" s="531" t="s">
        <v>490</v>
      </c>
      <c r="E179" s="531" t="s">
        <v>787</v>
      </c>
      <c r="F179" s="41">
        <v>27</v>
      </c>
      <c r="G179" s="405">
        <v>127</v>
      </c>
      <c r="H179" s="41"/>
      <c r="I179" s="41" t="s">
        <v>398</v>
      </c>
      <c r="J179" s="388">
        <v>43145</v>
      </c>
      <c r="K179" s="41">
        <v>0</v>
      </c>
      <c r="L179" s="402" t="s">
        <v>48</v>
      </c>
      <c r="M179" s="404">
        <v>0</v>
      </c>
      <c r="N179" s="404">
        <v>0</v>
      </c>
      <c r="O179" s="605">
        <v>0</v>
      </c>
      <c r="P179" s="606">
        <v>0</v>
      </c>
      <c r="Q179" s="606">
        <v>0</v>
      </c>
      <c r="R179" s="607">
        <v>3</v>
      </c>
      <c r="S179" s="607">
        <v>0</v>
      </c>
      <c r="T179" s="607"/>
      <c r="U179" s="607"/>
      <c r="V179" s="607"/>
      <c r="W179" s="607"/>
      <c r="X179" s="607"/>
      <c r="Y179" s="607"/>
      <c r="Z179" s="598">
        <v>1</v>
      </c>
      <c r="AA179" s="598">
        <v>0</v>
      </c>
      <c r="AB179" s="80"/>
      <c r="AC179" s="598">
        <v>1</v>
      </c>
      <c r="AD179" s="598" t="s">
        <v>342</v>
      </c>
      <c r="AE179" s="599" t="s">
        <v>342</v>
      </c>
      <c r="AF179" s="599"/>
      <c r="AG179" s="598"/>
      <c r="AH179" s="598" t="s">
        <v>2588</v>
      </c>
      <c r="AI179" s="649">
        <v>0</v>
      </c>
      <c r="AJ179" s="650" t="s">
        <v>294</v>
      </c>
      <c r="AK179" s="650">
        <v>0</v>
      </c>
      <c r="AL179" s="645">
        <v>0</v>
      </c>
      <c r="AM179" s="645">
        <v>7</v>
      </c>
      <c r="AN179" s="646"/>
      <c r="AO179" s="600"/>
      <c r="AP179" s="600"/>
      <c r="AQ179" s="651"/>
      <c r="AR179" s="42" t="str">
        <f>IFERROR(WWWW[[#This Row],['# of Water passed at source]]/WWWW[[#This Row],['# of Water tested at source]],"no test")</f>
        <v>no test</v>
      </c>
      <c r="AS179" s="389" t="str">
        <f>IFERROR(WWWW[[#This Row],['# of Water passed at HH]]/WWWW[[#This Row],['# of Water tested at HH]],"no test")</f>
        <v>no test</v>
      </c>
      <c r="AT179" s="407">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U179" s="407">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AV179" s="407">
        <f>IF(WWWW[[#This Row],[Location Type 1]]="Village",WWWW[[#This Row],[Access to safe drinking water for Village]],WWWW[[#This Row],[Access to safe drinking water for Camp]])</f>
        <v>0</v>
      </c>
      <c r="AW179" s="405">
        <f>WWWW[[#This Row],[%Equitable and continuous access to sufficient quantity of safe drinking water]]*WWWW[[#This Row],[Total PoP ]]</f>
        <v>0</v>
      </c>
      <c r="AX179" s="407">
        <f>IF((WWWW[[#This Row],['# Existing protected/fenced ponds ]]*250)/WWWW[[#This Row],[Total PoP ]]&gt;1,1,WWWW[[#This Row],['# Existing protected/fenced ponds ]]*250/WWWW[[#This Row],[Total PoP ]])</f>
        <v>1</v>
      </c>
      <c r="AY179" s="43">
        <f>WWWW[[#This Row],[Access to unimproved water points]]*WWWW[[#This Row],[Total PoP ]]</f>
        <v>127</v>
      </c>
      <c r="AZ179" s="407">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A179" s="405">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127</v>
      </c>
      <c r="BB179" s="414">
        <f>ROUND(WWWW[[#This Row],['#people Equitable and continuous access to sufficient quantity of domestic water borehole n ponds_2]]/500,0)</f>
        <v>0</v>
      </c>
      <c r="BC179" s="42">
        <f>1-WWWW[[#This Row],[%Equitable and continuous access to sufficient quantity of domestic water borehole n ponds]]</f>
        <v>0</v>
      </c>
      <c r="BD179" s="43">
        <f>WWWW[[#This Row],[%equitable and continuous access to sufficient quantity of safe drinking and domestic water''s GAP]]*WWWW[[#This Row],[Total PoP ]]</f>
        <v>0</v>
      </c>
      <c r="BE179" s="406">
        <f>IF(WWWW[[#This Row],[Total required water points]]-WWWW[[#This Row],['#Water points coverage]]&lt;0,0,WWWW[[#This Row],[Total required water points]]-WWWW[[#This Row],['#Water points coverage]])</f>
        <v>1</v>
      </c>
      <c r="BF179" s="406">
        <f>ROUND(IF(WWWW[[#This Row],[Total PoP ]]&lt;500,1,WWWW[[#This Row],[Total PoP ]]/500),0)</f>
        <v>1</v>
      </c>
      <c r="BG179" s="97" t="str">
        <f>IF(AND(WWWW[[#This Row],[%of Water samples which passed at water source]]="no test",WWWW[[#This Row],[%Water samples which passed at HH]]="no test"),"No Test","Tested")</f>
        <v>No Test</v>
      </c>
      <c r="BH179" s="97">
        <f>WWWW[[#This Row],['# Existing functional latrines]]+WWWW[[#This Row],['# Existing latrines dysfunctional]]</f>
        <v>1</v>
      </c>
      <c r="BI179" s="42">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4.7244094488188976E-2</v>
      </c>
      <c r="BJ179" s="676">
        <f>WWWW[[#This Row],[% people access to functioning Latrine]]*WWWW[[#This Row],[Total PoP ]]</f>
        <v>6</v>
      </c>
      <c r="BK179" s="42">
        <f>IF(WWWW[[#This Row],[Location Type 1]]="camp",WWWW[[#This Row],['# potential required new latrines]]/(WWWW[[#This Row],[Total PoP ]]/20),WWWW[[#This Row],['# potential required new latrines]]/(WWWW[[#This Row],[Total PoP ]]/6))</f>
        <v>0.94488188976377951</v>
      </c>
      <c r="BL179" s="43">
        <f>IF(WWWW[[#This Row],[Total required Latrines]]-WWWW[[#This Row],[Total '# of latrine]]&lt;0,0,WWWW[[#This Row],[Total required Latrines]]-WWWW[[#This Row],[Total '# of latrine]])</f>
        <v>20</v>
      </c>
      <c r="BM179" s="97">
        <f>ROUND(IF(WWWW[[#This Row],[Location Type 1]]="camp",WWWW[[#This Row],[Total PoP ]]/20,WWWW[[#This Row],[Total PoP ]]/6),0)</f>
        <v>21</v>
      </c>
      <c r="BN179" s="390">
        <f>IF(OR(WWWW[[#This Row],['# Existing latrines dysfunctional]]="",WWWW[[#This Row],['# Existing latrines dysfunctional]]=0),0,WWWW[[#This Row],['# Existing latrines dysfunctional]]/WWWW[[#This Row],[Total '# of latrine]])</f>
        <v>0</v>
      </c>
      <c r="BO179" s="676"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P179" s="42">
        <f>WWWW[[#This Row],[People adopt basic personal and community hygiene practices]]/WWWW[[#This Row],[Total PoP ]]</f>
        <v>0</v>
      </c>
      <c r="BQ179" s="390">
        <f>1-WWWW[[#This Row],[Hygiene Coverage%]]</f>
        <v>1</v>
      </c>
      <c r="BR179" s="405">
        <f>IF(500*WWWW[[#This Row],['# Hygiene Promoters ]]&gt;WWWW[[#This Row],[Total PoP ]],WWWW[[#This Row],[Total PoP ]],500*WWWW[[#This Row],['# Hygiene Promoters ]])</f>
        <v>127</v>
      </c>
      <c r="BS179" s="405">
        <f>IF(WWWW[[#This Row],[% of HH with access to Sanitary Pad]]&gt;=100%,1,0)</f>
        <v>0</v>
      </c>
      <c r="BT179" s="405">
        <f>IF(WWWW[[#This Row],[Total PoP ]]=0,0,IF(WWWW[[#This Row],['# Hygiene Promoters ]]=0,0,IF(WWWW[[#This Row],[Location Type 1]]="Village",IF(WWWW[[#This Row],[Total PoP ]]/WWWW[[#This Row],['# Hygiene Promoters ]]&lt;1000,1,0),IF(WWWW[[#This Row],[Total PoP ]]/WWWW[[#This Row],['# Hygiene Promoters ]]&lt;600,1,0))))</f>
        <v>1</v>
      </c>
      <c r="BU179" s="405">
        <f>IF(WWWW[[#This Row],[%HH with access to soap]]&gt;=100%,1,0)</f>
        <v>0</v>
      </c>
      <c r="BV179" s="405">
        <f>IF(WWWW[[#This Row],[% of HHs with access to Sanitary pad more than '#%]]+WWWW[[#This Row],[Ratio of Hyiene promoters to people less than '#]]+WWWW[[#This Row],[% of HHs with access to soap more than '#%]]&gt;=2,WWWW[[#This Row],[Total PoP ]],0)</f>
        <v>0</v>
      </c>
      <c r="BW179" s="391">
        <f>WWWW[[#This Row],['# people reached by regular dedicated hygiene promotion_5]]/WWWW[[#This Row],[Total PoP ]]</f>
        <v>1</v>
      </c>
      <c r="BX179" s="391">
        <f>IF(WWWW[[#This Row],['# HH received soaps]]/WWWW[[#This Row],[Total HH]]&gt;1,1,WWWW[[#This Row],['# HH received soaps]]/WWWW[[#This Row],[Total HH]])</f>
        <v>0</v>
      </c>
      <c r="BY179" s="391">
        <f>IF(WWWW[[#This Row],['# HH received Sanitary Pads]]/WWWW[[#This Row],[Total HH]]&gt;1,1,WWWW[[#This Row],['# HH received Sanitary Pads]]/WWWW[[#This Row],[Total HH]])</f>
        <v>0</v>
      </c>
      <c r="BZ179" s="721">
        <f>WWWW[[#This Row],['# HH received soaps]]*5</f>
        <v>0</v>
      </c>
      <c r="CA179" s="721">
        <f>WWWW[[#This Row],['# HH received Sanitary Pads]]*5</f>
        <v>0</v>
      </c>
      <c r="CB179" s="406">
        <f>IF(WWWW[[#This Row],['# People with access to soap]]&gt;WWWW[[#This Row],['# People with access to Sanity Pads]],WWWW[[#This Row],['# People with access to soap]],WWWW[[#This Row],['# People with access to Sanity Pads]])</f>
        <v>0</v>
      </c>
      <c r="CC179" s="43">
        <f>WWWW[[#This Row],[Total HH]]*WWWW[[#This Row],[%HHs with access to functional hand washing stations]]</f>
        <v>0</v>
      </c>
      <c r="CD179" s="240">
        <f>VLOOKUP(WWWW[[#This Row],[Site Name]],SiteDB6[],8,FALSE)</f>
        <v>0</v>
      </c>
      <c r="CE179" s="240">
        <f>VLOOKUP(WWWW[[#This Row],[Site Name]],SiteDB6[],9,FALSE)</f>
        <v>0</v>
      </c>
      <c r="CF179" s="240" t="str">
        <f>VLOOKUP(WWWW[[#This Row],[Site Name]],SiteDB6[],10,FALSE)</f>
        <v>Village</v>
      </c>
      <c r="CG179" s="240" t="str">
        <f>VLOOKUP(WWWW[[#This Row],[Site Name]],SiteDB6[],11,FALSE)</f>
        <v>Village</v>
      </c>
      <c r="CH179" s="240" t="str">
        <f>VLOOKUP(WWWW[[#This Row],[Site Name]],SiteDB6[],12,FALSE)</f>
        <v>Village</v>
      </c>
      <c r="CI179" s="240" t="str">
        <f>VLOOKUP(WWWW[[#This Row],[Site Name]],SiteDB6[],13,FALSE)</f>
        <v>Rakhine</v>
      </c>
      <c r="CJ179" s="240">
        <f>VLOOKUP(WWWW[[#This Row],[Site Name]],SiteDB6[],14,FALSE)</f>
        <v>20.805580139160199</v>
      </c>
      <c r="CK179" s="240">
        <f>VLOOKUP(WWWW[[#This Row],[Site Name]],SiteDB6[],15,FALSE)</f>
        <v>92.549842834472699</v>
      </c>
      <c r="CL179" s="240">
        <f>VLOOKUP(WWWW[[#This Row],[Site Name]],SiteDB6[],4,FALSE)</f>
        <v>198336</v>
      </c>
      <c r="CM179" s="42" t="str">
        <f t="shared" si="2"/>
        <v>Covered</v>
      </c>
      <c r="CN179" s="42"/>
    </row>
    <row r="180" spans="1:92" ht="15.75" hidden="1" customHeight="1" x14ac:dyDescent="0.25">
      <c r="A180" s="334" t="s">
        <v>1409</v>
      </c>
      <c r="B180" s="530" t="s">
        <v>542</v>
      </c>
      <c r="C180" s="531" t="s">
        <v>464</v>
      </c>
      <c r="D180" s="531" t="s">
        <v>490</v>
      </c>
      <c r="E180" s="531" t="s">
        <v>837</v>
      </c>
      <c r="F180" s="41">
        <v>360</v>
      </c>
      <c r="G180" s="405">
        <v>1544</v>
      </c>
      <c r="H180" s="41"/>
      <c r="I180" s="41" t="s">
        <v>398</v>
      </c>
      <c r="J180" s="388">
        <v>43145</v>
      </c>
      <c r="K180" s="41">
        <v>0</v>
      </c>
      <c r="L180" s="402" t="s">
        <v>48</v>
      </c>
      <c r="M180" s="404">
        <v>0</v>
      </c>
      <c r="N180" s="404">
        <v>0</v>
      </c>
      <c r="O180" s="605">
        <v>0</v>
      </c>
      <c r="P180" s="606">
        <v>3</v>
      </c>
      <c r="Q180" s="606">
        <v>0</v>
      </c>
      <c r="R180" s="607">
        <v>2</v>
      </c>
      <c r="S180" s="607">
        <v>0</v>
      </c>
      <c r="T180" s="607"/>
      <c r="U180" s="607"/>
      <c r="V180" s="607"/>
      <c r="W180" s="607"/>
      <c r="X180" s="607"/>
      <c r="Y180" s="607"/>
      <c r="Z180" s="598">
        <v>0</v>
      </c>
      <c r="AA180" s="598">
        <v>0</v>
      </c>
      <c r="AB180" s="80"/>
      <c r="AC180" s="598">
        <v>0</v>
      </c>
      <c r="AD180" s="598" t="s">
        <v>342</v>
      </c>
      <c r="AE180" s="599" t="s">
        <v>342</v>
      </c>
      <c r="AF180" s="599"/>
      <c r="AG180" s="598"/>
      <c r="AH180" s="598" t="s">
        <v>2588</v>
      </c>
      <c r="AI180" s="649">
        <v>0</v>
      </c>
      <c r="AJ180" s="650" t="s">
        <v>294</v>
      </c>
      <c r="AK180" s="650">
        <v>0</v>
      </c>
      <c r="AL180" s="645">
        <v>0</v>
      </c>
      <c r="AM180" s="645">
        <v>7</v>
      </c>
      <c r="AN180" s="646"/>
      <c r="AO180" s="600"/>
      <c r="AP180" s="600"/>
      <c r="AQ180" s="651"/>
      <c r="AR180" s="42" t="str">
        <f>IFERROR(WWWW[[#This Row],['# of Water passed at source]]/WWWW[[#This Row],['# of Water tested at source]],"no test")</f>
        <v>no test</v>
      </c>
      <c r="AS180" s="389" t="str">
        <f>IFERROR(WWWW[[#This Row],['# of Water passed at HH]]/WWWW[[#This Row],['# of Water tested at HH]],"no test")</f>
        <v>no test</v>
      </c>
      <c r="AT180" s="407">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U180" s="407">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0.48575129533678757</v>
      </c>
      <c r="AV180" s="407">
        <f>IF(WWWW[[#This Row],[Location Type 1]]="Village",WWWW[[#This Row],[Access to safe drinking water for Village]],WWWW[[#This Row],[Access to safe drinking water for Camp]])</f>
        <v>0.48575129533678757</v>
      </c>
      <c r="AW180" s="405">
        <f>WWWW[[#This Row],[%Equitable and continuous access to sufficient quantity of safe drinking water]]*WWWW[[#This Row],[Total PoP ]]</f>
        <v>750</v>
      </c>
      <c r="AX180" s="407">
        <f>IF((WWWW[[#This Row],['# Existing protected/fenced ponds ]]*250)/WWWW[[#This Row],[Total PoP ]]&gt;1,1,WWWW[[#This Row],['# Existing protected/fenced ponds ]]*250/WWWW[[#This Row],[Total PoP ]])</f>
        <v>0.32383419689119169</v>
      </c>
      <c r="AY180" s="43">
        <f>WWWW[[#This Row],[Access to unimproved water points]]*WWWW[[#This Row],[Total PoP ]]</f>
        <v>500</v>
      </c>
      <c r="AZ180" s="407">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0.80958549222797926</v>
      </c>
      <c r="BA180" s="405">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1250</v>
      </c>
      <c r="BB180" s="414">
        <f>ROUND(WWWW[[#This Row],['#people Equitable and continuous access to sufficient quantity of domestic water borehole n ponds_2]]/500,0)</f>
        <v>3</v>
      </c>
      <c r="BC180" s="42">
        <f>1-WWWW[[#This Row],[%Equitable and continuous access to sufficient quantity of domestic water borehole n ponds]]</f>
        <v>0.19041450777202074</v>
      </c>
      <c r="BD180" s="43">
        <f>WWWW[[#This Row],[%equitable and continuous access to sufficient quantity of safe drinking and domestic water''s GAP]]*WWWW[[#This Row],[Total PoP ]]</f>
        <v>294</v>
      </c>
      <c r="BE180" s="406">
        <f>IF(WWWW[[#This Row],[Total required water points]]-WWWW[[#This Row],['#Water points coverage]]&lt;0,0,WWWW[[#This Row],[Total required water points]]-WWWW[[#This Row],['#Water points coverage]])</f>
        <v>0</v>
      </c>
      <c r="BF180" s="406">
        <f>ROUND(IF(WWWW[[#This Row],[Total PoP ]]&lt;500,1,WWWW[[#This Row],[Total PoP ]]/500),0)</f>
        <v>3</v>
      </c>
      <c r="BG180" s="97" t="str">
        <f>IF(AND(WWWW[[#This Row],[%of Water samples which passed at water source]]="no test",WWWW[[#This Row],[%Water samples which passed at HH]]="no test"),"No Test","Tested")</f>
        <v>No Test</v>
      </c>
      <c r="BH180" s="97">
        <f>WWWW[[#This Row],['# Existing functional latrines]]+WWWW[[#This Row],['# Existing latrines dysfunctional]]</f>
        <v>0</v>
      </c>
      <c r="BI180" s="42">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J180" s="676">
        <f>WWWW[[#This Row],[% people access to functioning Latrine]]*WWWW[[#This Row],[Total PoP ]]</f>
        <v>0</v>
      </c>
      <c r="BK180" s="42">
        <f>IF(WWWW[[#This Row],[Location Type 1]]="camp",WWWW[[#This Row],['# potential required new latrines]]/(WWWW[[#This Row],[Total PoP ]]/20),WWWW[[#This Row],['# potential required new latrines]]/(WWWW[[#This Row],[Total PoP ]]/6))</f>
        <v>0.99870466321243534</v>
      </c>
      <c r="BL180" s="43">
        <f>IF(WWWW[[#This Row],[Total required Latrines]]-WWWW[[#This Row],[Total '# of latrine]]&lt;0,0,WWWW[[#This Row],[Total required Latrines]]-WWWW[[#This Row],[Total '# of latrine]])</f>
        <v>257</v>
      </c>
      <c r="BM180" s="97">
        <f>ROUND(IF(WWWW[[#This Row],[Location Type 1]]="camp",WWWW[[#This Row],[Total PoP ]]/20,WWWW[[#This Row],[Total PoP ]]/6),0)</f>
        <v>257</v>
      </c>
      <c r="BN180" s="390">
        <f>IF(OR(WWWW[[#This Row],['# Existing latrines dysfunctional]]="",WWWW[[#This Row],['# Existing latrines dysfunctional]]=0),0,WWWW[[#This Row],['# Existing latrines dysfunctional]]/WWWW[[#This Row],[Total '# of latrine]])</f>
        <v>0</v>
      </c>
      <c r="BO180" s="676"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P180" s="42">
        <f>WWWW[[#This Row],[People adopt basic personal and community hygiene practices]]/WWWW[[#This Row],[Total PoP ]]</f>
        <v>0</v>
      </c>
      <c r="BQ180" s="390">
        <f>1-WWWW[[#This Row],[Hygiene Coverage%]]</f>
        <v>1</v>
      </c>
      <c r="BR180" s="405">
        <f>IF(500*WWWW[[#This Row],['# Hygiene Promoters ]]&gt;WWWW[[#This Row],[Total PoP ]],WWWW[[#This Row],[Total PoP ]],500*WWWW[[#This Row],['# Hygiene Promoters ]])</f>
        <v>1544</v>
      </c>
      <c r="BS180" s="405">
        <f>IF(WWWW[[#This Row],[% of HH with access to Sanitary Pad]]&gt;=100%,1,0)</f>
        <v>0</v>
      </c>
      <c r="BT180" s="405">
        <f>IF(WWWW[[#This Row],[Total PoP ]]=0,0,IF(WWWW[[#This Row],['# Hygiene Promoters ]]=0,0,IF(WWWW[[#This Row],[Location Type 1]]="Village",IF(WWWW[[#This Row],[Total PoP ]]/WWWW[[#This Row],['# Hygiene Promoters ]]&lt;1000,1,0),IF(WWWW[[#This Row],[Total PoP ]]/WWWW[[#This Row],['# Hygiene Promoters ]]&lt;600,1,0))))</f>
        <v>1</v>
      </c>
      <c r="BU180" s="405">
        <f>IF(WWWW[[#This Row],[%HH with access to soap]]&gt;=100%,1,0)</f>
        <v>0</v>
      </c>
      <c r="BV180" s="405">
        <f>IF(WWWW[[#This Row],[% of HHs with access to Sanitary pad more than '#%]]+WWWW[[#This Row],[Ratio of Hyiene promoters to people less than '#]]+WWWW[[#This Row],[% of HHs with access to soap more than '#%]]&gt;=2,WWWW[[#This Row],[Total PoP ]],0)</f>
        <v>0</v>
      </c>
      <c r="BW180" s="391">
        <f>WWWW[[#This Row],['# people reached by regular dedicated hygiene promotion_5]]/WWWW[[#This Row],[Total PoP ]]</f>
        <v>1</v>
      </c>
      <c r="BX180" s="391">
        <f>IF(WWWW[[#This Row],['# HH received soaps]]/WWWW[[#This Row],[Total HH]]&gt;1,1,WWWW[[#This Row],['# HH received soaps]]/WWWW[[#This Row],[Total HH]])</f>
        <v>0</v>
      </c>
      <c r="BY180" s="391">
        <f>IF(WWWW[[#This Row],['# HH received Sanitary Pads]]/WWWW[[#This Row],[Total HH]]&gt;1,1,WWWW[[#This Row],['# HH received Sanitary Pads]]/WWWW[[#This Row],[Total HH]])</f>
        <v>0</v>
      </c>
      <c r="BZ180" s="721">
        <f>WWWW[[#This Row],['# HH received soaps]]*5</f>
        <v>0</v>
      </c>
      <c r="CA180" s="721">
        <f>WWWW[[#This Row],['# HH received Sanitary Pads]]*5</f>
        <v>0</v>
      </c>
      <c r="CB180" s="406">
        <f>IF(WWWW[[#This Row],['# People with access to soap]]&gt;WWWW[[#This Row],['# People with access to Sanity Pads]],WWWW[[#This Row],['# People with access to soap]],WWWW[[#This Row],['# People with access to Sanity Pads]])</f>
        <v>0</v>
      </c>
      <c r="CC180" s="43">
        <f>WWWW[[#This Row],[Total HH]]*WWWW[[#This Row],[%HHs with access to functional hand washing stations]]</f>
        <v>0</v>
      </c>
      <c r="CD180" s="240">
        <f>VLOOKUP(WWWW[[#This Row],[Site Name]],SiteDB6[],8,FALSE)</f>
        <v>0</v>
      </c>
      <c r="CE180" s="240">
        <f>VLOOKUP(WWWW[[#This Row],[Site Name]],SiteDB6[],9,FALSE)</f>
        <v>0</v>
      </c>
      <c r="CF180" s="240" t="str">
        <f>VLOOKUP(WWWW[[#This Row],[Site Name]],SiteDB6[],10,FALSE)</f>
        <v>Village</v>
      </c>
      <c r="CG180" s="240" t="str">
        <f>VLOOKUP(WWWW[[#This Row],[Site Name]],SiteDB6[],11,FALSE)</f>
        <v>Village</v>
      </c>
      <c r="CH180" s="240" t="str">
        <f>VLOOKUP(WWWW[[#This Row],[Site Name]],SiteDB6[],12,FALSE)</f>
        <v>Village</v>
      </c>
      <c r="CI180" s="240" t="str">
        <f>VLOOKUP(WWWW[[#This Row],[Site Name]],SiteDB6[],13,FALSE)</f>
        <v>Rakhine</v>
      </c>
      <c r="CJ180" s="240">
        <f>VLOOKUP(WWWW[[#This Row],[Site Name]],SiteDB6[],14,FALSE)</f>
        <v>20.926780700683601</v>
      </c>
      <c r="CK180" s="240">
        <f>VLOOKUP(WWWW[[#This Row],[Site Name]],SiteDB6[],15,FALSE)</f>
        <v>92.5399169921875</v>
      </c>
      <c r="CL180" s="240">
        <f>VLOOKUP(WWWW[[#This Row],[Site Name]],SiteDB6[],4,FALSE)</f>
        <v>198234</v>
      </c>
      <c r="CM180" s="42" t="str">
        <f t="shared" si="2"/>
        <v>Covered</v>
      </c>
      <c r="CN180" s="42"/>
    </row>
    <row r="181" spans="1:92" ht="15.75" hidden="1" customHeight="1" thickBot="1" x14ac:dyDescent="0.3">
      <c r="A181" s="554" t="s">
        <v>1409</v>
      </c>
      <c r="B181" s="565" t="s">
        <v>542</v>
      </c>
      <c r="C181" s="565" t="s">
        <v>464</v>
      </c>
      <c r="D181" s="565" t="s">
        <v>490</v>
      </c>
      <c r="E181" s="565" t="s">
        <v>857</v>
      </c>
      <c r="F181" s="555">
        <v>22</v>
      </c>
      <c r="G181" s="558">
        <v>88</v>
      </c>
      <c r="H181" s="555"/>
      <c r="I181" s="41" t="s">
        <v>398</v>
      </c>
      <c r="J181" s="388">
        <v>43145</v>
      </c>
      <c r="K181" s="41">
        <v>0</v>
      </c>
      <c r="L181" s="402" t="s">
        <v>48</v>
      </c>
      <c r="M181" s="404">
        <v>0</v>
      </c>
      <c r="N181" s="404">
        <v>0</v>
      </c>
      <c r="O181" s="605">
        <v>0</v>
      </c>
      <c r="P181" s="606">
        <v>0</v>
      </c>
      <c r="Q181" s="606">
        <v>0</v>
      </c>
      <c r="R181" s="607">
        <v>1</v>
      </c>
      <c r="S181" s="607">
        <v>0</v>
      </c>
      <c r="T181" s="607"/>
      <c r="U181" s="607"/>
      <c r="V181" s="607"/>
      <c r="W181" s="607"/>
      <c r="X181" s="607"/>
      <c r="Y181" s="607"/>
      <c r="Z181" s="598">
        <v>1</v>
      </c>
      <c r="AA181" s="598">
        <v>0</v>
      </c>
      <c r="AB181" s="80"/>
      <c r="AC181" s="598">
        <v>1</v>
      </c>
      <c r="AD181" s="598" t="s">
        <v>342</v>
      </c>
      <c r="AE181" s="599" t="s">
        <v>342</v>
      </c>
      <c r="AF181" s="599"/>
      <c r="AG181" s="598"/>
      <c r="AH181" s="598" t="s">
        <v>2588</v>
      </c>
      <c r="AI181" s="649">
        <v>0</v>
      </c>
      <c r="AJ181" s="650" t="s">
        <v>294</v>
      </c>
      <c r="AK181" s="650">
        <v>0</v>
      </c>
      <c r="AL181" s="645">
        <v>0</v>
      </c>
      <c r="AM181" s="645">
        <v>7</v>
      </c>
      <c r="AN181" s="646"/>
      <c r="AO181" s="600"/>
      <c r="AP181" s="600"/>
      <c r="AQ181" s="651"/>
      <c r="AR181" s="557" t="str">
        <f>IFERROR(WWWW[[#This Row],['# of Water passed at source]]/WWWW[[#This Row],['# of Water tested at source]],"no test")</f>
        <v>no test</v>
      </c>
      <c r="AS181" s="560" t="str">
        <f>IFERROR(WWWW[[#This Row],['# of Water passed at HH]]/WWWW[[#This Row],['# of Water tested at HH]],"no test")</f>
        <v>no test</v>
      </c>
      <c r="AT181" s="560">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U181" s="560">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AV181" s="560">
        <f>IF(WWWW[[#This Row],[Location Type 1]]="Village",WWWW[[#This Row],[Access to safe drinking water for Village]],WWWW[[#This Row],[Access to safe drinking water for Camp]])</f>
        <v>0</v>
      </c>
      <c r="AW181" s="558">
        <f>WWWW[[#This Row],[%Equitable and continuous access to sufficient quantity of safe drinking water]]*WWWW[[#This Row],[Total PoP ]]</f>
        <v>0</v>
      </c>
      <c r="AX181" s="560">
        <f>IF((WWWW[[#This Row],['# Existing protected/fenced ponds ]]*250)/WWWW[[#This Row],[Total PoP ]]&gt;1,1,WWWW[[#This Row],['# Existing protected/fenced ponds ]]*250/WWWW[[#This Row],[Total PoP ]])</f>
        <v>1</v>
      </c>
      <c r="AY181" s="558">
        <f>WWWW[[#This Row],[Access to unimproved water points]]*WWWW[[#This Row],[Total PoP ]]</f>
        <v>88</v>
      </c>
      <c r="AZ181" s="560">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A181" s="558">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88</v>
      </c>
      <c r="BB181" s="414">
        <f>ROUND(WWWW[[#This Row],['#people Equitable and continuous access to sufficient quantity of domestic water borehole n ponds_2]]/500,0)</f>
        <v>0</v>
      </c>
      <c r="BC181" s="557">
        <f>1-WWWW[[#This Row],[%Equitable and continuous access to sufficient quantity of domestic water borehole n ponds]]</f>
        <v>0</v>
      </c>
      <c r="BD181" s="558">
        <f>WWWW[[#This Row],[%equitable and continuous access to sufficient quantity of safe drinking and domestic water''s GAP]]*WWWW[[#This Row],[Total PoP ]]</f>
        <v>0</v>
      </c>
      <c r="BE181" s="559">
        <f>IF(WWWW[[#This Row],[Total required water points]]-WWWW[[#This Row],['#Water points coverage]]&lt;0,0,WWWW[[#This Row],[Total required water points]]-WWWW[[#This Row],['#Water points coverage]])</f>
        <v>1</v>
      </c>
      <c r="BF181" s="559">
        <f>ROUND(IF(WWWW[[#This Row],[Total PoP ]]&lt;500,1,WWWW[[#This Row],[Total PoP ]]/500),0)</f>
        <v>1</v>
      </c>
      <c r="BG181" s="559" t="str">
        <f>IF(AND(WWWW[[#This Row],[%of Water samples which passed at water source]]="no test",WWWW[[#This Row],[%Water samples which passed at HH]]="no test"),"No Test","Tested")</f>
        <v>No Test</v>
      </c>
      <c r="BH181" s="559">
        <f>WWWW[[#This Row],['# Existing functional latrines]]+WWWW[[#This Row],['# Existing latrines dysfunctional]]</f>
        <v>1</v>
      </c>
      <c r="BI181" s="557">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6.8181818181818177E-2</v>
      </c>
      <c r="BJ181" s="677">
        <f>WWWW[[#This Row],[% people access to functioning Latrine]]*WWWW[[#This Row],[Total PoP ]]</f>
        <v>6</v>
      </c>
      <c r="BK181" s="557">
        <f>IF(WWWW[[#This Row],[Location Type 1]]="camp",WWWW[[#This Row],['# potential required new latrines]]/(WWWW[[#This Row],[Total PoP ]]/20),WWWW[[#This Row],['# potential required new latrines]]/(WWWW[[#This Row],[Total PoP ]]/6))</f>
        <v>0.95454545454545459</v>
      </c>
      <c r="BL181" s="558">
        <f>IF(WWWW[[#This Row],[Total required Latrines]]-WWWW[[#This Row],[Total '# of latrine]]&lt;0,0,WWWW[[#This Row],[Total required Latrines]]-WWWW[[#This Row],[Total '# of latrine]])</f>
        <v>14</v>
      </c>
      <c r="BM181" s="559">
        <f>ROUND(IF(WWWW[[#This Row],[Location Type 1]]="camp",WWWW[[#This Row],[Total PoP ]]/20,WWWW[[#This Row],[Total PoP ]]/6),0)</f>
        <v>15</v>
      </c>
      <c r="BN181" s="562">
        <f>IF(OR(WWWW[[#This Row],['# Existing latrines dysfunctional]]="",WWWW[[#This Row],['# Existing latrines dysfunctional]]=0),0,WWWW[[#This Row],['# Existing latrines dysfunctional]]/WWWW[[#This Row],[Total '# of latrine]])</f>
        <v>0</v>
      </c>
      <c r="BO181" s="677"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P181" s="557">
        <f>WWWW[[#This Row],[People adopt basic personal and community hygiene practices]]/WWWW[[#This Row],[Total PoP ]]</f>
        <v>0</v>
      </c>
      <c r="BQ181" s="562">
        <f>1-WWWW[[#This Row],[Hygiene Coverage%]]</f>
        <v>1</v>
      </c>
      <c r="BR181" s="558">
        <f>IF(500*WWWW[[#This Row],['# Hygiene Promoters ]]&gt;WWWW[[#This Row],[Total PoP ]],WWWW[[#This Row],[Total PoP ]],500*WWWW[[#This Row],['# Hygiene Promoters ]])</f>
        <v>88</v>
      </c>
      <c r="BS181" s="558">
        <f>IF(WWWW[[#This Row],[% of HH with access to Sanitary Pad]]&gt;=100%,1,0)</f>
        <v>0</v>
      </c>
      <c r="BT181" s="558">
        <f>IF(WWWW[[#This Row],[Total PoP ]]=0,0,IF(WWWW[[#This Row],['# Hygiene Promoters ]]=0,0,IF(WWWW[[#This Row],[Location Type 1]]="Village",IF(WWWW[[#This Row],[Total PoP ]]/WWWW[[#This Row],['# Hygiene Promoters ]]&lt;1000,1,0),IF(WWWW[[#This Row],[Total PoP ]]/WWWW[[#This Row],['# Hygiene Promoters ]]&lt;600,1,0))))</f>
        <v>1</v>
      </c>
      <c r="BU181" s="558">
        <f>IF(WWWW[[#This Row],[%HH with access to soap]]&gt;=100%,1,0)</f>
        <v>0</v>
      </c>
      <c r="BV181" s="558">
        <f>IF(WWWW[[#This Row],[% of HHs with access to Sanitary pad more than '#%]]+WWWW[[#This Row],[Ratio of Hyiene promoters to people less than '#]]+WWWW[[#This Row],[% of HHs with access to soap more than '#%]]&gt;=2,WWWW[[#This Row],[Total PoP ]],0)</f>
        <v>0</v>
      </c>
      <c r="BW181" s="563">
        <f>WWWW[[#This Row],['# people reached by regular dedicated hygiene promotion_5]]/WWWW[[#This Row],[Total PoP ]]</f>
        <v>1</v>
      </c>
      <c r="BX181" s="563">
        <f>IF(WWWW[[#This Row],['# HH received soaps]]/WWWW[[#This Row],[Total HH]]&gt;1,1,WWWW[[#This Row],['# HH received soaps]]/WWWW[[#This Row],[Total HH]])</f>
        <v>0</v>
      </c>
      <c r="BY181" s="563">
        <f>IF(WWWW[[#This Row],['# HH received Sanitary Pads]]/WWWW[[#This Row],[Total HH]]&gt;1,1,WWWW[[#This Row],['# HH received Sanitary Pads]]/WWWW[[#This Row],[Total HH]])</f>
        <v>0</v>
      </c>
      <c r="BZ181" s="722">
        <f>WWWW[[#This Row],['# HH received soaps]]*5</f>
        <v>0</v>
      </c>
      <c r="CA181" s="722">
        <f>WWWW[[#This Row],['# HH received Sanitary Pads]]*5</f>
        <v>0</v>
      </c>
      <c r="CB181" s="559">
        <f>IF(WWWW[[#This Row],['# People with access to soap]]&gt;WWWW[[#This Row],['# People with access to Sanity Pads]],WWWW[[#This Row],['# People with access to soap]],WWWW[[#This Row],['# People with access to Sanity Pads]])</f>
        <v>0</v>
      </c>
      <c r="CC181" s="558">
        <f>WWWW[[#This Row],[Total HH]]*WWWW[[#This Row],[%HHs with access to functional hand washing stations]]</f>
        <v>0</v>
      </c>
      <c r="CD181" s="240">
        <f>VLOOKUP(WWWW[[#This Row],[Site Name]],SiteDB6[],8,FALSE)</f>
        <v>0</v>
      </c>
      <c r="CE181" s="240">
        <f>VLOOKUP(WWWW[[#This Row],[Site Name]],SiteDB6[],9,FALSE)</f>
        <v>0</v>
      </c>
      <c r="CF181" s="240" t="str">
        <f>VLOOKUP(WWWW[[#This Row],[Site Name]],SiteDB6[],10,FALSE)</f>
        <v>Village</v>
      </c>
      <c r="CG181" s="240" t="str">
        <f>VLOOKUP(WWWW[[#This Row],[Site Name]],SiteDB6[],11,FALSE)</f>
        <v>Village</v>
      </c>
      <c r="CH181" s="240" t="str">
        <f>VLOOKUP(WWWW[[#This Row],[Site Name]],SiteDB6[],12,FALSE)</f>
        <v>Village</v>
      </c>
      <c r="CI181" s="240" t="str">
        <f>VLOOKUP(WWWW[[#This Row],[Site Name]],SiteDB6[],13,FALSE)</f>
        <v>Rakhine</v>
      </c>
      <c r="CJ181" s="240">
        <f>VLOOKUP(WWWW[[#This Row],[Site Name]],SiteDB6[],14,FALSE)</f>
        <v>21.025630950927699</v>
      </c>
      <c r="CK181" s="240">
        <f>VLOOKUP(WWWW[[#This Row],[Site Name]],SiteDB6[],15,FALSE)</f>
        <v>92.524818420410199</v>
      </c>
      <c r="CL181" s="240">
        <f>VLOOKUP(WWWW[[#This Row],[Site Name]],SiteDB6[],4,FALSE)</f>
        <v>198196</v>
      </c>
      <c r="CM181" s="557" t="str">
        <f t="shared" si="2"/>
        <v>Covered</v>
      </c>
      <c r="CN181" s="557"/>
    </row>
    <row r="182" spans="1:92" ht="16.5" hidden="1" customHeight="1" thickBot="1" x14ac:dyDescent="0.3">
      <c r="A182" s="528" t="s">
        <v>1409</v>
      </c>
      <c r="B182" s="530" t="s">
        <v>542</v>
      </c>
      <c r="C182" s="530" t="s">
        <v>464</v>
      </c>
      <c r="D182" s="530" t="s">
        <v>490</v>
      </c>
      <c r="E182" s="530" t="s">
        <v>798</v>
      </c>
      <c r="F182" s="402">
        <v>513</v>
      </c>
      <c r="G182" s="734">
        <v>4073</v>
      </c>
      <c r="H182" s="555"/>
      <c r="I182" s="402" t="s">
        <v>398</v>
      </c>
      <c r="J182" s="403">
        <v>43343</v>
      </c>
      <c r="K182" s="402">
        <v>0</v>
      </c>
      <c r="L182" s="555" t="s">
        <v>48</v>
      </c>
      <c r="M182" s="404"/>
      <c r="N182" s="404"/>
      <c r="O182" s="605">
        <v>0</v>
      </c>
      <c r="P182" s="606">
        <v>0</v>
      </c>
      <c r="Q182" s="606">
        <v>0</v>
      </c>
      <c r="R182" s="607">
        <v>0</v>
      </c>
      <c r="S182" s="607">
        <v>0</v>
      </c>
      <c r="T182" s="607"/>
      <c r="U182" s="607"/>
      <c r="V182" s="607"/>
      <c r="W182" s="607"/>
      <c r="X182" s="607"/>
      <c r="Y182" s="607"/>
      <c r="Z182" s="598">
        <v>1</v>
      </c>
      <c r="AA182" s="598">
        <v>0</v>
      </c>
      <c r="AB182" s="80"/>
      <c r="AC182" s="598">
        <v>10</v>
      </c>
      <c r="AD182" s="598" t="s">
        <v>342</v>
      </c>
      <c r="AE182" s="599" t="s">
        <v>342</v>
      </c>
      <c r="AF182" s="599"/>
      <c r="AG182" s="598"/>
      <c r="AH182" s="598"/>
      <c r="AI182" s="649">
        <v>0</v>
      </c>
      <c r="AJ182" s="650" t="s">
        <v>294</v>
      </c>
      <c r="AK182" s="650">
        <v>0</v>
      </c>
      <c r="AL182" s="645">
        <v>0</v>
      </c>
      <c r="AM182" s="645">
        <v>7</v>
      </c>
      <c r="AN182" s="600"/>
      <c r="AO182" s="600"/>
      <c r="AP182" s="600"/>
      <c r="AQ182" s="651"/>
      <c r="AR182" s="557" t="str">
        <f>IFERROR(WWWW[[#This Row],['# of Water passed at source]]/WWWW[[#This Row],['# of Water tested at source]],"no test")</f>
        <v>no test</v>
      </c>
      <c r="AS182" s="560" t="str">
        <f>IFERROR(WWWW[[#This Row],['# of Water passed at HH]]/WWWW[[#This Row],['# of Water tested at HH]],"no test")</f>
        <v>no test</v>
      </c>
      <c r="AT182" s="560">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U182" s="560">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AV182" s="560">
        <f>IF(WWWW[[#This Row],[Location Type 1]]="Village",WWWW[[#This Row],[Access to safe drinking water for Village]],WWWW[[#This Row],[Access to safe drinking water for Camp]])</f>
        <v>0</v>
      </c>
      <c r="AW182" s="558">
        <f>WWWW[[#This Row],[%Equitable and continuous access to sufficient quantity of safe drinking water]]*WWWW[[#This Row],[Total PoP ]]</f>
        <v>0</v>
      </c>
      <c r="AX182" s="560">
        <f>IF((WWWW[[#This Row],['# Existing protected/fenced ponds ]]*250)/WWWW[[#This Row],[Total PoP ]]&gt;1,1,WWWW[[#This Row],['# Existing protected/fenced ponds ]]*250/WWWW[[#This Row],[Total PoP ]])</f>
        <v>0</v>
      </c>
      <c r="AY182" s="558">
        <f>WWWW[[#This Row],[Access to unimproved water points]]*WWWW[[#This Row],[Total PoP ]]</f>
        <v>0</v>
      </c>
      <c r="AZ182" s="560">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A182" s="558">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B182" s="414">
        <f>ROUND(WWWW[[#This Row],['#people Equitable and continuous access to sufficient quantity of domestic water borehole n ponds_2]]/500,0)</f>
        <v>0</v>
      </c>
      <c r="BC182" s="557">
        <f>1-WWWW[[#This Row],[%Equitable and continuous access to sufficient quantity of domestic water borehole n ponds]]</f>
        <v>1</v>
      </c>
      <c r="BD182" s="558">
        <f>WWWW[[#This Row],[%equitable and continuous access to sufficient quantity of safe drinking and domestic water''s GAP]]*WWWW[[#This Row],[Total PoP ]]</f>
        <v>4073</v>
      </c>
      <c r="BE182" s="559">
        <f>IF(WWWW[[#This Row],[Total required water points]]-WWWW[[#This Row],['#Water points coverage]]&lt;0,0,WWWW[[#This Row],[Total required water points]]-WWWW[[#This Row],['#Water points coverage]])</f>
        <v>8</v>
      </c>
      <c r="BF182" s="559">
        <f>ROUND(IF(WWWW[[#This Row],[Total PoP ]]&lt;500,1,WWWW[[#This Row],[Total PoP ]]/500),0)</f>
        <v>8</v>
      </c>
      <c r="BG182" s="559" t="str">
        <f>IF(AND(WWWW[[#This Row],[%of Water samples which passed at water source]]="no test",WWWW[[#This Row],[%Water samples which passed at HH]]="no test"),"No Test","Tested")</f>
        <v>No Test</v>
      </c>
      <c r="BH182" s="559">
        <f>WWWW[[#This Row],['# Existing functional latrines]]+WWWW[[#This Row],['# Existing latrines dysfunctional]]</f>
        <v>1</v>
      </c>
      <c r="BI182" s="557">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1.4731156395777069E-3</v>
      </c>
      <c r="BJ182" s="677">
        <f>WWWW[[#This Row],[% people access to functioning Latrine]]*WWWW[[#This Row],[Total PoP ]]</f>
        <v>6</v>
      </c>
      <c r="BK182" s="557">
        <f>IF(WWWW[[#This Row],[Location Type 1]]="camp",WWWW[[#This Row],['# potential required new latrines]]/(WWWW[[#This Row],[Total PoP ]]/20),WWWW[[#This Row],['# potential required new latrines]]/(WWWW[[#This Row],[Total PoP ]]/6))</f>
        <v>0.99877240363368514</v>
      </c>
      <c r="BL182" s="558">
        <f>IF(WWWW[[#This Row],[Total required Latrines]]-WWWW[[#This Row],[Total '# of latrine]]&lt;0,0,WWWW[[#This Row],[Total required Latrines]]-WWWW[[#This Row],[Total '# of latrine]])</f>
        <v>678</v>
      </c>
      <c r="BM182" s="559">
        <f>ROUND(IF(WWWW[[#This Row],[Location Type 1]]="camp",WWWW[[#This Row],[Total PoP ]]/20,WWWW[[#This Row],[Total PoP ]]/6),0)</f>
        <v>679</v>
      </c>
      <c r="BN182" s="562">
        <f>IF(OR(WWWW[[#This Row],['# Existing latrines dysfunctional]]="",WWWW[[#This Row],['# Existing latrines dysfunctional]]=0),0,WWWW[[#This Row],['# Existing latrines dysfunctional]]/WWWW[[#This Row],[Total '# of latrine]])</f>
        <v>0</v>
      </c>
      <c r="BO182" s="677"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P182" s="557">
        <f>WWWW[[#This Row],[People adopt basic personal and community hygiene practices]]/WWWW[[#This Row],[Total PoP ]]</f>
        <v>0</v>
      </c>
      <c r="BQ182" s="562">
        <f>1-WWWW[[#This Row],[Hygiene Coverage%]]</f>
        <v>1</v>
      </c>
      <c r="BR182" s="558">
        <f>IF(500*WWWW[[#This Row],['# Hygiene Promoters ]]&gt;WWWW[[#This Row],[Total PoP ]],WWWW[[#This Row],[Total PoP ]],500*WWWW[[#This Row],['# Hygiene Promoters ]])</f>
        <v>3500</v>
      </c>
      <c r="BS182" s="558">
        <f>IF(WWWW[[#This Row],[% of HH with access to Sanitary Pad]]&gt;=100%,1,0)</f>
        <v>0</v>
      </c>
      <c r="BT182" s="558">
        <f>IF(WWWW[[#This Row],[Total PoP ]]=0,0,IF(WWWW[[#This Row],['# Hygiene Promoters ]]=0,0,IF(WWWW[[#This Row],[Location Type 1]]="Village",IF(WWWW[[#This Row],[Total PoP ]]/WWWW[[#This Row],['# Hygiene Promoters ]]&lt;1000,1,0),IF(WWWW[[#This Row],[Total PoP ]]/WWWW[[#This Row],['# Hygiene Promoters ]]&lt;600,1,0))))</f>
        <v>1</v>
      </c>
      <c r="BU182" s="558">
        <f>IF(WWWW[[#This Row],[%HH with access to soap]]&gt;=100%,1,0)</f>
        <v>0</v>
      </c>
      <c r="BV182" s="558">
        <f>IF(WWWW[[#This Row],[% of HHs with access to Sanitary pad more than '#%]]+WWWW[[#This Row],[Ratio of Hyiene promoters to people less than '#]]+WWWW[[#This Row],[% of HHs with access to soap more than '#%]]&gt;=2,WWWW[[#This Row],[Total PoP ]],0)</f>
        <v>0</v>
      </c>
      <c r="BW182" s="563">
        <f>WWWW[[#This Row],['# people reached by regular dedicated hygiene promotion_5]]/WWWW[[#This Row],[Total PoP ]]</f>
        <v>0.85931745642032897</v>
      </c>
      <c r="BX182" s="563">
        <f>IF(WWWW[[#This Row],['# HH received soaps]]/WWWW[[#This Row],[Total HH]]&gt;1,1,WWWW[[#This Row],['# HH received soaps]]/WWWW[[#This Row],[Total HH]])</f>
        <v>0</v>
      </c>
      <c r="BY182" s="563">
        <f>IF(WWWW[[#This Row],['# HH received Sanitary Pads]]/WWWW[[#This Row],[Total HH]]&gt;1,1,WWWW[[#This Row],['# HH received Sanitary Pads]]/WWWW[[#This Row],[Total HH]])</f>
        <v>0</v>
      </c>
      <c r="BZ182" s="722">
        <f>WWWW[[#This Row],['# HH received soaps]]*5</f>
        <v>0</v>
      </c>
      <c r="CA182" s="722">
        <f>WWWW[[#This Row],['# HH received Sanitary Pads]]*5</f>
        <v>0</v>
      </c>
      <c r="CB182" s="559">
        <f>IF(WWWW[[#This Row],['# People with access to soap]]&gt;WWWW[[#This Row],['# People with access to Sanity Pads]],WWWW[[#This Row],['# People with access to soap]],WWWW[[#This Row],['# People with access to Sanity Pads]])</f>
        <v>0</v>
      </c>
      <c r="CC182" s="558">
        <f>WWWW[[#This Row],[Total HH]]*WWWW[[#This Row],[%HHs with access to functional hand washing stations]]</f>
        <v>0</v>
      </c>
      <c r="CD182" s="240">
        <f>VLOOKUP(WWWW[[#This Row],[Site Name]],SiteDB6[],8,FALSE)</f>
        <v>0</v>
      </c>
      <c r="CE182" s="240">
        <f>VLOOKUP(WWWW[[#This Row],[Site Name]],SiteDB6[],9,FALSE)</f>
        <v>0</v>
      </c>
      <c r="CF182" s="240" t="str">
        <f>VLOOKUP(WWWW[[#This Row],[Site Name]],SiteDB6[],10,FALSE)</f>
        <v>Village</v>
      </c>
      <c r="CG182" s="240" t="str">
        <f>VLOOKUP(WWWW[[#This Row],[Site Name]],SiteDB6[],11,FALSE)</f>
        <v>Village</v>
      </c>
      <c r="CH182" s="240" t="str">
        <f>VLOOKUP(WWWW[[#This Row],[Site Name]],SiteDB6[],12,FALSE)</f>
        <v>Village</v>
      </c>
      <c r="CI182" s="240" t="str">
        <f>VLOOKUP(WWWW[[#This Row],[Site Name]],SiteDB6[],13,FALSE)</f>
        <v>Muslim</v>
      </c>
      <c r="CJ182" s="240">
        <f>VLOOKUP(WWWW[[#This Row],[Site Name]],SiteDB6[],14,FALSE)</f>
        <v>20.821479797363299</v>
      </c>
      <c r="CK182" s="240">
        <f>VLOOKUP(WWWW[[#This Row],[Site Name]],SiteDB6[],15,FALSE)</f>
        <v>92.603950500488295</v>
      </c>
      <c r="CL182" s="240" t="str">
        <f>VLOOKUP(WWWW[[#This Row],[Site Name]],SiteDB6[],4,FALSE)</f>
        <v>198356</v>
      </c>
      <c r="CM182" s="557" t="str">
        <f t="shared" si="2"/>
        <v>Covered</v>
      </c>
      <c r="CN182" s="557"/>
    </row>
    <row r="183" spans="1:92" ht="16.5" hidden="1" customHeight="1" thickBot="1" x14ac:dyDescent="0.3">
      <c r="A183" s="796" t="s">
        <v>1409</v>
      </c>
      <c r="B183" s="565" t="s">
        <v>542</v>
      </c>
      <c r="C183" s="565" t="s">
        <v>464</v>
      </c>
      <c r="D183" s="565" t="s">
        <v>490</v>
      </c>
      <c r="E183" s="565" t="s">
        <v>812</v>
      </c>
      <c r="F183" s="555">
        <v>20</v>
      </c>
      <c r="G183" s="799">
        <v>60</v>
      </c>
      <c r="H183" s="555"/>
      <c r="I183" s="555" t="s">
        <v>398</v>
      </c>
      <c r="J183" s="556">
        <v>43343</v>
      </c>
      <c r="K183" s="555">
        <v>0</v>
      </c>
      <c r="L183" s="555" t="s">
        <v>48</v>
      </c>
      <c r="M183" s="404"/>
      <c r="N183" s="404"/>
      <c r="O183" s="619"/>
      <c r="P183" s="620"/>
      <c r="Q183" s="620"/>
      <c r="R183" s="621"/>
      <c r="S183" s="621"/>
      <c r="T183" s="621"/>
      <c r="U183" s="621"/>
      <c r="V183" s="621"/>
      <c r="W183" s="621"/>
      <c r="X183" s="621"/>
      <c r="Y183" s="621"/>
      <c r="Z183" s="637"/>
      <c r="AA183" s="637"/>
      <c r="AB183" s="638"/>
      <c r="AC183" s="637">
        <v>10</v>
      </c>
      <c r="AD183" s="598" t="s">
        <v>342</v>
      </c>
      <c r="AE183" s="599" t="s">
        <v>342</v>
      </c>
      <c r="AF183" s="639"/>
      <c r="AG183" s="637"/>
      <c r="AH183" s="637"/>
      <c r="AI183" s="649">
        <v>0</v>
      </c>
      <c r="AJ183" s="650" t="s">
        <v>294</v>
      </c>
      <c r="AK183" s="650">
        <v>0</v>
      </c>
      <c r="AL183" s="645">
        <v>0</v>
      </c>
      <c r="AM183" s="645">
        <v>7</v>
      </c>
      <c r="AN183" s="663"/>
      <c r="AO183" s="663"/>
      <c r="AP183" s="663"/>
      <c r="AQ183" s="664"/>
      <c r="AR183" s="557" t="str">
        <f>IFERROR(WWWW[[#This Row],['# of Water passed at source]]/WWWW[[#This Row],['# of Water tested at source]],"no test")</f>
        <v>no test</v>
      </c>
      <c r="AS183" s="560" t="str">
        <f>IFERROR(WWWW[[#This Row],['# of Water passed at HH]]/WWWW[[#This Row],['# of Water tested at HH]],"no test")</f>
        <v>no test</v>
      </c>
      <c r="AT183" s="560">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U183" s="560">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AV183" s="560">
        <f>IF(WWWW[[#This Row],[Location Type 1]]="Village",WWWW[[#This Row],[Access to safe drinking water for Village]],WWWW[[#This Row],[Access to safe drinking water for Camp]])</f>
        <v>0</v>
      </c>
      <c r="AW183" s="558">
        <f>WWWW[[#This Row],[%Equitable and continuous access to sufficient quantity of safe drinking water]]*WWWW[[#This Row],[Total PoP ]]</f>
        <v>0</v>
      </c>
      <c r="AX183" s="560">
        <f>IF((WWWW[[#This Row],['# Existing protected/fenced ponds ]]*250)/WWWW[[#This Row],[Total PoP ]]&gt;1,1,WWWW[[#This Row],['# Existing protected/fenced ponds ]]*250/WWWW[[#This Row],[Total PoP ]])</f>
        <v>0</v>
      </c>
      <c r="AY183" s="558">
        <f>WWWW[[#This Row],[Access to unimproved water points]]*WWWW[[#This Row],[Total PoP ]]</f>
        <v>0</v>
      </c>
      <c r="AZ183" s="560">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A183" s="558">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B183" s="414">
        <f>ROUND(WWWW[[#This Row],['#people Equitable and continuous access to sufficient quantity of domestic water borehole n ponds_2]]/500,0)</f>
        <v>0</v>
      </c>
      <c r="BC183" s="557">
        <f>1-WWWW[[#This Row],[%Equitable and continuous access to sufficient quantity of domestic water borehole n ponds]]</f>
        <v>1</v>
      </c>
      <c r="BD183" s="558">
        <f>WWWW[[#This Row],[%equitable and continuous access to sufficient quantity of safe drinking and domestic water''s GAP]]*WWWW[[#This Row],[Total PoP ]]</f>
        <v>60</v>
      </c>
      <c r="BE183" s="559">
        <f>IF(WWWW[[#This Row],[Total required water points]]-WWWW[[#This Row],['#Water points coverage]]&lt;0,0,WWWW[[#This Row],[Total required water points]]-WWWW[[#This Row],['#Water points coverage]])</f>
        <v>1</v>
      </c>
      <c r="BF183" s="559">
        <f>ROUND(IF(WWWW[[#This Row],[Total PoP ]]&lt;500,1,WWWW[[#This Row],[Total PoP ]]/500),0)</f>
        <v>1</v>
      </c>
      <c r="BG183" s="559" t="str">
        <f>IF(AND(WWWW[[#This Row],[%of Water samples which passed at water source]]="no test",WWWW[[#This Row],[%Water samples which passed at HH]]="no test"),"No Test","Tested")</f>
        <v>No Test</v>
      </c>
      <c r="BH183" s="559">
        <f>WWWW[[#This Row],['# Existing functional latrines]]+WWWW[[#This Row],['# Existing latrines dysfunctional]]</f>
        <v>0</v>
      </c>
      <c r="BI183" s="557">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J183" s="677">
        <f>WWWW[[#This Row],[% people access to functioning Latrine]]*WWWW[[#This Row],[Total PoP ]]</f>
        <v>0</v>
      </c>
      <c r="BK183" s="557">
        <f>IF(WWWW[[#This Row],[Location Type 1]]="camp",WWWW[[#This Row],['# potential required new latrines]]/(WWWW[[#This Row],[Total PoP ]]/20),WWWW[[#This Row],['# potential required new latrines]]/(WWWW[[#This Row],[Total PoP ]]/6))</f>
        <v>1</v>
      </c>
      <c r="BL183" s="558">
        <f>IF(WWWW[[#This Row],[Total required Latrines]]-WWWW[[#This Row],[Total '# of latrine]]&lt;0,0,WWWW[[#This Row],[Total required Latrines]]-WWWW[[#This Row],[Total '# of latrine]])</f>
        <v>10</v>
      </c>
      <c r="BM183" s="559">
        <f>ROUND(IF(WWWW[[#This Row],[Location Type 1]]="camp",WWWW[[#This Row],[Total PoP ]]/20,WWWW[[#This Row],[Total PoP ]]/6),0)</f>
        <v>10</v>
      </c>
      <c r="BN183" s="562">
        <f>IF(OR(WWWW[[#This Row],['# Existing latrines dysfunctional]]="",WWWW[[#This Row],['# Existing latrines dysfunctional]]=0),0,WWWW[[#This Row],['# Existing latrines dysfunctional]]/WWWW[[#This Row],[Total '# of latrine]])</f>
        <v>0</v>
      </c>
      <c r="BO183" s="677"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P183" s="557">
        <f>WWWW[[#This Row],[People adopt basic personal and community hygiene practices]]/WWWW[[#This Row],[Total PoP ]]</f>
        <v>0</v>
      </c>
      <c r="BQ183" s="562">
        <f>1-WWWW[[#This Row],[Hygiene Coverage%]]</f>
        <v>1</v>
      </c>
      <c r="BR183" s="558">
        <f>IF(500*WWWW[[#This Row],['# Hygiene Promoters ]]&gt;WWWW[[#This Row],[Total PoP ]],WWWW[[#This Row],[Total PoP ]],500*WWWW[[#This Row],['# Hygiene Promoters ]])</f>
        <v>60</v>
      </c>
      <c r="BS183" s="558">
        <f>IF(WWWW[[#This Row],[% of HH with access to Sanitary Pad]]&gt;=100%,1,0)</f>
        <v>0</v>
      </c>
      <c r="BT183" s="558">
        <f>IF(WWWW[[#This Row],[Total PoP ]]=0,0,IF(WWWW[[#This Row],['# Hygiene Promoters ]]=0,0,IF(WWWW[[#This Row],[Location Type 1]]="Village",IF(WWWW[[#This Row],[Total PoP ]]/WWWW[[#This Row],['# Hygiene Promoters ]]&lt;1000,1,0),IF(WWWW[[#This Row],[Total PoP ]]/WWWW[[#This Row],['# Hygiene Promoters ]]&lt;600,1,0))))</f>
        <v>1</v>
      </c>
      <c r="BU183" s="558">
        <f>IF(WWWW[[#This Row],[%HH with access to soap]]&gt;=100%,1,0)</f>
        <v>0</v>
      </c>
      <c r="BV183" s="558">
        <f>IF(WWWW[[#This Row],[% of HHs with access to Sanitary pad more than '#%]]+WWWW[[#This Row],[Ratio of Hyiene promoters to people less than '#]]+WWWW[[#This Row],[% of HHs with access to soap more than '#%]]&gt;=2,WWWW[[#This Row],[Total PoP ]],0)</f>
        <v>0</v>
      </c>
      <c r="BW183" s="563">
        <f>WWWW[[#This Row],['# people reached by regular dedicated hygiene promotion_5]]/WWWW[[#This Row],[Total PoP ]]</f>
        <v>1</v>
      </c>
      <c r="BX183" s="563">
        <f>IF(WWWW[[#This Row],['# HH received soaps]]/WWWW[[#This Row],[Total HH]]&gt;1,1,WWWW[[#This Row],['# HH received soaps]]/WWWW[[#This Row],[Total HH]])</f>
        <v>0</v>
      </c>
      <c r="BY183" s="563">
        <f>IF(WWWW[[#This Row],['# HH received Sanitary Pads]]/WWWW[[#This Row],[Total HH]]&gt;1,1,WWWW[[#This Row],['# HH received Sanitary Pads]]/WWWW[[#This Row],[Total HH]])</f>
        <v>0</v>
      </c>
      <c r="BZ183" s="722">
        <f>WWWW[[#This Row],['# HH received soaps]]*5</f>
        <v>0</v>
      </c>
      <c r="CA183" s="722">
        <f>WWWW[[#This Row],['# HH received Sanitary Pads]]*5</f>
        <v>0</v>
      </c>
      <c r="CB183" s="559">
        <f>IF(WWWW[[#This Row],['# People with access to soap]]&gt;WWWW[[#This Row],['# People with access to Sanity Pads]],WWWW[[#This Row],['# People with access to soap]],WWWW[[#This Row],['# People with access to Sanity Pads]])</f>
        <v>0</v>
      </c>
      <c r="CC183" s="558">
        <f>WWWW[[#This Row],[Total HH]]*WWWW[[#This Row],[%HHs with access to functional hand washing stations]]</f>
        <v>0</v>
      </c>
      <c r="CD183" s="240">
        <f>VLOOKUP(WWWW[[#This Row],[Site Name]],SiteDB6[],8,FALSE)</f>
        <v>0</v>
      </c>
      <c r="CE183" s="240">
        <f>VLOOKUP(WWWW[[#This Row],[Site Name]],SiteDB6[],9,FALSE)</f>
        <v>0</v>
      </c>
      <c r="CF183" s="240" t="str">
        <f>VLOOKUP(WWWW[[#This Row],[Site Name]],SiteDB6[],10,FALSE)</f>
        <v>Village_Not HRP</v>
      </c>
      <c r="CG183" s="240" t="str">
        <f>VLOOKUP(WWWW[[#This Row],[Site Name]],SiteDB6[],11,FALSE)</f>
        <v>Village</v>
      </c>
      <c r="CH183" s="240" t="str">
        <f>VLOOKUP(WWWW[[#This Row],[Site Name]],SiteDB6[],12,FALSE)</f>
        <v>Village_Not HRP</v>
      </c>
      <c r="CI183" s="240" t="str">
        <f>VLOOKUP(WWWW[[#This Row],[Site Name]],SiteDB6[],13,FALSE)</f>
        <v>Rakhine</v>
      </c>
      <c r="CJ183" s="240">
        <f>VLOOKUP(WWWW[[#This Row],[Site Name]],SiteDB6[],14,FALSE)</f>
        <v>20.8490600585938</v>
      </c>
      <c r="CK183" s="240">
        <f>VLOOKUP(WWWW[[#This Row],[Site Name]],SiteDB6[],15,FALSE)</f>
        <v>92.497413635253906</v>
      </c>
      <c r="CL183" s="240">
        <f>VLOOKUP(WWWW[[#This Row],[Site Name]],SiteDB6[],4,FALSE)</f>
        <v>198313</v>
      </c>
      <c r="CM183" s="557" t="str">
        <f t="shared" si="2"/>
        <v>Covered</v>
      </c>
      <c r="CN183" s="557"/>
    </row>
    <row r="184" spans="1:92" ht="16.5" hidden="1" customHeight="1" thickBot="1" x14ac:dyDescent="0.3">
      <c r="A184" s="796" t="s">
        <v>1409</v>
      </c>
      <c r="B184" s="565" t="s">
        <v>542</v>
      </c>
      <c r="C184" s="565" t="s">
        <v>464</v>
      </c>
      <c r="D184" s="565" t="s">
        <v>490</v>
      </c>
      <c r="E184" s="565" t="s">
        <v>2637</v>
      </c>
      <c r="F184" s="555">
        <v>60</v>
      </c>
      <c r="G184" s="799">
        <v>318</v>
      </c>
      <c r="H184" s="555"/>
      <c r="I184" s="555" t="s">
        <v>398</v>
      </c>
      <c r="J184" s="556">
        <v>43343</v>
      </c>
      <c r="K184" s="555">
        <v>0</v>
      </c>
      <c r="L184" s="555" t="s">
        <v>48</v>
      </c>
      <c r="M184" s="404"/>
      <c r="N184" s="404"/>
      <c r="O184" s="619"/>
      <c r="P184" s="620"/>
      <c r="Q184" s="620"/>
      <c r="R184" s="621"/>
      <c r="S184" s="621"/>
      <c r="T184" s="621"/>
      <c r="U184" s="621"/>
      <c r="V184" s="621"/>
      <c r="W184" s="621"/>
      <c r="X184" s="621"/>
      <c r="Y184" s="621"/>
      <c r="Z184" s="637"/>
      <c r="AA184" s="637"/>
      <c r="AB184" s="638"/>
      <c r="AC184" s="637">
        <v>3</v>
      </c>
      <c r="AD184" s="598" t="s">
        <v>342</v>
      </c>
      <c r="AE184" s="599" t="s">
        <v>342</v>
      </c>
      <c r="AF184" s="639"/>
      <c r="AG184" s="637"/>
      <c r="AH184" s="637"/>
      <c r="AI184" s="649">
        <v>0</v>
      </c>
      <c r="AJ184" s="650" t="s">
        <v>294</v>
      </c>
      <c r="AK184" s="650">
        <v>0</v>
      </c>
      <c r="AL184" s="645">
        <v>0</v>
      </c>
      <c r="AM184" s="645">
        <v>7</v>
      </c>
      <c r="AN184" s="663"/>
      <c r="AO184" s="663"/>
      <c r="AP184" s="663"/>
      <c r="AQ184" s="664"/>
      <c r="AR184" s="557" t="str">
        <f>IFERROR(WWWW[[#This Row],['# of Water passed at source]]/WWWW[[#This Row],['# of Water tested at source]],"no test")</f>
        <v>no test</v>
      </c>
      <c r="AS184" s="560" t="str">
        <f>IFERROR(WWWW[[#This Row],['# of Water passed at HH]]/WWWW[[#This Row],['# of Water tested at HH]],"no test")</f>
        <v>no test</v>
      </c>
      <c r="AT184" s="560">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U184" s="560">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AV184" s="560">
        <f>IF(WWWW[[#This Row],[Location Type 1]]="Village",WWWW[[#This Row],[Access to safe drinking water for Village]],WWWW[[#This Row],[Access to safe drinking water for Camp]])</f>
        <v>0</v>
      </c>
      <c r="AW184" s="558">
        <f>WWWW[[#This Row],[%Equitable and continuous access to sufficient quantity of safe drinking water]]*WWWW[[#This Row],[Total PoP ]]</f>
        <v>0</v>
      </c>
      <c r="AX184" s="560">
        <f>IF((WWWW[[#This Row],['# Existing protected/fenced ponds ]]*250)/WWWW[[#This Row],[Total PoP ]]&gt;1,1,WWWW[[#This Row],['# Existing protected/fenced ponds ]]*250/WWWW[[#This Row],[Total PoP ]])</f>
        <v>0</v>
      </c>
      <c r="AY184" s="558">
        <f>WWWW[[#This Row],[Access to unimproved water points]]*WWWW[[#This Row],[Total PoP ]]</f>
        <v>0</v>
      </c>
      <c r="AZ184" s="560">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A184" s="558">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B184" s="414">
        <f>ROUND(WWWW[[#This Row],['#people Equitable and continuous access to sufficient quantity of domestic water borehole n ponds_2]]/500,0)</f>
        <v>0</v>
      </c>
      <c r="BC184" s="557">
        <f>1-WWWW[[#This Row],[%Equitable and continuous access to sufficient quantity of domestic water borehole n ponds]]</f>
        <v>1</v>
      </c>
      <c r="BD184" s="558">
        <f>WWWW[[#This Row],[%equitable and continuous access to sufficient quantity of safe drinking and domestic water''s GAP]]*WWWW[[#This Row],[Total PoP ]]</f>
        <v>318</v>
      </c>
      <c r="BE184" s="559">
        <f>IF(WWWW[[#This Row],[Total required water points]]-WWWW[[#This Row],['#Water points coverage]]&lt;0,0,WWWW[[#This Row],[Total required water points]]-WWWW[[#This Row],['#Water points coverage]])</f>
        <v>1</v>
      </c>
      <c r="BF184" s="559">
        <f>ROUND(IF(WWWW[[#This Row],[Total PoP ]]&lt;500,1,WWWW[[#This Row],[Total PoP ]]/500),0)</f>
        <v>1</v>
      </c>
      <c r="BG184" s="559" t="str">
        <f>IF(AND(WWWW[[#This Row],[%of Water samples which passed at water source]]="no test",WWWW[[#This Row],[%Water samples which passed at HH]]="no test"),"No Test","Tested")</f>
        <v>No Test</v>
      </c>
      <c r="BH184" s="559">
        <f>WWWW[[#This Row],['# Existing functional latrines]]+WWWW[[#This Row],['# Existing latrines dysfunctional]]</f>
        <v>0</v>
      </c>
      <c r="BI184" s="557">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J184" s="677">
        <f>WWWW[[#This Row],[% people access to functioning Latrine]]*WWWW[[#This Row],[Total PoP ]]</f>
        <v>0</v>
      </c>
      <c r="BK184" s="557">
        <f>IF(WWWW[[#This Row],[Location Type 1]]="camp",WWWW[[#This Row],['# potential required new latrines]]/(WWWW[[#This Row],[Total PoP ]]/20),WWWW[[#This Row],['# potential required new latrines]]/(WWWW[[#This Row],[Total PoP ]]/6))</f>
        <v>1</v>
      </c>
      <c r="BL184" s="558">
        <f>IF(WWWW[[#This Row],[Total required Latrines]]-WWWW[[#This Row],[Total '# of latrine]]&lt;0,0,WWWW[[#This Row],[Total required Latrines]]-WWWW[[#This Row],[Total '# of latrine]])</f>
        <v>53</v>
      </c>
      <c r="BM184" s="559">
        <f>ROUND(IF(WWWW[[#This Row],[Location Type 1]]="camp",WWWW[[#This Row],[Total PoP ]]/20,WWWW[[#This Row],[Total PoP ]]/6),0)</f>
        <v>53</v>
      </c>
      <c r="BN184" s="562">
        <f>IF(OR(WWWW[[#This Row],['# Existing latrines dysfunctional]]="",WWWW[[#This Row],['# Existing latrines dysfunctional]]=0),0,WWWW[[#This Row],['# Existing latrines dysfunctional]]/WWWW[[#This Row],[Total '# of latrine]])</f>
        <v>0</v>
      </c>
      <c r="BO184" s="677"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P184" s="557">
        <f>WWWW[[#This Row],[People adopt basic personal and community hygiene practices]]/WWWW[[#This Row],[Total PoP ]]</f>
        <v>0</v>
      </c>
      <c r="BQ184" s="562">
        <f>1-WWWW[[#This Row],[Hygiene Coverage%]]</f>
        <v>1</v>
      </c>
      <c r="BR184" s="558">
        <f>IF(500*WWWW[[#This Row],['# Hygiene Promoters ]]&gt;WWWW[[#This Row],[Total PoP ]],WWWW[[#This Row],[Total PoP ]],500*WWWW[[#This Row],['# Hygiene Promoters ]])</f>
        <v>318</v>
      </c>
      <c r="BS184" s="558">
        <f>IF(WWWW[[#This Row],[% of HH with access to Sanitary Pad]]&gt;=100%,1,0)</f>
        <v>0</v>
      </c>
      <c r="BT184" s="558">
        <f>IF(WWWW[[#This Row],[Total PoP ]]=0,0,IF(WWWW[[#This Row],['# Hygiene Promoters ]]=0,0,IF(WWWW[[#This Row],[Location Type 1]]="Village",IF(WWWW[[#This Row],[Total PoP ]]/WWWW[[#This Row],['# Hygiene Promoters ]]&lt;1000,1,0),IF(WWWW[[#This Row],[Total PoP ]]/WWWW[[#This Row],['# Hygiene Promoters ]]&lt;600,1,0))))</f>
        <v>1</v>
      </c>
      <c r="BU184" s="558">
        <f>IF(WWWW[[#This Row],[%HH with access to soap]]&gt;=100%,1,0)</f>
        <v>0</v>
      </c>
      <c r="BV184" s="558">
        <f>IF(WWWW[[#This Row],[% of HHs with access to Sanitary pad more than '#%]]+WWWW[[#This Row],[Ratio of Hyiene promoters to people less than '#]]+WWWW[[#This Row],[% of HHs with access to soap more than '#%]]&gt;=2,WWWW[[#This Row],[Total PoP ]],0)</f>
        <v>0</v>
      </c>
      <c r="BW184" s="563">
        <f>WWWW[[#This Row],['# people reached by regular dedicated hygiene promotion_5]]/WWWW[[#This Row],[Total PoP ]]</f>
        <v>1</v>
      </c>
      <c r="BX184" s="563">
        <f>IF(WWWW[[#This Row],['# HH received soaps]]/WWWW[[#This Row],[Total HH]]&gt;1,1,WWWW[[#This Row],['# HH received soaps]]/WWWW[[#This Row],[Total HH]])</f>
        <v>0</v>
      </c>
      <c r="BY184" s="563">
        <f>IF(WWWW[[#This Row],['# HH received Sanitary Pads]]/WWWW[[#This Row],[Total HH]]&gt;1,1,WWWW[[#This Row],['# HH received Sanitary Pads]]/WWWW[[#This Row],[Total HH]])</f>
        <v>0</v>
      </c>
      <c r="BZ184" s="722">
        <f>WWWW[[#This Row],['# HH received soaps]]*5</f>
        <v>0</v>
      </c>
      <c r="CA184" s="722">
        <f>WWWW[[#This Row],['# HH received Sanitary Pads]]*5</f>
        <v>0</v>
      </c>
      <c r="CB184" s="559">
        <f>IF(WWWW[[#This Row],['# People with access to soap]]&gt;WWWW[[#This Row],['# People with access to Sanity Pads]],WWWW[[#This Row],['# People with access to soap]],WWWW[[#This Row],['# People with access to Sanity Pads]])</f>
        <v>0</v>
      </c>
      <c r="CC184" s="558">
        <f>WWWW[[#This Row],[Total HH]]*WWWW[[#This Row],[%HHs with access to functional hand washing stations]]</f>
        <v>0</v>
      </c>
      <c r="CD184" s="240">
        <f>VLOOKUP(WWWW[[#This Row],[Site Name]],SiteDB6[],8,FALSE)</f>
        <v>0</v>
      </c>
      <c r="CE184" s="240">
        <f>VLOOKUP(WWWW[[#This Row],[Site Name]],SiteDB6[],9,FALSE)</f>
        <v>0</v>
      </c>
      <c r="CF184" s="240" t="str">
        <f>VLOOKUP(WWWW[[#This Row],[Site Name]],SiteDB6[],10,FALSE)</f>
        <v>Village</v>
      </c>
      <c r="CG184" s="240" t="str">
        <f>VLOOKUP(WWWW[[#This Row],[Site Name]],SiteDB6[],11,FALSE)</f>
        <v>Village</v>
      </c>
      <c r="CH184" s="240" t="str">
        <f>VLOOKUP(WWWW[[#This Row],[Site Name]],SiteDB6[],12,FALSE)</f>
        <v>Village</v>
      </c>
      <c r="CI184" s="240" t="str">
        <f>VLOOKUP(WWWW[[#This Row],[Site Name]],SiteDB6[],13,FALSE)</f>
        <v>Daing Net</v>
      </c>
      <c r="CJ184" s="240">
        <f>VLOOKUP(WWWW[[#This Row],[Site Name]],SiteDB6[],14,FALSE)</f>
        <v>20.936040878295898</v>
      </c>
      <c r="CK184" s="240">
        <f>VLOOKUP(WWWW[[#This Row],[Site Name]],SiteDB6[],15,FALSE)</f>
        <v>92.475830078125</v>
      </c>
      <c r="CL184" s="240">
        <f>VLOOKUP(WWWW[[#This Row],[Site Name]],SiteDB6[],4,FALSE)</f>
        <v>198177</v>
      </c>
      <c r="CM184" s="557" t="str">
        <f t="shared" si="2"/>
        <v>Covered</v>
      </c>
      <c r="CN184" s="557"/>
    </row>
    <row r="185" spans="1:92" ht="16.5" customHeight="1" thickBot="1" x14ac:dyDescent="0.3">
      <c r="A185" s="594" t="s">
        <v>1409</v>
      </c>
      <c r="B185" s="530" t="s">
        <v>539</v>
      </c>
      <c r="C185" s="531" t="s">
        <v>464</v>
      </c>
      <c r="D185" s="531" t="s">
        <v>530</v>
      </c>
      <c r="E185" s="531" t="s">
        <v>541</v>
      </c>
      <c r="F185" s="402">
        <v>366</v>
      </c>
      <c r="G185" s="734">
        <v>992</v>
      </c>
      <c r="H185" s="402" t="s">
        <v>296</v>
      </c>
      <c r="I185" s="402" t="s">
        <v>398</v>
      </c>
      <c r="J185" s="403">
        <v>43281</v>
      </c>
      <c r="K185" s="402"/>
      <c r="L185" s="402" t="s">
        <v>292</v>
      </c>
      <c r="M185" s="404"/>
      <c r="N185" s="404"/>
      <c r="O185" s="605">
        <v>4</v>
      </c>
      <c r="P185" s="606">
        <v>2</v>
      </c>
      <c r="Q185" s="606">
        <v>0</v>
      </c>
      <c r="R185" s="607">
        <v>0</v>
      </c>
      <c r="S185" s="607"/>
      <c r="T185" s="607"/>
      <c r="U185" s="607">
        <v>0</v>
      </c>
      <c r="V185" s="607">
        <v>4</v>
      </c>
      <c r="W185" s="607">
        <v>3</v>
      </c>
      <c r="X185" s="607">
        <v>17</v>
      </c>
      <c r="Y185" s="607">
        <v>14</v>
      </c>
      <c r="Z185" s="598">
        <v>90</v>
      </c>
      <c r="AA185" s="598">
        <v>10</v>
      </c>
      <c r="AB185" s="80"/>
      <c r="AC185" s="598"/>
      <c r="AD185" s="599" t="s">
        <v>293</v>
      </c>
      <c r="AE185" s="599" t="s">
        <v>1379</v>
      </c>
      <c r="AF185" s="599"/>
      <c r="AG185" s="598"/>
      <c r="AH185" s="598"/>
      <c r="AI185" s="649">
        <v>1</v>
      </c>
      <c r="AJ185" s="650" t="s">
        <v>386</v>
      </c>
      <c r="AK185" s="650">
        <v>252</v>
      </c>
      <c r="AL185" s="669">
        <v>2</v>
      </c>
      <c r="AM185" s="669">
        <v>28</v>
      </c>
      <c r="AN185" s="600">
        <v>365</v>
      </c>
      <c r="AO185" s="651">
        <v>281</v>
      </c>
      <c r="AP185" s="600"/>
      <c r="AQ185" s="651"/>
      <c r="AR185" s="404" t="str">
        <f>IFERROR(WWWW[[#This Row],['# of Water passed at source]]/WWWW[[#This Row],['# of Water tested at source]],"no test")</f>
        <v>no test</v>
      </c>
      <c r="AS185" s="407">
        <f>IFERROR(WWWW[[#This Row],['# of Water passed at HH]]/WWWW[[#This Row],['# of Water tested at HH]],"no test")</f>
        <v>0.75</v>
      </c>
      <c r="AT185" s="407">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U185" s="407">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AV185" s="407">
        <f>IF(WWWW[[#This Row],[Location Type 1]]="Village",WWWW[[#This Row],[Access to safe drinking water for Village]],WWWW[[#This Row],[Access to safe drinking water for Camp]])</f>
        <v>1</v>
      </c>
      <c r="AW185" s="405">
        <f>WWWW[[#This Row],[%Equitable and continuous access to sufficient quantity of safe drinking water]]*WWWW[[#This Row],[Total PoP ]]</f>
        <v>992</v>
      </c>
      <c r="AX185" s="407">
        <f>IF((WWWW[[#This Row],['# Existing protected/fenced ponds ]]*250)/WWWW[[#This Row],[Total PoP ]]&gt;1,1,WWWW[[#This Row],['# Existing protected/fenced ponds ]]*250/WWWW[[#This Row],[Total PoP ]])</f>
        <v>0</v>
      </c>
      <c r="AY185" s="405">
        <f>WWWW[[#This Row],[Access to unimproved water points]]*WWWW[[#This Row],[Total PoP ]]</f>
        <v>0</v>
      </c>
      <c r="AZ185" s="407">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A185" s="405">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992</v>
      </c>
      <c r="BB185" s="414">
        <f>WWWW[[#This Row],['#people Equitable and continuous access to sufficient quantity of domestic water borehole n ponds_2]]/500</f>
        <v>1.984</v>
      </c>
      <c r="BC185" s="404">
        <f>1-WWWW[[#This Row],[%Equitable and continuous access to sufficient quantity of domestic water borehole n ponds]]</f>
        <v>0</v>
      </c>
      <c r="BD185" s="405">
        <f>WWWW[[#This Row],[%equitable and continuous access to sufficient quantity of safe drinking and domestic water''s GAP]]*WWWW[[#This Row],[Total PoP ]]</f>
        <v>0</v>
      </c>
      <c r="BE185" s="406">
        <f>IF(WWWW[[#This Row],[Total required water points]]-WWWW[[#This Row],['#Water points coverage]]&lt;0,0,WWWW[[#This Row],[Total required water points]]-WWWW[[#This Row],['#Water points coverage]])</f>
        <v>1.6000000000000014E-2</v>
      </c>
      <c r="BF185" s="406">
        <f>ROUND(IF(WWWW[[#This Row],[Total PoP ]]&lt;500,1,WWWW[[#This Row],[Total PoP ]]/500),0)</f>
        <v>2</v>
      </c>
      <c r="BG185" s="406" t="str">
        <f>IF(AND(WWWW[[#This Row],[%of Water samples which passed at water source]]="no test",WWWW[[#This Row],[%Water samples which passed at HH]]="no test"),"No Test","Tested")</f>
        <v>Tested</v>
      </c>
      <c r="BH185" s="406">
        <f>WWWW[[#This Row],['# Existing functional latrines]]+WWWW[[#This Row],['# Existing latrines dysfunctional]]</f>
        <v>100</v>
      </c>
      <c r="BI185" s="404">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1</v>
      </c>
      <c r="BJ185" s="676">
        <f>WWWW[[#This Row],[% people access to functioning Latrine]]*WWWW[[#This Row],[Total PoP ]]</f>
        <v>992</v>
      </c>
      <c r="BK185" s="404">
        <f>IF(WWWW[[#This Row],[Location Type 1]]="camp",WWWW[[#This Row],['# potential required new latrines]]/(WWWW[[#This Row],[Total PoP ]]/20),WWWW[[#This Row],['# potential required new latrines]]/(WWWW[[#This Row],[Total PoP ]]/6))</f>
        <v>0</v>
      </c>
      <c r="BL185" s="405">
        <f>IF(WWWW[[#This Row],[Total required Latrines]]-WWWW[[#This Row],[Total '# of latrine]]&lt;0,0,WWWW[[#This Row],[Total required Latrines]]-WWWW[[#This Row],[Total '# of latrine]])</f>
        <v>0</v>
      </c>
      <c r="BM185" s="406">
        <f>ROUND(IF(WWWW[[#This Row],[Location Type 1]]="camp",WWWW[[#This Row],[Total PoP ]]/20,WWWW[[#This Row],[Total PoP ]]/6),0)</f>
        <v>50</v>
      </c>
      <c r="BN185" s="408">
        <f>IF(OR(WWWW[[#This Row],['# Existing latrines dysfunctional]]="",WWWW[[#This Row],['# Existing latrines dysfunctional]]=0),0,WWWW[[#This Row],['# Existing latrines dysfunctional]]/WWWW[[#This Row],[Total '# of latrine]])</f>
        <v>0.1</v>
      </c>
      <c r="BO185" s="676">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P185" s="404">
        <f>WWWW[[#This Row],[People adopt basic personal and community hygiene practices]]/WWWW[[#This Row],[Total PoP ]]</f>
        <v>0</v>
      </c>
      <c r="BQ185" s="408">
        <f>1-WWWW[[#This Row],[Hygiene Coverage%]]</f>
        <v>1</v>
      </c>
      <c r="BR185" s="405">
        <f>IF(500*WWWW[[#This Row],['# Hygiene Promoters ]]&gt;WWWW[[#This Row],[Total PoP ]],WWWW[[#This Row],[Total PoP ]],500*WWWW[[#This Row],['# Hygiene Promoters ]])</f>
        <v>992</v>
      </c>
      <c r="BS185" s="405">
        <f>IF(WWWW[[#This Row],[% of HH with access to Sanitary Pad]]&gt;=100%,1,0)</f>
        <v>0</v>
      </c>
      <c r="BT185" s="405">
        <f>IF(WWWW[[#This Row],[Total PoP ]]=0,0,IF(WWWW[[#This Row],['# Hygiene Promoters ]]=0,0,IF(WWWW[[#This Row],[Location Type 1]]="Village",IF(WWWW[[#This Row],[Total PoP ]]/WWWW[[#This Row],['# Hygiene Promoters ]]&lt;1000,1,0),IF(WWWW[[#This Row],[Total PoP ]]/WWWW[[#This Row],['# Hygiene Promoters ]]&lt;600,1,0))))</f>
        <v>1</v>
      </c>
      <c r="BU185" s="405">
        <f>IF(WWWW[[#This Row],[%HH with access to soap]]&gt;=100%,1,0)</f>
        <v>0</v>
      </c>
      <c r="BV185" s="405">
        <f>IF(WWWW[[#This Row],[% of HHs with access to Sanitary pad more than '#%]]+WWWW[[#This Row],[Ratio of Hyiene promoters to people less than '#]]+WWWW[[#This Row],[% of HHs with access to soap more than '#%]]&gt;=2,WWWW[[#This Row],[Total PoP ]],0)</f>
        <v>0</v>
      </c>
      <c r="BW185" s="391">
        <f>WWWW[[#This Row],['# people reached by regular dedicated hygiene promotion_5]]/WWWW[[#This Row],[Total PoP ]]</f>
        <v>1</v>
      </c>
      <c r="BX185" s="391">
        <f>IF(WWWW[[#This Row],['# HH received soaps]]/WWWW[[#This Row],[Total HH]]&gt;1,1,WWWW[[#This Row],['# HH received soaps]]/WWWW[[#This Row],[Total HH]])</f>
        <v>0.99726775956284153</v>
      </c>
      <c r="BY185" s="391">
        <f>IF(WWWW[[#This Row],['# HH received Sanitary Pads]]/WWWW[[#This Row],[Total HH]]&gt;1,1,WWWW[[#This Row],['# HH received Sanitary Pads]]/WWWW[[#This Row],[Total HH]])</f>
        <v>0.76775956284153002</v>
      </c>
      <c r="BZ185" s="721">
        <f>WWWW[[#This Row],['# HH received soaps]]*5</f>
        <v>1825</v>
      </c>
      <c r="CA185" s="721">
        <f>WWWW[[#This Row],['# HH received Sanitary Pads]]*5</f>
        <v>1405</v>
      </c>
      <c r="CB185" s="406">
        <f>IF(WWWW[[#This Row],['# People with access to soap]]&gt;WWWW[[#This Row],['# People with access to Sanity Pads]],WWWW[[#This Row],['# People with access to soap]],WWWW[[#This Row],['# People with access to Sanity Pads]])</f>
        <v>1825</v>
      </c>
      <c r="CC185" s="405">
        <f>WWWW[[#This Row],[Total HH]]*WWWW[[#This Row],[%HHs with access to functional hand washing stations]]</f>
        <v>366</v>
      </c>
      <c r="CD185" s="240" t="str">
        <f>VLOOKUP(WWWW[[#This Row],[Site Name]],SiteDB6[],8,FALSE)</f>
        <v>Yes</v>
      </c>
      <c r="CE185" s="240" t="str">
        <f>VLOOKUP(WWWW[[#This Row],[Site Name]],SiteDB6[],9,FALSE)</f>
        <v>UNHCR</v>
      </c>
      <c r="CF185" s="240" t="str">
        <f>VLOOKUP(WWWW[[#This Row],[Site Name]],SiteDB6[],10,FALSE)</f>
        <v>Camp</v>
      </c>
      <c r="CG185" s="240" t="str">
        <f>VLOOKUP(WWWW[[#This Row],[Site Name]],SiteDB6[],11,FALSE)</f>
        <v>Camp</v>
      </c>
      <c r="CH185" s="240" t="str">
        <f>VLOOKUP(WWWW[[#This Row],[Site Name]],SiteDB6[],12,FALSE)</f>
        <v>Planned Camp</v>
      </c>
      <c r="CI185" s="240" t="str">
        <f>VLOOKUP(WWWW[[#This Row],[Site Name]],SiteDB6[],13,FALSE)</f>
        <v>Muslim</v>
      </c>
      <c r="CJ185" s="240">
        <f>VLOOKUP(WWWW[[#This Row],[Site Name]],SiteDB6[],14,FALSE)</f>
        <v>19.424576999999999</v>
      </c>
      <c r="CK185" s="240">
        <f>VLOOKUP(WWWW[[#This Row],[Site Name]],SiteDB6[],15,FALSE)</f>
        <v>93.512326000000002</v>
      </c>
      <c r="CL185" s="240" t="str">
        <f>VLOOKUP(WWWW[[#This Row],[Site Name]],SiteDB6[],4,FALSE)</f>
        <v>MMR012CMP035</v>
      </c>
      <c r="CM185" s="404" t="str">
        <f t="shared" si="2"/>
        <v>Covered</v>
      </c>
      <c r="CN185" s="404"/>
    </row>
    <row r="186" spans="1:92" ht="16.5" hidden="1" customHeight="1" thickBot="1" x14ac:dyDescent="0.3">
      <c r="A186" s="796" t="s">
        <v>1409</v>
      </c>
      <c r="B186" s="530" t="s">
        <v>470</v>
      </c>
      <c r="C186" s="531" t="s">
        <v>464</v>
      </c>
      <c r="D186" s="531" t="s">
        <v>530</v>
      </c>
      <c r="E186" s="531" t="s">
        <v>540</v>
      </c>
      <c r="F186" s="402">
        <v>65</v>
      </c>
      <c r="G186" s="734">
        <v>211</v>
      </c>
      <c r="H186" s="402"/>
      <c r="I186" s="402" t="s">
        <v>398</v>
      </c>
      <c r="J186" s="403">
        <v>43150</v>
      </c>
      <c r="K186" s="402">
        <v>31</v>
      </c>
      <c r="L186" s="402" t="s">
        <v>48</v>
      </c>
      <c r="M186" s="404">
        <v>0.6</v>
      </c>
      <c r="N186" s="404">
        <v>0</v>
      </c>
      <c r="O186" s="612">
        <v>0</v>
      </c>
      <c r="P186" s="606">
        <v>0</v>
      </c>
      <c r="Q186" s="606">
        <v>15066</v>
      </c>
      <c r="R186" s="607">
        <v>0</v>
      </c>
      <c r="S186" s="607">
        <v>0</v>
      </c>
      <c r="T186" s="607"/>
      <c r="U186" s="607"/>
      <c r="V186" s="607"/>
      <c r="W186" s="607"/>
      <c r="X186" s="607"/>
      <c r="Y186" s="607"/>
      <c r="Z186" s="598">
        <v>65</v>
      </c>
      <c r="AA186" s="598">
        <v>65</v>
      </c>
      <c r="AB186" s="80"/>
      <c r="AC186" s="598">
        <v>65</v>
      </c>
      <c r="AD186" s="598" t="s">
        <v>1379</v>
      </c>
      <c r="AE186" s="599" t="s">
        <v>293</v>
      </c>
      <c r="AF186" s="599"/>
      <c r="AG186" s="598"/>
      <c r="AH186" s="598" t="s">
        <v>2589</v>
      </c>
      <c r="AI186" s="649">
        <v>1</v>
      </c>
      <c r="AJ186" s="650" t="s">
        <v>294</v>
      </c>
      <c r="AK186" s="650">
        <v>0</v>
      </c>
      <c r="AL186" s="645">
        <v>0</v>
      </c>
      <c r="AM186" s="645">
        <v>1</v>
      </c>
      <c r="AN186" s="600"/>
      <c r="AO186" s="600"/>
      <c r="AP186" s="600"/>
      <c r="AQ186" s="651" t="s">
        <v>2593</v>
      </c>
      <c r="AR186" s="404" t="str">
        <f>IFERROR(WWWW[[#This Row],['# of Water passed at source]]/WWWW[[#This Row],['# of Water tested at source]],"no test")</f>
        <v>no test</v>
      </c>
      <c r="AS186" s="407" t="str">
        <f>IFERROR(WWWW[[#This Row],['# of Water passed at HH]]/WWWW[[#This Row],['# of Water tested at HH]],"no test")</f>
        <v>no test</v>
      </c>
      <c r="AT186" s="407">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U186" s="407">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AV186" s="407">
        <f>IF(WWWW[[#This Row],[Location Type 1]]="Village",WWWW[[#This Row],[Access to safe drinking water for Village]],WWWW[[#This Row],[Access to safe drinking water for Camp]])</f>
        <v>1</v>
      </c>
      <c r="AW186" s="405">
        <f>WWWW[[#This Row],[%Equitable and continuous access to sufficient quantity of safe drinking water]]*WWWW[[#This Row],[Total PoP ]]</f>
        <v>211</v>
      </c>
      <c r="AX186" s="407">
        <f>IF((WWWW[[#This Row],['# Existing protected/fenced ponds ]]*250)/WWWW[[#This Row],[Total PoP ]]&gt;1,1,WWWW[[#This Row],['# Existing protected/fenced ponds ]]*250/WWWW[[#This Row],[Total PoP ]])</f>
        <v>0</v>
      </c>
      <c r="AY186" s="405">
        <f>WWWW[[#This Row],[Access to unimproved water points]]*WWWW[[#This Row],[Total PoP ]]</f>
        <v>0</v>
      </c>
      <c r="AZ186" s="407">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A186" s="405">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211</v>
      </c>
      <c r="BB186" s="414">
        <f>ROUND(WWWW[[#This Row],['#people Equitable and continuous access to sufficient quantity of domestic water borehole n ponds_2]]/500,0)</f>
        <v>0</v>
      </c>
      <c r="BC186" s="404">
        <f>1-WWWW[[#This Row],[%Equitable and continuous access to sufficient quantity of domestic water borehole n ponds]]</f>
        <v>0</v>
      </c>
      <c r="BD186" s="405">
        <f>WWWW[[#This Row],[%equitable and continuous access to sufficient quantity of safe drinking and domestic water''s GAP]]*WWWW[[#This Row],[Total PoP ]]</f>
        <v>0</v>
      </c>
      <c r="BE186" s="406">
        <f>IF(WWWW[[#This Row],[Total required water points]]-WWWW[[#This Row],['#Water points coverage]]&lt;0,0,WWWW[[#This Row],[Total required water points]]-WWWW[[#This Row],['#Water points coverage]])</f>
        <v>1</v>
      </c>
      <c r="BF186" s="406">
        <f>ROUND(IF(WWWW[[#This Row],[Total PoP ]]&lt;500,1,WWWW[[#This Row],[Total PoP ]]/500),0)</f>
        <v>1</v>
      </c>
      <c r="BG186" s="406" t="str">
        <f>IF(AND(WWWW[[#This Row],[%of Water samples which passed at water source]]="no test",WWWW[[#This Row],[%Water samples which passed at HH]]="no test"),"No Test","Tested")</f>
        <v>No Test</v>
      </c>
      <c r="BH186" s="406">
        <f>WWWW[[#This Row],['# Existing functional latrines]]+WWWW[[#This Row],['# Existing latrines dysfunctional]]</f>
        <v>130</v>
      </c>
      <c r="BI186" s="404">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1</v>
      </c>
      <c r="BJ186" s="676">
        <f>WWWW[[#This Row],[% people access to functioning Latrine]]*WWWW[[#This Row],[Total PoP ]]</f>
        <v>211</v>
      </c>
      <c r="BK186" s="404">
        <f>IF(WWWW[[#This Row],[Location Type 1]]="camp",WWWW[[#This Row],['# potential required new latrines]]/(WWWW[[#This Row],[Total PoP ]]/20),WWWW[[#This Row],['# potential required new latrines]]/(WWWW[[#This Row],[Total PoP ]]/6))</f>
        <v>0</v>
      </c>
      <c r="BL186" s="405">
        <f>IF(WWWW[[#This Row],[Total required Latrines]]-WWWW[[#This Row],[Total '# of latrine]]&lt;0,0,WWWW[[#This Row],[Total required Latrines]]-WWWW[[#This Row],[Total '# of latrine]])</f>
        <v>0</v>
      </c>
      <c r="BM186" s="406">
        <f>ROUND(IF(WWWW[[#This Row],[Location Type 1]]="camp",WWWW[[#This Row],[Total PoP ]]/20,WWWW[[#This Row],[Total PoP ]]/6),0)</f>
        <v>35</v>
      </c>
      <c r="BN186" s="408">
        <f>IF(OR(WWWW[[#This Row],['# Existing latrines dysfunctional]]="",WWWW[[#This Row],['# Existing latrines dysfunctional]]=0),0,WWWW[[#This Row],['# Existing latrines dysfunctional]]/WWWW[[#This Row],[Total '# of latrine]])</f>
        <v>0.5</v>
      </c>
      <c r="BO186" s="676"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P186" s="404">
        <f>WWWW[[#This Row],[People adopt basic personal and community hygiene practices]]/WWWW[[#This Row],[Total PoP ]]</f>
        <v>0</v>
      </c>
      <c r="BQ186" s="408">
        <f>1-WWWW[[#This Row],[Hygiene Coverage%]]</f>
        <v>1</v>
      </c>
      <c r="BR186" s="405">
        <f>IF(500*WWWW[[#This Row],['# Hygiene Promoters ]]&gt;WWWW[[#This Row],[Total PoP ]],WWWW[[#This Row],[Total PoP ]],500*WWWW[[#This Row],['# Hygiene Promoters ]])</f>
        <v>211</v>
      </c>
      <c r="BS186" s="405">
        <f>IF(WWWW[[#This Row],[% of HH with access to Sanitary Pad]]&gt;=100%,1,0)</f>
        <v>0</v>
      </c>
      <c r="BT186" s="405">
        <f>IF(WWWW[[#This Row],[Total PoP ]]=0,0,IF(WWWW[[#This Row],['# Hygiene Promoters ]]=0,0,IF(WWWW[[#This Row],[Location Type 1]]="Village",IF(WWWW[[#This Row],[Total PoP ]]/WWWW[[#This Row],['# Hygiene Promoters ]]&lt;1000,1,0),IF(WWWW[[#This Row],[Total PoP ]]/WWWW[[#This Row],['# Hygiene Promoters ]]&lt;600,1,0))))</f>
        <v>1</v>
      </c>
      <c r="BU186" s="405">
        <f>IF(WWWW[[#This Row],[%HH with access to soap]]&gt;=100%,1,0)</f>
        <v>0</v>
      </c>
      <c r="BV186" s="405">
        <f>IF(WWWW[[#This Row],[% of HHs with access to Sanitary pad more than '#%]]+WWWW[[#This Row],[Ratio of Hyiene promoters to people less than '#]]+WWWW[[#This Row],[% of HHs with access to soap more than '#%]]&gt;=2,WWWW[[#This Row],[Total PoP ]],0)</f>
        <v>0</v>
      </c>
      <c r="BW186" s="391">
        <f>WWWW[[#This Row],['# people reached by regular dedicated hygiene promotion_5]]/WWWW[[#This Row],[Total PoP ]]</f>
        <v>1</v>
      </c>
      <c r="BX186" s="391">
        <f>IF(WWWW[[#This Row],['# HH received soaps]]/WWWW[[#This Row],[Total HH]]&gt;1,1,WWWW[[#This Row],['# HH received soaps]]/WWWW[[#This Row],[Total HH]])</f>
        <v>0</v>
      </c>
      <c r="BY186" s="391">
        <f>IF(WWWW[[#This Row],['# HH received Sanitary Pads]]/WWWW[[#This Row],[Total HH]]&gt;1,1,WWWW[[#This Row],['# HH received Sanitary Pads]]/WWWW[[#This Row],[Total HH]])</f>
        <v>0</v>
      </c>
      <c r="BZ186" s="721">
        <f>WWWW[[#This Row],['# HH received soaps]]*5</f>
        <v>0</v>
      </c>
      <c r="CA186" s="721">
        <f>WWWW[[#This Row],['# HH received Sanitary Pads]]*5</f>
        <v>0</v>
      </c>
      <c r="CB186" s="406">
        <f>IF(WWWW[[#This Row],['# People with access to soap]]&gt;WWWW[[#This Row],['# People with access to Sanity Pads]],WWWW[[#This Row],['# People with access to soap]],WWWW[[#This Row],['# People with access to Sanity Pads]])</f>
        <v>0</v>
      </c>
      <c r="CC186" s="405">
        <f>WWWW[[#This Row],[Total HH]]*WWWW[[#This Row],[%HHs with access to functional hand washing stations]]</f>
        <v>65</v>
      </c>
      <c r="CD186" s="240" t="str">
        <f>VLOOKUP(WWWW[[#This Row],[Site Name]],SiteDB6[],8,FALSE)</f>
        <v>Yes</v>
      </c>
      <c r="CE186" s="240" t="str">
        <f>VLOOKUP(WWWW[[#This Row],[Site Name]],SiteDB6[],9,FALSE)</f>
        <v>UNHCR</v>
      </c>
      <c r="CF186" s="240" t="str">
        <f>VLOOKUP(WWWW[[#This Row],[Site Name]],SiteDB6[],10,FALSE)</f>
        <v>Village</v>
      </c>
      <c r="CG186" s="240" t="str">
        <f>VLOOKUP(WWWW[[#This Row],[Site Name]],SiteDB6[],11,FALSE)</f>
        <v>Village</v>
      </c>
      <c r="CH186" s="240" t="str">
        <f>VLOOKUP(WWWW[[#This Row],[Site Name]],SiteDB6[],12,FALSE)</f>
        <v>Relocated</v>
      </c>
      <c r="CI186" s="240" t="str">
        <f>VLOOKUP(WWWW[[#This Row],[Site Name]],SiteDB6[],13,FALSE)</f>
        <v>Rakhine</v>
      </c>
      <c r="CJ186" s="240">
        <f>VLOOKUP(WWWW[[#This Row],[Site Name]],SiteDB6[],14,FALSE)</f>
        <v>19.421102000000001</v>
      </c>
      <c r="CK186" s="240">
        <f>VLOOKUP(WWWW[[#This Row],[Site Name]],SiteDB6[],15,FALSE)</f>
        <v>93.552452000000002</v>
      </c>
      <c r="CL186" s="240" t="str">
        <f>VLOOKUP(WWWW[[#This Row],[Site Name]],SiteDB6[],4,FALSE)</f>
        <v>MMR012CMP036</v>
      </c>
      <c r="CM186" s="235" t="str">
        <f t="shared" si="2"/>
        <v>Notcovered</v>
      </c>
      <c r="CN186" s="404"/>
    </row>
    <row r="187" spans="1:92" ht="16.5" hidden="1" customHeight="1" thickBot="1" x14ac:dyDescent="0.3">
      <c r="A187" s="594" t="s">
        <v>1409</v>
      </c>
      <c r="B187" s="169" t="s">
        <v>489</v>
      </c>
      <c r="C187" s="169" t="s">
        <v>464</v>
      </c>
      <c r="D187" s="169" t="s">
        <v>473</v>
      </c>
      <c r="E187" s="169" t="s">
        <v>504</v>
      </c>
      <c r="F187" s="169">
        <v>137</v>
      </c>
      <c r="G187" s="797">
        <v>479</v>
      </c>
      <c r="H187" s="169"/>
      <c r="I187" s="169" t="s">
        <v>505</v>
      </c>
      <c r="J187" s="170">
        <v>43615</v>
      </c>
      <c r="K187" s="169">
        <v>0</v>
      </c>
      <c r="L187" s="169" t="s">
        <v>2580</v>
      </c>
      <c r="M187" s="171">
        <v>0</v>
      </c>
      <c r="N187" s="171">
        <v>0</v>
      </c>
      <c r="O187" s="608">
        <v>0</v>
      </c>
      <c r="P187" s="609">
        <v>0</v>
      </c>
      <c r="Q187" s="610">
        <v>0</v>
      </c>
      <c r="R187" s="611">
        <v>0</v>
      </c>
      <c r="S187" s="611">
        <v>0</v>
      </c>
      <c r="T187" s="611"/>
      <c r="U187" s="604"/>
      <c r="V187" s="606"/>
      <c r="W187" s="606"/>
      <c r="X187" s="604"/>
      <c r="Y187" s="607"/>
      <c r="Z187" s="598">
        <v>0</v>
      </c>
      <c r="AA187" s="599">
        <v>0</v>
      </c>
      <c r="AB187" s="629"/>
      <c r="AC187" s="632">
        <v>0</v>
      </c>
      <c r="AD187" s="80" t="s">
        <v>1379</v>
      </c>
      <c r="AE187" s="80" t="s">
        <v>1379</v>
      </c>
      <c r="AF187" s="80"/>
      <c r="AG187" s="80"/>
      <c r="AH187" s="633"/>
      <c r="AI187" s="652">
        <v>0</v>
      </c>
      <c r="AJ187" s="653"/>
      <c r="AK187" s="651">
        <v>0</v>
      </c>
      <c r="AL187" s="645">
        <v>0</v>
      </c>
      <c r="AM187" s="645">
        <v>0</v>
      </c>
      <c r="AN187" s="600"/>
      <c r="AO187" s="600"/>
      <c r="AP187" s="600"/>
      <c r="AQ187" s="654"/>
      <c r="AR187" s="235" t="str">
        <f>IFERROR(WWWW[[#This Row],['# of Water passed at source]]/WWWW[[#This Row],['# of Water tested at source]],"no test")</f>
        <v>no test</v>
      </c>
      <c r="AS187" s="237" t="str">
        <f>IFERROR(WWWW[[#This Row],['# of Water passed at HH]]/WWWW[[#This Row],['# of Water tested at HH]],"no test")</f>
        <v>no test</v>
      </c>
      <c r="AT187" s="237">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U187" s="237">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AV187" s="237">
        <f>IF(WWWW[[#This Row],[Location Type 1]]="Village",WWWW[[#This Row],[Access to safe drinking water for Village]],WWWW[[#This Row],[Access to safe drinking water for Camp]])</f>
        <v>0</v>
      </c>
      <c r="AW187" s="414">
        <f>WWWW[[#This Row],[%Equitable and continuous access to sufficient quantity of safe drinking water]]*WWWW[[#This Row],[Total PoP ]]</f>
        <v>0</v>
      </c>
      <c r="AX187" s="237">
        <f>IF((WWWW[[#This Row],['# Existing protected/fenced ponds ]]*250)/WWWW[[#This Row],[Total PoP ]]&gt;1,1,WWWW[[#This Row],['# Existing protected/fenced ponds ]]*250/WWWW[[#This Row],[Total PoP ]])</f>
        <v>0</v>
      </c>
      <c r="AY187" s="414">
        <f>WWWW[[#This Row],[Access to unimproved water points]]*WWWW[[#This Row],[Total PoP ]]</f>
        <v>0</v>
      </c>
      <c r="AZ187" s="237">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A187" s="414">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B187" s="414">
        <f>ROUND(WWWW[[#This Row],['#people Equitable and continuous access to sufficient quantity of domestic water borehole n ponds_2]]/500,0)</f>
        <v>0</v>
      </c>
      <c r="BC187" s="235">
        <f>1-WWWW[[#This Row],[%Equitable and continuous access to sufficient quantity of domestic water borehole n ponds]]</f>
        <v>1</v>
      </c>
      <c r="BD187" s="414">
        <f>WWWW[[#This Row],[%equitable and continuous access to sufficient quantity of safe drinking and domestic water''s GAP]]*WWWW[[#This Row],[Total PoP ]]</f>
        <v>479</v>
      </c>
      <c r="BE187" s="238">
        <f>IF(WWWW[[#This Row],[Total required water points]]-WWWW[[#This Row],['#Water points coverage]]&lt;0,0,WWWW[[#This Row],[Total required water points]]-WWWW[[#This Row],['#Water points coverage]])</f>
        <v>1</v>
      </c>
      <c r="BF187" s="238">
        <f>ROUND(IF(WWWW[[#This Row],[Total PoP ]]&lt;500,1,WWWW[[#This Row],[Total PoP ]]/500),0)</f>
        <v>1</v>
      </c>
      <c r="BG187" s="238" t="str">
        <f>IF(AND(WWWW[[#This Row],[%of Water samples which passed at water source]]="no test",WWWW[[#This Row],[%Water samples which passed at HH]]="no test"),"No Test","Tested")</f>
        <v>No Test</v>
      </c>
      <c r="BH187" s="238">
        <f>WWWW[[#This Row],['# Existing functional latrines]]+WWWW[[#This Row],['# Existing latrines dysfunctional]]</f>
        <v>0</v>
      </c>
      <c r="BI187" s="235">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J187" s="675">
        <f>WWWW[[#This Row],[% people access to functioning Latrine]]*WWWW[[#This Row],[Total PoP ]]</f>
        <v>0</v>
      </c>
      <c r="BK187" s="235">
        <f>IF(WWWW[[#This Row],[Location Type 1]]="camp",WWWW[[#This Row],['# potential required new latrines]]/(WWWW[[#This Row],[Total PoP ]]/20),WWWW[[#This Row],['# potential required new latrines]]/(WWWW[[#This Row],[Total PoP ]]/6))</f>
        <v>1.0020876826722338</v>
      </c>
      <c r="BL187" s="414">
        <f>IF(WWWW[[#This Row],[Total required Latrines]]-WWWW[[#This Row],[Total '# of latrine]]&lt;0,0,WWWW[[#This Row],[Total required Latrines]]-WWWW[[#This Row],[Total '# of latrine]])</f>
        <v>80</v>
      </c>
      <c r="BM187" s="238">
        <f>ROUND(IF(WWWW[[#This Row],[Location Type 1]]="camp",WWWW[[#This Row],[Total PoP ]]/20,WWWW[[#This Row],[Total PoP ]]/6),0)</f>
        <v>80</v>
      </c>
      <c r="BN187" s="239">
        <f>IF(OR(WWWW[[#This Row],['# Existing latrines dysfunctional]]="",WWWW[[#This Row],['# Existing latrines dysfunctional]]=0),0,WWWW[[#This Row],['# Existing latrines dysfunctional]]/WWWW[[#This Row],[Total '# of latrine]])</f>
        <v>0</v>
      </c>
      <c r="BO187" s="675"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P187" s="235">
        <f>WWWW[[#This Row],[People adopt basic personal and community hygiene practices]]/WWWW[[#This Row],[Total PoP ]]</f>
        <v>0</v>
      </c>
      <c r="BQ187" s="239">
        <f>1-WWWW[[#This Row],[Hygiene Coverage%]]</f>
        <v>1</v>
      </c>
      <c r="BR187" s="405">
        <f>IF(500*WWWW[[#This Row],['# Hygiene Promoters ]]&gt;WWWW[[#This Row],[Total PoP ]],WWWW[[#This Row],[Total PoP ]],500*WWWW[[#This Row],['# Hygiene Promoters ]])</f>
        <v>0</v>
      </c>
      <c r="BS187" s="405">
        <f>IF(WWWW[[#This Row],[% of HH with access to Sanitary Pad]]&gt;=100%,1,0)</f>
        <v>0</v>
      </c>
      <c r="BT187" s="405">
        <f>IF(WWWW[[#This Row],[Total PoP ]]=0,0,IF(WWWW[[#This Row],['# Hygiene Promoters ]]=0,0,IF(WWWW[[#This Row],[Location Type 1]]="Village",IF(WWWW[[#This Row],[Total PoP ]]/WWWW[[#This Row],['# Hygiene Promoters ]]&lt;1000,1,0),IF(WWWW[[#This Row],[Total PoP ]]/WWWW[[#This Row],['# Hygiene Promoters ]]&lt;600,1,0))))</f>
        <v>0</v>
      </c>
      <c r="BU187" s="405">
        <f>IF(WWWW[[#This Row],[%HH with access to soap]]&gt;=100%,1,0)</f>
        <v>0</v>
      </c>
      <c r="BV187" s="405">
        <f>IF(WWWW[[#This Row],[% of HHs with access to Sanitary pad more than '#%]]+WWWW[[#This Row],[Ratio of Hyiene promoters to people less than '#]]+WWWW[[#This Row],[% of HHs with access to soap more than '#%]]&gt;=2,WWWW[[#This Row],[Total PoP ]],0)</f>
        <v>0</v>
      </c>
      <c r="BW187" s="346">
        <f>WWWW[[#This Row],['# people reached by regular dedicated hygiene promotion_5]]/WWWW[[#This Row],[Total PoP ]]</f>
        <v>0</v>
      </c>
      <c r="BX187" s="346">
        <f>IF(WWWW[[#This Row],['# HH received soaps]]/WWWW[[#This Row],[Total HH]]&gt;1,1,WWWW[[#This Row],['# HH received soaps]]/WWWW[[#This Row],[Total HH]])</f>
        <v>0</v>
      </c>
      <c r="BY187" s="346">
        <f>IF(WWWW[[#This Row],['# HH received Sanitary Pads]]/WWWW[[#This Row],[Total HH]]&gt;1,1,WWWW[[#This Row],['# HH received Sanitary Pads]]/WWWW[[#This Row],[Total HH]])</f>
        <v>0</v>
      </c>
      <c r="BZ187" s="720">
        <f>WWWW[[#This Row],['# HH received soaps]]*5</f>
        <v>0</v>
      </c>
      <c r="CA187" s="720">
        <f>WWWW[[#This Row],['# HH received Sanitary Pads]]*5</f>
        <v>0</v>
      </c>
      <c r="CB187" s="675">
        <f>IF(WWWW[[#This Row],['# People with access to soap]]&gt;WWWW[[#This Row],['# People with access to Sanity Pads]],WWWW[[#This Row],['# People with access to soap]],WWWW[[#This Row],['# People with access to Sanity Pads]])</f>
        <v>0</v>
      </c>
      <c r="CC187" s="414">
        <f>WWWW[[#This Row],[Total HH]]*WWWW[[#This Row],[%HHs with access to functional hand washing stations]]</f>
        <v>0</v>
      </c>
      <c r="CD187" s="240">
        <f>VLOOKUP(WWWW[[#This Row],[Site Name]],SiteDB6[],8,FALSE)</f>
        <v>0</v>
      </c>
      <c r="CE187" s="240">
        <f>VLOOKUP(WWWW[[#This Row],[Site Name]],SiteDB6[],9,FALSE)</f>
        <v>0</v>
      </c>
      <c r="CF187" s="240" t="str">
        <f>VLOOKUP(WWWW[[#This Row],[Site Name]],SiteDB6[],10,FALSE)</f>
        <v>Village_Not HRP</v>
      </c>
      <c r="CG187" s="240" t="str">
        <f>VLOOKUP(WWWW[[#This Row],[Site Name]],SiteDB6[],11,FALSE)</f>
        <v>Village</v>
      </c>
      <c r="CH187" s="240" t="str">
        <f>VLOOKUP(WWWW[[#This Row],[Site Name]],SiteDB6[],12,FALSE)</f>
        <v>Village</v>
      </c>
      <c r="CI187" s="240">
        <f>VLOOKUP(WWWW[[#This Row],[Site Name]],SiteDB6[],13,FALSE)</f>
        <v>0</v>
      </c>
      <c r="CJ187" s="240">
        <f>VLOOKUP(WWWW[[#This Row],[Site Name]],SiteDB6[],14,FALSE)</f>
        <v>0</v>
      </c>
      <c r="CK187" s="240">
        <f>VLOOKUP(WWWW[[#This Row],[Site Name]],SiteDB6[],15,FALSE)</f>
        <v>0</v>
      </c>
      <c r="CL187" s="240">
        <f>VLOOKUP(WWWW[[#This Row],[Site Name]],SiteDB6[],4,FALSE)</f>
        <v>0</v>
      </c>
      <c r="CM187" s="235" t="str">
        <f t="shared" si="2"/>
        <v>Covered</v>
      </c>
      <c r="CN187" s="240"/>
    </row>
    <row r="188" spans="1:92" ht="16.5" hidden="1" customHeight="1" thickBot="1" x14ac:dyDescent="0.3">
      <c r="A188" s="594" t="s">
        <v>1409</v>
      </c>
      <c r="B188" s="169" t="s">
        <v>489</v>
      </c>
      <c r="C188" s="169" t="s">
        <v>464</v>
      </c>
      <c r="D188" s="169" t="s">
        <v>473</v>
      </c>
      <c r="E188" s="169" t="s">
        <v>507</v>
      </c>
      <c r="F188" s="169">
        <v>130</v>
      </c>
      <c r="G188" s="797">
        <v>621</v>
      </c>
      <c r="H188" s="169"/>
      <c r="I188" s="169" t="s">
        <v>505</v>
      </c>
      <c r="J188" s="170">
        <v>43615</v>
      </c>
      <c r="K188" s="169">
        <v>0</v>
      </c>
      <c r="L188" s="169" t="s">
        <v>2580</v>
      </c>
      <c r="M188" s="171">
        <v>0</v>
      </c>
      <c r="N188" s="171">
        <v>0</v>
      </c>
      <c r="O188" s="608">
        <v>0</v>
      </c>
      <c r="P188" s="609">
        <v>0</v>
      </c>
      <c r="Q188" s="610">
        <v>0</v>
      </c>
      <c r="R188" s="611">
        <v>0</v>
      </c>
      <c r="S188" s="611">
        <v>0</v>
      </c>
      <c r="T188" s="611"/>
      <c r="U188" s="604"/>
      <c r="V188" s="606"/>
      <c r="W188" s="606"/>
      <c r="X188" s="604"/>
      <c r="Y188" s="607"/>
      <c r="Z188" s="598">
        <v>0</v>
      </c>
      <c r="AA188" s="599">
        <v>0</v>
      </c>
      <c r="AB188" s="629"/>
      <c r="AC188" s="632">
        <v>0</v>
      </c>
      <c r="AD188" s="80" t="s">
        <v>1379</v>
      </c>
      <c r="AE188" s="80" t="s">
        <v>1379</v>
      </c>
      <c r="AF188" s="80"/>
      <c r="AG188" s="80"/>
      <c r="AH188" s="633"/>
      <c r="AI188" s="652">
        <v>0</v>
      </c>
      <c r="AJ188" s="653"/>
      <c r="AK188" s="651">
        <v>0</v>
      </c>
      <c r="AL188" s="645">
        <v>0</v>
      </c>
      <c r="AM188" s="645">
        <v>0</v>
      </c>
      <c r="AN188" s="600"/>
      <c r="AO188" s="600"/>
      <c r="AP188" s="600"/>
      <c r="AQ188" s="654"/>
      <c r="AR188" s="235" t="str">
        <f>IFERROR(WWWW[[#This Row],['# of Water passed at source]]/WWWW[[#This Row],['# of Water tested at source]],"no test")</f>
        <v>no test</v>
      </c>
      <c r="AS188" s="237" t="str">
        <f>IFERROR(WWWW[[#This Row],['# of Water passed at HH]]/WWWW[[#This Row],['# of Water tested at HH]],"no test")</f>
        <v>no test</v>
      </c>
      <c r="AT188" s="237">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U188" s="237">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AV188" s="237">
        <f>IF(WWWW[[#This Row],[Location Type 1]]="Village",WWWW[[#This Row],[Access to safe drinking water for Village]],WWWW[[#This Row],[Access to safe drinking water for Camp]])</f>
        <v>0</v>
      </c>
      <c r="AW188" s="414">
        <f>WWWW[[#This Row],[%Equitable and continuous access to sufficient quantity of safe drinking water]]*WWWW[[#This Row],[Total PoP ]]</f>
        <v>0</v>
      </c>
      <c r="AX188" s="237">
        <f>IF((WWWW[[#This Row],['# Existing protected/fenced ponds ]]*250)/WWWW[[#This Row],[Total PoP ]]&gt;1,1,WWWW[[#This Row],['# Existing protected/fenced ponds ]]*250/WWWW[[#This Row],[Total PoP ]])</f>
        <v>0</v>
      </c>
      <c r="AY188" s="414">
        <f>WWWW[[#This Row],[Access to unimproved water points]]*WWWW[[#This Row],[Total PoP ]]</f>
        <v>0</v>
      </c>
      <c r="AZ188" s="237">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A188" s="414">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B188" s="414">
        <f>ROUND(WWWW[[#This Row],['#people Equitable and continuous access to sufficient quantity of domestic water borehole n ponds_2]]/500,0)</f>
        <v>0</v>
      </c>
      <c r="BC188" s="235">
        <f>1-WWWW[[#This Row],[%Equitable and continuous access to sufficient quantity of domestic water borehole n ponds]]</f>
        <v>1</v>
      </c>
      <c r="BD188" s="414">
        <f>WWWW[[#This Row],[%equitable and continuous access to sufficient quantity of safe drinking and domestic water''s GAP]]*WWWW[[#This Row],[Total PoP ]]</f>
        <v>621</v>
      </c>
      <c r="BE188" s="238">
        <f>IF(WWWW[[#This Row],[Total required water points]]-WWWW[[#This Row],['#Water points coverage]]&lt;0,0,WWWW[[#This Row],[Total required water points]]-WWWW[[#This Row],['#Water points coverage]])</f>
        <v>1</v>
      </c>
      <c r="BF188" s="238">
        <f>ROUND(IF(WWWW[[#This Row],[Total PoP ]]&lt;500,1,WWWW[[#This Row],[Total PoP ]]/500),0)</f>
        <v>1</v>
      </c>
      <c r="BG188" s="238" t="str">
        <f>IF(AND(WWWW[[#This Row],[%of Water samples which passed at water source]]="no test",WWWW[[#This Row],[%Water samples which passed at HH]]="no test"),"No Test","Tested")</f>
        <v>No Test</v>
      </c>
      <c r="BH188" s="238">
        <f>WWWW[[#This Row],['# Existing functional latrines]]+WWWW[[#This Row],['# Existing latrines dysfunctional]]</f>
        <v>0</v>
      </c>
      <c r="BI188" s="235">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J188" s="675">
        <f>WWWW[[#This Row],[% people access to functioning Latrine]]*WWWW[[#This Row],[Total PoP ]]</f>
        <v>0</v>
      </c>
      <c r="BK188" s="235">
        <f>IF(WWWW[[#This Row],[Location Type 1]]="camp",WWWW[[#This Row],['# potential required new latrines]]/(WWWW[[#This Row],[Total PoP ]]/20),WWWW[[#This Row],['# potential required new latrines]]/(WWWW[[#This Row],[Total PoP ]]/6))</f>
        <v>1.0048309178743962</v>
      </c>
      <c r="BL188" s="414">
        <f>IF(WWWW[[#This Row],[Total required Latrines]]-WWWW[[#This Row],[Total '# of latrine]]&lt;0,0,WWWW[[#This Row],[Total required Latrines]]-WWWW[[#This Row],[Total '# of latrine]])</f>
        <v>104</v>
      </c>
      <c r="BM188" s="238">
        <f>ROUND(IF(WWWW[[#This Row],[Location Type 1]]="camp",WWWW[[#This Row],[Total PoP ]]/20,WWWW[[#This Row],[Total PoP ]]/6),0)</f>
        <v>104</v>
      </c>
      <c r="BN188" s="239">
        <f>IF(OR(WWWW[[#This Row],['# Existing latrines dysfunctional]]="",WWWW[[#This Row],['# Existing latrines dysfunctional]]=0),0,WWWW[[#This Row],['# Existing latrines dysfunctional]]/WWWW[[#This Row],[Total '# of latrine]])</f>
        <v>0</v>
      </c>
      <c r="BO188" s="675"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P188" s="235">
        <f>WWWW[[#This Row],[People adopt basic personal and community hygiene practices]]/WWWW[[#This Row],[Total PoP ]]</f>
        <v>0</v>
      </c>
      <c r="BQ188" s="239">
        <f>1-WWWW[[#This Row],[Hygiene Coverage%]]</f>
        <v>1</v>
      </c>
      <c r="BR188" s="405">
        <f>IF(500*WWWW[[#This Row],['# Hygiene Promoters ]]&gt;WWWW[[#This Row],[Total PoP ]],WWWW[[#This Row],[Total PoP ]],500*WWWW[[#This Row],['# Hygiene Promoters ]])</f>
        <v>0</v>
      </c>
      <c r="BS188" s="405">
        <f>IF(WWWW[[#This Row],[% of HH with access to Sanitary Pad]]&gt;=100%,1,0)</f>
        <v>0</v>
      </c>
      <c r="BT188" s="405">
        <f>IF(WWWW[[#This Row],[Total PoP ]]=0,0,IF(WWWW[[#This Row],['# Hygiene Promoters ]]=0,0,IF(WWWW[[#This Row],[Location Type 1]]="Village",IF(WWWW[[#This Row],[Total PoP ]]/WWWW[[#This Row],['# Hygiene Promoters ]]&lt;1000,1,0),IF(WWWW[[#This Row],[Total PoP ]]/WWWW[[#This Row],['# Hygiene Promoters ]]&lt;600,1,0))))</f>
        <v>0</v>
      </c>
      <c r="BU188" s="405">
        <f>IF(WWWW[[#This Row],[%HH with access to soap]]&gt;=100%,1,0)</f>
        <v>0</v>
      </c>
      <c r="BV188" s="405">
        <f>IF(WWWW[[#This Row],[% of HHs with access to Sanitary pad more than '#%]]+WWWW[[#This Row],[Ratio of Hyiene promoters to people less than '#]]+WWWW[[#This Row],[% of HHs with access to soap more than '#%]]&gt;=2,WWWW[[#This Row],[Total PoP ]],0)</f>
        <v>0</v>
      </c>
      <c r="BW188" s="346">
        <f>WWWW[[#This Row],['# people reached by regular dedicated hygiene promotion_5]]/WWWW[[#This Row],[Total PoP ]]</f>
        <v>0</v>
      </c>
      <c r="BX188" s="346">
        <f>IF(WWWW[[#This Row],['# HH received soaps]]/WWWW[[#This Row],[Total HH]]&gt;1,1,WWWW[[#This Row],['# HH received soaps]]/WWWW[[#This Row],[Total HH]])</f>
        <v>0</v>
      </c>
      <c r="BY188" s="346">
        <f>IF(WWWW[[#This Row],['# HH received Sanitary Pads]]/WWWW[[#This Row],[Total HH]]&gt;1,1,WWWW[[#This Row],['# HH received Sanitary Pads]]/WWWW[[#This Row],[Total HH]])</f>
        <v>0</v>
      </c>
      <c r="BZ188" s="720">
        <f>WWWW[[#This Row],['# HH received soaps]]*5</f>
        <v>0</v>
      </c>
      <c r="CA188" s="720">
        <f>WWWW[[#This Row],['# HH received Sanitary Pads]]*5</f>
        <v>0</v>
      </c>
      <c r="CB188" s="675">
        <f>IF(WWWW[[#This Row],['# People with access to soap]]&gt;WWWW[[#This Row],['# People with access to Sanity Pads]],WWWW[[#This Row],['# People with access to soap]],WWWW[[#This Row],['# People with access to Sanity Pads]])</f>
        <v>0</v>
      </c>
      <c r="CC188" s="414">
        <f>WWWW[[#This Row],[Total HH]]*WWWW[[#This Row],[%HHs with access to functional hand washing stations]]</f>
        <v>0</v>
      </c>
      <c r="CD188" s="240">
        <f>VLOOKUP(WWWW[[#This Row],[Site Name]],SiteDB6[],8,FALSE)</f>
        <v>0</v>
      </c>
      <c r="CE188" s="240">
        <f>VLOOKUP(WWWW[[#This Row],[Site Name]],SiteDB6[],9,FALSE)</f>
        <v>0</v>
      </c>
      <c r="CF188" s="240" t="str">
        <f>VLOOKUP(WWWW[[#This Row],[Site Name]],SiteDB6[],10,FALSE)</f>
        <v>Village_Not HRP</v>
      </c>
      <c r="CG188" s="240" t="str">
        <f>VLOOKUP(WWWW[[#This Row],[Site Name]],SiteDB6[],11,FALSE)</f>
        <v>Village</v>
      </c>
      <c r="CH188" s="240" t="str">
        <f>VLOOKUP(WWWW[[#This Row],[Site Name]],SiteDB6[],12,FALSE)</f>
        <v>Village</v>
      </c>
      <c r="CI188" s="240">
        <f>VLOOKUP(WWWW[[#This Row],[Site Name]],SiteDB6[],13,FALSE)</f>
        <v>0</v>
      </c>
      <c r="CJ188" s="240">
        <f>VLOOKUP(WWWW[[#This Row],[Site Name]],SiteDB6[],14,FALSE)</f>
        <v>0</v>
      </c>
      <c r="CK188" s="240">
        <f>VLOOKUP(WWWW[[#This Row],[Site Name]],SiteDB6[],15,FALSE)</f>
        <v>0</v>
      </c>
      <c r="CL188" s="240">
        <f>VLOOKUP(WWWW[[#This Row],[Site Name]],SiteDB6[],4,FALSE)</f>
        <v>196815</v>
      </c>
      <c r="CM188" s="235" t="str">
        <f t="shared" si="2"/>
        <v>Covered</v>
      </c>
      <c r="CN188" s="240"/>
    </row>
    <row r="189" spans="1:92" ht="16.5" hidden="1" customHeight="1" thickBot="1" x14ac:dyDescent="0.3">
      <c r="A189" s="594" t="s">
        <v>1409</v>
      </c>
      <c r="B189" s="169" t="s">
        <v>489</v>
      </c>
      <c r="C189" s="169" t="s">
        <v>464</v>
      </c>
      <c r="D189" s="169" t="s">
        <v>473</v>
      </c>
      <c r="E189" s="169" t="s">
        <v>520</v>
      </c>
      <c r="F189" s="169">
        <v>56</v>
      </c>
      <c r="G189" s="797">
        <v>238</v>
      </c>
      <c r="H189" s="169"/>
      <c r="I189" s="169" t="s">
        <v>505</v>
      </c>
      <c r="J189" s="170">
        <v>43615</v>
      </c>
      <c r="K189" s="169">
        <v>0</v>
      </c>
      <c r="L189" s="169" t="s">
        <v>2580</v>
      </c>
      <c r="M189" s="171">
        <v>0</v>
      </c>
      <c r="N189" s="171">
        <v>0</v>
      </c>
      <c r="O189" s="608">
        <v>0</v>
      </c>
      <c r="P189" s="609">
        <v>0</v>
      </c>
      <c r="Q189" s="610">
        <v>0</v>
      </c>
      <c r="R189" s="611">
        <v>0</v>
      </c>
      <c r="S189" s="611">
        <v>0</v>
      </c>
      <c r="T189" s="611"/>
      <c r="U189" s="604"/>
      <c r="V189" s="606"/>
      <c r="W189" s="606"/>
      <c r="X189" s="604"/>
      <c r="Y189" s="607"/>
      <c r="Z189" s="598">
        <v>0</v>
      </c>
      <c r="AA189" s="599">
        <v>0</v>
      </c>
      <c r="AB189" s="629"/>
      <c r="AC189" s="632">
        <v>0</v>
      </c>
      <c r="AD189" s="80" t="s">
        <v>1379</v>
      </c>
      <c r="AE189" s="80" t="s">
        <v>1379</v>
      </c>
      <c r="AF189" s="80"/>
      <c r="AG189" s="80"/>
      <c r="AH189" s="633"/>
      <c r="AI189" s="652">
        <v>0</v>
      </c>
      <c r="AJ189" s="653"/>
      <c r="AK189" s="651">
        <v>0</v>
      </c>
      <c r="AL189" s="645">
        <v>0</v>
      </c>
      <c r="AM189" s="645">
        <v>0</v>
      </c>
      <c r="AN189" s="600"/>
      <c r="AO189" s="600"/>
      <c r="AP189" s="600"/>
      <c r="AQ189" s="654"/>
      <c r="AR189" s="235" t="str">
        <f>IFERROR(WWWW[[#This Row],['# of Water passed at source]]/WWWW[[#This Row],['# of Water tested at source]],"no test")</f>
        <v>no test</v>
      </c>
      <c r="AS189" s="237" t="str">
        <f>IFERROR(WWWW[[#This Row],['# of Water passed at HH]]/WWWW[[#This Row],['# of Water tested at HH]],"no test")</f>
        <v>no test</v>
      </c>
      <c r="AT189" s="237">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U189" s="237">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AV189" s="237">
        <f>IF(WWWW[[#This Row],[Location Type 1]]="Village",WWWW[[#This Row],[Access to safe drinking water for Village]],WWWW[[#This Row],[Access to safe drinking water for Camp]])</f>
        <v>0</v>
      </c>
      <c r="AW189" s="414">
        <f>WWWW[[#This Row],[%Equitable and continuous access to sufficient quantity of safe drinking water]]*WWWW[[#This Row],[Total PoP ]]</f>
        <v>0</v>
      </c>
      <c r="AX189" s="237">
        <f>IF((WWWW[[#This Row],['# Existing protected/fenced ponds ]]*250)/WWWW[[#This Row],[Total PoP ]]&gt;1,1,WWWW[[#This Row],['# Existing protected/fenced ponds ]]*250/WWWW[[#This Row],[Total PoP ]])</f>
        <v>0</v>
      </c>
      <c r="AY189" s="414">
        <f>WWWW[[#This Row],[Access to unimproved water points]]*WWWW[[#This Row],[Total PoP ]]</f>
        <v>0</v>
      </c>
      <c r="AZ189" s="237">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A189" s="414">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B189" s="414">
        <f>ROUND(WWWW[[#This Row],['#people Equitable and continuous access to sufficient quantity of domestic water borehole n ponds_2]]/500,0)</f>
        <v>0</v>
      </c>
      <c r="BC189" s="235">
        <f>1-WWWW[[#This Row],[%Equitable and continuous access to sufficient quantity of domestic water borehole n ponds]]</f>
        <v>1</v>
      </c>
      <c r="BD189" s="414">
        <f>WWWW[[#This Row],[%equitable and continuous access to sufficient quantity of safe drinking and domestic water''s GAP]]*WWWW[[#This Row],[Total PoP ]]</f>
        <v>238</v>
      </c>
      <c r="BE189" s="238">
        <f>IF(WWWW[[#This Row],[Total required water points]]-WWWW[[#This Row],['#Water points coverage]]&lt;0,0,WWWW[[#This Row],[Total required water points]]-WWWW[[#This Row],['#Water points coverage]])</f>
        <v>1</v>
      </c>
      <c r="BF189" s="238">
        <f>ROUND(IF(WWWW[[#This Row],[Total PoP ]]&lt;500,1,WWWW[[#This Row],[Total PoP ]]/500),0)</f>
        <v>1</v>
      </c>
      <c r="BG189" s="238" t="str">
        <f>IF(AND(WWWW[[#This Row],[%of Water samples which passed at water source]]="no test",WWWW[[#This Row],[%Water samples which passed at HH]]="no test"),"No Test","Tested")</f>
        <v>No Test</v>
      </c>
      <c r="BH189" s="238">
        <f>WWWW[[#This Row],['# Existing functional latrines]]+WWWW[[#This Row],['# Existing latrines dysfunctional]]</f>
        <v>0</v>
      </c>
      <c r="BI189" s="235">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J189" s="675">
        <f>WWWW[[#This Row],[% people access to functioning Latrine]]*WWWW[[#This Row],[Total PoP ]]</f>
        <v>0</v>
      </c>
      <c r="BK189" s="235">
        <f>IF(WWWW[[#This Row],[Location Type 1]]="camp",WWWW[[#This Row],['# potential required new latrines]]/(WWWW[[#This Row],[Total PoP ]]/20),WWWW[[#This Row],['# potential required new latrines]]/(WWWW[[#This Row],[Total PoP ]]/6))</f>
        <v>1.0084033613445378</v>
      </c>
      <c r="BL189" s="414">
        <f>IF(WWWW[[#This Row],[Total required Latrines]]-WWWW[[#This Row],[Total '# of latrine]]&lt;0,0,WWWW[[#This Row],[Total required Latrines]]-WWWW[[#This Row],[Total '# of latrine]])</f>
        <v>40</v>
      </c>
      <c r="BM189" s="238">
        <f>ROUND(IF(WWWW[[#This Row],[Location Type 1]]="camp",WWWW[[#This Row],[Total PoP ]]/20,WWWW[[#This Row],[Total PoP ]]/6),0)</f>
        <v>40</v>
      </c>
      <c r="BN189" s="239">
        <f>IF(OR(WWWW[[#This Row],['# Existing latrines dysfunctional]]="",WWWW[[#This Row],['# Existing latrines dysfunctional]]=0),0,WWWW[[#This Row],['# Existing latrines dysfunctional]]/WWWW[[#This Row],[Total '# of latrine]])</f>
        <v>0</v>
      </c>
      <c r="BO189" s="675"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P189" s="235">
        <f>WWWW[[#This Row],[People adopt basic personal and community hygiene practices]]/WWWW[[#This Row],[Total PoP ]]</f>
        <v>0</v>
      </c>
      <c r="BQ189" s="239">
        <f>1-WWWW[[#This Row],[Hygiene Coverage%]]</f>
        <v>1</v>
      </c>
      <c r="BR189" s="405">
        <f>IF(500*WWWW[[#This Row],['# Hygiene Promoters ]]&gt;WWWW[[#This Row],[Total PoP ]],WWWW[[#This Row],[Total PoP ]],500*WWWW[[#This Row],['# Hygiene Promoters ]])</f>
        <v>0</v>
      </c>
      <c r="BS189" s="405">
        <f>IF(WWWW[[#This Row],[% of HH with access to Sanitary Pad]]&gt;=100%,1,0)</f>
        <v>0</v>
      </c>
      <c r="BT189" s="405">
        <f>IF(WWWW[[#This Row],[Total PoP ]]=0,0,IF(WWWW[[#This Row],['# Hygiene Promoters ]]=0,0,IF(WWWW[[#This Row],[Location Type 1]]="Village",IF(WWWW[[#This Row],[Total PoP ]]/WWWW[[#This Row],['# Hygiene Promoters ]]&lt;1000,1,0),IF(WWWW[[#This Row],[Total PoP ]]/WWWW[[#This Row],['# Hygiene Promoters ]]&lt;600,1,0))))</f>
        <v>0</v>
      </c>
      <c r="BU189" s="405">
        <f>IF(WWWW[[#This Row],[%HH with access to soap]]&gt;=100%,1,0)</f>
        <v>0</v>
      </c>
      <c r="BV189" s="405">
        <f>IF(WWWW[[#This Row],[% of HHs with access to Sanitary pad more than '#%]]+WWWW[[#This Row],[Ratio of Hyiene promoters to people less than '#]]+WWWW[[#This Row],[% of HHs with access to soap more than '#%]]&gt;=2,WWWW[[#This Row],[Total PoP ]],0)</f>
        <v>0</v>
      </c>
      <c r="BW189" s="346">
        <f>WWWW[[#This Row],['# people reached by regular dedicated hygiene promotion_5]]/WWWW[[#This Row],[Total PoP ]]</f>
        <v>0</v>
      </c>
      <c r="BX189" s="346">
        <f>IF(WWWW[[#This Row],['# HH received soaps]]/WWWW[[#This Row],[Total HH]]&gt;1,1,WWWW[[#This Row],['# HH received soaps]]/WWWW[[#This Row],[Total HH]])</f>
        <v>0</v>
      </c>
      <c r="BY189" s="346">
        <f>IF(WWWW[[#This Row],['# HH received Sanitary Pads]]/WWWW[[#This Row],[Total HH]]&gt;1,1,WWWW[[#This Row],['# HH received Sanitary Pads]]/WWWW[[#This Row],[Total HH]])</f>
        <v>0</v>
      </c>
      <c r="BZ189" s="720">
        <f>WWWW[[#This Row],['# HH received soaps]]*5</f>
        <v>0</v>
      </c>
      <c r="CA189" s="720">
        <f>WWWW[[#This Row],['# HH received Sanitary Pads]]*5</f>
        <v>0</v>
      </c>
      <c r="CB189" s="675">
        <f>IF(WWWW[[#This Row],['# People with access to soap]]&gt;WWWW[[#This Row],['# People with access to Sanity Pads]],WWWW[[#This Row],['# People with access to soap]],WWWW[[#This Row],['# People with access to Sanity Pads]])</f>
        <v>0</v>
      </c>
      <c r="CC189" s="414">
        <f>WWWW[[#This Row],[Total HH]]*WWWW[[#This Row],[%HHs with access to functional hand washing stations]]</f>
        <v>0</v>
      </c>
      <c r="CD189" s="240">
        <f>VLOOKUP(WWWW[[#This Row],[Site Name]],SiteDB6[],8,FALSE)</f>
        <v>0</v>
      </c>
      <c r="CE189" s="240">
        <f>VLOOKUP(WWWW[[#This Row],[Site Name]],SiteDB6[],9,FALSE)</f>
        <v>0</v>
      </c>
      <c r="CF189" s="240" t="str">
        <f>VLOOKUP(WWWW[[#This Row],[Site Name]],SiteDB6[],10,FALSE)</f>
        <v>Village_Not HRP</v>
      </c>
      <c r="CG189" s="240" t="str">
        <f>VLOOKUP(WWWW[[#This Row],[Site Name]],SiteDB6[],11,FALSE)</f>
        <v>Village</v>
      </c>
      <c r="CH189" s="240" t="str">
        <f>VLOOKUP(WWWW[[#This Row],[Site Name]],SiteDB6[],12,FALSE)</f>
        <v>Village</v>
      </c>
      <c r="CI189" s="240">
        <f>VLOOKUP(WWWW[[#This Row],[Site Name]],SiteDB6[],13,FALSE)</f>
        <v>0</v>
      </c>
      <c r="CJ189" s="240">
        <f>VLOOKUP(WWWW[[#This Row],[Site Name]],SiteDB6[],14,FALSE)</f>
        <v>0</v>
      </c>
      <c r="CK189" s="240">
        <f>VLOOKUP(WWWW[[#This Row],[Site Name]],SiteDB6[],15,FALSE)</f>
        <v>0</v>
      </c>
      <c r="CL189" s="240">
        <f>VLOOKUP(WWWW[[#This Row],[Site Name]],SiteDB6[],4,FALSE)</f>
        <v>0</v>
      </c>
      <c r="CM189" s="235" t="str">
        <f t="shared" si="2"/>
        <v>Covered</v>
      </c>
      <c r="CN189" s="240"/>
    </row>
    <row r="190" spans="1:92" ht="16.5" hidden="1" customHeight="1" thickBot="1" x14ac:dyDescent="0.3">
      <c r="A190" s="594" t="s">
        <v>1409</v>
      </c>
      <c r="B190" s="169" t="s">
        <v>489</v>
      </c>
      <c r="C190" s="169" t="s">
        <v>464</v>
      </c>
      <c r="D190" s="169" t="s">
        <v>473</v>
      </c>
      <c r="E190" s="169" t="s">
        <v>522</v>
      </c>
      <c r="F190" s="169">
        <v>30</v>
      </c>
      <c r="G190" s="797">
        <v>136</v>
      </c>
      <c r="H190" s="169"/>
      <c r="I190" s="169" t="s">
        <v>505</v>
      </c>
      <c r="J190" s="170">
        <v>43615</v>
      </c>
      <c r="K190" s="169">
        <v>0</v>
      </c>
      <c r="L190" s="169" t="s">
        <v>2580</v>
      </c>
      <c r="M190" s="171">
        <v>0</v>
      </c>
      <c r="N190" s="171">
        <v>0</v>
      </c>
      <c r="O190" s="608">
        <v>0</v>
      </c>
      <c r="P190" s="609">
        <v>0</v>
      </c>
      <c r="Q190" s="610">
        <v>0</v>
      </c>
      <c r="R190" s="611">
        <v>0</v>
      </c>
      <c r="S190" s="611">
        <v>0</v>
      </c>
      <c r="T190" s="611"/>
      <c r="U190" s="604"/>
      <c r="V190" s="606"/>
      <c r="W190" s="606"/>
      <c r="X190" s="604"/>
      <c r="Y190" s="607"/>
      <c r="Z190" s="598">
        <v>0</v>
      </c>
      <c r="AA190" s="599">
        <v>0</v>
      </c>
      <c r="AB190" s="629"/>
      <c r="AC190" s="632">
        <v>0</v>
      </c>
      <c r="AD190" s="80" t="s">
        <v>1379</v>
      </c>
      <c r="AE190" s="80" t="s">
        <v>1379</v>
      </c>
      <c r="AF190" s="80"/>
      <c r="AG190" s="80"/>
      <c r="AH190" s="633"/>
      <c r="AI190" s="652">
        <v>0</v>
      </c>
      <c r="AJ190" s="653"/>
      <c r="AK190" s="651">
        <v>0</v>
      </c>
      <c r="AL190" s="645">
        <v>0</v>
      </c>
      <c r="AM190" s="645">
        <v>0</v>
      </c>
      <c r="AN190" s="600"/>
      <c r="AO190" s="600"/>
      <c r="AP190" s="600"/>
      <c r="AQ190" s="654"/>
      <c r="AR190" s="235" t="str">
        <f>IFERROR(WWWW[[#This Row],['# of Water passed at source]]/WWWW[[#This Row],['# of Water tested at source]],"no test")</f>
        <v>no test</v>
      </c>
      <c r="AS190" s="237" t="str">
        <f>IFERROR(WWWW[[#This Row],['# of Water passed at HH]]/WWWW[[#This Row],['# of Water tested at HH]],"no test")</f>
        <v>no test</v>
      </c>
      <c r="AT190" s="237">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U190" s="237">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AV190" s="237">
        <f>IF(WWWW[[#This Row],[Location Type 1]]="Village",WWWW[[#This Row],[Access to safe drinking water for Village]],WWWW[[#This Row],[Access to safe drinking water for Camp]])</f>
        <v>0</v>
      </c>
      <c r="AW190" s="414">
        <f>WWWW[[#This Row],[%Equitable and continuous access to sufficient quantity of safe drinking water]]*WWWW[[#This Row],[Total PoP ]]</f>
        <v>0</v>
      </c>
      <c r="AX190" s="237">
        <f>IF((WWWW[[#This Row],['# Existing protected/fenced ponds ]]*250)/WWWW[[#This Row],[Total PoP ]]&gt;1,1,WWWW[[#This Row],['# Existing protected/fenced ponds ]]*250/WWWW[[#This Row],[Total PoP ]])</f>
        <v>0</v>
      </c>
      <c r="AY190" s="414">
        <f>WWWW[[#This Row],[Access to unimproved water points]]*WWWW[[#This Row],[Total PoP ]]</f>
        <v>0</v>
      </c>
      <c r="AZ190" s="237">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A190" s="414">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B190" s="414">
        <f>ROUND(WWWW[[#This Row],['#people Equitable and continuous access to sufficient quantity of domestic water borehole n ponds_2]]/500,0)</f>
        <v>0</v>
      </c>
      <c r="BC190" s="235">
        <f>1-WWWW[[#This Row],[%Equitable and continuous access to sufficient quantity of domestic water borehole n ponds]]</f>
        <v>1</v>
      </c>
      <c r="BD190" s="414">
        <f>WWWW[[#This Row],[%equitable and continuous access to sufficient quantity of safe drinking and domestic water''s GAP]]*WWWW[[#This Row],[Total PoP ]]</f>
        <v>136</v>
      </c>
      <c r="BE190" s="238">
        <f>IF(WWWW[[#This Row],[Total required water points]]-WWWW[[#This Row],['#Water points coverage]]&lt;0,0,WWWW[[#This Row],[Total required water points]]-WWWW[[#This Row],['#Water points coverage]])</f>
        <v>1</v>
      </c>
      <c r="BF190" s="238">
        <f>ROUND(IF(WWWW[[#This Row],[Total PoP ]]&lt;500,1,WWWW[[#This Row],[Total PoP ]]/500),0)</f>
        <v>1</v>
      </c>
      <c r="BG190" s="238" t="str">
        <f>IF(AND(WWWW[[#This Row],[%of Water samples which passed at water source]]="no test",WWWW[[#This Row],[%Water samples which passed at HH]]="no test"),"No Test","Tested")</f>
        <v>No Test</v>
      </c>
      <c r="BH190" s="238">
        <f>WWWW[[#This Row],['# Existing functional latrines]]+WWWW[[#This Row],['# Existing latrines dysfunctional]]</f>
        <v>0</v>
      </c>
      <c r="BI190" s="235">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J190" s="675">
        <f>WWWW[[#This Row],[% people access to functioning Latrine]]*WWWW[[#This Row],[Total PoP ]]</f>
        <v>0</v>
      </c>
      <c r="BK190" s="235">
        <f>IF(WWWW[[#This Row],[Location Type 1]]="camp",WWWW[[#This Row],['# potential required new latrines]]/(WWWW[[#This Row],[Total PoP ]]/20),WWWW[[#This Row],['# potential required new latrines]]/(WWWW[[#This Row],[Total PoP ]]/6))</f>
        <v>1.0147058823529411</v>
      </c>
      <c r="BL190" s="414">
        <f>IF(WWWW[[#This Row],[Total required Latrines]]-WWWW[[#This Row],[Total '# of latrine]]&lt;0,0,WWWW[[#This Row],[Total required Latrines]]-WWWW[[#This Row],[Total '# of latrine]])</f>
        <v>23</v>
      </c>
      <c r="BM190" s="238">
        <f>ROUND(IF(WWWW[[#This Row],[Location Type 1]]="camp",WWWW[[#This Row],[Total PoP ]]/20,WWWW[[#This Row],[Total PoP ]]/6),0)</f>
        <v>23</v>
      </c>
      <c r="BN190" s="239">
        <f>IF(OR(WWWW[[#This Row],['# Existing latrines dysfunctional]]="",WWWW[[#This Row],['# Existing latrines dysfunctional]]=0),0,WWWW[[#This Row],['# Existing latrines dysfunctional]]/WWWW[[#This Row],[Total '# of latrine]])</f>
        <v>0</v>
      </c>
      <c r="BO190" s="675"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P190" s="235">
        <f>WWWW[[#This Row],[People adopt basic personal and community hygiene practices]]/WWWW[[#This Row],[Total PoP ]]</f>
        <v>0</v>
      </c>
      <c r="BQ190" s="239">
        <f>1-WWWW[[#This Row],[Hygiene Coverage%]]</f>
        <v>1</v>
      </c>
      <c r="BR190" s="405">
        <f>IF(500*WWWW[[#This Row],['# Hygiene Promoters ]]&gt;WWWW[[#This Row],[Total PoP ]],WWWW[[#This Row],[Total PoP ]],500*WWWW[[#This Row],['# Hygiene Promoters ]])</f>
        <v>0</v>
      </c>
      <c r="BS190" s="405">
        <f>IF(WWWW[[#This Row],[% of HH with access to Sanitary Pad]]&gt;=100%,1,0)</f>
        <v>0</v>
      </c>
      <c r="BT190" s="405">
        <f>IF(WWWW[[#This Row],[Total PoP ]]=0,0,IF(WWWW[[#This Row],['# Hygiene Promoters ]]=0,0,IF(WWWW[[#This Row],[Location Type 1]]="Village",IF(WWWW[[#This Row],[Total PoP ]]/WWWW[[#This Row],['# Hygiene Promoters ]]&lt;1000,1,0),IF(WWWW[[#This Row],[Total PoP ]]/WWWW[[#This Row],['# Hygiene Promoters ]]&lt;600,1,0))))</f>
        <v>0</v>
      </c>
      <c r="BU190" s="405">
        <f>IF(WWWW[[#This Row],[%HH with access to soap]]&gt;=100%,1,0)</f>
        <v>0</v>
      </c>
      <c r="BV190" s="405">
        <f>IF(WWWW[[#This Row],[% of HHs with access to Sanitary pad more than '#%]]+WWWW[[#This Row],[Ratio of Hyiene promoters to people less than '#]]+WWWW[[#This Row],[% of HHs with access to soap more than '#%]]&gt;=2,WWWW[[#This Row],[Total PoP ]],0)</f>
        <v>0</v>
      </c>
      <c r="BW190" s="346">
        <f>WWWW[[#This Row],['# people reached by regular dedicated hygiene promotion_5]]/WWWW[[#This Row],[Total PoP ]]</f>
        <v>0</v>
      </c>
      <c r="BX190" s="346">
        <f>IF(WWWW[[#This Row],['# HH received soaps]]/WWWW[[#This Row],[Total HH]]&gt;1,1,WWWW[[#This Row],['# HH received soaps]]/WWWW[[#This Row],[Total HH]])</f>
        <v>0</v>
      </c>
      <c r="BY190" s="346">
        <f>IF(WWWW[[#This Row],['# HH received Sanitary Pads]]/WWWW[[#This Row],[Total HH]]&gt;1,1,WWWW[[#This Row],['# HH received Sanitary Pads]]/WWWW[[#This Row],[Total HH]])</f>
        <v>0</v>
      </c>
      <c r="BZ190" s="720">
        <f>WWWW[[#This Row],['# HH received soaps]]*5</f>
        <v>0</v>
      </c>
      <c r="CA190" s="720">
        <f>WWWW[[#This Row],['# HH received Sanitary Pads]]*5</f>
        <v>0</v>
      </c>
      <c r="CB190" s="675">
        <f>IF(WWWW[[#This Row],['# People with access to soap]]&gt;WWWW[[#This Row],['# People with access to Sanity Pads]],WWWW[[#This Row],['# People with access to soap]],WWWW[[#This Row],['# People with access to Sanity Pads]])</f>
        <v>0</v>
      </c>
      <c r="CC190" s="414">
        <f>WWWW[[#This Row],[Total HH]]*WWWW[[#This Row],[%HHs with access to functional hand washing stations]]</f>
        <v>0</v>
      </c>
      <c r="CD190" s="240">
        <f>VLOOKUP(WWWW[[#This Row],[Site Name]],SiteDB6[],8,FALSE)</f>
        <v>0</v>
      </c>
      <c r="CE190" s="240">
        <f>VLOOKUP(WWWW[[#This Row],[Site Name]],SiteDB6[],9,FALSE)</f>
        <v>0</v>
      </c>
      <c r="CF190" s="240" t="str">
        <f>VLOOKUP(WWWW[[#This Row],[Site Name]],SiteDB6[],10,FALSE)</f>
        <v>Village_Not HRP</v>
      </c>
      <c r="CG190" s="240" t="str">
        <f>VLOOKUP(WWWW[[#This Row],[Site Name]],SiteDB6[],11,FALSE)</f>
        <v>Village</v>
      </c>
      <c r="CH190" s="240" t="str">
        <f>VLOOKUP(WWWW[[#This Row],[Site Name]],SiteDB6[],12,FALSE)</f>
        <v>Village</v>
      </c>
      <c r="CI190" s="240">
        <f>VLOOKUP(WWWW[[#This Row],[Site Name]],SiteDB6[],13,FALSE)</f>
        <v>0</v>
      </c>
      <c r="CJ190" s="240">
        <f>VLOOKUP(WWWW[[#This Row],[Site Name]],SiteDB6[],14,FALSE)</f>
        <v>0</v>
      </c>
      <c r="CK190" s="240">
        <f>VLOOKUP(WWWW[[#This Row],[Site Name]],SiteDB6[],15,FALSE)</f>
        <v>0</v>
      </c>
      <c r="CL190" s="240">
        <f>VLOOKUP(WWWW[[#This Row],[Site Name]],SiteDB6[],4,FALSE)</f>
        <v>0</v>
      </c>
      <c r="CM190" s="235" t="str">
        <f t="shared" si="2"/>
        <v>Covered</v>
      </c>
      <c r="CN190" s="240"/>
    </row>
    <row r="191" spans="1:92" ht="16.5" hidden="1" customHeight="1" thickBot="1" x14ac:dyDescent="0.3">
      <c r="A191" s="594" t="s">
        <v>1409</v>
      </c>
      <c r="B191" s="402" t="s">
        <v>489</v>
      </c>
      <c r="C191" s="314" t="s">
        <v>464</v>
      </c>
      <c r="D191" s="314" t="s">
        <v>473</v>
      </c>
      <c r="E191" s="314" t="s">
        <v>523</v>
      </c>
      <c r="F191" s="402">
        <v>148</v>
      </c>
      <c r="G191" s="734">
        <v>750</v>
      </c>
      <c r="H191" s="402"/>
      <c r="I191" s="402" t="s">
        <v>505</v>
      </c>
      <c r="J191" s="403">
        <v>43615</v>
      </c>
      <c r="K191" s="402">
        <v>0</v>
      </c>
      <c r="L191" s="402" t="s">
        <v>2580</v>
      </c>
      <c r="M191" s="404">
        <v>0</v>
      </c>
      <c r="N191" s="404">
        <v>0</v>
      </c>
      <c r="O191" s="605">
        <v>0</v>
      </c>
      <c r="P191" s="606">
        <v>0</v>
      </c>
      <c r="Q191" s="606">
        <v>0</v>
      </c>
      <c r="R191" s="607">
        <v>0</v>
      </c>
      <c r="S191" s="607">
        <v>0</v>
      </c>
      <c r="T191" s="607"/>
      <c r="U191" s="607"/>
      <c r="V191" s="607"/>
      <c r="W191" s="607"/>
      <c r="X191" s="607"/>
      <c r="Y191" s="607"/>
      <c r="Z191" s="598">
        <v>0</v>
      </c>
      <c r="AA191" s="598">
        <v>0</v>
      </c>
      <c r="AB191" s="80"/>
      <c r="AC191" s="598">
        <v>0</v>
      </c>
      <c r="AD191" s="80" t="s">
        <v>1379</v>
      </c>
      <c r="AE191" s="80" t="s">
        <v>1379</v>
      </c>
      <c r="AF191" s="599"/>
      <c r="AG191" s="598"/>
      <c r="AH191" s="598"/>
      <c r="AI191" s="649">
        <v>0</v>
      </c>
      <c r="AJ191" s="650"/>
      <c r="AK191" s="650">
        <v>0</v>
      </c>
      <c r="AL191" s="645">
        <v>0</v>
      </c>
      <c r="AM191" s="645">
        <v>0</v>
      </c>
      <c r="AN191" s="600"/>
      <c r="AO191" s="600"/>
      <c r="AP191" s="600"/>
      <c r="AQ191" s="651"/>
      <c r="AR191" s="404" t="str">
        <f>IFERROR(WWWW[[#This Row],['# of Water passed at source]]/WWWW[[#This Row],['# of Water tested at source]],"no test")</f>
        <v>no test</v>
      </c>
      <c r="AS191" s="407" t="str">
        <f>IFERROR(WWWW[[#This Row],['# of Water passed at HH]]/WWWW[[#This Row],['# of Water tested at HH]],"no test")</f>
        <v>no test</v>
      </c>
      <c r="AT191" s="407">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U191" s="407">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AV191" s="407">
        <f>IF(WWWW[[#This Row],[Location Type 1]]="Village",WWWW[[#This Row],[Access to safe drinking water for Village]],WWWW[[#This Row],[Access to safe drinking water for Camp]])</f>
        <v>0</v>
      </c>
      <c r="AW191" s="405">
        <f>WWWW[[#This Row],[%Equitable and continuous access to sufficient quantity of safe drinking water]]*WWWW[[#This Row],[Total PoP ]]</f>
        <v>0</v>
      </c>
      <c r="AX191" s="407">
        <f>IF((WWWW[[#This Row],['# Existing protected/fenced ponds ]]*250)/WWWW[[#This Row],[Total PoP ]]&gt;1,1,WWWW[[#This Row],['# Existing protected/fenced ponds ]]*250/WWWW[[#This Row],[Total PoP ]])</f>
        <v>0</v>
      </c>
      <c r="AY191" s="405">
        <f>WWWW[[#This Row],[Access to unimproved water points]]*WWWW[[#This Row],[Total PoP ]]</f>
        <v>0</v>
      </c>
      <c r="AZ191" s="407">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A191" s="405">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B191" s="414">
        <f>ROUND(WWWW[[#This Row],['#people Equitable and continuous access to sufficient quantity of domestic water borehole n ponds_2]]/500,0)</f>
        <v>0</v>
      </c>
      <c r="BC191" s="404">
        <f>1-WWWW[[#This Row],[%Equitable and continuous access to sufficient quantity of domestic water borehole n ponds]]</f>
        <v>1</v>
      </c>
      <c r="BD191" s="405">
        <f>WWWW[[#This Row],[%equitable and continuous access to sufficient quantity of safe drinking and domestic water''s GAP]]*WWWW[[#This Row],[Total PoP ]]</f>
        <v>750</v>
      </c>
      <c r="BE191" s="406">
        <f>IF(WWWW[[#This Row],[Total required water points]]-WWWW[[#This Row],['#Water points coverage]]&lt;0,0,WWWW[[#This Row],[Total required water points]]-WWWW[[#This Row],['#Water points coverage]])</f>
        <v>2</v>
      </c>
      <c r="BF191" s="406">
        <f>ROUND(IF(WWWW[[#This Row],[Total PoP ]]&lt;500,1,WWWW[[#This Row],[Total PoP ]]/500),0)</f>
        <v>2</v>
      </c>
      <c r="BG191" s="406" t="str">
        <f>IF(AND(WWWW[[#This Row],[%of Water samples which passed at water source]]="no test",WWWW[[#This Row],[%Water samples which passed at HH]]="no test"),"No Test","Tested")</f>
        <v>No Test</v>
      </c>
      <c r="BH191" s="406">
        <f>WWWW[[#This Row],['# Existing functional latrines]]+WWWW[[#This Row],['# Existing latrines dysfunctional]]</f>
        <v>0</v>
      </c>
      <c r="BI191" s="404">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J191" s="676">
        <f>WWWW[[#This Row],[% people access to functioning Latrine]]*WWWW[[#This Row],[Total PoP ]]</f>
        <v>0</v>
      </c>
      <c r="BK191" s="404">
        <f>IF(WWWW[[#This Row],[Location Type 1]]="camp",WWWW[[#This Row],['# potential required new latrines]]/(WWWW[[#This Row],[Total PoP ]]/20),WWWW[[#This Row],['# potential required new latrines]]/(WWWW[[#This Row],[Total PoP ]]/6))</f>
        <v>1</v>
      </c>
      <c r="BL191" s="405">
        <f>IF(WWWW[[#This Row],[Total required Latrines]]-WWWW[[#This Row],[Total '# of latrine]]&lt;0,0,WWWW[[#This Row],[Total required Latrines]]-WWWW[[#This Row],[Total '# of latrine]])</f>
        <v>125</v>
      </c>
      <c r="BM191" s="406">
        <f>ROUND(IF(WWWW[[#This Row],[Location Type 1]]="camp",WWWW[[#This Row],[Total PoP ]]/20,WWWW[[#This Row],[Total PoP ]]/6),0)</f>
        <v>125</v>
      </c>
      <c r="BN191" s="408">
        <f>IF(OR(WWWW[[#This Row],['# Existing latrines dysfunctional]]="",WWWW[[#This Row],['# Existing latrines dysfunctional]]=0),0,WWWW[[#This Row],['# Existing latrines dysfunctional]]/WWWW[[#This Row],[Total '# of latrine]])</f>
        <v>0</v>
      </c>
      <c r="BO191" s="676"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P191" s="404">
        <f>WWWW[[#This Row],[People adopt basic personal and community hygiene practices]]/WWWW[[#This Row],[Total PoP ]]</f>
        <v>0</v>
      </c>
      <c r="BQ191" s="408">
        <f>1-WWWW[[#This Row],[Hygiene Coverage%]]</f>
        <v>1</v>
      </c>
      <c r="BR191" s="405">
        <f>IF(500*WWWW[[#This Row],['# Hygiene Promoters ]]&gt;WWWW[[#This Row],[Total PoP ]],WWWW[[#This Row],[Total PoP ]],500*WWWW[[#This Row],['# Hygiene Promoters ]])</f>
        <v>0</v>
      </c>
      <c r="BS191" s="405">
        <f>IF(WWWW[[#This Row],[% of HH with access to Sanitary Pad]]&gt;=100%,1,0)</f>
        <v>0</v>
      </c>
      <c r="BT191" s="405">
        <f>IF(WWWW[[#This Row],[Total PoP ]]=0,0,IF(WWWW[[#This Row],['# Hygiene Promoters ]]=0,0,IF(WWWW[[#This Row],[Location Type 1]]="Village",IF(WWWW[[#This Row],[Total PoP ]]/WWWW[[#This Row],['# Hygiene Promoters ]]&lt;1000,1,0),IF(WWWW[[#This Row],[Total PoP ]]/WWWW[[#This Row],['# Hygiene Promoters ]]&lt;600,1,0))))</f>
        <v>0</v>
      </c>
      <c r="BU191" s="405">
        <f>IF(WWWW[[#This Row],[%HH with access to soap]]&gt;=100%,1,0)</f>
        <v>0</v>
      </c>
      <c r="BV191" s="405">
        <f>IF(WWWW[[#This Row],[% of HHs with access to Sanitary pad more than '#%]]+WWWW[[#This Row],[Ratio of Hyiene promoters to people less than '#]]+WWWW[[#This Row],[% of HHs with access to soap more than '#%]]&gt;=2,WWWW[[#This Row],[Total PoP ]],0)</f>
        <v>0</v>
      </c>
      <c r="BW191" s="391">
        <f>WWWW[[#This Row],['# people reached by regular dedicated hygiene promotion_5]]/WWWW[[#This Row],[Total PoP ]]</f>
        <v>0</v>
      </c>
      <c r="BX191" s="391">
        <f>IF(WWWW[[#This Row],['# HH received soaps]]/WWWW[[#This Row],[Total HH]]&gt;1,1,WWWW[[#This Row],['# HH received soaps]]/WWWW[[#This Row],[Total HH]])</f>
        <v>0</v>
      </c>
      <c r="BY191" s="391">
        <f>IF(WWWW[[#This Row],['# HH received Sanitary Pads]]/WWWW[[#This Row],[Total HH]]&gt;1,1,WWWW[[#This Row],['# HH received Sanitary Pads]]/WWWW[[#This Row],[Total HH]])</f>
        <v>0</v>
      </c>
      <c r="BZ191" s="721">
        <f>WWWW[[#This Row],['# HH received soaps]]*5</f>
        <v>0</v>
      </c>
      <c r="CA191" s="721">
        <f>WWWW[[#This Row],['# HH received Sanitary Pads]]*5</f>
        <v>0</v>
      </c>
      <c r="CB191" s="406">
        <f>IF(WWWW[[#This Row],['# People with access to soap]]&gt;WWWW[[#This Row],['# People with access to Sanity Pads]],WWWW[[#This Row],['# People with access to soap]],WWWW[[#This Row],['# People with access to Sanity Pads]])</f>
        <v>0</v>
      </c>
      <c r="CC191" s="405">
        <f>WWWW[[#This Row],[Total HH]]*WWWW[[#This Row],[%HHs with access to functional hand washing stations]]</f>
        <v>0</v>
      </c>
      <c r="CD191" s="240">
        <f>VLOOKUP(WWWW[[#This Row],[Site Name]],SiteDB6[],8,FALSE)</f>
        <v>0</v>
      </c>
      <c r="CE191" s="240">
        <f>VLOOKUP(WWWW[[#This Row],[Site Name]],SiteDB6[],9,FALSE)</f>
        <v>0</v>
      </c>
      <c r="CF191" s="240" t="str">
        <f>VLOOKUP(WWWW[[#This Row],[Site Name]],SiteDB6[],10,FALSE)</f>
        <v>Village_Not HRP</v>
      </c>
      <c r="CG191" s="240" t="str">
        <f>VLOOKUP(WWWW[[#This Row],[Site Name]],SiteDB6[],11,FALSE)</f>
        <v>Village</v>
      </c>
      <c r="CH191" s="240" t="str">
        <f>VLOOKUP(WWWW[[#This Row],[Site Name]],SiteDB6[],12,FALSE)</f>
        <v>Village</v>
      </c>
      <c r="CI191" s="240">
        <f>VLOOKUP(WWWW[[#This Row],[Site Name]],SiteDB6[],13,FALSE)</f>
        <v>0</v>
      </c>
      <c r="CJ191" s="240">
        <f>VLOOKUP(WWWW[[#This Row],[Site Name]],SiteDB6[],14,FALSE)</f>
        <v>0</v>
      </c>
      <c r="CK191" s="240">
        <f>VLOOKUP(WWWW[[#This Row],[Site Name]],SiteDB6[],15,FALSE)</f>
        <v>0</v>
      </c>
      <c r="CL191" s="240">
        <f>VLOOKUP(WWWW[[#This Row],[Site Name]],SiteDB6[],4,FALSE)</f>
        <v>0</v>
      </c>
      <c r="CM191" s="404" t="str">
        <f t="shared" si="2"/>
        <v>Covered</v>
      </c>
      <c r="CN191" s="404"/>
    </row>
    <row r="192" spans="1:92" ht="16.5" hidden="1" customHeight="1" thickBot="1" x14ac:dyDescent="0.3">
      <c r="A192" s="594" t="s">
        <v>1409</v>
      </c>
      <c r="B192" s="402" t="s">
        <v>489</v>
      </c>
      <c r="C192" s="314" t="s">
        <v>464</v>
      </c>
      <c r="D192" s="314" t="s">
        <v>473</v>
      </c>
      <c r="E192" s="314" t="s">
        <v>683</v>
      </c>
      <c r="F192" s="402">
        <v>163</v>
      </c>
      <c r="G192" s="734">
        <v>888</v>
      </c>
      <c r="H192" s="402"/>
      <c r="I192" s="402" t="s">
        <v>505</v>
      </c>
      <c r="J192" s="403">
        <v>43615</v>
      </c>
      <c r="K192" s="402">
        <v>20</v>
      </c>
      <c r="L192" s="402" t="s">
        <v>2580</v>
      </c>
      <c r="M192" s="404">
        <v>0</v>
      </c>
      <c r="N192" s="404">
        <v>0</v>
      </c>
      <c r="O192" s="605">
        <v>0</v>
      </c>
      <c r="P192" s="606">
        <v>0</v>
      </c>
      <c r="Q192" s="606">
        <v>0</v>
      </c>
      <c r="R192" s="607">
        <v>0</v>
      </c>
      <c r="S192" s="607">
        <v>0</v>
      </c>
      <c r="T192" s="607"/>
      <c r="U192" s="607"/>
      <c r="V192" s="607"/>
      <c r="W192" s="607"/>
      <c r="X192" s="607"/>
      <c r="Y192" s="607"/>
      <c r="Z192" s="598">
        <v>0</v>
      </c>
      <c r="AA192" s="598">
        <v>0</v>
      </c>
      <c r="AB192" s="80"/>
      <c r="AC192" s="598">
        <v>0</v>
      </c>
      <c r="AD192" s="80" t="s">
        <v>1379</v>
      </c>
      <c r="AE192" s="80" t="s">
        <v>1379</v>
      </c>
      <c r="AF192" s="599"/>
      <c r="AG192" s="598"/>
      <c r="AH192" s="598"/>
      <c r="AI192" s="649">
        <v>0</v>
      </c>
      <c r="AJ192" s="650"/>
      <c r="AK192" s="650">
        <v>0</v>
      </c>
      <c r="AL192" s="645">
        <v>0</v>
      </c>
      <c r="AM192" s="645">
        <v>0</v>
      </c>
      <c r="AN192" s="600"/>
      <c r="AO192" s="600"/>
      <c r="AP192" s="600"/>
      <c r="AQ192" s="651"/>
      <c r="AR192" s="404" t="str">
        <f>IFERROR(WWWW[[#This Row],['# of Water passed at source]]/WWWW[[#This Row],['# of Water tested at source]],"no test")</f>
        <v>no test</v>
      </c>
      <c r="AS192" s="407" t="str">
        <f>IFERROR(WWWW[[#This Row],['# of Water passed at HH]]/WWWW[[#This Row],['# of Water tested at HH]],"no test")</f>
        <v>no test</v>
      </c>
      <c r="AT192" s="407">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U192" s="407">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AV192" s="407">
        <f>IF(WWWW[[#This Row],[Location Type 1]]="Village",WWWW[[#This Row],[Access to safe drinking water for Village]],WWWW[[#This Row],[Access to safe drinking water for Camp]])</f>
        <v>0</v>
      </c>
      <c r="AW192" s="405">
        <f>WWWW[[#This Row],[%Equitable and continuous access to sufficient quantity of safe drinking water]]*WWWW[[#This Row],[Total PoP ]]</f>
        <v>0</v>
      </c>
      <c r="AX192" s="407">
        <f>IF((WWWW[[#This Row],['# Existing protected/fenced ponds ]]*250)/WWWW[[#This Row],[Total PoP ]]&gt;1,1,WWWW[[#This Row],['# Existing protected/fenced ponds ]]*250/WWWW[[#This Row],[Total PoP ]])</f>
        <v>0</v>
      </c>
      <c r="AY192" s="405">
        <f>WWWW[[#This Row],[Access to unimproved water points]]*WWWW[[#This Row],[Total PoP ]]</f>
        <v>0</v>
      </c>
      <c r="AZ192" s="407">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A192" s="405">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B192" s="414">
        <f>ROUND(WWWW[[#This Row],['#people Equitable and continuous access to sufficient quantity of domestic water borehole n ponds_2]]/500,0)</f>
        <v>0</v>
      </c>
      <c r="BC192" s="404">
        <f>1-WWWW[[#This Row],[%Equitable and continuous access to sufficient quantity of domestic water borehole n ponds]]</f>
        <v>1</v>
      </c>
      <c r="BD192" s="405">
        <f>WWWW[[#This Row],[%equitable and continuous access to sufficient quantity of safe drinking and domestic water''s GAP]]*WWWW[[#This Row],[Total PoP ]]</f>
        <v>888</v>
      </c>
      <c r="BE192" s="406">
        <f>IF(WWWW[[#This Row],[Total required water points]]-WWWW[[#This Row],['#Water points coverage]]&lt;0,0,WWWW[[#This Row],[Total required water points]]-WWWW[[#This Row],['#Water points coverage]])</f>
        <v>2</v>
      </c>
      <c r="BF192" s="406">
        <f>ROUND(IF(WWWW[[#This Row],[Total PoP ]]&lt;500,1,WWWW[[#This Row],[Total PoP ]]/500),0)</f>
        <v>2</v>
      </c>
      <c r="BG192" s="406" t="str">
        <f>IF(AND(WWWW[[#This Row],[%of Water samples which passed at water source]]="no test",WWWW[[#This Row],[%Water samples which passed at HH]]="no test"),"No Test","Tested")</f>
        <v>No Test</v>
      </c>
      <c r="BH192" s="406">
        <f>WWWW[[#This Row],['# Existing functional latrines]]+WWWW[[#This Row],['# Existing latrines dysfunctional]]</f>
        <v>0</v>
      </c>
      <c r="BI192" s="404">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J192" s="676">
        <f>WWWW[[#This Row],[% people access to functioning Latrine]]*WWWW[[#This Row],[Total PoP ]]</f>
        <v>0</v>
      </c>
      <c r="BK192" s="404">
        <f>IF(WWWW[[#This Row],[Location Type 1]]="camp",WWWW[[#This Row],['# potential required new latrines]]/(WWWW[[#This Row],[Total PoP ]]/20),WWWW[[#This Row],['# potential required new latrines]]/(WWWW[[#This Row],[Total PoP ]]/6))</f>
        <v>1</v>
      </c>
      <c r="BL192" s="405">
        <f>IF(WWWW[[#This Row],[Total required Latrines]]-WWWW[[#This Row],[Total '# of latrine]]&lt;0,0,WWWW[[#This Row],[Total required Latrines]]-WWWW[[#This Row],[Total '# of latrine]])</f>
        <v>148</v>
      </c>
      <c r="BM192" s="406">
        <f>ROUND(IF(WWWW[[#This Row],[Location Type 1]]="camp",WWWW[[#This Row],[Total PoP ]]/20,WWWW[[#This Row],[Total PoP ]]/6),0)</f>
        <v>148</v>
      </c>
      <c r="BN192" s="408">
        <f>IF(OR(WWWW[[#This Row],['# Existing latrines dysfunctional]]="",WWWW[[#This Row],['# Existing latrines dysfunctional]]=0),0,WWWW[[#This Row],['# Existing latrines dysfunctional]]/WWWW[[#This Row],[Total '# of latrine]])</f>
        <v>0</v>
      </c>
      <c r="BO192" s="676"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P192" s="404">
        <f>WWWW[[#This Row],[People adopt basic personal and community hygiene practices]]/WWWW[[#This Row],[Total PoP ]]</f>
        <v>0</v>
      </c>
      <c r="BQ192" s="408">
        <f>1-WWWW[[#This Row],[Hygiene Coverage%]]</f>
        <v>1</v>
      </c>
      <c r="BR192" s="405">
        <f>IF(500*WWWW[[#This Row],['# Hygiene Promoters ]]&gt;WWWW[[#This Row],[Total PoP ]],WWWW[[#This Row],[Total PoP ]],500*WWWW[[#This Row],['# Hygiene Promoters ]])</f>
        <v>0</v>
      </c>
      <c r="BS192" s="405">
        <f>IF(WWWW[[#This Row],[% of HH with access to Sanitary Pad]]&gt;=100%,1,0)</f>
        <v>0</v>
      </c>
      <c r="BT192" s="405">
        <f>IF(WWWW[[#This Row],[Total PoP ]]=0,0,IF(WWWW[[#This Row],['# Hygiene Promoters ]]=0,0,IF(WWWW[[#This Row],[Location Type 1]]="Village",IF(WWWW[[#This Row],[Total PoP ]]/WWWW[[#This Row],['# Hygiene Promoters ]]&lt;1000,1,0),IF(WWWW[[#This Row],[Total PoP ]]/WWWW[[#This Row],['# Hygiene Promoters ]]&lt;600,1,0))))</f>
        <v>0</v>
      </c>
      <c r="BU192" s="405">
        <f>IF(WWWW[[#This Row],[%HH with access to soap]]&gt;=100%,1,0)</f>
        <v>0</v>
      </c>
      <c r="BV192" s="405">
        <f>IF(WWWW[[#This Row],[% of HHs with access to Sanitary pad more than '#%]]+WWWW[[#This Row],[Ratio of Hyiene promoters to people less than '#]]+WWWW[[#This Row],[% of HHs with access to soap more than '#%]]&gt;=2,WWWW[[#This Row],[Total PoP ]],0)</f>
        <v>0</v>
      </c>
      <c r="BW192" s="391">
        <f>WWWW[[#This Row],['# people reached by regular dedicated hygiene promotion_5]]/WWWW[[#This Row],[Total PoP ]]</f>
        <v>0</v>
      </c>
      <c r="BX192" s="391">
        <f>IF(WWWW[[#This Row],['# HH received soaps]]/WWWW[[#This Row],[Total HH]]&gt;1,1,WWWW[[#This Row],['# HH received soaps]]/WWWW[[#This Row],[Total HH]])</f>
        <v>0</v>
      </c>
      <c r="BY192" s="391">
        <f>IF(WWWW[[#This Row],['# HH received Sanitary Pads]]/WWWW[[#This Row],[Total HH]]&gt;1,1,WWWW[[#This Row],['# HH received Sanitary Pads]]/WWWW[[#This Row],[Total HH]])</f>
        <v>0</v>
      </c>
      <c r="BZ192" s="721">
        <f>WWWW[[#This Row],['# HH received soaps]]*5</f>
        <v>0</v>
      </c>
      <c r="CA192" s="721">
        <f>WWWW[[#This Row],['# HH received Sanitary Pads]]*5</f>
        <v>0</v>
      </c>
      <c r="CB192" s="406">
        <f>IF(WWWW[[#This Row],['# People with access to soap]]&gt;WWWW[[#This Row],['# People with access to Sanity Pads]],WWWW[[#This Row],['# People with access to soap]],WWWW[[#This Row],['# People with access to Sanity Pads]])</f>
        <v>0</v>
      </c>
      <c r="CC192" s="405">
        <f>WWWW[[#This Row],[Total HH]]*WWWW[[#This Row],[%HHs with access to functional hand washing stations]]</f>
        <v>0</v>
      </c>
      <c r="CD192" s="240">
        <f>VLOOKUP(WWWW[[#This Row],[Site Name]],SiteDB6[],8,FALSE)</f>
        <v>0</v>
      </c>
      <c r="CE192" s="240">
        <f>VLOOKUP(WWWW[[#This Row],[Site Name]],SiteDB6[],9,FALSE)</f>
        <v>0</v>
      </c>
      <c r="CF192" s="240" t="str">
        <f>VLOOKUP(WWWW[[#This Row],[Site Name]],SiteDB6[],10,FALSE)</f>
        <v>Village</v>
      </c>
      <c r="CG192" s="240" t="str">
        <f>VLOOKUP(WWWW[[#This Row],[Site Name]],SiteDB6[],11,FALSE)</f>
        <v>Village</v>
      </c>
      <c r="CH192" s="240" t="str">
        <f>VLOOKUP(WWWW[[#This Row],[Site Name]],SiteDB6[],12,FALSE)</f>
        <v>Returned</v>
      </c>
      <c r="CI192" s="240" t="str">
        <f>VLOOKUP(WWWW[[#This Row],[Site Name]],SiteDB6[],13,FALSE)</f>
        <v>Muslim</v>
      </c>
      <c r="CJ192" s="240">
        <f>VLOOKUP(WWWW[[#This Row],[Site Name]],SiteDB6[],14,FALSE)</f>
        <v>20.587142</v>
      </c>
      <c r="CK192" s="240">
        <f>VLOOKUP(WWWW[[#This Row],[Site Name]],SiteDB6[],15,FALSE)</f>
        <v>93.258573999999996</v>
      </c>
      <c r="CL192" s="240" t="str">
        <f>VLOOKUP(WWWW[[#This Row],[Site Name]],SiteDB6[],4,FALSE)</f>
        <v>MMR012CMP005</v>
      </c>
      <c r="CM192" s="404" t="str">
        <f t="shared" si="2"/>
        <v>Covered</v>
      </c>
      <c r="CN192" s="404"/>
    </row>
    <row r="193" spans="1:92" ht="16.5" hidden="1" customHeight="1" thickBot="1" x14ac:dyDescent="0.3">
      <c r="A193" s="594" t="s">
        <v>1409</v>
      </c>
      <c r="B193" s="314" t="s">
        <v>489</v>
      </c>
      <c r="C193" s="314" t="s">
        <v>464</v>
      </c>
      <c r="D193" s="314" t="s">
        <v>473</v>
      </c>
      <c r="E193" s="314" t="s">
        <v>714</v>
      </c>
      <c r="F193" s="314">
        <v>66</v>
      </c>
      <c r="G193" s="735">
        <v>316</v>
      </c>
      <c r="H193" s="314"/>
      <c r="I193" s="314" t="s">
        <v>505</v>
      </c>
      <c r="J193" s="315">
        <v>43615</v>
      </c>
      <c r="K193" s="314">
        <v>0</v>
      </c>
      <c r="L193" s="314" t="s">
        <v>2580</v>
      </c>
      <c r="M193" s="316">
        <v>0</v>
      </c>
      <c r="N193" s="316">
        <v>0</v>
      </c>
      <c r="O193" s="608">
        <v>0</v>
      </c>
      <c r="P193" s="609">
        <v>0</v>
      </c>
      <c r="Q193" s="613">
        <v>0</v>
      </c>
      <c r="R193" s="614">
        <v>0</v>
      </c>
      <c r="S193" s="614">
        <v>0</v>
      </c>
      <c r="T193" s="604"/>
      <c r="U193" s="604"/>
      <c r="V193" s="604"/>
      <c r="W193" s="604"/>
      <c r="X193" s="604"/>
      <c r="Y193" s="604"/>
      <c r="Z193" s="628">
        <v>0</v>
      </c>
      <c r="AA193" s="628">
        <v>0</v>
      </c>
      <c r="AB193" s="634"/>
      <c r="AC193" s="634">
        <v>0</v>
      </c>
      <c r="AD193" s="80" t="s">
        <v>1379</v>
      </c>
      <c r="AE193" s="80" t="s">
        <v>1379</v>
      </c>
      <c r="AF193" s="629"/>
      <c r="AG193" s="629"/>
      <c r="AH193" s="634"/>
      <c r="AI193" s="655">
        <v>0</v>
      </c>
      <c r="AJ193" s="656"/>
      <c r="AK193" s="644">
        <v>0</v>
      </c>
      <c r="AL193" s="645">
        <v>0</v>
      </c>
      <c r="AM193" s="645">
        <v>0</v>
      </c>
      <c r="AN193" s="600"/>
      <c r="AO193" s="647"/>
      <c r="AP193" s="647"/>
      <c r="AQ193" s="657"/>
      <c r="AR193" s="235" t="str">
        <f>IFERROR(WWWW[[#This Row],['# of Water passed at source]]/WWWW[[#This Row],['# of Water tested at source]],"no test")</f>
        <v>no test</v>
      </c>
      <c r="AS193" s="237" t="str">
        <f>IFERROR(WWWW[[#This Row],['# of Water passed at HH]]/WWWW[[#This Row],['# of Water tested at HH]],"no test")</f>
        <v>no test</v>
      </c>
      <c r="AT193" s="237">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U193" s="237">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AV193" s="237">
        <f>IF(WWWW[[#This Row],[Location Type 1]]="Village",WWWW[[#This Row],[Access to safe drinking water for Village]],WWWW[[#This Row],[Access to safe drinking water for Camp]])</f>
        <v>0</v>
      </c>
      <c r="AW193" s="414">
        <f>WWWW[[#This Row],[%Equitable and continuous access to sufficient quantity of safe drinking water]]*WWWW[[#This Row],[Total PoP ]]</f>
        <v>0</v>
      </c>
      <c r="AX193" s="237">
        <f>IF((WWWW[[#This Row],['# Existing protected/fenced ponds ]]*250)/WWWW[[#This Row],[Total PoP ]]&gt;1,1,WWWW[[#This Row],['# Existing protected/fenced ponds ]]*250/WWWW[[#This Row],[Total PoP ]])</f>
        <v>0</v>
      </c>
      <c r="AY193" s="414">
        <f>WWWW[[#This Row],[Access to unimproved water points]]*WWWW[[#This Row],[Total PoP ]]</f>
        <v>0</v>
      </c>
      <c r="AZ193" s="237">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A193" s="414">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B193" s="414">
        <f>ROUND(WWWW[[#This Row],['#people Equitable and continuous access to sufficient quantity of domestic water borehole n ponds_2]]/500,0)</f>
        <v>0</v>
      </c>
      <c r="BC193" s="235">
        <f>1-WWWW[[#This Row],[%Equitable and continuous access to sufficient quantity of domestic water borehole n ponds]]</f>
        <v>1</v>
      </c>
      <c r="BD193" s="414">
        <f>WWWW[[#This Row],[%equitable and continuous access to sufficient quantity of safe drinking and domestic water''s GAP]]*WWWW[[#This Row],[Total PoP ]]</f>
        <v>316</v>
      </c>
      <c r="BE193" s="238">
        <f>IF(WWWW[[#This Row],[Total required water points]]-WWWW[[#This Row],['#Water points coverage]]&lt;0,0,WWWW[[#This Row],[Total required water points]]-WWWW[[#This Row],['#Water points coverage]])</f>
        <v>1</v>
      </c>
      <c r="BF193" s="238">
        <f>ROUND(IF(WWWW[[#This Row],[Total PoP ]]&lt;500,1,WWWW[[#This Row],[Total PoP ]]/500),0)</f>
        <v>1</v>
      </c>
      <c r="BG193" s="238" t="str">
        <f>IF(AND(WWWW[[#This Row],[%of Water samples which passed at water source]]="no test",WWWW[[#This Row],[%Water samples which passed at HH]]="no test"),"No Test","Tested")</f>
        <v>No Test</v>
      </c>
      <c r="BH193" s="238">
        <f>WWWW[[#This Row],['# Existing functional latrines]]+WWWW[[#This Row],['# Existing latrines dysfunctional]]</f>
        <v>0</v>
      </c>
      <c r="BI193" s="235">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J193" s="675">
        <f>WWWW[[#This Row],[% people access to functioning Latrine]]*WWWW[[#This Row],[Total PoP ]]</f>
        <v>0</v>
      </c>
      <c r="BK193" s="235">
        <f>IF(WWWW[[#This Row],[Location Type 1]]="camp",WWWW[[#This Row],['# potential required new latrines]]/(WWWW[[#This Row],[Total PoP ]]/20),WWWW[[#This Row],['# potential required new latrines]]/(WWWW[[#This Row],[Total PoP ]]/6))</f>
        <v>1.0063291139240507</v>
      </c>
      <c r="BL193" s="414">
        <f>IF(WWWW[[#This Row],[Total required Latrines]]-WWWW[[#This Row],[Total '# of latrine]]&lt;0,0,WWWW[[#This Row],[Total required Latrines]]-WWWW[[#This Row],[Total '# of latrine]])</f>
        <v>53</v>
      </c>
      <c r="BM193" s="238">
        <f>ROUND(IF(WWWW[[#This Row],[Location Type 1]]="camp",WWWW[[#This Row],[Total PoP ]]/20,WWWW[[#This Row],[Total PoP ]]/6),0)</f>
        <v>53</v>
      </c>
      <c r="BN193" s="239">
        <f>IF(OR(WWWW[[#This Row],['# Existing latrines dysfunctional]]="",WWWW[[#This Row],['# Existing latrines dysfunctional]]=0),0,WWWW[[#This Row],['# Existing latrines dysfunctional]]/WWWW[[#This Row],[Total '# of latrine]])</f>
        <v>0</v>
      </c>
      <c r="BO193" s="675"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P193" s="235">
        <f>WWWW[[#This Row],[People adopt basic personal and community hygiene practices]]/WWWW[[#This Row],[Total PoP ]]</f>
        <v>0</v>
      </c>
      <c r="BQ193" s="239">
        <f>1-WWWW[[#This Row],[Hygiene Coverage%]]</f>
        <v>1</v>
      </c>
      <c r="BR193" s="405">
        <f>IF(500*WWWW[[#This Row],['# Hygiene Promoters ]]&gt;WWWW[[#This Row],[Total PoP ]],WWWW[[#This Row],[Total PoP ]],500*WWWW[[#This Row],['# Hygiene Promoters ]])</f>
        <v>0</v>
      </c>
      <c r="BS193" s="405">
        <f>IF(WWWW[[#This Row],[% of HH with access to Sanitary Pad]]&gt;=100%,1,0)</f>
        <v>0</v>
      </c>
      <c r="BT193" s="405">
        <f>IF(WWWW[[#This Row],[Total PoP ]]=0,0,IF(WWWW[[#This Row],['# Hygiene Promoters ]]=0,0,IF(WWWW[[#This Row],[Location Type 1]]="Village",IF(WWWW[[#This Row],[Total PoP ]]/WWWW[[#This Row],['# Hygiene Promoters ]]&lt;1000,1,0),IF(WWWW[[#This Row],[Total PoP ]]/WWWW[[#This Row],['# Hygiene Promoters ]]&lt;600,1,0))))</f>
        <v>0</v>
      </c>
      <c r="BU193" s="405">
        <f>IF(WWWW[[#This Row],[%HH with access to soap]]&gt;=100%,1,0)</f>
        <v>0</v>
      </c>
      <c r="BV193" s="405">
        <f>IF(WWWW[[#This Row],[% of HHs with access to Sanitary pad more than '#%]]+WWWW[[#This Row],[Ratio of Hyiene promoters to people less than '#]]+WWWW[[#This Row],[% of HHs with access to soap more than '#%]]&gt;=2,WWWW[[#This Row],[Total PoP ]],0)</f>
        <v>0</v>
      </c>
      <c r="BW193" s="346">
        <f>WWWW[[#This Row],['# people reached by regular dedicated hygiene promotion_5]]/WWWW[[#This Row],[Total PoP ]]</f>
        <v>0</v>
      </c>
      <c r="BX193" s="346">
        <f>IF(WWWW[[#This Row],['# HH received soaps]]/WWWW[[#This Row],[Total HH]]&gt;1,1,WWWW[[#This Row],['# HH received soaps]]/WWWW[[#This Row],[Total HH]])</f>
        <v>0</v>
      </c>
      <c r="BY193" s="346">
        <f>IF(WWWW[[#This Row],['# HH received Sanitary Pads]]/WWWW[[#This Row],[Total HH]]&gt;1,1,WWWW[[#This Row],['# HH received Sanitary Pads]]/WWWW[[#This Row],[Total HH]])</f>
        <v>0</v>
      </c>
      <c r="BZ193" s="720">
        <f>WWWW[[#This Row],['# HH received soaps]]*5</f>
        <v>0</v>
      </c>
      <c r="CA193" s="720">
        <f>WWWW[[#This Row],['# HH received Sanitary Pads]]*5</f>
        <v>0</v>
      </c>
      <c r="CB193" s="675">
        <f>IF(WWWW[[#This Row],['# People with access to soap]]&gt;WWWW[[#This Row],['# People with access to Sanity Pads]],WWWW[[#This Row],['# People with access to soap]],WWWW[[#This Row],['# People with access to Sanity Pads]])</f>
        <v>0</v>
      </c>
      <c r="CC193" s="414">
        <f>WWWW[[#This Row],[Total HH]]*WWWW[[#This Row],[%HHs with access to functional hand washing stations]]</f>
        <v>0</v>
      </c>
      <c r="CD193" s="240">
        <f>VLOOKUP(WWWW[[#This Row],[Site Name]],SiteDB6[],8,FALSE)</f>
        <v>0</v>
      </c>
      <c r="CE193" s="240">
        <f>VLOOKUP(WWWW[[#This Row],[Site Name]],SiteDB6[],9,FALSE)</f>
        <v>0</v>
      </c>
      <c r="CF193" s="240" t="str">
        <f>VLOOKUP(WWWW[[#This Row],[Site Name]],SiteDB6[],10,FALSE)</f>
        <v>Village_Not HRP</v>
      </c>
      <c r="CG193" s="240" t="str">
        <f>VLOOKUP(WWWW[[#This Row],[Site Name]],SiteDB6[],11,FALSE)</f>
        <v>Village</v>
      </c>
      <c r="CH193" s="240" t="str">
        <f>VLOOKUP(WWWW[[#This Row],[Site Name]],SiteDB6[],12,FALSE)</f>
        <v>Village</v>
      </c>
      <c r="CI193" s="240">
        <f>VLOOKUP(WWWW[[#This Row],[Site Name]],SiteDB6[],13,FALSE)</f>
        <v>0</v>
      </c>
      <c r="CJ193" s="240">
        <f>VLOOKUP(WWWW[[#This Row],[Site Name]],SiteDB6[],14,FALSE)</f>
        <v>20.681715011596701</v>
      </c>
      <c r="CK193" s="240">
        <f>VLOOKUP(WWWW[[#This Row],[Site Name]],SiteDB6[],15,FALSE)</f>
        <v>92.94140625</v>
      </c>
      <c r="CL193" s="240">
        <f>VLOOKUP(WWWW[[#This Row],[Site Name]],SiteDB6[],4,FALSE)</f>
        <v>196930</v>
      </c>
      <c r="CM193" s="235" t="str">
        <f t="shared" si="2"/>
        <v>Covered</v>
      </c>
      <c r="CN193" s="240"/>
    </row>
    <row r="194" spans="1:92" ht="16.5" hidden="1" customHeight="1" thickBot="1" x14ac:dyDescent="0.3">
      <c r="A194" s="594" t="s">
        <v>1409</v>
      </c>
      <c r="B194" s="169" t="s">
        <v>489</v>
      </c>
      <c r="C194" s="169" t="s">
        <v>464</v>
      </c>
      <c r="D194" s="169" t="s">
        <v>473</v>
      </c>
      <c r="E194" s="169" t="s">
        <v>725</v>
      </c>
      <c r="F194" s="169">
        <v>142</v>
      </c>
      <c r="G194" s="797">
        <v>1214</v>
      </c>
      <c r="H194" s="169"/>
      <c r="I194" s="169" t="s">
        <v>505</v>
      </c>
      <c r="J194" s="170">
        <v>43615</v>
      </c>
      <c r="K194" s="169">
        <v>0</v>
      </c>
      <c r="L194" s="169" t="s">
        <v>2580</v>
      </c>
      <c r="M194" s="171">
        <v>0</v>
      </c>
      <c r="N194" s="171">
        <v>0</v>
      </c>
      <c r="O194" s="608">
        <v>0</v>
      </c>
      <c r="P194" s="609">
        <v>0</v>
      </c>
      <c r="Q194" s="610">
        <v>0</v>
      </c>
      <c r="R194" s="611">
        <v>0</v>
      </c>
      <c r="S194" s="611">
        <v>0</v>
      </c>
      <c r="T194" s="611"/>
      <c r="U194" s="604"/>
      <c r="V194" s="606"/>
      <c r="W194" s="606"/>
      <c r="X194" s="604"/>
      <c r="Y194" s="607"/>
      <c r="Z194" s="629">
        <v>0</v>
      </c>
      <c r="AA194" s="629">
        <v>0</v>
      </c>
      <c r="AB194" s="629"/>
      <c r="AC194" s="632">
        <v>0</v>
      </c>
      <c r="AD194" s="80" t="s">
        <v>1379</v>
      </c>
      <c r="AE194" s="80" t="s">
        <v>1379</v>
      </c>
      <c r="AF194" s="80"/>
      <c r="AG194" s="80"/>
      <c r="AH194" s="633"/>
      <c r="AI194" s="652">
        <v>0</v>
      </c>
      <c r="AJ194" s="653"/>
      <c r="AK194" s="651">
        <v>0</v>
      </c>
      <c r="AL194" s="645">
        <v>0</v>
      </c>
      <c r="AM194" s="645">
        <v>0</v>
      </c>
      <c r="AN194" s="600"/>
      <c r="AO194" s="600"/>
      <c r="AP194" s="600"/>
      <c r="AQ194" s="654"/>
      <c r="AR194" s="235" t="str">
        <f>IFERROR(WWWW[[#This Row],['# of Water passed at source]]/WWWW[[#This Row],['# of Water tested at source]],"no test")</f>
        <v>no test</v>
      </c>
      <c r="AS194" s="237" t="str">
        <f>IFERROR(WWWW[[#This Row],['# of Water passed at HH]]/WWWW[[#This Row],['# of Water tested at HH]],"no test")</f>
        <v>no test</v>
      </c>
      <c r="AT194" s="237">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U194" s="237">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AV194" s="237">
        <f>IF(WWWW[[#This Row],[Location Type 1]]="Village",WWWW[[#This Row],[Access to safe drinking water for Village]],WWWW[[#This Row],[Access to safe drinking water for Camp]])</f>
        <v>0</v>
      </c>
      <c r="AW194" s="414">
        <f>WWWW[[#This Row],[%Equitable and continuous access to sufficient quantity of safe drinking water]]*WWWW[[#This Row],[Total PoP ]]</f>
        <v>0</v>
      </c>
      <c r="AX194" s="237">
        <f>IF((WWWW[[#This Row],['# Existing protected/fenced ponds ]]*250)/WWWW[[#This Row],[Total PoP ]]&gt;1,1,WWWW[[#This Row],['# Existing protected/fenced ponds ]]*250/WWWW[[#This Row],[Total PoP ]])</f>
        <v>0</v>
      </c>
      <c r="AY194" s="414">
        <f>WWWW[[#This Row],[Access to unimproved water points]]*WWWW[[#This Row],[Total PoP ]]</f>
        <v>0</v>
      </c>
      <c r="AZ194" s="237">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A194" s="414">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B194" s="414">
        <f>ROUND(WWWW[[#This Row],['#people Equitable and continuous access to sufficient quantity of domestic water borehole n ponds_2]]/500,0)</f>
        <v>0</v>
      </c>
      <c r="BC194" s="235">
        <f>1-WWWW[[#This Row],[%Equitable and continuous access to sufficient quantity of domestic water borehole n ponds]]</f>
        <v>1</v>
      </c>
      <c r="BD194" s="414">
        <f>WWWW[[#This Row],[%equitable and continuous access to sufficient quantity of safe drinking and domestic water''s GAP]]*WWWW[[#This Row],[Total PoP ]]</f>
        <v>1214</v>
      </c>
      <c r="BE194" s="238">
        <f>IF(WWWW[[#This Row],[Total required water points]]-WWWW[[#This Row],['#Water points coverage]]&lt;0,0,WWWW[[#This Row],[Total required water points]]-WWWW[[#This Row],['#Water points coverage]])</f>
        <v>2</v>
      </c>
      <c r="BF194" s="238">
        <f>ROUND(IF(WWWW[[#This Row],[Total PoP ]]&lt;500,1,WWWW[[#This Row],[Total PoP ]]/500),0)</f>
        <v>2</v>
      </c>
      <c r="BG194" s="238" t="str">
        <f>IF(AND(WWWW[[#This Row],[%of Water samples which passed at water source]]="no test",WWWW[[#This Row],[%Water samples which passed at HH]]="no test"),"No Test","Tested")</f>
        <v>No Test</v>
      </c>
      <c r="BH194" s="238">
        <f>WWWW[[#This Row],['# Existing functional latrines]]+WWWW[[#This Row],['# Existing latrines dysfunctional]]</f>
        <v>0</v>
      </c>
      <c r="BI194" s="235">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J194" s="675">
        <f>WWWW[[#This Row],[% people access to functioning Latrine]]*WWWW[[#This Row],[Total PoP ]]</f>
        <v>0</v>
      </c>
      <c r="BK194" s="235">
        <f>IF(WWWW[[#This Row],[Location Type 1]]="camp",WWWW[[#This Row],['# potential required new latrines]]/(WWWW[[#This Row],[Total PoP ]]/20),WWWW[[#This Row],['# potential required new latrines]]/(WWWW[[#This Row],[Total PoP ]]/6))</f>
        <v>0.9983525535420098</v>
      </c>
      <c r="BL194" s="414">
        <f>IF(WWWW[[#This Row],[Total required Latrines]]-WWWW[[#This Row],[Total '# of latrine]]&lt;0,0,WWWW[[#This Row],[Total required Latrines]]-WWWW[[#This Row],[Total '# of latrine]])</f>
        <v>202</v>
      </c>
      <c r="BM194" s="238">
        <f>ROUND(IF(WWWW[[#This Row],[Location Type 1]]="camp",WWWW[[#This Row],[Total PoP ]]/20,WWWW[[#This Row],[Total PoP ]]/6),0)</f>
        <v>202</v>
      </c>
      <c r="BN194" s="239">
        <f>IF(OR(WWWW[[#This Row],['# Existing latrines dysfunctional]]="",WWWW[[#This Row],['# Existing latrines dysfunctional]]=0),0,WWWW[[#This Row],['# Existing latrines dysfunctional]]/WWWW[[#This Row],[Total '# of latrine]])</f>
        <v>0</v>
      </c>
      <c r="BO194" s="675"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P194" s="235">
        <f>WWWW[[#This Row],[People adopt basic personal and community hygiene practices]]/WWWW[[#This Row],[Total PoP ]]</f>
        <v>0</v>
      </c>
      <c r="BQ194" s="239">
        <f>1-WWWW[[#This Row],[Hygiene Coverage%]]</f>
        <v>1</v>
      </c>
      <c r="BR194" s="405">
        <f>IF(500*WWWW[[#This Row],['# Hygiene Promoters ]]&gt;WWWW[[#This Row],[Total PoP ]],WWWW[[#This Row],[Total PoP ]],500*WWWW[[#This Row],['# Hygiene Promoters ]])</f>
        <v>0</v>
      </c>
      <c r="BS194" s="405">
        <f>IF(WWWW[[#This Row],[% of HH with access to Sanitary Pad]]&gt;=100%,1,0)</f>
        <v>0</v>
      </c>
      <c r="BT194" s="405">
        <f>IF(WWWW[[#This Row],[Total PoP ]]=0,0,IF(WWWW[[#This Row],['# Hygiene Promoters ]]=0,0,IF(WWWW[[#This Row],[Location Type 1]]="Village",IF(WWWW[[#This Row],[Total PoP ]]/WWWW[[#This Row],['# Hygiene Promoters ]]&lt;1000,1,0),IF(WWWW[[#This Row],[Total PoP ]]/WWWW[[#This Row],['# Hygiene Promoters ]]&lt;600,1,0))))</f>
        <v>0</v>
      </c>
      <c r="BU194" s="405">
        <f>IF(WWWW[[#This Row],[%HH with access to soap]]&gt;=100%,1,0)</f>
        <v>0</v>
      </c>
      <c r="BV194" s="405">
        <f>IF(WWWW[[#This Row],[% of HHs with access to Sanitary pad more than '#%]]+WWWW[[#This Row],[Ratio of Hyiene promoters to people less than '#]]+WWWW[[#This Row],[% of HHs with access to soap more than '#%]]&gt;=2,WWWW[[#This Row],[Total PoP ]],0)</f>
        <v>0</v>
      </c>
      <c r="BW194" s="346">
        <f>WWWW[[#This Row],['# people reached by regular dedicated hygiene promotion_5]]/WWWW[[#This Row],[Total PoP ]]</f>
        <v>0</v>
      </c>
      <c r="BX194" s="346">
        <f>IF(WWWW[[#This Row],['# HH received soaps]]/WWWW[[#This Row],[Total HH]]&gt;1,1,WWWW[[#This Row],['# HH received soaps]]/WWWW[[#This Row],[Total HH]])</f>
        <v>0</v>
      </c>
      <c r="BY194" s="346">
        <f>IF(WWWW[[#This Row],['# HH received Sanitary Pads]]/WWWW[[#This Row],[Total HH]]&gt;1,1,WWWW[[#This Row],['# HH received Sanitary Pads]]/WWWW[[#This Row],[Total HH]])</f>
        <v>0</v>
      </c>
      <c r="BZ194" s="720">
        <f>WWWW[[#This Row],['# HH received soaps]]*5</f>
        <v>0</v>
      </c>
      <c r="CA194" s="720">
        <f>WWWW[[#This Row],['# HH received Sanitary Pads]]*5</f>
        <v>0</v>
      </c>
      <c r="CB194" s="675">
        <f>IF(WWWW[[#This Row],['# People with access to soap]]&gt;WWWW[[#This Row],['# People with access to Sanity Pads]],WWWW[[#This Row],['# People with access to soap]],WWWW[[#This Row],['# People with access to Sanity Pads]])</f>
        <v>0</v>
      </c>
      <c r="CC194" s="414">
        <f>WWWW[[#This Row],[Total HH]]*WWWW[[#This Row],[%HHs with access to functional hand washing stations]]</f>
        <v>0</v>
      </c>
      <c r="CD194" s="240">
        <f>VLOOKUP(WWWW[[#This Row],[Site Name]],SiteDB6[],8,FALSE)</f>
        <v>0</v>
      </c>
      <c r="CE194" s="240">
        <f>VLOOKUP(WWWW[[#This Row],[Site Name]],SiteDB6[],9,FALSE)</f>
        <v>0</v>
      </c>
      <c r="CF194" s="240" t="str">
        <f>VLOOKUP(WWWW[[#This Row],[Site Name]],SiteDB6[],10,FALSE)</f>
        <v>Village</v>
      </c>
      <c r="CG194" s="240" t="str">
        <f>VLOOKUP(WWWW[[#This Row],[Site Name]],SiteDB6[],11,FALSE)</f>
        <v>Village</v>
      </c>
      <c r="CH194" s="240" t="str">
        <f>VLOOKUP(WWWW[[#This Row],[Site Name]],SiteDB6[],12,FALSE)</f>
        <v>Returned</v>
      </c>
      <c r="CI194" s="240" t="str">
        <f>VLOOKUP(WWWW[[#This Row],[Site Name]],SiteDB6[],13,FALSE)</f>
        <v>Muslim</v>
      </c>
      <c r="CJ194" s="240">
        <f>VLOOKUP(WWWW[[#This Row],[Site Name]],SiteDB6[],14,FALSE)</f>
        <v>20.696819999999999</v>
      </c>
      <c r="CK194" s="240">
        <f>VLOOKUP(WWWW[[#This Row],[Site Name]],SiteDB6[],15,FALSE)</f>
        <v>93.009900000000002</v>
      </c>
      <c r="CL194" s="240" t="str">
        <f>VLOOKUP(WWWW[[#This Row],[Site Name]],SiteDB6[],4,FALSE)</f>
        <v>MMR012CMP026</v>
      </c>
      <c r="CM194" s="235" t="str">
        <f t="shared" si="2"/>
        <v>Covered</v>
      </c>
      <c r="CN194" s="240"/>
    </row>
    <row r="195" spans="1:92" ht="16.5" hidden="1" customHeight="1" thickBot="1" x14ac:dyDescent="0.3">
      <c r="A195" s="594" t="s">
        <v>1409</v>
      </c>
      <c r="B195" s="402" t="s">
        <v>489</v>
      </c>
      <c r="C195" s="314" t="s">
        <v>464</v>
      </c>
      <c r="D195" s="314" t="s">
        <v>473</v>
      </c>
      <c r="E195" s="314" t="s">
        <v>730</v>
      </c>
      <c r="F195" s="402">
        <v>337</v>
      </c>
      <c r="G195" s="734">
        <v>1571</v>
      </c>
      <c r="H195" s="402"/>
      <c r="I195" s="402" t="s">
        <v>505</v>
      </c>
      <c r="J195" s="403">
        <v>43615</v>
      </c>
      <c r="K195" s="402">
        <v>0</v>
      </c>
      <c r="L195" s="402" t="s">
        <v>2580</v>
      </c>
      <c r="M195" s="404">
        <v>0</v>
      </c>
      <c r="N195" s="404">
        <v>0</v>
      </c>
      <c r="O195" s="605">
        <v>0</v>
      </c>
      <c r="P195" s="606">
        <v>0</v>
      </c>
      <c r="Q195" s="606">
        <v>0</v>
      </c>
      <c r="R195" s="607">
        <v>0</v>
      </c>
      <c r="S195" s="607">
        <v>0</v>
      </c>
      <c r="T195" s="607"/>
      <c r="U195" s="607"/>
      <c r="V195" s="607"/>
      <c r="W195" s="607"/>
      <c r="X195" s="607"/>
      <c r="Y195" s="607"/>
      <c r="Z195" s="598">
        <v>0</v>
      </c>
      <c r="AA195" s="598">
        <v>0</v>
      </c>
      <c r="AB195" s="80"/>
      <c r="AC195" s="598">
        <v>0</v>
      </c>
      <c r="AD195" s="80" t="s">
        <v>1379</v>
      </c>
      <c r="AE195" s="80" t="s">
        <v>1379</v>
      </c>
      <c r="AF195" s="599"/>
      <c r="AG195" s="598"/>
      <c r="AH195" s="598"/>
      <c r="AI195" s="649">
        <v>0</v>
      </c>
      <c r="AJ195" s="650"/>
      <c r="AK195" s="650">
        <v>0</v>
      </c>
      <c r="AL195" s="645">
        <v>0</v>
      </c>
      <c r="AM195" s="645">
        <v>0</v>
      </c>
      <c r="AN195" s="600"/>
      <c r="AO195" s="600"/>
      <c r="AP195" s="600"/>
      <c r="AQ195" s="651"/>
      <c r="AR195" s="404" t="str">
        <f>IFERROR(WWWW[[#This Row],['# of Water passed at source]]/WWWW[[#This Row],['# of Water tested at source]],"no test")</f>
        <v>no test</v>
      </c>
      <c r="AS195" s="407" t="str">
        <f>IFERROR(WWWW[[#This Row],['# of Water passed at HH]]/WWWW[[#This Row],['# of Water tested at HH]],"no test")</f>
        <v>no test</v>
      </c>
      <c r="AT195" s="407">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U195" s="407">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AV195" s="407">
        <f>IF(WWWW[[#This Row],[Location Type 1]]="Village",WWWW[[#This Row],[Access to safe drinking water for Village]],WWWW[[#This Row],[Access to safe drinking water for Camp]])</f>
        <v>0</v>
      </c>
      <c r="AW195" s="405">
        <f>WWWW[[#This Row],[%Equitable and continuous access to sufficient quantity of safe drinking water]]*WWWW[[#This Row],[Total PoP ]]</f>
        <v>0</v>
      </c>
      <c r="AX195" s="407">
        <f>IF((WWWW[[#This Row],['# Existing protected/fenced ponds ]]*250)/WWWW[[#This Row],[Total PoP ]]&gt;1,1,WWWW[[#This Row],['# Existing protected/fenced ponds ]]*250/WWWW[[#This Row],[Total PoP ]])</f>
        <v>0</v>
      </c>
      <c r="AY195" s="405">
        <f>WWWW[[#This Row],[Access to unimproved water points]]*WWWW[[#This Row],[Total PoP ]]</f>
        <v>0</v>
      </c>
      <c r="AZ195" s="407">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A195" s="405">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B195" s="414">
        <f>ROUND(WWWW[[#This Row],['#people Equitable and continuous access to sufficient quantity of domestic water borehole n ponds_2]]/500,0)</f>
        <v>0</v>
      </c>
      <c r="BC195" s="404">
        <f>1-WWWW[[#This Row],[%Equitable and continuous access to sufficient quantity of domestic water borehole n ponds]]</f>
        <v>1</v>
      </c>
      <c r="BD195" s="405">
        <f>WWWW[[#This Row],[%equitable and continuous access to sufficient quantity of safe drinking and domestic water''s GAP]]*WWWW[[#This Row],[Total PoP ]]</f>
        <v>1571</v>
      </c>
      <c r="BE195" s="406">
        <f>IF(WWWW[[#This Row],[Total required water points]]-WWWW[[#This Row],['#Water points coverage]]&lt;0,0,WWWW[[#This Row],[Total required water points]]-WWWW[[#This Row],['#Water points coverage]])</f>
        <v>3</v>
      </c>
      <c r="BF195" s="406">
        <f>ROUND(IF(WWWW[[#This Row],[Total PoP ]]&lt;500,1,WWWW[[#This Row],[Total PoP ]]/500),0)</f>
        <v>3</v>
      </c>
      <c r="BG195" s="406" t="str">
        <f>IF(AND(WWWW[[#This Row],[%of Water samples which passed at water source]]="no test",WWWW[[#This Row],[%Water samples which passed at HH]]="no test"),"No Test","Tested")</f>
        <v>No Test</v>
      </c>
      <c r="BH195" s="406">
        <f>WWWW[[#This Row],['# Existing functional latrines]]+WWWW[[#This Row],['# Existing latrines dysfunctional]]</f>
        <v>0</v>
      </c>
      <c r="BI195" s="404">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J195" s="676">
        <f>WWWW[[#This Row],[% people access to functioning Latrine]]*WWWW[[#This Row],[Total PoP ]]</f>
        <v>0</v>
      </c>
      <c r="BK195" s="404">
        <f>IF(WWWW[[#This Row],[Location Type 1]]="camp",WWWW[[#This Row],['# potential required new latrines]]/(WWWW[[#This Row],[Total PoP ]]/20),WWWW[[#This Row],['# potential required new latrines]]/(WWWW[[#This Row],[Total PoP ]]/6))</f>
        <v>1.0006365372374284</v>
      </c>
      <c r="BL195" s="405">
        <f>IF(WWWW[[#This Row],[Total required Latrines]]-WWWW[[#This Row],[Total '# of latrine]]&lt;0,0,WWWW[[#This Row],[Total required Latrines]]-WWWW[[#This Row],[Total '# of latrine]])</f>
        <v>262</v>
      </c>
      <c r="BM195" s="406">
        <f>ROUND(IF(WWWW[[#This Row],[Location Type 1]]="camp",WWWW[[#This Row],[Total PoP ]]/20,WWWW[[#This Row],[Total PoP ]]/6),0)</f>
        <v>262</v>
      </c>
      <c r="BN195" s="408">
        <f>IF(OR(WWWW[[#This Row],['# Existing latrines dysfunctional]]="",WWWW[[#This Row],['# Existing latrines dysfunctional]]=0),0,WWWW[[#This Row],['# Existing latrines dysfunctional]]/WWWW[[#This Row],[Total '# of latrine]])</f>
        <v>0</v>
      </c>
      <c r="BO195" s="676"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P195" s="404">
        <f>WWWW[[#This Row],[People adopt basic personal and community hygiene practices]]/WWWW[[#This Row],[Total PoP ]]</f>
        <v>0</v>
      </c>
      <c r="BQ195" s="408">
        <f>1-WWWW[[#This Row],[Hygiene Coverage%]]</f>
        <v>1</v>
      </c>
      <c r="BR195" s="405">
        <f>IF(500*WWWW[[#This Row],['# Hygiene Promoters ]]&gt;WWWW[[#This Row],[Total PoP ]],WWWW[[#This Row],[Total PoP ]],500*WWWW[[#This Row],['# Hygiene Promoters ]])</f>
        <v>0</v>
      </c>
      <c r="BS195" s="405">
        <f>IF(WWWW[[#This Row],[% of HH with access to Sanitary Pad]]&gt;=100%,1,0)</f>
        <v>0</v>
      </c>
      <c r="BT195" s="405">
        <f>IF(WWWW[[#This Row],[Total PoP ]]=0,0,IF(WWWW[[#This Row],['# Hygiene Promoters ]]=0,0,IF(WWWW[[#This Row],[Location Type 1]]="Village",IF(WWWW[[#This Row],[Total PoP ]]/WWWW[[#This Row],['# Hygiene Promoters ]]&lt;1000,1,0),IF(WWWW[[#This Row],[Total PoP ]]/WWWW[[#This Row],['# Hygiene Promoters ]]&lt;600,1,0))))</f>
        <v>0</v>
      </c>
      <c r="BU195" s="405">
        <f>IF(WWWW[[#This Row],[%HH with access to soap]]&gt;=100%,1,0)</f>
        <v>0</v>
      </c>
      <c r="BV195" s="405">
        <f>IF(WWWW[[#This Row],[% of HHs with access to Sanitary pad more than '#%]]+WWWW[[#This Row],[Ratio of Hyiene promoters to people less than '#]]+WWWW[[#This Row],[% of HHs with access to soap more than '#%]]&gt;=2,WWWW[[#This Row],[Total PoP ]],0)</f>
        <v>0</v>
      </c>
      <c r="BW195" s="391">
        <f>WWWW[[#This Row],['# people reached by regular dedicated hygiene promotion_5]]/WWWW[[#This Row],[Total PoP ]]</f>
        <v>0</v>
      </c>
      <c r="BX195" s="391">
        <f>IF(WWWW[[#This Row],['# HH received soaps]]/WWWW[[#This Row],[Total HH]]&gt;1,1,WWWW[[#This Row],['# HH received soaps]]/WWWW[[#This Row],[Total HH]])</f>
        <v>0</v>
      </c>
      <c r="BY195" s="391">
        <f>IF(WWWW[[#This Row],['# HH received Sanitary Pads]]/WWWW[[#This Row],[Total HH]]&gt;1,1,WWWW[[#This Row],['# HH received Sanitary Pads]]/WWWW[[#This Row],[Total HH]])</f>
        <v>0</v>
      </c>
      <c r="BZ195" s="721">
        <f>WWWW[[#This Row],['# HH received soaps]]*5</f>
        <v>0</v>
      </c>
      <c r="CA195" s="721">
        <f>WWWW[[#This Row],['# HH received Sanitary Pads]]*5</f>
        <v>0</v>
      </c>
      <c r="CB195" s="406">
        <f>IF(WWWW[[#This Row],['# People with access to soap]]&gt;WWWW[[#This Row],['# People with access to Sanity Pads]],WWWW[[#This Row],['# People with access to soap]],WWWW[[#This Row],['# People with access to Sanity Pads]])</f>
        <v>0</v>
      </c>
      <c r="CC195" s="405">
        <f>WWWW[[#This Row],[Total HH]]*WWWW[[#This Row],[%HHs with access to functional hand washing stations]]</f>
        <v>0</v>
      </c>
      <c r="CD195" s="240">
        <f>VLOOKUP(WWWW[[#This Row],[Site Name]],SiteDB6[],8,FALSE)</f>
        <v>0</v>
      </c>
      <c r="CE195" s="240">
        <f>VLOOKUP(WWWW[[#This Row],[Site Name]],SiteDB6[],9,FALSE)</f>
        <v>0</v>
      </c>
      <c r="CF195" s="240" t="str">
        <f>VLOOKUP(WWWW[[#This Row],[Site Name]],SiteDB6[],10,FALSE)</f>
        <v>Village_Not HRP</v>
      </c>
      <c r="CG195" s="240" t="str">
        <f>VLOOKUP(WWWW[[#This Row],[Site Name]],SiteDB6[],11,FALSE)</f>
        <v>Village</v>
      </c>
      <c r="CH195" s="240" t="str">
        <f>VLOOKUP(WWWW[[#This Row],[Site Name]],SiteDB6[],12,FALSE)</f>
        <v>Village</v>
      </c>
      <c r="CI195" s="240" t="str">
        <f>VLOOKUP(WWWW[[#This Row],[Site Name]],SiteDB6[],13,FALSE)</f>
        <v>Rakhine</v>
      </c>
      <c r="CJ195" s="240">
        <f>VLOOKUP(WWWW[[#This Row],[Site Name]],SiteDB6[],14,FALSE)</f>
        <v>20.705930709838899</v>
      </c>
      <c r="CK195" s="240">
        <f>VLOOKUP(WWWW[[#This Row],[Site Name]],SiteDB6[],15,FALSE)</f>
        <v>93.001953125</v>
      </c>
      <c r="CL195" s="240" t="str">
        <f>VLOOKUP(WWWW[[#This Row],[Site Name]],SiteDB6[],4,FALSE)</f>
        <v>196943</v>
      </c>
      <c r="CM195" s="404" t="str">
        <f t="shared" si="2"/>
        <v>Covered</v>
      </c>
      <c r="CN195" s="404"/>
    </row>
    <row r="196" spans="1:92" ht="16.5" hidden="1" customHeight="1" thickBot="1" x14ac:dyDescent="0.3">
      <c r="A196" s="594" t="s">
        <v>1409</v>
      </c>
      <c r="B196" s="402" t="s">
        <v>489</v>
      </c>
      <c r="C196" s="314" t="s">
        <v>464</v>
      </c>
      <c r="D196" s="314" t="s">
        <v>473</v>
      </c>
      <c r="E196" s="314" t="s">
        <v>733</v>
      </c>
      <c r="F196" s="402">
        <v>311</v>
      </c>
      <c r="G196" s="734">
        <v>1393</v>
      </c>
      <c r="H196" s="402"/>
      <c r="I196" s="402" t="s">
        <v>505</v>
      </c>
      <c r="J196" s="403">
        <v>43615</v>
      </c>
      <c r="K196" s="402">
        <v>0</v>
      </c>
      <c r="L196" s="402" t="s">
        <v>2580</v>
      </c>
      <c r="M196" s="404">
        <v>0</v>
      </c>
      <c r="N196" s="404">
        <v>0</v>
      </c>
      <c r="O196" s="612">
        <v>0</v>
      </c>
      <c r="P196" s="606">
        <v>0</v>
      </c>
      <c r="Q196" s="606">
        <v>0</v>
      </c>
      <c r="R196" s="607">
        <v>0</v>
      </c>
      <c r="S196" s="607">
        <v>0</v>
      </c>
      <c r="T196" s="607"/>
      <c r="U196" s="607"/>
      <c r="V196" s="607"/>
      <c r="W196" s="607"/>
      <c r="X196" s="607"/>
      <c r="Y196" s="607"/>
      <c r="Z196" s="598">
        <v>0</v>
      </c>
      <c r="AA196" s="598">
        <v>0</v>
      </c>
      <c r="AB196" s="80"/>
      <c r="AC196" s="598">
        <v>0</v>
      </c>
      <c r="AD196" s="80" t="s">
        <v>1379</v>
      </c>
      <c r="AE196" s="80" t="s">
        <v>1379</v>
      </c>
      <c r="AF196" s="599"/>
      <c r="AG196" s="598"/>
      <c r="AH196" s="598"/>
      <c r="AI196" s="649">
        <v>0</v>
      </c>
      <c r="AJ196" s="650"/>
      <c r="AK196" s="650">
        <v>0</v>
      </c>
      <c r="AL196" s="645">
        <v>0</v>
      </c>
      <c r="AM196" s="645">
        <v>0</v>
      </c>
      <c r="AN196" s="600"/>
      <c r="AO196" s="600"/>
      <c r="AP196" s="600"/>
      <c r="AQ196" s="651"/>
      <c r="AR196" s="404" t="str">
        <f>IFERROR(WWWW[[#This Row],['# of Water passed at source]]/WWWW[[#This Row],['# of Water tested at source]],"no test")</f>
        <v>no test</v>
      </c>
      <c r="AS196" s="407" t="str">
        <f>IFERROR(WWWW[[#This Row],['# of Water passed at HH]]/WWWW[[#This Row],['# of Water tested at HH]],"no test")</f>
        <v>no test</v>
      </c>
      <c r="AT196" s="407">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U196" s="407">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AV196" s="407">
        <f>IF(WWWW[[#This Row],[Location Type 1]]="Village",WWWW[[#This Row],[Access to safe drinking water for Village]],WWWW[[#This Row],[Access to safe drinking water for Camp]])</f>
        <v>0</v>
      </c>
      <c r="AW196" s="405">
        <f>WWWW[[#This Row],[%Equitable and continuous access to sufficient quantity of safe drinking water]]*WWWW[[#This Row],[Total PoP ]]</f>
        <v>0</v>
      </c>
      <c r="AX196" s="407">
        <f>IF((WWWW[[#This Row],['# Existing protected/fenced ponds ]]*250)/WWWW[[#This Row],[Total PoP ]]&gt;1,1,WWWW[[#This Row],['# Existing protected/fenced ponds ]]*250/WWWW[[#This Row],[Total PoP ]])</f>
        <v>0</v>
      </c>
      <c r="AY196" s="405">
        <f>WWWW[[#This Row],[Access to unimproved water points]]*WWWW[[#This Row],[Total PoP ]]</f>
        <v>0</v>
      </c>
      <c r="AZ196" s="407">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A196" s="405">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B196" s="414">
        <f>ROUND(WWWW[[#This Row],['#people Equitable and continuous access to sufficient quantity of domestic water borehole n ponds_2]]/500,0)</f>
        <v>0</v>
      </c>
      <c r="BC196" s="404">
        <f>1-WWWW[[#This Row],[%Equitable and continuous access to sufficient quantity of domestic water borehole n ponds]]</f>
        <v>1</v>
      </c>
      <c r="BD196" s="405">
        <f>WWWW[[#This Row],[%equitable and continuous access to sufficient quantity of safe drinking and domestic water''s GAP]]*WWWW[[#This Row],[Total PoP ]]</f>
        <v>1393</v>
      </c>
      <c r="BE196" s="406">
        <f>IF(WWWW[[#This Row],[Total required water points]]-WWWW[[#This Row],['#Water points coverage]]&lt;0,0,WWWW[[#This Row],[Total required water points]]-WWWW[[#This Row],['#Water points coverage]])</f>
        <v>3</v>
      </c>
      <c r="BF196" s="406">
        <f>ROUND(IF(WWWW[[#This Row],[Total PoP ]]&lt;500,1,WWWW[[#This Row],[Total PoP ]]/500),0)</f>
        <v>3</v>
      </c>
      <c r="BG196" s="406" t="str">
        <f>IF(AND(WWWW[[#This Row],[%of Water samples which passed at water source]]="no test",WWWW[[#This Row],[%Water samples which passed at HH]]="no test"),"No Test","Tested")</f>
        <v>No Test</v>
      </c>
      <c r="BH196" s="406">
        <f>WWWW[[#This Row],['# Existing functional latrines]]+WWWW[[#This Row],['# Existing latrines dysfunctional]]</f>
        <v>0</v>
      </c>
      <c r="BI196" s="404">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J196" s="676">
        <f>WWWW[[#This Row],[% people access to functioning Latrine]]*WWWW[[#This Row],[Total PoP ]]</f>
        <v>0</v>
      </c>
      <c r="BK196" s="404">
        <f>IF(WWWW[[#This Row],[Location Type 1]]="camp",WWWW[[#This Row],['# potential required new latrines]]/(WWWW[[#This Row],[Total PoP ]]/20),WWWW[[#This Row],['# potential required new latrines]]/(WWWW[[#This Row],[Total PoP ]]/6))</f>
        <v>0.99928212491026569</v>
      </c>
      <c r="BL196" s="405">
        <f>IF(WWWW[[#This Row],[Total required Latrines]]-WWWW[[#This Row],[Total '# of latrine]]&lt;0,0,WWWW[[#This Row],[Total required Latrines]]-WWWW[[#This Row],[Total '# of latrine]])</f>
        <v>232</v>
      </c>
      <c r="BM196" s="406">
        <f>ROUND(IF(WWWW[[#This Row],[Location Type 1]]="camp",WWWW[[#This Row],[Total PoP ]]/20,WWWW[[#This Row],[Total PoP ]]/6),0)</f>
        <v>232</v>
      </c>
      <c r="BN196" s="408">
        <f>IF(OR(WWWW[[#This Row],['# Existing latrines dysfunctional]]="",WWWW[[#This Row],['# Existing latrines dysfunctional]]=0),0,WWWW[[#This Row],['# Existing latrines dysfunctional]]/WWWW[[#This Row],[Total '# of latrine]])</f>
        <v>0</v>
      </c>
      <c r="BO196" s="676"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P196" s="404">
        <f>WWWW[[#This Row],[People adopt basic personal and community hygiene practices]]/WWWW[[#This Row],[Total PoP ]]</f>
        <v>0</v>
      </c>
      <c r="BQ196" s="408">
        <f>1-WWWW[[#This Row],[Hygiene Coverage%]]</f>
        <v>1</v>
      </c>
      <c r="BR196" s="405">
        <f>IF(500*WWWW[[#This Row],['# Hygiene Promoters ]]&gt;WWWW[[#This Row],[Total PoP ]],WWWW[[#This Row],[Total PoP ]],500*WWWW[[#This Row],['# Hygiene Promoters ]])</f>
        <v>0</v>
      </c>
      <c r="BS196" s="405">
        <f>IF(WWWW[[#This Row],[% of HH with access to Sanitary Pad]]&gt;=100%,1,0)</f>
        <v>0</v>
      </c>
      <c r="BT196" s="405">
        <f>IF(WWWW[[#This Row],[Total PoP ]]=0,0,IF(WWWW[[#This Row],['# Hygiene Promoters ]]=0,0,IF(WWWW[[#This Row],[Location Type 1]]="Village",IF(WWWW[[#This Row],[Total PoP ]]/WWWW[[#This Row],['# Hygiene Promoters ]]&lt;1000,1,0),IF(WWWW[[#This Row],[Total PoP ]]/WWWW[[#This Row],['# Hygiene Promoters ]]&lt;600,1,0))))</f>
        <v>0</v>
      </c>
      <c r="BU196" s="405">
        <f>IF(WWWW[[#This Row],[%HH with access to soap]]&gt;=100%,1,0)</f>
        <v>0</v>
      </c>
      <c r="BV196" s="405">
        <f>IF(WWWW[[#This Row],[% of HHs with access to Sanitary pad more than '#%]]+WWWW[[#This Row],[Ratio of Hyiene promoters to people less than '#]]+WWWW[[#This Row],[% of HHs with access to soap more than '#%]]&gt;=2,WWWW[[#This Row],[Total PoP ]],0)</f>
        <v>0</v>
      </c>
      <c r="BW196" s="391">
        <f>WWWW[[#This Row],['# people reached by regular dedicated hygiene promotion_5]]/WWWW[[#This Row],[Total PoP ]]</f>
        <v>0</v>
      </c>
      <c r="BX196" s="391">
        <f>IF(WWWW[[#This Row],['# HH received soaps]]/WWWW[[#This Row],[Total HH]]&gt;1,1,WWWW[[#This Row],['# HH received soaps]]/WWWW[[#This Row],[Total HH]])</f>
        <v>0</v>
      </c>
      <c r="BY196" s="391">
        <f>IF(WWWW[[#This Row],['# HH received Sanitary Pads]]/WWWW[[#This Row],[Total HH]]&gt;1,1,WWWW[[#This Row],['# HH received Sanitary Pads]]/WWWW[[#This Row],[Total HH]])</f>
        <v>0</v>
      </c>
      <c r="BZ196" s="721">
        <f>WWWW[[#This Row],['# HH received soaps]]*5</f>
        <v>0</v>
      </c>
      <c r="CA196" s="721">
        <f>WWWW[[#This Row],['# HH received Sanitary Pads]]*5</f>
        <v>0</v>
      </c>
      <c r="CB196" s="406">
        <f>IF(WWWW[[#This Row],['# People with access to soap]]&gt;WWWW[[#This Row],['# People with access to Sanity Pads]],WWWW[[#This Row],['# People with access to soap]],WWWW[[#This Row],['# People with access to Sanity Pads]])</f>
        <v>0</v>
      </c>
      <c r="CC196" s="405">
        <f>WWWW[[#This Row],[Total HH]]*WWWW[[#This Row],[%HHs with access to functional hand washing stations]]</f>
        <v>0</v>
      </c>
      <c r="CD196" s="240">
        <f>VLOOKUP(WWWW[[#This Row],[Site Name]],SiteDB6[],8,FALSE)</f>
        <v>0</v>
      </c>
      <c r="CE196" s="240">
        <f>VLOOKUP(WWWW[[#This Row],[Site Name]],SiteDB6[],9,FALSE)</f>
        <v>0</v>
      </c>
      <c r="CF196" s="240" t="str">
        <f>VLOOKUP(WWWW[[#This Row],[Site Name]],SiteDB6[],10,FALSE)</f>
        <v>Village_Not HRP</v>
      </c>
      <c r="CG196" s="240" t="str">
        <f>VLOOKUP(WWWW[[#This Row],[Site Name]],SiteDB6[],11,FALSE)</f>
        <v>Village</v>
      </c>
      <c r="CH196" s="240" t="str">
        <f>VLOOKUP(WWWW[[#This Row],[Site Name]],SiteDB6[],12,FALSE)</f>
        <v>Village</v>
      </c>
      <c r="CI196" s="240">
        <f>VLOOKUP(WWWW[[#This Row],[Site Name]],SiteDB6[],13,FALSE)</f>
        <v>0</v>
      </c>
      <c r="CJ196" s="240">
        <f>VLOOKUP(WWWW[[#This Row],[Site Name]],SiteDB6[],14,FALSE)</f>
        <v>20.711349487304702</v>
      </c>
      <c r="CK196" s="240">
        <f>VLOOKUP(WWWW[[#This Row],[Site Name]],SiteDB6[],15,FALSE)</f>
        <v>92.980506896972699</v>
      </c>
      <c r="CL196" s="240">
        <f>VLOOKUP(WWWW[[#This Row],[Site Name]],SiteDB6[],4,FALSE)</f>
        <v>196944</v>
      </c>
      <c r="CM196" s="404" t="str">
        <f t="shared" si="2"/>
        <v>Covered</v>
      </c>
      <c r="CN196" s="404"/>
    </row>
    <row r="197" spans="1:92" ht="16.5" hidden="1" customHeight="1" thickBot="1" x14ac:dyDescent="0.3">
      <c r="A197" s="594" t="s">
        <v>1409</v>
      </c>
      <c r="B197" s="169" t="s">
        <v>489</v>
      </c>
      <c r="C197" s="169" t="s">
        <v>464</v>
      </c>
      <c r="D197" s="169" t="s">
        <v>473</v>
      </c>
      <c r="E197" s="169" t="s">
        <v>774</v>
      </c>
      <c r="F197" s="311">
        <v>102</v>
      </c>
      <c r="G197" s="800">
        <v>397</v>
      </c>
      <c r="H197" s="311"/>
      <c r="I197" s="311" t="s">
        <v>505</v>
      </c>
      <c r="J197" s="312">
        <v>43615</v>
      </c>
      <c r="K197" s="311">
        <v>0</v>
      </c>
      <c r="L197" s="311" t="s">
        <v>2580</v>
      </c>
      <c r="M197" s="307">
        <v>0</v>
      </c>
      <c r="N197" s="307">
        <v>0</v>
      </c>
      <c r="O197" s="608">
        <v>0</v>
      </c>
      <c r="P197" s="609">
        <v>0</v>
      </c>
      <c r="Q197" s="622">
        <v>0</v>
      </c>
      <c r="R197" s="623">
        <v>0</v>
      </c>
      <c r="S197" s="623">
        <v>0</v>
      </c>
      <c r="T197" s="604"/>
      <c r="U197" s="604"/>
      <c r="V197" s="604"/>
      <c r="W197" s="604"/>
      <c r="X197" s="604"/>
      <c r="Y197" s="604"/>
      <c r="Z197" s="628">
        <v>0</v>
      </c>
      <c r="AA197" s="628">
        <v>0</v>
      </c>
      <c r="AB197" s="629"/>
      <c r="AC197" s="640">
        <v>0</v>
      </c>
      <c r="AD197" s="80" t="s">
        <v>1379</v>
      </c>
      <c r="AE197" s="80" t="s">
        <v>1379</v>
      </c>
      <c r="AF197" s="631"/>
      <c r="AG197" s="628"/>
      <c r="AH197" s="640"/>
      <c r="AI197" s="665">
        <v>0</v>
      </c>
      <c r="AJ197" s="666"/>
      <c r="AK197" s="644">
        <v>0</v>
      </c>
      <c r="AL197" s="645">
        <v>0</v>
      </c>
      <c r="AM197" s="645">
        <v>0</v>
      </c>
      <c r="AN197" s="600"/>
      <c r="AO197" s="600"/>
      <c r="AP197" s="647"/>
      <c r="AQ197" s="667"/>
      <c r="AR197" s="235" t="str">
        <f>IFERROR(WWWW[[#This Row],['# of Water passed at source]]/WWWW[[#This Row],['# of Water tested at source]],"no test")</f>
        <v>no test</v>
      </c>
      <c r="AS197" s="237" t="str">
        <f>IFERROR(WWWW[[#This Row],['# of Water passed at HH]]/WWWW[[#This Row],['# of Water tested at HH]],"no test")</f>
        <v>no test</v>
      </c>
      <c r="AT197" s="237">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U197" s="237">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AV197" s="237">
        <f>IF(WWWW[[#This Row],[Location Type 1]]="Village",WWWW[[#This Row],[Access to safe drinking water for Village]],WWWW[[#This Row],[Access to safe drinking water for Camp]])</f>
        <v>0</v>
      </c>
      <c r="AW197" s="414">
        <f>WWWW[[#This Row],[%Equitable and continuous access to sufficient quantity of safe drinking water]]*WWWW[[#This Row],[Total PoP ]]</f>
        <v>0</v>
      </c>
      <c r="AX197" s="237">
        <f>IF((WWWW[[#This Row],['# Existing protected/fenced ponds ]]*250)/WWWW[[#This Row],[Total PoP ]]&gt;1,1,WWWW[[#This Row],['# Existing protected/fenced ponds ]]*250/WWWW[[#This Row],[Total PoP ]])</f>
        <v>0</v>
      </c>
      <c r="AY197" s="414">
        <f>WWWW[[#This Row],[Access to unimproved water points]]*WWWW[[#This Row],[Total PoP ]]</f>
        <v>0</v>
      </c>
      <c r="AZ197" s="237">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A197" s="414">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B197" s="414">
        <f>ROUND(WWWW[[#This Row],['#people Equitable and continuous access to sufficient quantity of domestic water borehole n ponds_2]]/500,0)</f>
        <v>0</v>
      </c>
      <c r="BC197" s="235">
        <f>1-WWWW[[#This Row],[%Equitable and continuous access to sufficient quantity of domestic water borehole n ponds]]</f>
        <v>1</v>
      </c>
      <c r="BD197" s="414">
        <f>WWWW[[#This Row],[%equitable and continuous access to sufficient quantity of safe drinking and domestic water''s GAP]]*WWWW[[#This Row],[Total PoP ]]</f>
        <v>397</v>
      </c>
      <c r="BE197" s="238">
        <f>IF(WWWW[[#This Row],[Total required water points]]-WWWW[[#This Row],['#Water points coverage]]&lt;0,0,WWWW[[#This Row],[Total required water points]]-WWWW[[#This Row],['#Water points coverage]])</f>
        <v>1</v>
      </c>
      <c r="BF197" s="238">
        <f>ROUND(IF(WWWW[[#This Row],[Total PoP ]]&lt;500,1,WWWW[[#This Row],[Total PoP ]]/500),0)</f>
        <v>1</v>
      </c>
      <c r="BG197" s="238" t="str">
        <f>IF(AND(WWWW[[#This Row],[%of Water samples which passed at water source]]="no test",WWWW[[#This Row],[%Water samples which passed at HH]]="no test"),"No Test","Tested")</f>
        <v>No Test</v>
      </c>
      <c r="BH197" s="238">
        <f>WWWW[[#This Row],['# Existing functional latrines]]+WWWW[[#This Row],['# Existing latrines dysfunctional]]</f>
        <v>0</v>
      </c>
      <c r="BI197" s="235">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J197" s="675">
        <f>WWWW[[#This Row],[% people access to functioning Latrine]]*WWWW[[#This Row],[Total PoP ]]</f>
        <v>0</v>
      </c>
      <c r="BK197" s="235">
        <f>IF(WWWW[[#This Row],[Location Type 1]]="camp",WWWW[[#This Row],['# potential required new latrines]]/(WWWW[[#This Row],[Total PoP ]]/20),WWWW[[#This Row],['# potential required new latrines]]/(WWWW[[#This Row],[Total PoP ]]/6))</f>
        <v>0.99748110831234249</v>
      </c>
      <c r="BL197" s="414">
        <f>IF(WWWW[[#This Row],[Total required Latrines]]-WWWW[[#This Row],[Total '# of latrine]]&lt;0,0,WWWW[[#This Row],[Total required Latrines]]-WWWW[[#This Row],[Total '# of latrine]])</f>
        <v>66</v>
      </c>
      <c r="BM197" s="238">
        <f>ROUND(IF(WWWW[[#This Row],[Location Type 1]]="camp",WWWW[[#This Row],[Total PoP ]]/20,WWWW[[#This Row],[Total PoP ]]/6),0)</f>
        <v>66</v>
      </c>
      <c r="BN197" s="239">
        <f>IF(OR(WWWW[[#This Row],['# Existing latrines dysfunctional]]="",WWWW[[#This Row],['# Existing latrines dysfunctional]]=0),0,WWWW[[#This Row],['# Existing latrines dysfunctional]]/WWWW[[#This Row],[Total '# of latrine]])</f>
        <v>0</v>
      </c>
      <c r="BO197" s="675"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P197" s="235">
        <f>WWWW[[#This Row],[People adopt basic personal and community hygiene practices]]/WWWW[[#This Row],[Total PoP ]]</f>
        <v>0</v>
      </c>
      <c r="BQ197" s="239">
        <f>1-WWWW[[#This Row],[Hygiene Coverage%]]</f>
        <v>1</v>
      </c>
      <c r="BR197" s="405">
        <f>IF(500*WWWW[[#This Row],['# Hygiene Promoters ]]&gt;WWWW[[#This Row],[Total PoP ]],WWWW[[#This Row],[Total PoP ]],500*WWWW[[#This Row],['# Hygiene Promoters ]])</f>
        <v>0</v>
      </c>
      <c r="BS197" s="405">
        <f>IF(WWWW[[#This Row],[% of HH with access to Sanitary Pad]]&gt;=100%,1,0)</f>
        <v>0</v>
      </c>
      <c r="BT197" s="405">
        <f>IF(WWWW[[#This Row],[Total PoP ]]=0,0,IF(WWWW[[#This Row],['# Hygiene Promoters ]]=0,0,IF(WWWW[[#This Row],[Location Type 1]]="Village",IF(WWWW[[#This Row],[Total PoP ]]/WWWW[[#This Row],['# Hygiene Promoters ]]&lt;1000,1,0),IF(WWWW[[#This Row],[Total PoP ]]/WWWW[[#This Row],['# Hygiene Promoters ]]&lt;600,1,0))))</f>
        <v>0</v>
      </c>
      <c r="BU197" s="405">
        <f>IF(WWWW[[#This Row],[%HH with access to soap]]&gt;=100%,1,0)</f>
        <v>0</v>
      </c>
      <c r="BV197" s="405">
        <f>IF(WWWW[[#This Row],[% of HHs with access to Sanitary pad more than '#%]]+WWWW[[#This Row],[Ratio of Hyiene promoters to people less than '#]]+WWWW[[#This Row],[% of HHs with access to soap more than '#%]]&gt;=2,WWWW[[#This Row],[Total PoP ]],0)</f>
        <v>0</v>
      </c>
      <c r="BW197" s="346">
        <f>WWWW[[#This Row],['# people reached by regular dedicated hygiene promotion_5]]/WWWW[[#This Row],[Total PoP ]]</f>
        <v>0</v>
      </c>
      <c r="BX197" s="346">
        <f>IF(WWWW[[#This Row],['# HH received soaps]]/WWWW[[#This Row],[Total HH]]&gt;1,1,WWWW[[#This Row],['# HH received soaps]]/WWWW[[#This Row],[Total HH]])</f>
        <v>0</v>
      </c>
      <c r="BY197" s="346">
        <f>IF(WWWW[[#This Row],['# HH received Sanitary Pads]]/WWWW[[#This Row],[Total HH]]&gt;1,1,WWWW[[#This Row],['# HH received Sanitary Pads]]/WWWW[[#This Row],[Total HH]])</f>
        <v>0</v>
      </c>
      <c r="BZ197" s="720">
        <f>WWWW[[#This Row],['# HH received soaps]]*5</f>
        <v>0</v>
      </c>
      <c r="CA197" s="720">
        <f>WWWW[[#This Row],['# HH received Sanitary Pads]]*5</f>
        <v>0</v>
      </c>
      <c r="CB197" s="675">
        <f>IF(WWWW[[#This Row],['# People with access to soap]]&gt;WWWW[[#This Row],['# People with access to Sanity Pads]],WWWW[[#This Row],['# People with access to soap]],WWWW[[#This Row],['# People with access to Sanity Pads]])</f>
        <v>0</v>
      </c>
      <c r="CC197" s="414">
        <f>WWWW[[#This Row],[Total HH]]*WWWW[[#This Row],[%HHs with access to functional hand washing stations]]</f>
        <v>0</v>
      </c>
      <c r="CD197" s="240">
        <f>VLOOKUP(WWWW[[#This Row],[Site Name]],SiteDB6[],8,FALSE)</f>
        <v>0</v>
      </c>
      <c r="CE197" s="240">
        <f>VLOOKUP(WWWW[[#This Row],[Site Name]],SiteDB6[],9,FALSE)</f>
        <v>0</v>
      </c>
      <c r="CF197" s="240" t="str">
        <f>VLOOKUP(WWWW[[#This Row],[Site Name]],SiteDB6[],10,FALSE)</f>
        <v>Village_Not HRP</v>
      </c>
      <c r="CG197" s="240" t="str">
        <f>VLOOKUP(WWWW[[#This Row],[Site Name]],SiteDB6[],11,FALSE)</f>
        <v>Village</v>
      </c>
      <c r="CH197" s="240" t="str">
        <f>VLOOKUP(WWWW[[#This Row],[Site Name]],SiteDB6[],12,FALSE)</f>
        <v>Village</v>
      </c>
      <c r="CI197" s="240">
        <f>VLOOKUP(WWWW[[#This Row],[Site Name]],SiteDB6[],13,FALSE)</f>
        <v>0</v>
      </c>
      <c r="CJ197" s="240">
        <f>VLOOKUP(WWWW[[#This Row],[Site Name]],SiteDB6[],14,FALSE)</f>
        <v>20.785770416259801</v>
      </c>
      <c r="CK197" s="240">
        <f>VLOOKUP(WWWW[[#This Row],[Site Name]],SiteDB6[],15,FALSE)</f>
        <v>92.931427001953097</v>
      </c>
      <c r="CL197" s="240">
        <f>VLOOKUP(WWWW[[#This Row],[Site Name]],SiteDB6[],4,FALSE)</f>
        <v>196887</v>
      </c>
      <c r="CM197" s="235" t="str">
        <f t="shared" si="2"/>
        <v>Covered</v>
      </c>
      <c r="CN197" s="240"/>
    </row>
    <row r="198" spans="1:92" ht="16.5" hidden="1" customHeight="1" thickBot="1" x14ac:dyDescent="0.3">
      <c r="A198" s="594" t="s">
        <v>1409</v>
      </c>
      <c r="B198" s="314" t="s">
        <v>489</v>
      </c>
      <c r="C198" s="314" t="s">
        <v>464</v>
      </c>
      <c r="D198" s="314" t="s">
        <v>473</v>
      </c>
      <c r="E198" s="314" t="s">
        <v>785</v>
      </c>
      <c r="F198" s="314">
        <v>75</v>
      </c>
      <c r="G198" s="735">
        <v>379</v>
      </c>
      <c r="H198" s="314"/>
      <c r="I198" s="314" t="s">
        <v>505</v>
      </c>
      <c r="J198" s="315">
        <v>43615</v>
      </c>
      <c r="K198" s="314">
        <v>0</v>
      </c>
      <c r="L198" s="314" t="s">
        <v>2580</v>
      </c>
      <c r="M198" s="316">
        <v>0</v>
      </c>
      <c r="N198" s="316">
        <v>0</v>
      </c>
      <c r="O198" s="608">
        <v>0</v>
      </c>
      <c r="P198" s="609">
        <v>0</v>
      </c>
      <c r="Q198" s="613">
        <v>0</v>
      </c>
      <c r="R198" s="614">
        <v>0</v>
      </c>
      <c r="S198" s="614">
        <v>0</v>
      </c>
      <c r="T198" s="604"/>
      <c r="U198" s="604"/>
      <c r="V198" s="604"/>
      <c r="W198" s="604"/>
      <c r="X198" s="604"/>
      <c r="Y198" s="604"/>
      <c r="Z198" s="628">
        <v>0</v>
      </c>
      <c r="AA198" s="628">
        <v>0</v>
      </c>
      <c r="AB198" s="634"/>
      <c r="AC198" s="634">
        <v>0</v>
      </c>
      <c r="AD198" s="80" t="s">
        <v>1379</v>
      </c>
      <c r="AE198" s="80" t="s">
        <v>1379</v>
      </c>
      <c r="AF198" s="629"/>
      <c r="AG198" s="629"/>
      <c r="AH198" s="634"/>
      <c r="AI198" s="655">
        <v>0</v>
      </c>
      <c r="AJ198" s="656"/>
      <c r="AK198" s="644">
        <v>0</v>
      </c>
      <c r="AL198" s="645">
        <v>0</v>
      </c>
      <c r="AM198" s="645">
        <v>0</v>
      </c>
      <c r="AN198" s="600"/>
      <c r="AO198" s="647"/>
      <c r="AP198" s="647"/>
      <c r="AQ198" s="657"/>
      <c r="AR198" s="235" t="str">
        <f>IFERROR(WWWW[[#This Row],['# of Water passed at source]]/WWWW[[#This Row],['# of Water tested at source]],"no test")</f>
        <v>no test</v>
      </c>
      <c r="AS198" s="237" t="str">
        <f>IFERROR(WWWW[[#This Row],['# of Water passed at HH]]/WWWW[[#This Row],['# of Water tested at HH]],"no test")</f>
        <v>no test</v>
      </c>
      <c r="AT198" s="237">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U198" s="237">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AV198" s="237">
        <f>IF(WWWW[[#This Row],[Location Type 1]]="Village",WWWW[[#This Row],[Access to safe drinking water for Village]],WWWW[[#This Row],[Access to safe drinking water for Camp]])</f>
        <v>0</v>
      </c>
      <c r="AW198" s="414">
        <f>WWWW[[#This Row],[%Equitable and continuous access to sufficient quantity of safe drinking water]]*WWWW[[#This Row],[Total PoP ]]</f>
        <v>0</v>
      </c>
      <c r="AX198" s="237">
        <f>IF((WWWW[[#This Row],['# Existing protected/fenced ponds ]]*250)/WWWW[[#This Row],[Total PoP ]]&gt;1,1,WWWW[[#This Row],['# Existing protected/fenced ponds ]]*250/WWWW[[#This Row],[Total PoP ]])</f>
        <v>0</v>
      </c>
      <c r="AY198" s="414">
        <f>WWWW[[#This Row],[Access to unimproved water points]]*WWWW[[#This Row],[Total PoP ]]</f>
        <v>0</v>
      </c>
      <c r="AZ198" s="237">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A198" s="414">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B198" s="414">
        <f>ROUND(WWWW[[#This Row],['#people Equitable and continuous access to sufficient quantity of domestic water borehole n ponds_2]]/500,0)</f>
        <v>0</v>
      </c>
      <c r="BC198" s="235">
        <f>1-WWWW[[#This Row],[%Equitable and continuous access to sufficient quantity of domestic water borehole n ponds]]</f>
        <v>1</v>
      </c>
      <c r="BD198" s="414">
        <f>WWWW[[#This Row],[%equitable and continuous access to sufficient quantity of safe drinking and domestic water''s GAP]]*WWWW[[#This Row],[Total PoP ]]</f>
        <v>379</v>
      </c>
      <c r="BE198" s="238">
        <f>IF(WWWW[[#This Row],[Total required water points]]-WWWW[[#This Row],['#Water points coverage]]&lt;0,0,WWWW[[#This Row],[Total required water points]]-WWWW[[#This Row],['#Water points coverage]])</f>
        <v>1</v>
      </c>
      <c r="BF198" s="238">
        <f>ROUND(IF(WWWW[[#This Row],[Total PoP ]]&lt;500,1,WWWW[[#This Row],[Total PoP ]]/500),0)</f>
        <v>1</v>
      </c>
      <c r="BG198" s="238" t="str">
        <f>IF(AND(WWWW[[#This Row],[%of Water samples which passed at water source]]="no test",WWWW[[#This Row],[%Water samples which passed at HH]]="no test"),"No Test","Tested")</f>
        <v>No Test</v>
      </c>
      <c r="BH198" s="238">
        <f>WWWW[[#This Row],['# Existing functional latrines]]+WWWW[[#This Row],['# Existing latrines dysfunctional]]</f>
        <v>0</v>
      </c>
      <c r="BI198" s="235">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J198" s="675">
        <f>WWWW[[#This Row],[% people access to functioning Latrine]]*WWWW[[#This Row],[Total PoP ]]</f>
        <v>0</v>
      </c>
      <c r="BK198" s="235">
        <f>IF(WWWW[[#This Row],[Location Type 1]]="camp",WWWW[[#This Row],['# potential required new latrines]]/(WWWW[[#This Row],[Total PoP ]]/20),WWWW[[#This Row],['# potential required new latrines]]/(WWWW[[#This Row],[Total PoP ]]/6))</f>
        <v>0.99736147757255944</v>
      </c>
      <c r="BL198" s="414">
        <f>IF(WWWW[[#This Row],[Total required Latrines]]-WWWW[[#This Row],[Total '# of latrine]]&lt;0,0,WWWW[[#This Row],[Total required Latrines]]-WWWW[[#This Row],[Total '# of latrine]])</f>
        <v>63</v>
      </c>
      <c r="BM198" s="238">
        <f>ROUND(IF(WWWW[[#This Row],[Location Type 1]]="camp",WWWW[[#This Row],[Total PoP ]]/20,WWWW[[#This Row],[Total PoP ]]/6),0)</f>
        <v>63</v>
      </c>
      <c r="BN198" s="239">
        <f>IF(OR(WWWW[[#This Row],['# Existing latrines dysfunctional]]="",WWWW[[#This Row],['# Existing latrines dysfunctional]]=0),0,WWWW[[#This Row],['# Existing latrines dysfunctional]]/WWWW[[#This Row],[Total '# of latrine]])</f>
        <v>0</v>
      </c>
      <c r="BO198" s="675"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P198" s="235">
        <f>WWWW[[#This Row],[People adopt basic personal and community hygiene practices]]/WWWW[[#This Row],[Total PoP ]]</f>
        <v>0</v>
      </c>
      <c r="BQ198" s="239">
        <f>1-WWWW[[#This Row],[Hygiene Coverage%]]</f>
        <v>1</v>
      </c>
      <c r="BR198" s="405">
        <f>IF(500*WWWW[[#This Row],['# Hygiene Promoters ]]&gt;WWWW[[#This Row],[Total PoP ]],WWWW[[#This Row],[Total PoP ]],500*WWWW[[#This Row],['# Hygiene Promoters ]])</f>
        <v>0</v>
      </c>
      <c r="BS198" s="405">
        <f>IF(WWWW[[#This Row],[% of HH with access to Sanitary Pad]]&gt;=100%,1,0)</f>
        <v>0</v>
      </c>
      <c r="BT198" s="405">
        <f>IF(WWWW[[#This Row],[Total PoP ]]=0,0,IF(WWWW[[#This Row],['# Hygiene Promoters ]]=0,0,IF(WWWW[[#This Row],[Location Type 1]]="Village",IF(WWWW[[#This Row],[Total PoP ]]/WWWW[[#This Row],['# Hygiene Promoters ]]&lt;1000,1,0),IF(WWWW[[#This Row],[Total PoP ]]/WWWW[[#This Row],['# Hygiene Promoters ]]&lt;600,1,0))))</f>
        <v>0</v>
      </c>
      <c r="BU198" s="405">
        <f>IF(WWWW[[#This Row],[%HH with access to soap]]&gt;=100%,1,0)</f>
        <v>0</v>
      </c>
      <c r="BV198" s="405">
        <f>IF(WWWW[[#This Row],[% of HHs with access to Sanitary pad more than '#%]]+WWWW[[#This Row],[Ratio of Hyiene promoters to people less than '#]]+WWWW[[#This Row],[% of HHs with access to soap more than '#%]]&gt;=2,WWWW[[#This Row],[Total PoP ]],0)</f>
        <v>0</v>
      </c>
      <c r="BW198" s="346">
        <f>WWWW[[#This Row],['# people reached by regular dedicated hygiene promotion_5]]/WWWW[[#This Row],[Total PoP ]]</f>
        <v>0</v>
      </c>
      <c r="BX198" s="346">
        <f>IF(WWWW[[#This Row],['# HH received soaps]]/WWWW[[#This Row],[Total HH]]&gt;1,1,WWWW[[#This Row],['# HH received soaps]]/WWWW[[#This Row],[Total HH]])</f>
        <v>0</v>
      </c>
      <c r="BY198" s="346">
        <f>IF(WWWW[[#This Row],['# HH received Sanitary Pads]]/WWWW[[#This Row],[Total HH]]&gt;1,1,WWWW[[#This Row],['# HH received Sanitary Pads]]/WWWW[[#This Row],[Total HH]])</f>
        <v>0</v>
      </c>
      <c r="BZ198" s="720">
        <f>WWWW[[#This Row],['# HH received soaps]]*5</f>
        <v>0</v>
      </c>
      <c r="CA198" s="720">
        <f>WWWW[[#This Row],['# HH received Sanitary Pads]]*5</f>
        <v>0</v>
      </c>
      <c r="CB198" s="675">
        <f>IF(WWWW[[#This Row],['# People with access to soap]]&gt;WWWW[[#This Row],['# People with access to Sanity Pads]],WWWW[[#This Row],['# People with access to soap]],WWWW[[#This Row],['# People with access to Sanity Pads]])</f>
        <v>0</v>
      </c>
      <c r="CC198" s="414">
        <f>WWWW[[#This Row],[Total HH]]*WWWW[[#This Row],[%HHs with access to functional hand washing stations]]</f>
        <v>0</v>
      </c>
      <c r="CD198" s="240">
        <f>VLOOKUP(WWWW[[#This Row],[Site Name]],SiteDB6[],8,FALSE)</f>
        <v>0</v>
      </c>
      <c r="CE198" s="240">
        <f>VLOOKUP(WWWW[[#This Row],[Site Name]],SiteDB6[],9,FALSE)</f>
        <v>0</v>
      </c>
      <c r="CF198" s="240" t="str">
        <f>VLOOKUP(WWWW[[#This Row],[Site Name]],SiteDB6[],10,FALSE)</f>
        <v>Village_Not HRP</v>
      </c>
      <c r="CG198" s="240" t="str">
        <f>VLOOKUP(WWWW[[#This Row],[Site Name]],SiteDB6[],11,FALSE)</f>
        <v>Village</v>
      </c>
      <c r="CH198" s="240" t="str">
        <f>VLOOKUP(WWWW[[#This Row],[Site Name]],SiteDB6[],12,FALSE)</f>
        <v>Village</v>
      </c>
      <c r="CI198" s="240" t="str">
        <f>VLOOKUP(WWWW[[#This Row],[Site Name]],SiteDB6[],13,FALSE)</f>
        <v xml:space="preserve">Myo </v>
      </c>
      <c r="CJ198" s="240">
        <f>VLOOKUP(WWWW[[#This Row],[Site Name]],SiteDB6[],14,FALSE)</f>
        <v>20.803529739379901</v>
      </c>
      <c r="CK198" s="240">
        <f>VLOOKUP(WWWW[[#This Row],[Site Name]],SiteDB6[],15,FALSE)</f>
        <v>92.929466247558594</v>
      </c>
      <c r="CL198" s="240" t="str">
        <f>VLOOKUP(WWWW[[#This Row],[Site Name]],SiteDB6[],4,FALSE)</f>
        <v>196883</v>
      </c>
      <c r="CM198" s="235" t="str">
        <f t="shared" si="2"/>
        <v>Covered</v>
      </c>
      <c r="CN198" s="240"/>
    </row>
    <row r="199" spans="1:92" ht="16.5" hidden="1" customHeight="1" thickBot="1" x14ac:dyDescent="0.3">
      <c r="A199" s="594" t="s">
        <v>1409</v>
      </c>
      <c r="B199" s="314" t="s">
        <v>489</v>
      </c>
      <c r="C199" s="314" t="s">
        <v>464</v>
      </c>
      <c r="D199" s="314" t="s">
        <v>473</v>
      </c>
      <c r="E199" s="314" t="s">
        <v>793</v>
      </c>
      <c r="F199" s="314">
        <v>35</v>
      </c>
      <c r="G199" s="735">
        <v>238</v>
      </c>
      <c r="H199" s="314"/>
      <c r="I199" s="314" t="s">
        <v>505</v>
      </c>
      <c r="J199" s="315">
        <v>43615</v>
      </c>
      <c r="K199" s="314">
        <v>0</v>
      </c>
      <c r="L199" s="314" t="s">
        <v>2580</v>
      </c>
      <c r="M199" s="316">
        <v>0</v>
      </c>
      <c r="N199" s="316">
        <v>0</v>
      </c>
      <c r="O199" s="608">
        <v>0</v>
      </c>
      <c r="P199" s="609">
        <v>0</v>
      </c>
      <c r="Q199" s="613">
        <v>0</v>
      </c>
      <c r="R199" s="614">
        <v>0</v>
      </c>
      <c r="S199" s="614">
        <v>0</v>
      </c>
      <c r="T199" s="604"/>
      <c r="U199" s="604"/>
      <c r="V199" s="604"/>
      <c r="W199" s="604"/>
      <c r="X199" s="604"/>
      <c r="Y199" s="604"/>
      <c r="Z199" s="628">
        <v>0</v>
      </c>
      <c r="AA199" s="628">
        <v>0</v>
      </c>
      <c r="AB199" s="634"/>
      <c r="AC199" s="634">
        <v>0</v>
      </c>
      <c r="AD199" s="80" t="s">
        <v>1379</v>
      </c>
      <c r="AE199" s="80" t="s">
        <v>1379</v>
      </c>
      <c r="AF199" s="629"/>
      <c r="AG199" s="629"/>
      <c r="AH199" s="634"/>
      <c r="AI199" s="655">
        <v>0</v>
      </c>
      <c r="AJ199" s="656"/>
      <c r="AK199" s="644">
        <v>0</v>
      </c>
      <c r="AL199" s="645">
        <v>0</v>
      </c>
      <c r="AM199" s="645">
        <v>0</v>
      </c>
      <c r="AN199" s="600"/>
      <c r="AO199" s="647"/>
      <c r="AP199" s="647"/>
      <c r="AQ199" s="657"/>
      <c r="AR199" s="235" t="str">
        <f>IFERROR(WWWW[[#This Row],['# of Water passed at source]]/WWWW[[#This Row],['# of Water tested at source]],"no test")</f>
        <v>no test</v>
      </c>
      <c r="AS199" s="237" t="str">
        <f>IFERROR(WWWW[[#This Row],['# of Water passed at HH]]/WWWW[[#This Row],['# of Water tested at HH]],"no test")</f>
        <v>no test</v>
      </c>
      <c r="AT199" s="237">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U199" s="237">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AV199" s="237">
        <f>IF(WWWW[[#This Row],[Location Type 1]]="Village",WWWW[[#This Row],[Access to safe drinking water for Village]],WWWW[[#This Row],[Access to safe drinking water for Camp]])</f>
        <v>0</v>
      </c>
      <c r="AW199" s="414">
        <f>WWWW[[#This Row],[%Equitable and continuous access to sufficient quantity of safe drinking water]]*WWWW[[#This Row],[Total PoP ]]</f>
        <v>0</v>
      </c>
      <c r="AX199" s="237">
        <f>IF((WWWW[[#This Row],['# Existing protected/fenced ponds ]]*250)/WWWW[[#This Row],[Total PoP ]]&gt;1,1,WWWW[[#This Row],['# Existing protected/fenced ponds ]]*250/WWWW[[#This Row],[Total PoP ]])</f>
        <v>0</v>
      </c>
      <c r="AY199" s="414">
        <f>WWWW[[#This Row],[Access to unimproved water points]]*WWWW[[#This Row],[Total PoP ]]</f>
        <v>0</v>
      </c>
      <c r="AZ199" s="237">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A199" s="414">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B199" s="414">
        <f>ROUND(WWWW[[#This Row],['#people Equitable and continuous access to sufficient quantity of domestic water borehole n ponds_2]]/500,0)</f>
        <v>0</v>
      </c>
      <c r="BC199" s="235">
        <f>1-WWWW[[#This Row],[%Equitable and continuous access to sufficient quantity of domestic water borehole n ponds]]</f>
        <v>1</v>
      </c>
      <c r="BD199" s="414">
        <f>WWWW[[#This Row],[%equitable and continuous access to sufficient quantity of safe drinking and domestic water''s GAP]]*WWWW[[#This Row],[Total PoP ]]</f>
        <v>238</v>
      </c>
      <c r="BE199" s="238">
        <f>IF(WWWW[[#This Row],[Total required water points]]-WWWW[[#This Row],['#Water points coverage]]&lt;0,0,WWWW[[#This Row],[Total required water points]]-WWWW[[#This Row],['#Water points coverage]])</f>
        <v>1</v>
      </c>
      <c r="BF199" s="238">
        <f>ROUND(IF(WWWW[[#This Row],[Total PoP ]]&lt;500,1,WWWW[[#This Row],[Total PoP ]]/500),0)</f>
        <v>1</v>
      </c>
      <c r="BG199" s="238" t="str">
        <f>IF(AND(WWWW[[#This Row],[%of Water samples which passed at water source]]="no test",WWWW[[#This Row],[%Water samples which passed at HH]]="no test"),"No Test","Tested")</f>
        <v>No Test</v>
      </c>
      <c r="BH199" s="238">
        <f>WWWW[[#This Row],['# Existing functional latrines]]+WWWW[[#This Row],['# Existing latrines dysfunctional]]</f>
        <v>0</v>
      </c>
      <c r="BI199" s="235">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J199" s="675">
        <f>WWWW[[#This Row],[% people access to functioning Latrine]]*WWWW[[#This Row],[Total PoP ]]</f>
        <v>0</v>
      </c>
      <c r="BK199" s="235">
        <f>IF(WWWW[[#This Row],[Location Type 1]]="camp",WWWW[[#This Row],['# potential required new latrines]]/(WWWW[[#This Row],[Total PoP ]]/20),WWWW[[#This Row],['# potential required new latrines]]/(WWWW[[#This Row],[Total PoP ]]/6))</f>
        <v>1.0084033613445378</v>
      </c>
      <c r="BL199" s="414">
        <f>IF(WWWW[[#This Row],[Total required Latrines]]-WWWW[[#This Row],[Total '# of latrine]]&lt;0,0,WWWW[[#This Row],[Total required Latrines]]-WWWW[[#This Row],[Total '# of latrine]])</f>
        <v>40</v>
      </c>
      <c r="BM199" s="238">
        <f>ROUND(IF(WWWW[[#This Row],[Location Type 1]]="camp",WWWW[[#This Row],[Total PoP ]]/20,WWWW[[#This Row],[Total PoP ]]/6),0)</f>
        <v>40</v>
      </c>
      <c r="BN199" s="239">
        <f>IF(OR(WWWW[[#This Row],['# Existing latrines dysfunctional]]="",WWWW[[#This Row],['# Existing latrines dysfunctional]]=0),0,WWWW[[#This Row],['# Existing latrines dysfunctional]]/WWWW[[#This Row],[Total '# of latrine]])</f>
        <v>0</v>
      </c>
      <c r="BO199" s="675"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P199" s="235">
        <f>WWWW[[#This Row],[People adopt basic personal and community hygiene practices]]/WWWW[[#This Row],[Total PoP ]]</f>
        <v>0</v>
      </c>
      <c r="BQ199" s="239">
        <f>1-WWWW[[#This Row],[Hygiene Coverage%]]</f>
        <v>1</v>
      </c>
      <c r="BR199" s="405">
        <f>IF(500*WWWW[[#This Row],['# Hygiene Promoters ]]&gt;WWWW[[#This Row],[Total PoP ]],WWWW[[#This Row],[Total PoP ]],500*WWWW[[#This Row],['# Hygiene Promoters ]])</f>
        <v>0</v>
      </c>
      <c r="BS199" s="405">
        <f>IF(WWWW[[#This Row],[% of HH with access to Sanitary Pad]]&gt;=100%,1,0)</f>
        <v>0</v>
      </c>
      <c r="BT199" s="405">
        <f>IF(WWWW[[#This Row],[Total PoP ]]=0,0,IF(WWWW[[#This Row],['# Hygiene Promoters ]]=0,0,IF(WWWW[[#This Row],[Location Type 1]]="Village",IF(WWWW[[#This Row],[Total PoP ]]/WWWW[[#This Row],['# Hygiene Promoters ]]&lt;1000,1,0),IF(WWWW[[#This Row],[Total PoP ]]/WWWW[[#This Row],['# Hygiene Promoters ]]&lt;600,1,0))))</f>
        <v>0</v>
      </c>
      <c r="BU199" s="405">
        <f>IF(WWWW[[#This Row],[%HH with access to soap]]&gt;=100%,1,0)</f>
        <v>0</v>
      </c>
      <c r="BV199" s="405">
        <f>IF(WWWW[[#This Row],[% of HHs with access to Sanitary pad more than '#%]]+WWWW[[#This Row],[Ratio of Hyiene promoters to people less than '#]]+WWWW[[#This Row],[% of HHs with access to soap more than '#%]]&gt;=2,WWWW[[#This Row],[Total PoP ]],0)</f>
        <v>0</v>
      </c>
      <c r="BW199" s="346">
        <f>WWWW[[#This Row],['# people reached by regular dedicated hygiene promotion_5]]/WWWW[[#This Row],[Total PoP ]]</f>
        <v>0</v>
      </c>
      <c r="BX199" s="346">
        <f>IF(WWWW[[#This Row],['# HH received soaps]]/WWWW[[#This Row],[Total HH]]&gt;1,1,WWWW[[#This Row],['# HH received soaps]]/WWWW[[#This Row],[Total HH]])</f>
        <v>0</v>
      </c>
      <c r="BY199" s="346">
        <f>IF(WWWW[[#This Row],['# HH received Sanitary Pads]]/WWWW[[#This Row],[Total HH]]&gt;1,1,WWWW[[#This Row],['# HH received Sanitary Pads]]/WWWW[[#This Row],[Total HH]])</f>
        <v>0</v>
      </c>
      <c r="BZ199" s="720">
        <f>WWWW[[#This Row],['# HH received soaps]]*5</f>
        <v>0</v>
      </c>
      <c r="CA199" s="720">
        <f>WWWW[[#This Row],['# HH received Sanitary Pads]]*5</f>
        <v>0</v>
      </c>
      <c r="CB199" s="675">
        <f>IF(WWWW[[#This Row],['# People with access to soap]]&gt;WWWW[[#This Row],['# People with access to Sanity Pads]],WWWW[[#This Row],['# People with access to soap]],WWWW[[#This Row],['# People with access to Sanity Pads]])</f>
        <v>0</v>
      </c>
      <c r="CC199" s="414">
        <f>WWWW[[#This Row],[Total HH]]*WWWW[[#This Row],[%HHs with access to functional hand washing stations]]</f>
        <v>0</v>
      </c>
      <c r="CD199" s="240">
        <f>VLOOKUP(WWWW[[#This Row],[Site Name]],SiteDB6[],8,FALSE)</f>
        <v>0</v>
      </c>
      <c r="CE199" s="240">
        <f>VLOOKUP(WWWW[[#This Row],[Site Name]],SiteDB6[],9,FALSE)</f>
        <v>0</v>
      </c>
      <c r="CF199" s="240" t="str">
        <f>VLOOKUP(WWWW[[#This Row],[Site Name]],SiteDB6[],10,FALSE)</f>
        <v>Village_Not HRP</v>
      </c>
      <c r="CG199" s="240" t="str">
        <f>VLOOKUP(WWWW[[#This Row],[Site Name]],SiteDB6[],11,FALSE)</f>
        <v>Village</v>
      </c>
      <c r="CH199" s="240" t="str">
        <f>VLOOKUP(WWWW[[#This Row],[Site Name]],SiteDB6[],12,FALSE)</f>
        <v>Village</v>
      </c>
      <c r="CI199" s="240">
        <f>VLOOKUP(WWWW[[#This Row],[Site Name]],SiteDB6[],13,FALSE)</f>
        <v>0</v>
      </c>
      <c r="CJ199" s="240">
        <f>VLOOKUP(WWWW[[#This Row],[Site Name]],SiteDB6[],14,FALSE)</f>
        <v>20.807970046997099</v>
      </c>
      <c r="CK199" s="240">
        <f>VLOOKUP(WWWW[[#This Row],[Site Name]],SiteDB6[],15,FALSE)</f>
        <v>92.929046630859403</v>
      </c>
      <c r="CL199" s="240">
        <f>VLOOKUP(WWWW[[#This Row],[Site Name]],SiteDB6[],4,FALSE)</f>
        <v>196882</v>
      </c>
      <c r="CM199" s="235" t="str">
        <f t="shared" ref="CM199:CM262" si="3">IF(B199="none","Notcovered","Covered")</f>
        <v>Covered</v>
      </c>
      <c r="CN199" s="240"/>
    </row>
    <row r="200" spans="1:92" ht="16.5" hidden="1" customHeight="1" thickBot="1" x14ac:dyDescent="0.3">
      <c r="A200" s="594" t="s">
        <v>1409</v>
      </c>
      <c r="B200" s="314" t="s">
        <v>489</v>
      </c>
      <c r="C200" s="314" t="s">
        <v>464</v>
      </c>
      <c r="D200" s="314" t="s">
        <v>473</v>
      </c>
      <c r="E200" s="314" t="s">
        <v>794</v>
      </c>
      <c r="F200" s="314">
        <v>130</v>
      </c>
      <c r="G200" s="735">
        <v>509</v>
      </c>
      <c r="H200" s="314"/>
      <c r="I200" s="314" t="s">
        <v>505</v>
      </c>
      <c r="J200" s="315">
        <v>43615</v>
      </c>
      <c r="K200" s="314">
        <v>0</v>
      </c>
      <c r="L200" s="314" t="s">
        <v>2580</v>
      </c>
      <c r="M200" s="316">
        <v>0</v>
      </c>
      <c r="N200" s="316">
        <v>0</v>
      </c>
      <c r="O200" s="609">
        <v>0</v>
      </c>
      <c r="P200" s="609">
        <v>0</v>
      </c>
      <c r="Q200" s="613">
        <v>0</v>
      </c>
      <c r="R200" s="614">
        <v>0</v>
      </c>
      <c r="S200" s="614">
        <v>0</v>
      </c>
      <c r="T200" s="604"/>
      <c r="U200" s="604"/>
      <c r="V200" s="604"/>
      <c r="W200" s="604"/>
      <c r="X200" s="604"/>
      <c r="Y200" s="604"/>
      <c r="Z200" s="628">
        <v>0</v>
      </c>
      <c r="AA200" s="634">
        <v>0</v>
      </c>
      <c r="AB200" s="634"/>
      <c r="AC200" s="634">
        <v>0</v>
      </c>
      <c r="AD200" s="80" t="s">
        <v>1379</v>
      </c>
      <c r="AE200" s="80" t="s">
        <v>1379</v>
      </c>
      <c r="AF200" s="629"/>
      <c r="AG200" s="629"/>
      <c r="AH200" s="634"/>
      <c r="AI200" s="655">
        <v>0</v>
      </c>
      <c r="AJ200" s="656"/>
      <c r="AK200" s="644">
        <v>0</v>
      </c>
      <c r="AL200" s="645">
        <v>0</v>
      </c>
      <c r="AM200" s="645">
        <v>0</v>
      </c>
      <c r="AN200" s="600"/>
      <c r="AO200" s="647"/>
      <c r="AP200" s="647"/>
      <c r="AQ200" s="657"/>
      <c r="AR200" s="235" t="str">
        <f>IFERROR(WWWW[[#This Row],['# of Water passed at source]]/WWWW[[#This Row],['# of Water tested at source]],"no test")</f>
        <v>no test</v>
      </c>
      <c r="AS200" s="237" t="str">
        <f>IFERROR(WWWW[[#This Row],['# of Water passed at HH]]/WWWW[[#This Row],['# of Water tested at HH]],"no test")</f>
        <v>no test</v>
      </c>
      <c r="AT200" s="237">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U200" s="237">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AV200" s="237">
        <f>IF(WWWW[[#This Row],[Location Type 1]]="Village",WWWW[[#This Row],[Access to safe drinking water for Village]],WWWW[[#This Row],[Access to safe drinking water for Camp]])</f>
        <v>0</v>
      </c>
      <c r="AW200" s="414">
        <f>WWWW[[#This Row],[%Equitable and continuous access to sufficient quantity of safe drinking water]]*WWWW[[#This Row],[Total PoP ]]</f>
        <v>0</v>
      </c>
      <c r="AX200" s="237">
        <f>IF((WWWW[[#This Row],['# Existing protected/fenced ponds ]]*250)/WWWW[[#This Row],[Total PoP ]]&gt;1,1,WWWW[[#This Row],['# Existing protected/fenced ponds ]]*250/WWWW[[#This Row],[Total PoP ]])</f>
        <v>0</v>
      </c>
      <c r="AY200" s="414">
        <f>WWWW[[#This Row],[Access to unimproved water points]]*WWWW[[#This Row],[Total PoP ]]</f>
        <v>0</v>
      </c>
      <c r="AZ200" s="237">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A200" s="414">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B200" s="414">
        <f>ROUND(WWWW[[#This Row],['#people Equitable and continuous access to sufficient quantity of domestic water borehole n ponds_2]]/500,0)</f>
        <v>0</v>
      </c>
      <c r="BC200" s="235">
        <f>1-WWWW[[#This Row],[%Equitable and continuous access to sufficient quantity of domestic water borehole n ponds]]</f>
        <v>1</v>
      </c>
      <c r="BD200" s="414">
        <f>WWWW[[#This Row],[%equitable and continuous access to sufficient quantity of safe drinking and domestic water''s GAP]]*WWWW[[#This Row],[Total PoP ]]</f>
        <v>509</v>
      </c>
      <c r="BE200" s="238">
        <f>IF(WWWW[[#This Row],[Total required water points]]-WWWW[[#This Row],['#Water points coverage]]&lt;0,0,WWWW[[#This Row],[Total required water points]]-WWWW[[#This Row],['#Water points coverage]])</f>
        <v>1</v>
      </c>
      <c r="BF200" s="238">
        <f>ROUND(IF(WWWW[[#This Row],[Total PoP ]]&lt;500,1,WWWW[[#This Row],[Total PoP ]]/500),0)</f>
        <v>1</v>
      </c>
      <c r="BG200" s="238" t="str">
        <f>IF(AND(WWWW[[#This Row],[%of Water samples which passed at water source]]="no test",WWWW[[#This Row],[%Water samples which passed at HH]]="no test"),"No Test","Tested")</f>
        <v>No Test</v>
      </c>
      <c r="BH200" s="238">
        <f>WWWW[[#This Row],['# Existing functional latrines]]+WWWW[[#This Row],['# Existing latrines dysfunctional]]</f>
        <v>0</v>
      </c>
      <c r="BI200" s="235">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J200" s="675">
        <f>WWWW[[#This Row],[% people access to functioning Latrine]]*WWWW[[#This Row],[Total PoP ]]</f>
        <v>0</v>
      </c>
      <c r="BK200" s="235">
        <f>IF(WWWW[[#This Row],[Location Type 1]]="camp",WWWW[[#This Row],['# potential required new latrines]]/(WWWW[[#This Row],[Total PoP ]]/20),WWWW[[#This Row],['# potential required new latrines]]/(WWWW[[#This Row],[Total PoP ]]/6))</f>
        <v>1.0019646365422397</v>
      </c>
      <c r="BL200" s="414">
        <f>IF(WWWW[[#This Row],[Total required Latrines]]-WWWW[[#This Row],[Total '# of latrine]]&lt;0,0,WWWW[[#This Row],[Total required Latrines]]-WWWW[[#This Row],[Total '# of latrine]])</f>
        <v>85</v>
      </c>
      <c r="BM200" s="238">
        <f>ROUND(IF(WWWW[[#This Row],[Location Type 1]]="camp",WWWW[[#This Row],[Total PoP ]]/20,WWWW[[#This Row],[Total PoP ]]/6),0)</f>
        <v>85</v>
      </c>
      <c r="BN200" s="239">
        <f>IF(OR(WWWW[[#This Row],['# Existing latrines dysfunctional]]="",WWWW[[#This Row],['# Existing latrines dysfunctional]]=0),0,WWWW[[#This Row],['# Existing latrines dysfunctional]]/WWWW[[#This Row],[Total '# of latrine]])</f>
        <v>0</v>
      </c>
      <c r="BO200" s="675"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P200" s="235">
        <f>WWWW[[#This Row],[People adopt basic personal and community hygiene practices]]/WWWW[[#This Row],[Total PoP ]]</f>
        <v>0</v>
      </c>
      <c r="BQ200" s="239">
        <f>1-WWWW[[#This Row],[Hygiene Coverage%]]</f>
        <v>1</v>
      </c>
      <c r="BR200" s="405">
        <f>IF(500*WWWW[[#This Row],['# Hygiene Promoters ]]&gt;WWWW[[#This Row],[Total PoP ]],WWWW[[#This Row],[Total PoP ]],500*WWWW[[#This Row],['# Hygiene Promoters ]])</f>
        <v>0</v>
      </c>
      <c r="BS200" s="405">
        <f>IF(WWWW[[#This Row],[% of HH with access to Sanitary Pad]]&gt;=100%,1,0)</f>
        <v>0</v>
      </c>
      <c r="BT200" s="405">
        <f>IF(WWWW[[#This Row],[Total PoP ]]=0,0,IF(WWWW[[#This Row],['# Hygiene Promoters ]]=0,0,IF(WWWW[[#This Row],[Location Type 1]]="Village",IF(WWWW[[#This Row],[Total PoP ]]/WWWW[[#This Row],['# Hygiene Promoters ]]&lt;1000,1,0),IF(WWWW[[#This Row],[Total PoP ]]/WWWW[[#This Row],['# Hygiene Promoters ]]&lt;600,1,0))))</f>
        <v>0</v>
      </c>
      <c r="BU200" s="405">
        <f>IF(WWWW[[#This Row],[%HH with access to soap]]&gt;=100%,1,0)</f>
        <v>0</v>
      </c>
      <c r="BV200" s="405">
        <f>IF(WWWW[[#This Row],[% of HHs with access to Sanitary pad more than '#%]]+WWWW[[#This Row],[Ratio of Hyiene promoters to people less than '#]]+WWWW[[#This Row],[% of HHs with access to soap more than '#%]]&gt;=2,WWWW[[#This Row],[Total PoP ]],0)</f>
        <v>0</v>
      </c>
      <c r="BW200" s="346">
        <f>WWWW[[#This Row],['# people reached by regular dedicated hygiene promotion_5]]/WWWW[[#This Row],[Total PoP ]]</f>
        <v>0</v>
      </c>
      <c r="BX200" s="346">
        <f>IF(WWWW[[#This Row],['# HH received soaps]]/WWWW[[#This Row],[Total HH]]&gt;1,1,WWWW[[#This Row],['# HH received soaps]]/WWWW[[#This Row],[Total HH]])</f>
        <v>0</v>
      </c>
      <c r="BY200" s="346">
        <f>IF(WWWW[[#This Row],['# HH received Sanitary Pads]]/WWWW[[#This Row],[Total HH]]&gt;1,1,WWWW[[#This Row],['# HH received Sanitary Pads]]/WWWW[[#This Row],[Total HH]])</f>
        <v>0</v>
      </c>
      <c r="BZ200" s="720">
        <f>WWWW[[#This Row],['# HH received soaps]]*5</f>
        <v>0</v>
      </c>
      <c r="CA200" s="720">
        <f>WWWW[[#This Row],['# HH received Sanitary Pads]]*5</f>
        <v>0</v>
      </c>
      <c r="CB200" s="675">
        <f>IF(WWWW[[#This Row],['# People with access to soap]]&gt;WWWW[[#This Row],['# People with access to Sanity Pads]],WWWW[[#This Row],['# People with access to soap]],WWWW[[#This Row],['# People with access to Sanity Pads]])</f>
        <v>0</v>
      </c>
      <c r="CC200" s="414">
        <f>WWWW[[#This Row],[Total HH]]*WWWW[[#This Row],[%HHs with access to functional hand washing stations]]</f>
        <v>0</v>
      </c>
      <c r="CD200" s="240">
        <f>VLOOKUP(WWWW[[#This Row],[Site Name]],SiteDB6[],8,FALSE)</f>
        <v>0</v>
      </c>
      <c r="CE200" s="240">
        <f>VLOOKUP(WWWW[[#This Row],[Site Name]],SiteDB6[],9,FALSE)</f>
        <v>0</v>
      </c>
      <c r="CF200" s="240" t="str">
        <f>VLOOKUP(WWWW[[#This Row],[Site Name]],SiteDB6[],10,FALSE)</f>
        <v>Village_Not HRP</v>
      </c>
      <c r="CG200" s="240" t="str">
        <f>VLOOKUP(WWWW[[#This Row],[Site Name]],SiteDB6[],11,FALSE)</f>
        <v>Village</v>
      </c>
      <c r="CH200" s="240" t="str">
        <f>VLOOKUP(WWWW[[#This Row],[Site Name]],SiteDB6[],12,FALSE)</f>
        <v>Village</v>
      </c>
      <c r="CI200" s="240">
        <f>VLOOKUP(WWWW[[#This Row],[Site Name]],SiteDB6[],13,FALSE)</f>
        <v>0</v>
      </c>
      <c r="CJ200" s="240">
        <f>VLOOKUP(WWWW[[#This Row],[Site Name]],SiteDB6[],14,FALSE)</f>
        <v>20.809240341186499</v>
      </c>
      <c r="CK200" s="240">
        <f>VLOOKUP(WWWW[[#This Row],[Site Name]],SiteDB6[],15,FALSE)</f>
        <v>92.923919677734403</v>
      </c>
      <c r="CL200" s="240">
        <f>VLOOKUP(WWWW[[#This Row],[Site Name]],SiteDB6[],4,FALSE)</f>
        <v>196881</v>
      </c>
      <c r="CM200" s="235" t="str">
        <f t="shared" si="3"/>
        <v>Covered</v>
      </c>
      <c r="CN200" s="240"/>
    </row>
    <row r="201" spans="1:92" ht="16.5" hidden="1" customHeight="1" thickBot="1" x14ac:dyDescent="0.3">
      <c r="A201" s="594" t="s">
        <v>1409</v>
      </c>
      <c r="B201" s="169" t="s">
        <v>489</v>
      </c>
      <c r="C201" s="169" t="s">
        <v>464</v>
      </c>
      <c r="D201" s="169" t="s">
        <v>473</v>
      </c>
      <c r="E201" s="169" t="s">
        <v>808</v>
      </c>
      <c r="F201" s="233">
        <v>94</v>
      </c>
      <c r="G201" s="734">
        <v>362</v>
      </c>
      <c r="H201" s="233"/>
      <c r="I201" s="169" t="s">
        <v>505</v>
      </c>
      <c r="J201" s="234">
        <v>43615</v>
      </c>
      <c r="K201" s="169">
        <v>0</v>
      </c>
      <c r="L201" s="169" t="s">
        <v>2580</v>
      </c>
      <c r="M201" s="171">
        <v>0</v>
      </c>
      <c r="N201" s="171">
        <v>0</v>
      </c>
      <c r="O201" s="608">
        <v>0</v>
      </c>
      <c r="P201" s="609">
        <v>0</v>
      </c>
      <c r="Q201" s="610">
        <v>0</v>
      </c>
      <c r="R201" s="611">
        <v>0</v>
      </c>
      <c r="S201" s="611">
        <v>0</v>
      </c>
      <c r="T201" s="606"/>
      <c r="U201" s="606"/>
      <c r="V201" s="606"/>
      <c r="W201" s="606"/>
      <c r="X201" s="606"/>
      <c r="Y201" s="604"/>
      <c r="Z201" s="598">
        <v>0</v>
      </c>
      <c r="AA201" s="599">
        <v>0</v>
      </c>
      <c r="AB201" s="629"/>
      <c r="AC201" s="632">
        <v>0</v>
      </c>
      <c r="AD201" s="80" t="s">
        <v>1379</v>
      </c>
      <c r="AE201" s="80" t="s">
        <v>1379</v>
      </c>
      <c r="AF201" s="80"/>
      <c r="AG201" s="80"/>
      <c r="AH201" s="633"/>
      <c r="AI201" s="652">
        <v>0</v>
      </c>
      <c r="AJ201" s="653"/>
      <c r="AK201" s="651">
        <v>0</v>
      </c>
      <c r="AL201" s="645">
        <v>0</v>
      </c>
      <c r="AM201" s="645">
        <v>0</v>
      </c>
      <c r="AN201" s="600"/>
      <c r="AO201" s="600"/>
      <c r="AP201" s="600"/>
      <c r="AQ201" s="658"/>
      <c r="AR201" s="235" t="str">
        <f>IFERROR(WWWW[[#This Row],['# of Water passed at source]]/WWWW[[#This Row],['# of Water tested at source]],"no test")</f>
        <v>no test</v>
      </c>
      <c r="AS201" s="237" t="str">
        <f>IFERROR(WWWW[[#This Row],['# of Water passed at HH]]/WWWW[[#This Row],['# of Water tested at HH]],"no test")</f>
        <v>no test</v>
      </c>
      <c r="AT201" s="237">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U201" s="237">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AV201" s="237">
        <f>IF(WWWW[[#This Row],[Location Type 1]]="Village",WWWW[[#This Row],[Access to safe drinking water for Village]],WWWW[[#This Row],[Access to safe drinking water for Camp]])</f>
        <v>0</v>
      </c>
      <c r="AW201" s="414">
        <f>WWWW[[#This Row],[%Equitable and continuous access to sufficient quantity of safe drinking water]]*WWWW[[#This Row],[Total PoP ]]</f>
        <v>0</v>
      </c>
      <c r="AX201" s="237">
        <f>IF((WWWW[[#This Row],['# Existing protected/fenced ponds ]]*250)/WWWW[[#This Row],[Total PoP ]]&gt;1,1,WWWW[[#This Row],['# Existing protected/fenced ponds ]]*250/WWWW[[#This Row],[Total PoP ]])</f>
        <v>0</v>
      </c>
      <c r="AY201" s="414">
        <f>WWWW[[#This Row],[Access to unimproved water points]]*WWWW[[#This Row],[Total PoP ]]</f>
        <v>0</v>
      </c>
      <c r="AZ201" s="237">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A201" s="414">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B201" s="414">
        <f>ROUND(WWWW[[#This Row],['#people Equitable and continuous access to sufficient quantity of domestic water borehole n ponds_2]]/500,0)</f>
        <v>0</v>
      </c>
      <c r="BC201" s="235">
        <f>1-WWWW[[#This Row],[%Equitable and continuous access to sufficient quantity of domestic water borehole n ponds]]</f>
        <v>1</v>
      </c>
      <c r="BD201" s="414">
        <f>WWWW[[#This Row],[%equitable and continuous access to sufficient quantity of safe drinking and domestic water''s GAP]]*WWWW[[#This Row],[Total PoP ]]</f>
        <v>362</v>
      </c>
      <c r="BE201" s="238">
        <f>IF(WWWW[[#This Row],[Total required water points]]-WWWW[[#This Row],['#Water points coverage]]&lt;0,0,WWWW[[#This Row],[Total required water points]]-WWWW[[#This Row],['#Water points coverage]])</f>
        <v>1</v>
      </c>
      <c r="BF201" s="238">
        <f>ROUND(IF(WWWW[[#This Row],[Total PoP ]]&lt;500,1,WWWW[[#This Row],[Total PoP ]]/500),0)</f>
        <v>1</v>
      </c>
      <c r="BG201" s="238" t="str">
        <f>IF(AND(WWWW[[#This Row],[%of Water samples which passed at water source]]="no test",WWWW[[#This Row],[%Water samples which passed at HH]]="no test"),"No Test","Tested")</f>
        <v>No Test</v>
      </c>
      <c r="BH201" s="238">
        <f>WWWW[[#This Row],['# Existing functional latrines]]+WWWW[[#This Row],['# Existing latrines dysfunctional]]</f>
        <v>0</v>
      </c>
      <c r="BI201" s="235">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J201" s="675">
        <f>WWWW[[#This Row],[% people access to functioning Latrine]]*WWWW[[#This Row],[Total PoP ]]</f>
        <v>0</v>
      </c>
      <c r="BK201" s="235">
        <f>IF(WWWW[[#This Row],[Location Type 1]]="camp",WWWW[[#This Row],['# potential required new latrines]]/(WWWW[[#This Row],[Total PoP ]]/20),WWWW[[#This Row],['# potential required new latrines]]/(WWWW[[#This Row],[Total PoP ]]/6))</f>
        <v>0.99447513812154698</v>
      </c>
      <c r="BL201" s="414">
        <f>IF(WWWW[[#This Row],[Total required Latrines]]-WWWW[[#This Row],[Total '# of latrine]]&lt;0,0,WWWW[[#This Row],[Total required Latrines]]-WWWW[[#This Row],[Total '# of latrine]])</f>
        <v>60</v>
      </c>
      <c r="BM201" s="238">
        <f>ROUND(IF(WWWW[[#This Row],[Location Type 1]]="camp",WWWW[[#This Row],[Total PoP ]]/20,WWWW[[#This Row],[Total PoP ]]/6),0)</f>
        <v>60</v>
      </c>
      <c r="BN201" s="239">
        <f>IF(OR(WWWW[[#This Row],['# Existing latrines dysfunctional]]="",WWWW[[#This Row],['# Existing latrines dysfunctional]]=0),0,WWWW[[#This Row],['# Existing latrines dysfunctional]]/WWWW[[#This Row],[Total '# of latrine]])</f>
        <v>0</v>
      </c>
      <c r="BO201" s="675"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P201" s="235">
        <f>WWWW[[#This Row],[People adopt basic personal and community hygiene practices]]/WWWW[[#This Row],[Total PoP ]]</f>
        <v>0</v>
      </c>
      <c r="BQ201" s="239">
        <f>1-WWWW[[#This Row],[Hygiene Coverage%]]</f>
        <v>1</v>
      </c>
      <c r="BR201" s="405">
        <f>IF(500*WWWW[[#This Row],['# Hygiene Promoters ]]&gt;WWWW[[#This Row],[Total PoP ]],WWWW[[#This Row],[Total PoP ]],500*WWWW[[#This Row],['# Hygiene Promoters ]])</f>
        <v>0</v>
      </c>
      <c r="BS201" s="405">
        <f>IF(WWWW[[#This Row],[% of HH with access to Sanitary Pad]]&gt;=100%,1,0)</f>
        <v>0</v>
      </c>
      <c r="BT201" s="405">
        <f>IF(WWWW[[#This Row],[Total PoP ]]=0,0,IF(WWWW[[#This Row],['# Hygiene Promoters ]]=0,0,IF(WWWW[[#This Row],[Location Type 1]]="Village",IF(WWWW[[#This Row],[Total PoP ]]/WWWW[[#This Row],['# Hygiene Promoters ]]&lt;1000,1,0),IF(WWWW[[#This Row],[Total PoP ]]/WWWW[[#This Row],['# Hygiene Promoters ]]&lt;600,1,0))))</f>
        <v>0</v>
      </c>
      <c r="BU201" s="405">
        <f>IF(WWWW[[#This Row],[%HH with access to soap]]&gt;=100%,1,0)</f>
        <v>0</v>
      </c>
      <c r="BV201" s="405">
        <f>IF(WWWW[[#This Row],[% of HHs with access to Sanitary pad more than '#%]]+WWWW[[#This Row],[Ratio of Hyiene promoters to people less than '#]]+WWWW[[#This Row],[% of HHs with access to soap more than '#%]]&gt;=2,WWWW[[#This Row],[Total PoP ]],0)</f>
        <v>0</v>
      </c>
      <c r="BW201" s="346">
        <f>WWWW[[#This Row],['# people reached by regular dedicated hygiene promotion_5]]/WWWW[[#This Row],[Total PoP ]]</f>
        <v>0</v>
      </c>
      <c r="BX201" s="346">
        <f>IF(WWWW[[#This Row],['# HH received soaps]]/WWWW[[#This Row],[Total HH]]&gt;1,1,WWWW[[#This Row],['# HH received soaps]]/WWWW[[#This Row],[Total HH]])</f>
        <v>0</v>
      </c>
      <c r="BY201" s="346">
        <f>IF(WWWW[[#This Row],['# HH received Sanitary Pads]]/WWWW[[#This Row],[Total HH]]&gt;1,1,WWWW[[#This Row],['# HH received Sanitary Pads]]/WWWW[[#This Row],[Total HH]])</f>
        <v>0</v>
      </c>
      <c r="BZ201" s="720">
        <f>WWWW[[#This Row],['# HH received soaps]]*5</f>
        <v>0</v>
      </c>
      <c r="CA201" s="720">
        <f>WWWW[[#This Row],['# HH received Sanitary Pads]]*5</f>
        <v>0</v>
      </c>
      <c r="CB201" s="675">
        <f>IF(WWWW[[#This Row],['# People with access to soap]]&gt;WWWW[[#This Row],['# People with access to Sanity Pads]],WWWW[[#This Row],['# People with access to soap]],WWWW[[#This Row],['# People with access to Sanity Pads]])</f>
        <v>0</v>
      </c>
      <c r="CC201" s="414">
        <f>WWWW[[#This Row],[Total HH]]*WWWW[[#This Row],[%HHs with access to functional hand washing stations]]</f>
        <v>0</v>
      </c>
      <c r="CD201" s="240">
        <f>VLOOKUP(WWWW[[#This Row],[Site Name]],SiteDB6[],8,FALSE)</f>
        <v>0</v>
      </c>
      <c r="CE201" s="240">
        <f>VLOOKUP(WWWW[[#This Row],[Site Name]],SiteDB6[],9,FALSE)</f>
        <v>0</v>
      </c>
      <c r="CF201" s="240" t="str">
        <f>VLOOKUP(WWWW[[#This Row],[Site Name]],SiteDB6[],10,FALSE)</f>
        <v>Village_Not HRP</v>
      </c>
      <c r="CG201" s="240" t="str">
        <f>VLOOKUP(WWWW[[#This Row],[Site Name]],SiteDB6[],11,FALSE)</f>
        <v>Village</v>
      </c>
      <c r="CH201" s="240" t="str">
        <f>VLOOKUP(WWWW[[#This Row],[Site Name]],SiteDB6[],12,FALSE)</f>
        <v>Village</v>
      </c>
      <c r="CI201" s="240">
        <f>VLOOKUP(WWWW[[#This Row],[Site Name]],SiteDB6[],13,FALSE)</f>
        <v>0</v>
      </c>
      <c r="CJ201" s="240">
        <f>VLOOKUP(WWWW[[#This Row],[Site Name]],SiteDB6[],14,FALSE)</f>
        <v>20.831729888916001</v>
      </c>
      <c r="CK201" s="240">
        <f>VLOOKUP(WWWW[[#This Row],[Site Name]],SiteDB6[],15,FALSE)</f>
        <v>92.919639587402301</v>
      </c>
      <c r="CL201" s="240">
        <f>VLOOKUP(WWWW[[#This Row],[Site Name]],SiteDB6[],4,FALSE)</f>
        <v>196880</v>
      </c>
      <c r="CM201" s="235" t="str">
        <f t="shared" si="3"/>
        <v>Covered</v>
      </c>
      <c r="CN201" s="240"/>
    </row>
    <row r="202" spans="1:92" ht="16.5" hidden="1" customHeight="1" thickBot="1" x14ac:dyDescent="0.3">
      <c r="A202" s="594" t="s">
        <v>1409</v>
      </c>
      <c r="B202" s="169" t="s">
        <v>489</v>
      </c>
      <c r="C202" s="169" t="s">
        <v>464</v>
      </c>
      <c r="D202" s="169" t="s">
        <v>473</v>
      </c>
      <c r="E202" s="169" t="s">
        <v>813</v>
      </c>
      <c r="F202" s="311">
        <v>76</v>
      </c>
      <c r="G202" s="800">
        <v>363</v>
      </c>
      <c r="H202" s="311"/>
      <c r="I202" s="311" t="s">
        <v>505</v>
      </c>
      <c r="J202" s="312">
        <v>43615</v>
      </c>
      <c r="K202" s="311">
        <v>0</v>
      </c>
      <c r="L202" s="311" t="s">
        <v>2580</v>
      </c>
      <c r="M202" s="307">
        <v>0</v>
      </c>
      <c r="N202" s="307">
        <v>0</v>
      </c>
      <c r="O202" s="608">
        <v>0</v>
      </c>
      <c r="P202" s="609">
        <v>0</v>
      </c>
      <c r="Q202" s="622">
        <v>0</v>
      </c>
      <c r="R202" s="623">
        <v>0</v>
      </c>
      <c r="S202" s="623">
        <v>0</v>
      </c>
      <c r="T202" s="604"/>
      <c r="U202" s="604"/>
      <c r="V202" s="604"/>
      <c r="W202" s="604"/>
      <c r="X202" s="604"/>
      <c r="Y202" s="604"/>
      <c r="Z202" s="628">
        <v>0</v>
      </c>
      <c r="AA202" s="628">
        <v>0</v>
      </c>
      <c r="AB202" s="629"/>
      <c r="AC202" s="640">
        <v>0</v>
      </c>
      <c r="AD202" s="80" t="s">
        <v>1379</v>
      </c>
      <c r="AE202" s="80" t="s">
        <v>1379</v>
      </c>
      <c r="AF202" s="631"/>
      <c r="AG202" s="628"/>
      <c r="AH202" s="640"/>
      <c r="AI202" s="660">
        <v>0</v>
      </c>
      <c r="AJ202" s="661"/>
      <c r="AK202" s="644">
        <v>0</v>
      </c>
      <c r="AL202" s="645">
        <v>0</v>
      </c>
      <c r="AM202" s="645">
        <v>0</v>
      </c>
      <c r="AN202" s="600"/>
      <c r="AO202" s="600"/>
      <c r="AP202" s="647"/>
      <c r="AQ202" s="667"/>
      <c r="AR202" s="235" t="str">
        <f>IFERROR(WWWW[[#This Row],['# of Water passed at source]]/WWWW[[#This Row],['# of Water tested at source]],"no test")</f>
        <v>no test</v>
      </c>
      <c r="AS202" s="237" t="str">
        <f>IFERROR(WWWW[[#This Row],['# of Water passed at HH]]/WWWW[[#This Row],['# of Water tested at HH]],"no test")</f>
        <v>no test</v>
      </c>
      <c r="AT202" s="237">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U202" s="237">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AV202" s="237">
        <f>IF(WWWW[[#This Row],[Location Type 1]]="Village",WWWW[[#This Row],[Access to safe drinking water for Village]],WWWW[[#This Row],[Access to safe drinking water for Camp]])</f>
        <v>0</v>
      </c>
      <c r="AW202" s="414">
        <f>WWWW[[#This Row],[%Equitable and continuous access to sufficient quantity of safe drinking water]]*WWWW[[#This Row],[Total PoP ]]</f>
        <v>0</v>
      </c>
      <c r="AX202" s="237">
        <f>IF((WWWW[[#This Row],['# Existing protected/fenced ponds ]]*250)/WWWW[[#This Row],[Total PoP ]]&gt;1,1,WWWW[[#This Row],['# Existing protected/fenced ponds ]]*250/WWWW[[#This Row],[Total PoP ]])</f>
        <v>0</v>
      </c>
      <c r="AY202" s="414">
        <f>WWWW[[#This Row],[Access to unimproved water points]]*WWWW[[#This Row],[Total PoP ]]</f>
        <v>0</v>
      </c>
      <c r="AZ202" s="237">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A202" s="414">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B202" s="414">
        <f>ROUND(WWWW[[#This Row],['#people Equitable and continuous access to sufficient quantity of domestic water borehole n ponds_2]]/500,0)</f>
        <v>0</v>
      </c>
      <c r="BC202" s="235">
        <f>1-WWWW[[#This Row],[%Equitable and continuous access to sufficient quantity of domestic water borehole n ponds]]</f>
        <v>1</v>
      </c>
      <c r="BD202" s="414">
        <f>WWWW[[#This Row],[%equitable and continuous access to sufficient quantity of safe drinking and domestic water''s GAP]]*WWWW[[#This Row],[Total PoP ]]</f>
        <v>363</v>
      </c>
      <c r="BE202" s="238">
        <f>IF(WWWW[[#This Row],[Total required water points]]-WWWW[[#This Row],['#Water points coverage]]&lt;0,0,WWWW[[#This Row],[Total required water points]]-WWWW[[#This Row],['#Water points coverage]])</f>
        <v>1</v>
      </c>
      <c r="BF202" s="238">
        <f>ROUND(IF(WWWW[[#This Row],[Total PoP ]]&lt;500,1,WWWW[[#This Row],[Total PoP ]]/500),0)</f>
        <v>1</v>
      </c>
      <c r="BG202" s="238" t="str">
        <f>IF(AND(WWWW[[#This Row],[%of Water samples which passed at water source]]="no test",WWWW[[#This Row],[%Water samples which passed at HH]]="no test"),"No Test","Tested")</f>
        <v>No Test</v>
      </c>
      <c r="BH202" s="238">
        <f>WWWW[[#This Row],['# Existing functional latrines]]+WWWW[[#This Row],['# Existing latrines dysfunctional]]</f>
        <v>0</v>
      </c>
      <c r="BI202" s="235">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J202" s="675">
        <f>WWWW[[#This Row],[% people access to functioning Latrine]]*WWWW[[#This Row],[Total PoP ]]</f>
        <v>0</v>
      </c>
      <c r="BK202" s="235">
        <f>IF(WWWW[[#This Row],[Location Type 1]]="camp",WWWW[[#This Row],['# potential required new latrines]]/(WWWW[[#This Row],[Total PoP ]]/20),WWWW[[#This Row],['# potential required new latrines]]/(WWWW[[#This Row],[Total PoP ]]/6))</f>
        <v>1.0082644628099173</v>
      </c>
      <c r="BL202" s="414">
        <f>IF(WWWW[[#This Row],[Total required Latrines]]-WWWW[[#This Row],[Total '# of latrine]]&lt;0,0,WWWW[[#This Row],[Total required Latrines]]-WWWW[[#This Row],[Total '# of latrine]])</f>
        <v>61</v>
      </c>
      <c r="BM202" s="238">
        <f>ROUND(IF(WWWW[[#This Row],[Location Type 1]]="camp",WWWW[[#This Row],[Total PoP ]]/20,WWWW[[#This Row],[Total PoP ]]/6),0)</f>
        <v>61</v>
      </c>
      <c r="BN202" s="239">
        <f>IF(OR(WWWW[[#This Row],['# Existing latrines dysfunctional]]="",WWWW[[#This Row],['# Existing latrines dysfunctional]]=0),0,WWWW[[#This Row],['# Existing latrines dysfunctional]]/WWWW[[#This Row],[Total '# of latrine]])</f>
        <v>0</v>
      </c>
      <c r="BO202" s="675"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P202" s="235">
        <f>WWWW[[#This Row],[People adopt basic personal and community hygiene practices]]/WWWW[[#This Row],[Total PoP ]]</f>
        <v>0</v>
      </c>
      <c r="BQ202" s="239">
        <f>1-WWWW[[#This Row],[Hygiene Coverage%]]</f>
        <v>1</v>
      </c>
      <c r="BR202" s="405">
        <f>IF(500*WWWW[[#This Row],['# Hygiene Promoters ]]&gt;WWWW[[#This Row],[Total PoP ]],WWWW[[#This Row],[Total PoP ]],500*WWWW[[#This Row],['# Hygiene Promoters ]])</f>
        <v>0</v>
      </c>
      <c r="BS202" s="405">
        <f>IF(WWWW[[#This Row],[% of HH with access to Sanitary Pad]]&gt;=100%,1,0)</f>
        <v>0</v>
      </c>
      <c r="BT202" s="405">
        <f>IF(WWWW[[#This Row],[Total PoP ]]=0,0,IF(WWWW[[#This Row],['# Hygiene Promoters ]]=0,0,IF(WWWW[[#This Row],[Location Type 1]]="Village",IF(WWWW[[#This Row],[Total PoP ]]/WWWW[[#This Row],['# Hygiene Promoters ]]&lt;1000,1,0),IF(WWWW[[#This Row],[Total PoP ]]/WWWW[[#This Row],['# Hygiene Promoters ]]&lt;600,1,0))))</f>
        <v>0</v>
      </c>
      <c r="BU202" s="405">
        <f>IF(WWWW[[#This Row],[%HH with access to soap]]&gt;=100%,1,0)</f>
        <v>0</v>
      </c>
      <c r="BV202" s="405">
        <f>IF(WWWW[[#This Row],[% of HHs with access to Sanitary pad more than '#%]]+WWWW[[#This Row],[Ratio of Hyiene promoters to people less than '#]]+WWWW[[#This Row],[% of HHs with access to soap more than '#%]]&gt;=2,WWWW[[#This Row],[Total PoP ]],0)</f>
        <v>0</v>
      </c>
      <c r="BW202" s="346">
        <f>WWWW[[#This Row],['# people reached by regular dedicated hygiene promotion_5]]/WWWW[[#This Row],[Total PoP ]]</f>
        <v>0</v>
      </c>
      <c r="BX202" s="346">
        <f>IF(WWWW[[#This Row],['# HH received soaps]]/WWWW[[#This Row],[Total HH]]&gt;1,1,WWWW[[#This Row],['# HH received soaps]]/WWWW[[#This Row],[Total HH]])</f>
        <v>0</v>
      </c>
      <c r="BY202" s="346">
        <f>IF(WWWW[[#This Row],['# HH received Sanitary Pads]]/WWWW[[#This Row],[Total HH]]&gt;1,1,WWWW[[#This Row],['# HH received Sanitary Pads]]/WWWW[[#This Row],[Total HH]])</f>
        <v>0</v>
      </c>
      <c r="BZ202" s="720">
        <f>WWWW[[#This Row],['# HH received soaps]]*5</f>
        <v>0</v>
      </c>
      <c r="CA202" s="720">
        <f>WWWW[[#This Row],['# HH received Sanitary Pads]]*5</f>
        <v>0</v>
      </c>
      <c r="CB202" s="675">
        <f>IF(WWWW[[#This Row],['# People with access to soap]]&gt;WWWW[[#This Row],['# People with access to Sanity Pads]],WWWW[[#This Row],['# People with access to soap]],WWWW[[#This Row],['# People with access to Sanity Pads]])</f>
        <v>0</v>
      </c>
      <c r="CC202" s="414">
        <f>WWWW[[#This Row],[Total HH]]*WWWW[[#This Row],[%HHs with access to functional hand washing stations]]</f>
        <v>0</v>
      </c>
      <c r="CD202" s="240">
        <f>VLOOKUP(WWWW[[#This Row],[Site Name]],SiteDB6[],8,FALSE)</f>
        <v>0</v>
      </c>
      <c r="CE202" s="240">
        <f>VLOOKUP(WWWW[[#This Row],[Site Name]],SiteDB6[],9,FALSE)</f>
        <v>0</v>
      </c>
      <c r="CF202" s="240" t="str">
        <f>VLOOKUP(WWWW[[#This Row],[Site Name]],SiteDB6[],10,FALSE)</f>
        <v>Village_Not HRP</v>
      </c>
      <c r="CG202" s="240" t="str">
        <f>VLOOKUP(WWWW[[#This Row],[Site Name]],SiteDB6[],11,FALSE)</f>
        <v>Village</v>
      </c>
      <c r="CH202" s="240" t="str">
        <f>VLOOKUP(WWWW[[#This Row],[Site Name]],SiteDB6[],12,FALSE)</f>
        <v>Village</v>
      </c>
      <c r="CI202" s="240">
        <f>VLOOKUP(WWWW[[#This Row],[Site Name]],SiteDB6[],13,FALSE)</f>
        <v>0</v>
      </c>
      <c r="CJ202" s="240">
        <f>VLOOKUP(WWWW[[#This Row],[Site Name]],SiteDB6[],14,FALSE)</f>
        <v>20.851089477539102</v>
      </c>
      <c r="CK202" s="240">
        <f>VLOOKUP(WWWW[[#This Row],[Site Name]],SiteDB6[],15,FALSE)</f>
        <v>92.916893005371094</v>
      </c>
      <c r="CL202" s="240">
        <f>VLOOKUP(WWWW[[#This Row],[Site Name]],SiteDB6[],4,FALSE)</f>
        <v>196825</v>
      </c>
      <c r="CM202" s="235" t="str">
        <f t="shared" si="3"/>
        <v>Covered</v>
      </c>
      <c r="CN202" s="240"/>
    </row>
    <row r="203" spans="1:92" ht="16.5" hidden="1" customHeight="1" thickBot="1" x14ac:dyDescent="0.3">
      <c r="A203" s="594" t="s">
        <v>1409</v>
      </c>
      <c r="B203" s="314" t="s">
        <v>489</v>
      </c>
      <c r="C203" s="314" t="s">
        <v>464</v>
      </c>
      <c r="D203" s="314" t="s">
        <v>473</v>
      </c>
      <c r="E203" s="314" t="s">
        <v>814</v>
      </c>
      <c r="F203" s="314">
        <v>74</v>
      </c>
      <c r="G203" s="735">
        <v>326</v>
      </c>
      <c r="H203" s="314"/>
      <c r="I203" s="314" t="s">
        <v>505</v>
      </c>
      <c r="J203" s="315">
        <v>43615</v>
      </c>
      <c r="K203" s="314">
        <v>0</v>
      </c>
      <c r="L203" s="314" t="s">
        <v>2580</v>
      </c>
      <c r="M203" s="316">
        <v>0</v>
      </c>
      <c r="N203" s="316">
        <v>0</v>
      </c>
      <c r="O203" s="608">
        <v>0</v>
      </c>
      <c r="P203" s="609">
        <v>0</v>
      </c>
      <c r="Q203" s="613">
        <v>0</v>
      </c>
      <c r="R203" s="614">
        <v>0</v>
      </c>
      <c r="S203" s="614">
        <v>0</v>
      </c>
      <c r="T203" s="604"/>
      <c r="U203" s="604"/>
      <c r="V203" s="604"/>
      <c r="W203" s="604"/>
      <c r="X203" s="604"/>
      <c r="Y203" s="604"/>
      <c r="Z203" s="628">
        <v>0</v>
      </c>
      <c r="AA203" s="628">
        <v>0</v>
      </c>
      <c r="AB203" s="634"/>
      <c r="AC203" s="634">
        <v>0</v>
      </c>
      <c r="AD203" s="80" t="s">
        <v>1379</v>
      </c>
      <c r="AE203" s="80" t="s">
        <v>1379</v>
      </c>
      <c r="AF203" s="629"/>
      <c r="AG203" s="629"/>
      <c r="AH203" s="634"/>
      <c r="AI203" s="655">
        <v>0</v>
      </c>
      <c r="AJ203" s="656"/>
      <c r="AK203" s="644">
        <v>0</v>
      </c>
      <c r="AL203" s="645">
        <v>0</v>
      </c>
      <c r="AM203" s="645">
        <v>0</v>
      </c>
      <c r="AN203" s="600"/>
      <c r="AO203" s="647"/>
      <c r="AP203" s="647"/>
      <c r="AQ203" s="657"/>
      <c r="AR203" s="235" t="str">
        <f>IFERROR(WWWW[[#This Row],['# of Water passed at source]]/WWWW[[#This Row],['# of Water tested at source]],"no test")</f>
        <v>no test</v>
      </c>
      <c r="AS203" s="237" t="str">
        <f>IFERROR(WWWW[[#This Row],['# of Water passed at HH]]/WWWW[[#This Row],['# of Water tested at HH]],"no test")</f>
        <v>no test</v>
      </c>
      <c r="AT203" s="237">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U203" s="237">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AV203" s="237">
        <f>IF(WWWW[[#This Row],[Location Type 1]]="Village",WWWW[[#This Row],[Access to safe drinking water for Village]],WWWW[[#This Row],[Access to safe drinking water for Camp]])</f>
        <v>0</v>
      </c>
      <c r="AW203" s="414">
        <f>WWWW[[#This Row],[%Equitable and continuous access to sufficient quantity of safe drinking water]]*WWWW[[#This Row],[Total PoP ]]</f>
        <v>0</v>
      </c>
      <c r="AX203" s="237">
        <f>IF((WWWW[[#This Row],['# Existing protected/fenced ponds ]]*250)/WWWW[[#This Row],[Total PoP ]]&gt;1,1,WWWW[[#This Row],['# Existing protected/fenced ponds ]]*250/WWWW[[#This Row],[Total PoP ]])</f>
        <v>0</v>
      </c>
      <c r="AY203" s="414">
        <f>WWWW[[#This Row],[Access to unimproved water points]]*WWWW[[#This Row],[Total PoP ]]</f>
        <v>0</v>
      </c>
      <c r="AZ203" s="237">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A203" s="414">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B203" s="414">
        <f>ROUND(WWWW[[#This Row],['#people Equitable and continuous access to sufficient quantity of domestic water borehole n ponds_2]]/500,0)</f>
        <v>0</v>
      </c>
      <c r="BC203" s="235">
        <f>1-WWWW[[#This Row],[%Equitable and continuous access to sufficient quantity of domestic water borehole n ponds]]</f>
        <v>1</v>
      </c>
      <c r="BD203" s="414">
        <f>WWWW[[#This Row],[%equitable and continuous access to sufficient quantity of safe drinking and domestic water''s GAP]]*WWWW[[#This Row],[Total PoP ]]</f>
        <v>326</v>
      </c>
      <c r="BE203" s="238">
        <f>IF(WWWW[[#This Row],[Total required water points]]-WWWW[[#This Row],['#Water points coverage]]&lt;0,0,WWWW[[#This Row],[Total required water points]]-WWWW[[#This Row],['#Water points coverage]])</f>
        <v>1</v>
      </c>
      <c r="BF203" s="238">
        <f>ROUND(IF(WWWW[[#This Row],[Total PoP ]]&lt;500,1,WWWW[[#This Row],[Total PoP ]]/500),0)</f>
        <v>1</v>
      </c>
      <c r="BG203" s="238" t="str">
        <f>IF(AND(WWWW[[#This Row],[%of Water samples which passed at water source]]="no test",WWWW[[#This Row],[%Water samples which passed at HH]]="no test"),"No Test","Tested")</f>
        <v>No Test</v>
      </c>
      <c r="BH203" s="238">
        <f>WWWW[[#This Row],['# Existing functional latrines]]+WWWW[[#This Row],['# Existing latrines dysfunctional]]</f>
        <v>0</v>
      </c>
      <c r="BI203" s="235">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J203" s="675">
        <f>WWWW[[#This Row],[% people access to functioning Latrine]]*WWWW[[#This Row],[Total PoP ]]</f>
        <v>0</v>
      </c>
      <c r="BK203" s="235">
        <f>IF(WWWW[[#This Row],[Location Type 1]]="camp",WWWW[[#This Row],['# potential required new latrines]]/(WWWW[[#This Row],[Total PoP ]]/20),WWWW[[#This Row],['# potential required new latrines]]/(WWWW[[#This Row],[Total PoP ]]/6))</f>
        <v>0.99386503067484655</v>
      </c>
      <c r="BL203" s="414">
        <f>IF(WWWW[[#This Row],[Total required Latrines]]-WWWW[[#This Row],[Total '# of latrine]]&lt;0,0,WWWW[[#This Row],[Total required Latrines]]-WWWW[[#This Row],[Total '# of latrine]])</f>
        <v>54</v>
      </c>
      <c r="BM203" s="238">
        <f>ROUND(IF(WWWW[[#This Row],[Location Type 1]]="camp",WWWW[[#This Row],[Total PoP ]]/20,WWWW[[#This Row],[Total PoP ]]/6),0)</f>
        <v>54</v>
      </c>
      <c r="BN203" s="239">
        <f>IF(OR(WWWW[[#This Row],['# Existing latrines dysfunctional]]="",WWWW[[#This Row],['# Existing latrines dysfunctional]]=0),0,WWWW[[#This Row],['# Existing latrines dysfunctional]]/WWWW[[#This Row],[Total '# of latrine]])</f>
        <v>0</v>
      </c>
      <c r="BO203" s="675"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P203" s="235">
        <f>WWWW[[#This Row],[People adopt basic personal and community hygiene practices]]/WWWW[[#This Row],[Total PoP ]]</f>
        <v>0</v>
      </c>
      <c r="BQ203" s="239">
        <f>1-WWWW[[#This Row],[Hygiene Coverage%]]</f>
        <v>1</v>
      </c>
      <c r="BR203" s="405">
        <f>IF(500*WWWW[[#This Row],['# Hygiene Promoters ]]&gt;WWWW[[#This Row],[Total PoP ]],WWWW[[#This Row],[Total PoP ]],500*WWWW[[#This Row],['# Hygiene Promoters ]])</f>
        <v>0</v>
      </c>
      <c r="BS203" s="405">
        <f>IF(WWWW[[#This Row],[% of HH with access to Sanitary Pad]]&gt;=100%,1,0)</f>
        <v>0</v>
      </c>
      <c r="BT203" s="405">
        <f>IF(WWWW[[#This Row],[Total PoP ]]=0,0,IF(WWWW[[#This Row],['# Hygiene Promoters ]]=0,0,IF(WWWW[[#This Row],[Location Type 1]]="Village",IF(WWWW[[#This Row],[Total PoP ]]/WWWW[[#This Row],['# Hygiene Promoters ]]&lt;1000,1,0),IF(WWWW[[#This Row],[Total PoP ]]/WWWW[[#This Row],['# Hygiene Promoters ]]&lt;600,1,0))))</f>
        <v>0</v>
      </c>
      <c r="BU203" s="405">
        <f>IF(WWWW[[#This Row],[%HH with access to soap]]&gt;=100%,1,0)</f>
        <v>0</v>
      </c>
      <c r="BV203" s="405">
        <f>IF(WWWW[[#This Row],[% of HHs with access to Sanitary pad more than '#%]]+WWWW[[#This Row],[Ratio of Hyiene promoters to people less than '#]]+WWWW[[#This Row],[% of HHs with access to soap more than '#%]]&gt;=2,WWWW[[#This Row],[Total PoP ]],0)</f>
        <v>0</v>
      </c>
      <c r="BW203" s="346">
        <f>WWWW[[#This Row],['# people reached by regular dedicated hygiene promotion_5]]/WWWW[[#This Row],[Total PoP ]]</f>
        <v>0</v>
      </c>
      <c r="BX203" s="346">
        <f>IF(WWWW[[#This Row],['# HH received soaps]]/WWWW[[#This Row],[Total HH]]&gt;1,1,WWWW[[#This Row],['# HH received soaps]]/WWWW[[#This Row],[Total HH]])</f>
        <v>0</v>
      </c>
      <c r="BY203" s="346">
        <f>IF(WWWW[[#This Row],['# HH received Sanitary Pads]]/WWWW[[#This Row],[Total HH]]&gt;1,1,WWWW[[#This Row],['# HH received Sanitary Pads]]/WWWW[[#This Row],[Total HH]])</f>
        <v>0</v>
      </c>
      <c r="BZ203" s="720">
        <f>WWWW[[#This Row],['# HH received soaps]]*5</f>
        <v>0</v>
      </c>
      <c r="CA203" s="720">
        <f>WWWW[[#This Row],['# HH received Sanitary Pads]]*5</f>
        <v>0</v>
      </c>
      <c r="CB203" s="675">
        <f>IF(WWWW[[#This Row],['# People with access to soap]]&gt;WWWW[[#This Row],['# People with access to Sanity Pads]],WWWW[[#This Row],['# People with access to soap]],WWWW[[#This Row],['# People with access to Sanity Pads]])</f>
        <v>0</v>
      </c>
      <c r="CC203" s="414">
        <f>WWWW[[#This Row],[Total HH]]*WWWW[[#This Row],[%HHs with access to functional hand washing stations]]</f>
        <v>0</v>
      </c>
      <c r="CD203" s="240">
        <f>VLOOKUP(WWWW[[#This Row],[Site Name]],SiteDB6[],8,FALSE)</f>
        <v>0</v>
      </c>
      <c r="CE203" s="240">
        <f>VLOOKUP(WWWW[[#This Row],[Site Name]],SiteDB6[],9,FALSE)</f>
        <v>0</v>
      </c>
      <c r="CF203" s="240" t="str">
        <f>VLOOKUP(WWWW[[#This Row],[Site Name]],SiteDB6[],10,FALSE)</f>
        <v>Village_Not HRP</v>
      </c>
      <c r="CG203" s="240" t="str">
        <f>VLOOKUP(WWWW[[#This Row],[Site Name]],SiteDB6[],11,FALSE)</f>
        <v>Village</v>
      </c>
      <c r="CH203" s="240" t="str">
        <f>VLOOKUP(WWWW[[#This Row],[Site Name]],SiteDB6[],12,FALSE)</f>
        <v>Village</v>
      </c>
      <c r="CI203" s="240">
        <f>VLOOKUP(WWWW[[#This Row],[Site Name]],SiteDB6[],13,FALSE)</f>
        <v>0</v>
      </c>
      <c r="CJ203" s="240">
        <f>VLOOKUP(WWWW[[#This Row],[Site Name]],SiteDB6[],14,FALSE)</f>
        <v>20.8550128936768</v>
      </c>
      <c r="CK203" s="240">
        <f>VLOOKUP(WWWW[[#This Row],[Site Name]],SiteDB6[],15,FALSE)</f>
        <v>92.91</v>
      </c>
      <c r="CL203" s="240">
        <f>VLOOKUP(WWWW[[#This Row],[Site Name]],SiteDB6[],4,FALSE)</f>
        <v>196824</v>
      </c>
      <c r="CM203" s="235" t="str">
        <f t="shared" si="3"/>
        <v>Covered</v>
      </c>
      <c r="CN203" s="240"/>
    </row>
    <row r="204" spans="1:92" ht="15.75" hidden="1" customHeight="1" x14ac:dyDescent="0.25">
      <c r="A204" s="529" t="s">
        <v>1409</v>
      </c>
      <c r="B204" s="314" t="s">
        <v>489</v>
      </c>
      <c r="C204" s="314" t="s">
        <v>464</v>
      </c>
      <c r="D204" s="314" t="s">
        <v>473</v>
      </c>
      <c r="E204" s="314" t="s">
        <v>816</v>
      </c>
      <c r="F204" s="314">
        <v>478</v>
      </c>
      <c r="G204" s="798">
        <v>2698</v>
      </c>
      <c r="H204" s="314"/>
      <c r="I204" s="314" t="s">
        <v>505</v>
      </c>
      <c r="J204" s="315">
        <v>43615</v>
      </c>
      <c r="K204" s="314">
        <v>0</v>
      </c>
      <c r="L204" s="314" t="s">
        <v>2580</v>
      </c>
      <c r="M204" s="316">
        <v>0</v>
      </c>
      <c r="N204" s="316">
        <v>0</v>
      </c>
      <c r="O204" s="608">
        <v>0</v>
      </c>
      <c r="P204" s="609">
        <v>0</v>
      </c>
      <c r="Q204" s="613">
        <v>0</v>
      </c>
      <c r="R204" s="614">
        <v>0</v>
      </c>
      <c r="S204" s="614">
        <v>0</v>
      </c>
      <c r="T204" s="604"/>
      <c r="U204" s="604"/>
      <c r="V204" s="604"/>
      <c r="W204" s="604"/>
      <c r="X204" s="604"/>
      <c r="Y204" s="604"/>
      <c r="Z204" s="628">
        <v>0</v>
      </c>
      <c r="AA204" s="628">
        <v>0</v>
      </c>
      <c r="AB204" s="634"/>
      <c r="AC204" s="634">
        <v>0</v>
      </c>
      <c r="AD204" s="80" t="s">
        <v>1379</v>
      </c>
      <c r="AE204" s="80" t="s">
        <v>1379</v>
      </c>
      <c r="AF204" s="629"/>
      <c r="AG204" s="629"/>
      <c r="AH204" s="634"/>
      <c r="AI204" s="655">
        <v>0</v>
      </c>
      <c r="AJ204" s="656"/>
      <c r="AK204" s="644">
        <v>0</v>
      </c>
      <c r="AL204" s="645">
        <v>0</v>
      </c>
      <c r="AM204" s="645">
        <v>0</v>
      </c>
      <c r="AN204" s="600"/>
      <c r="AO204" s="647"/>
      <c r="AP204" s="647"/>
      <c r="AQ204" s="657"/>
      <c r="AR204" s="235" t="str">
        <f>IFERROR(WWWW[[#This Row],['# of Water passed at source]]/WWWW[[#This Row],['# of Water tested at source]],"no test")</f>
        <v>no test</v>
      </c>
      <c r="AS204" s="237" t="str">
        <f>IFERROR(WWWW[[#This Row],['# of Water passed at HH]]/WWWW[[#This Row],['# of Water tested at HH]],"no test")</f>
        <v>no test</v>
      </c>
      <c r="AT204" s="237">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U204" s="237">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AV204" s="237">
        <f>IF(WWWW[[#This Row],[Location Type 1]]="Village",WWWW[[#This Row],[Access to safe drinking water for Village]],WWWW[[#This Row],[Access to safe drinking water for Camp]])</f>
        <v>0</v>
      </c>
      <c r="AW204" s="414">
        <f>WWWW[[#This Row],[%Equitable and continuous access to sufficient quantity of safe drinking water]]*WWWW[[#This Row],[Total PoP ]]</f>
        <v>0</v>
      </c>
      <c r="AX204" s="237">
        <f>IF((WWWW[[#This Row],['# Existing protected/fenced ponds ]]*250)/WWWW[[#This Row],[Total PoP ]]&gt;1,1,WWWW[[#This Row],['# Existing protected/fenced ponds ]]*250/WWWW[[#This Row],[Total PoP ]])</f>
        <v>0</v>
      </c>
      <c r="AY204" s="414">
        <f>WWWW[[#This Row],[Access to unimproved water points]]*WWWW[[#This Row],[Total PoP ]]</f>
        <v>0</v>
      </c>
      <c r="AZ204" s="237">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A204" s="414">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B204" s="414">
        <f>ROUND(WWWW[[#This Row],['#people Equitable and continuous access to sufficient quantity of domestic water borehole n ponds_2]]/500,0)</f>
        <v>0</v>
      </c>
      <c r="BC204" s="235">
        <f>1-WWWW[[#This Row],[%Equitable and continuous access to sufficient quantity of domestic water borehole n ponds]]</f>
        <v>1</v>
      </c>
      <c r="BD204" s="414">
        <f>WWWW[[#This Row],[%equitable and continuous access to sufficient quantity of safe drinking and domestic water''s GAP]]*WWWW[[#This Row],[Total PoP ]]</f>
        <v>2698</v>
      </c>
      <c r="BE204" s="238">
        <f>IF(WWWW[[#This Row],[Total required water points]]-WWWW[[#This Row],['#Water points coverage]]&lt;0,0,WWWW[[#This Row],[Total required water points]]-WWWW[[#This Row],['#Water points coverage]])</f>
        <v>5</v>
      </c>
      <c r="BF204" s="238">
        <f>ROUND(IF(WWWW[[#This Row],[Total PoP ]]&lt;500,1,WWWW[[#This Row],[Total PoP ]]/500),0)</f>
        <v>5</v>
      </c>
      <c r="BG204" s="238" t="str">
        <f>IF(AND(WWWW[[#This Row],[%of Water samples which passed at water source]]="no test",WWWW[[#This Row],[%Water samples which passed at HH]]="no test"),"No Test","Tested")</f>
        <v>No Test</v>
      </c>
      <c r="BH204" s="238">
        <f>WWWW[[#This Row],['# Existing functional latrines]]+WWWW[[#This Row],['# Existing latrines dysfunctional]]</f>
        <v>0</v>
      </c>
      <c r="BI204" s="235">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J204" s="675">
        <f>WWWW[[#This Row],[% people access to functioning Latrine]]*WWWW[[#This Row],[Total PoP ]]</f>
        <v>0</v>
      </c>
      <c r="BK204" s="235">
        <f>IF(WWWW[[#This Row],[Location Type 1]]="camp",WWWW[[#This Row],['# potential required new latrines]]/(WWWW[[#This Row],[Total PoP ]]/20),WWWW[[#This Row],['# potential required new latrines]]/(WWWW[[#This Row],[Total PoP ]]/6))</f>
        <v>1.0007412898443291</v>
      </c>
      <c r="BL204" s="414">
        <f>IF(WWWW[[#This Row],[Total required Latrines]]-WWWW[[#This Row],[Total '# of latrine]]&lt;0,0,WWWW[[#This Row],[Total required Latrines]]-WWWW[[#This Row],[Total '# of latrine]])</f>
        <v>450</v>
      </c>
      <c r="BM204" s="238">
        <f>ROUND(IF(WWWW[[#This Row],[Location Type 1]]="camp",WWWW[[#This Row],[Total PoP ]]/20,WWWW[[#This Row],[Total PoP ]]/6),0)</f>
        <v>450</v>
      </c>
      <c r="BN204" s="239">
        <f>IF(OR(WWWW[[#This Row],['# Existing latrines dysfunctional]]="",WWWW[[#This Row],['# Existing latrines dysfunctional]]=0),0,WWWW[[#This Row],['# Existing latrines dysfunctional]]/WWWW[[#This Row],[Total '# of latrine]])</f>
        <v>0</v>
      </c>
      <c r="BO204" s="675"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P204" s="235">
        <f>WWWW[[#This Row],[People adopt basic personal and community hygiene practices]]/WWWW[[#This Row],[Total PoP ]]</f>
        <v>0</v>
      </c>
      <c r="BQ204" s="239">
        <f>1-WWWW[[#This Row],[Hygiene Coverage%]]</f>
        <v>1</v>
      </c>
      <c r="BR204" s="405">
        <f>IF(500*WWWW[[#This Row],['# Hygiene Promoters ]]&gt;WWWW[[#This Row],[Total PoP ]],WWWW[[#This Row],[Total PoP ]],500*WWWW[[#This Row],['# Hygiene Promoters ]])</f>
        <v>0</v>
      </c>
      <c r="BS204" s="405">
        <f>IF(WWWW[[#This Row],[% of HH with access to Sanitary Pad]]&gt;=100%,1,0)</f>
        <v>0</v>
      </c>
      <c r="BT204" s="405">
        <f>IF(WWWW[[#This Row],[Total PoP ]]=0,0,IF(WWWW[[#This Row],['# Hygiene Promoters ]]=0,0,IF(WWWW[[#This Row],[Location Type 1]]="Village",IF(WWWW[[#This Row],[Total PoP ]]/WWWW[[#This Row],['# Hygiene Promoters ]]&lt;1000,1,0),IF(WWWW[[#This Row],[Total PoP ]]/WWWW[[#This Row],['# Hygiene Promoters ]]&lt;600,1,0))))</f>
        <v>0</v>
      </c>
      <c r="BU204" s="405">
        <f>IF(WWWW[[#This Row],[%HH with access to soap]]&gt;=100%,1,0)</f>
        <v>0</v>
      </c>
      <c r="BV204" s="405">
        <f>IF(WWWW[[#This Row],[% of HHs with access to Sanitary pad more than '#%]]+WWWW[[#This Row],[Ratio of Hyiene promoters to people less than '#]]+WWWW[[#This Row],[% of HHs with access to soap more than '#%]]&gt;=2,WWWW[[#This Row],[Total PoP ]],0)</f>
        <v>0</v>
      </c>
      <c r="BW204" s="346">
        <f>WWWW[[#This Row],['# people reached by regular dedicated hygiene promotion_5]]/WWWW[[#This Row],[Total PoP ]]</f>
        <v>0</v>
      </c>
      <c r="BX204" s="346">
        <f>IF(WWWW[[#This Row],['# HH received soaps]]/WWWW[[#This Row],[Total HH]]&gt;1,1,WWWW[[#This Row],['# HH received soaps]]/WWWW[[#This Row],[Total HH]])</f>
        <v>0</v>
      </c>
      <c r="BY204" s="346">
        <f>IF(WWWW[[#This Row],['# HH received Sanitary Pads]]/WWWW[[#This Row],[Total HH]]&gt;1,1,WWWW[[#This Row],['# HH received Sanitary Pads]]/WWWW[[#This Row],[Total HH]])</f>
        <v>0</v>
      </c>
      <c r="BZ204" s="720">
        <f>WWWW[[#This Row],['# HH received soaps]]*5</f>
        <v>0</v>
      </c>
      <c r="CA204" s="720">
        <f>WWWW[[#This Row],['# HH received Sanitary Pads]]*5</f>
        <v>0</v>
      </c>
      <c r="CB204" s="675">
        <f>IF(WWWW[[#This Row],['# People with access to soap]]&gt;WWWW[[#This Row],['# People with access to Sanity Pads]],WWWW[[#This Row],['# People with access to soap]],WWWW[[#This Row],['# People with access to Sanity Pads]])</f>
        <v>0</v>
      </c>
      <c r="CC204" s="414">
        <f>WWWW[[#This Row],[Total HH]]*WWWW[[#This Row],[%HHs with access to functional hand washing stations]]</f>
        <v>0</v>
      </c>
      <c r="CD204" s="240">
        <f>VLOOKUP(WWWW[[#This Row],[Site Name]],SiteDB6[],8,FALSE)</f>
        <v>0</v>
      </c>
      <c r="CE204" s="240">
        <f>VLOOKUP(WWWW[[#This Row],[Site Name]],SiteDB6[],9,FALSE)</f>
        <v>0</v>
      </c>
      <c r="CF204" s="240" t="str">
        <f>VLOOKUP(WWWW[[#This Row],[Site Name]],SiteDB6[],10,FALSE)</f>
        <v>Village_Not HRP</v>
      </c>
      <c r="CG204" s="240" t="str">
        <f>VLOOKUP(WWWW[[#This Row],[Site Name]],SiteDB6[],11,FALSE)</f>
        <v>Village</v>
      </c>
      <c r="CH204" s="240" t="str">
        <f>VLOOKUP(WWWW[[#This Row],[Site Name]],SiteDB6[],12,FALSE)</f>
        <v>Village</v>
      </c>
      <c r="CI204" s="240">
        <f>VLOOKUP(WWWW[[#This Row],[Site Name]],SiteDB6[],13,FALSE)</f>
        <v>0</v>
      </c>
      <c r="CJ204" s="240">
        <f>VLOOKUP(WWWW[[#This Row],[Site Name]],SiteDB6[],14,FALSE)</f>
        <v>20.864519119262699</v>
      </c>
      <c r="CK204" s="240">
        <f>VLOOKUP(WWWW[[#This Row],[Site Name]],SiteDB6[],15,FALSE)</f>
        <v>92.940399169921903</v>
      </c>
      <c r="CL204" s="240">
        <f>VLOOKUP(WWWW[[#This Row],[Site Name]],SiteDB6[],4,FALSE)</f>
        <v>196817</v>
      </c>
      <c r="CM204" s="235" t="str">
        <f t="shared" si="3"/>
        <v>Covered</v>
      </c>
      <c r="CN204" s="240"/>
    </row>
    <row r="205" spans="1:92" hidden="1" x14ac:dyDescent="0.25">
      <c r="A205" s="548" t="s">
        <v>1409</v>
      </c>
      <c r="B205" s="314" t="s">
        <v>489</v>
      </c>
      <c r="C205" s="314" t="s">
        <v>464</v>
      </c>
      <c r="D205" s="314" t="s">
        <v>473</v>
      </c>
      <c r="E205" s="314" t="s">
        <v>832</v>
      </c>
      <c r="F205" s="314">
        <v>171</v>
      </c>
      <c r="G205" s="731">
        <v>821</v>
      </c>
      <c r="H205" s="314"/>
      <c r="I205" s="314" t="s">
        <v>505</v>
      </c>
      <c r="J205" s="315">
        <v>43615</v>
      </c>
      <c r="K205" s="314">
        <v>0</v>
      </c>
      <c r="L205" s="314" t="s">
        <v>2580</v>
      </c>
      <c r="M205" s="316">
        <v>0</v>
      </c>
      <c r="N205" s="316">
        <v>0</v>
      </c>
      <c r="O205" s="608">
        <v>0</v>
      </c>
      <c r="P205" s="609">
        <v>0</v>
      </c>
      <c r="Q205" s="613">
        <v>0</v>
      </c>
      <c r="R205" s="614">
        <v>0</v>
      </c>
      <c r="S205" s="614">
        <v>0</v>
      </c>
      <c r="T205" s="604"/>
      <c r="U205" s="604"/>
      <c r="V205" s="604"/>
      <c r="W205" s="604"/>
      <c r="X205" s="604"/>
      <c r="Y205" s="604"/>
      <c r="Z205" s="628">
        <v>0</v>
      </c>
      <c r="AA205" s="628">
        <v>0</v>
      </c>
      <c r="AB205" s="634"/>
      <c r="AC205" s="634">
        <v>0</v>
      </c>
      <c r="AD205" s="80" t="s">
        <v>1379</v>
      </c>
      <c r="AE205" s="80" t="s">
        <v>1379</v>
      </c>
      <c r="AF205" s="629"/>
      <c r="AG205" s="629"/>
      <c r="AH205" s="634"/>
      <c r="AI205" s="655">
        <v>0</v>
      </c>
      <c r="AJ205" s="656"/>
      <c r="AK205" s="644">
        <v>0</v>
      </c>
      <c r="AL205" s="645">
        <v>0</v>
      </c>
      <c r="AM205" s="645">
        <v>0</v>
      </c>
      <c r="AN205" s="600"/>
      <c r="AO205" s="647"/>
      <c r="AP205" s="647"/>
      <c r="AQ205" s="657"/>
      <c r="AR205" s="235" t="str">
        <f>IFERROR(WWWW[[#This Row],['# of Water passed at source]]/WWWW[[#This Row],['# of Water tested at source]],"no test")</f>
        <v>no test</v>
      </c>
      <c r="AS205" s="237" t="str">
        <f>IFERROR(WWWW[[#This Row],['# of Water passed at HH]]/WWWW[[#This Row],['# of Water tested at HH]],"no test")</f>
        <v>no test</v>
      </c>
      <c r="AT205" s="237">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U205" s="237">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AV205" s="237">
        <f>IF(WWWW[[#This Row],[Location Type 1]]="Village",WWWW[[#This Row],[Access to safe drinking water for Village]],WWWW[[#This Row],[Access to safe drinking water for Camp]])</f>
        <v>0</v>
      </c>
      <c r="AW205" s="414">
        <f>WWWW[[#This Row],[%Equitable and continuous access to sufficient quantity of safe drinking water]]*WWWW[[#This Row],[Total PoP ]]</f>
        <v>0</v>
      </c>
      <c r="AX205" s="237">
        <f>IF((WWWW[[#This Row],['# Existing protected/fenced ponds ]]*250)/WWWW[[#This Row],[Total PoP ]]&gt;1,1,WWWW[[#This Row],['# Existing protected/fenced ponds ]]*250/WWWW[[#This Row],[Total PoP ]])</f>
        <v>0</v>
      </c>
      <c r="AY205" s="414">
        <f>WWWW[[#This Row],[Access to unimproved water points]]*WWWW[[#This Row],[Total PoP ]]</f>
        <v>0</v>
      </c>
      <c r="AZ205" s="237">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A205" s="414">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B205" s="414">
        <f>ROUND(WWWW[[#This Row],['#people Equitable and continuous access to sufficient quantity of domestic water borehole n ponds_2]]/500,0)</f>
        <v>0</v>
      </c>
      <c r="BC205" s="235">
        <f>1-WWWW[[#This Row],[%Equitable and continuous access to sufficient quantity of domestic water borehole n ponds]]</f>
        <v>1</v>
      </c>
      <c r="BD205" s="414">
        <f>WWWW[[#This Row],[%equitable and continuous access to sufficient quantity of safe drinking and domestic water''s GAP]]*WWWW[[#This Row],[Total PoP ]]</f>
        <v>821</v>
      </c>
      <c r="BE205" s="238">
        <f>IF(WWWW[[#This Row],[Total required water points]]-WWWW[[#This Row],['#Water points coverage]]&lt;0,0,WWWW[[#This Row],[Total required water points]]-WWWW[[#This Row],['#Water points coverage]])</f>
        <v>2</v>
      </c>
      <c r="BF205" s="238">
        <f>ROUND(IF(WWWW[[#This Row],[Total PoP ]]&lt;500,1,WWWW[[#This Row],[Total PoP ]]/500),0)</f>
        <v>2</v>
      </c>
      <c r="BG205" s="238" t="str">
        <f>IF(AND(WWWW[[#This Row],[%of Water samples which passed at water source]]="no test",WWWW[[#This Row],[%Water samples which passed at HH]]="no test"),"No Test","Tested")</f>
        <v>No Test</v>
      </c>
      <c r="BH205" s="238">
        <f>WWWW[[#This Row],['# Existing functional latrines]]+WWWW[[#This Row],['# Existing latrines dysfunctional]]</f>
        <v>0</v>
      </c>
      <c r="BI205" s="235">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J205" s="675">
        <f>WWWW[[#This Row],[% people access to functioning Latrine]]*WWWW[[#This Row],[Total PoP ]]</f>
        <v>0</v>
      </c>
      <c r="BK205" s="235">
        <f>IF(WWWW[[#This Row],[Location Type 1]]="camp",WWWW[[#This Row],['# potential required new latrines]]/(WWWW[[#This Row],[Total PoP ]]/20),WWWW[[#This Row],['# potential required new latrines]]/(WWWW[[#This Row],[Total PoP ]]/6))</f>
        <v>1.0012180267965896</v>
      </c>
      <c r="BL205" s="414">
        <f>IF(WWWW[[#This Row],[Total required Latrines]]-WWWW[[#This Row],[Total '# of latrine]]&lt;0,0,WWWW[[#This Row],[Total required Latrines]]-WWWW[[#This Row],[Total '# of latrine]])</f>
        <v>137</v>
      </c>
      <c r="BM205" s="238">
        <f>ROUND(IF(WWWW[[#This Row],[Location Type 1]]="camp",WWWW[[#This Row],[Total PoP ]]/20,WWWW[[#This Row],[Total PoP ]]/6),0)</f>
        <v>137</v>
      </c>
      <c r="BN205" s="239">
        <f>IF(OR(WWWW[[#This Row],['# Existing latrines dysfunctional]]="",WWWW[[#This Row],['# Existing latrines dysfunctional]]=0),0,WWWW[[#This Row],['# Existing latrines dysfunctional]]/WWWW[[#This Row],[Total '# of latrine]])</f>
        <v>0</v>
      </c>
      <c r="BO205" s="675"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P205" s="235">
        <f>WWWW[[#This Row],[People adopt basic personal and community hygiene practices]]/WWWW[[#This Row],[Total PoP ]]</f>
        <v>0</v>
      </c>
      <c r="BQ205" s="239">
        <f>1-WWWW[[#This Row],[Hygiene Coverage%]]</f>
        <v>1</v>
      </c>
      <c r="BR205" s="405">
        <f>IF(500*WWWW[[#This Row],['# Hygiene Promoters ]]&gt;WWWW[[#This Row],[Total PoP ]],WWWW[[#This Row],[Total PoP ]],500*WWWW[[#This Row],['# Hygiene Promoters ]])</f>
        <v>0</v>
      </c>
      <c r="BS205" s="405">
        <f>IF(WWWW[[#This Row],[% of HH with access to Sanitary Pad]]&gt;=100%,1,0)</f>
        <v>0</v>
      </c>
      <c r="BT205" s="405">
        <f>IF(WWWW[[#This Row],[Total PoP ]]=0,0,IF(WWWW[[#This Row],['# Hygiene Promoters ]]=0,0,IF(WWWW[[#This Row],[Location Type 1]]="Village",IF(WWWW[[#This Row],[Total PoP ]]/WWWW[[#This Row],['# Hygiene Promoters ]]&lt;1000,1,0),IF(WWWW[[#This Row],[Total PoP ]]/WWWW[[#This Row],['# Hygiene Promoters ]]&lt;600,1,0))))</f>
        <v>0</v>
      </c>
      <c r="BU205" s="405">
        <f>IF(WWWW[[#This Row],[%HH with access to soap]]&gt;=100%,1,0)</f>
        <v>0</v>
      </c>
      <c r="BV205" s="405">
        <f>IF(WWWW[[#This Row],[% of HHs with access to Sanitary pad more than '#%]]+WWWW[[#This Row],[Ratio of Hyiene promoters to people less than '#]]+WWWW[[#This Row],[% of HHs with access to soap more than '#%]]&gt;=2,WWWW[[#This Row],[Total PoP ]],0)</f>
        <v>0</v>
      </c>
      <c r="BW205" s="346">
        <f>WWWW[[#This Row],['# people reached by regular dedicated hygiene promotion_5]]/WWWW[[#This Row],[Total PoP ]]</f>
        <v>0</v>
      </c>
      <c r="BX205" s="346">
        <f>IF(WWWW[[#This Row],['# HH received soaps]]/WWWW[[#This Row],[Total HH]]&gt;1,1,WWWW[[#This Row],['# HH received soaps]]/WWWW[[#This Row],[Total HH]])</f>
        <v>0</v>
      </c>
      <c r="BY205" s="346">
        <f>IF(WWWW[[#This Row],['# HH received Sanitary Pads]]/WWWW[[#This Row],[Total HH]]&gt;1,1,WWWW[[#This Row],['# HH received Sanitary Pads]]/WWWW[[#This Row],[Total HH]])</f>
        <v>0</v>
      </c>
      <c r="BZ205" s="720">
        <f>WWWW[[#This Row],['# HH received soaps]]*5</f>
        <v>0</v>
      </c>
      <c r="CA205" s="720">
        <f>WWWW[[#This Row],['# HH received Sanitary Pads]]*5</f>
        <v>0</v>
      </c>
      <c r="CB205" s="675">
        <f>IF(WWWW[[#This Row],['# People with access to soap]]&gt;WWWW[[#This Row],['# People with access to Sanity Pads]],WWWW[[#This Row],['# People with access to soap]],WWWW[[#This Row],['# People with access to Sanity Pads]])</f>
        <v>0</v>
      </c>
      <c r="CC205" s="414">
        <f>WWWW[[#This Row],[Total HH]]*WWWW[[#This Row],[%HHs with access to functional hand washing stations]]</f>
        <v>0</v>
      </c>
      <c r="CD205" s="240">
        <f>VLOOKUP(WWWW[[#This Row],[Site Name]],SiteDB6[],8,FALSE)</f>
        <v>0</v>
      </c>
      <c r="CE205" s="240">
        <f>VLOOKUP(WWWW[[#This Row],[Site Name]],SiteDB6[],9,FALSE)</f>
        <v>0</v>
      </c>
      <c r="CF205" s="240" t="str">
        <f>VLOOKUP(WWWW[[#This Row],[Site Name]],SiteDB6[],10,FALSE)</f>
        <v>Village_Not HRP</v>
      </c>
      <c r="CG205" s="240" t="str">
        <f>VLOOKUP(WWWW[[#This Row],[Site Name]],SiteDB6[],11,FALSE)</f>
        <v>Village</v>
      </c>
      <c r="CH205" s="240" t="str">
        <f>VLOOKUP(WWWW[[#This Row],[Site Name]],SiteDB6[],12,FALSE)</f>
        <v>Village</v>
      </c>
      <c r="CI205" s="240">
        <f>VLOOKUP(WWWW[[#This Row],[Site Name]],SiteDB6[],13,FALSE)</f>
        <v>0</v>
      </c>
      <c r="CJ205" s="240">
        <f>VLOOKUP(WWWW[[#This Row],[Site Name]],SiteDB6[],14,FALSE)</f>
        <v>20.894269943237301</v>
      </c>
      <c r="CK205" s="240">
        <f>VLOOKUP(WWWW[[#This Row],[Site Name]],SiteDB6[],15,FALSE)</f>
        <v>92.920730590820298</v>
      </c>
      <c r="CL205" s="240">
        <f>VLOOKUP(WWWW[[#This Row],[Site Name]],SiteDB6[],4,FALSE)</f>
        <v>196814</v>
      </c>
      <c r="CM205" s="235" t="str">
        <f t="shared" si="3"/>
        <v>Covered</v>
      </c>
      <c r="CN205" s="240"/>
    </row>
    <row r="206" spans="1:92" ht="15.75" hidden="1" customHeight="1" x14ac:dyDescent="0.25">
      <c r="A206" s="548" t="s">
        <v>1409</v>
      </c>
      <c r="B206" s="402" t="s">
        <v>489</v>
      </c>
      <c r="C206" s="314" t="s">
        <v>464</v>
      </c>
      <c r="D206" s="314" t="s">
        <v>473</v>
      </c>
      <c r="E206" s="314" t="s">
        <v>833</v>
      </c>
      <c r="F206" s="402">
        <v>52</v>
      </c>
      <c r="G206" s="405">
        <v>295</v>
      </c>
      <c r="H206" s="402"/>
      <c r="I206" s="402" t="s">
        <v>505</v>
      </c>
      <c r="J206" s="403">
        <v>43615</v>
      </c>
      <c r="K206" s="402">
        <v>0</v>
      </c>
      <c r="L206" s="402" t="s">
        <v>2580</v>
      </c>
      <c r="M206" s="404">
        <v>0</v>
      </c>
      <c r="N206" s="404">
        <v>0</v>
      </c>
      <c r="O206" s="612">
        <v>0</v>
      </c>
      <c r="P206" s="606">
        <v>0</v>
      </c>
      <c r="Q206" s="606">
        <v>0</v>
      </c>
      <c r="R206" s="607">
        <v>0</v>
      </c>
      <c r="S206" s="607">
        <v>0</v>
      </c>
      <c r="T206" s="607"/>
      <c r="U206" s="607"/>
      <c r="V206" s="607"/>
      <c r="W206" s="607"/>
      <c r="X206" s="607"/>
      <c r="Y206" s="607"/>
      <c r="Z206" s="598">
        <v>0</v>
      </c>
      <c r="AA206" s="598">
        <v>0</v>
      </c>
      <c r="AB206" s="80"/>
      <c r="AC206" s="598">
        <v>0</v>
      </c>
      <c r="AD206" s="598" t="s">
        <v>342</v>
      </c>
      <c r="AE206" s="598" t="s">
        <v>342</v>
      </c>
      <c r="AF206" s="599"/>
      <c r="AG206" s="598"/>
      <c r="AH206" s="598"/>
      <c r="AI206" s="649">
        <v>0</v>
      </c>
      <c r="AJ206" s="650"/>
      <c r="AK206" s="650">
        <v>0</v>
      </c>
      <c r="AL206" s="645">
        <v>0</v>
      </c>
      <c r="AM206" s="645">
        <v>0</v>
      </c>
      <c r="AN206" s="600"/>
      <c r="AO206" s="600"/>
      <c r="AP206" s="600"/>
      <c r="AQ206" s="651"/>
      <c r="AR206" s="404" t="str">
        <f>IFERROR(WWWW[[#This Row],['# of Water passed at source]]/WWWW[[#This Row],['# of Water tested at source]],"no test")</f>
        <v>no test</v>
      </c>
      <c r="AS206" s="407" t="str">
        <f>IFERROR(WWWW[[#This Row],['# of Water passed at HH]]/WWWW[[#This Row],['# of Water tested at HH]],"no test")</f>
        <v>no test</v>
      </c>
      <c r="AT206" s="407">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U206" s="407">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AV206" s="407">
        <f>IF(WWWW[[#This Row],[Location Type 1]]="Village",WWWW[[#This Row],[Access to safe drinking water for Village]],WWWW[[#This Row],[Access to safe drinking water for Camp]])</f>
        <v>0</v>
      </c>
      <c r="AW206" s="405">
        <f>WWWW[[#This Row],[%Equitable and continuous access to sufficient quantity of safe drinking water]]*WWWW[[#This Row],[Total PoP ]]</f>
        <v>0</v>
      </c>
      <c r="AX206" s="407">
        <f>IF((WWWW[[#This Row],['# Existing protected/fenced ponds ]]*250)/WWWW[[#This Row],[Total PoP ]]&gt;1,1,WWWW[[#This Row],['# Existing protected/fenced ponds ]]*250/WWWW[[#This Row],[Total PoP ]])</f>
        <v>0</v>
      </c>
      <c r="AY206" s="405">
        <f>WWWW[[#This Row],[Access to unimproved water points]]*WWWW[[#This Row],[Total PoP ]]</f>
        <v>0</v>
      </c>
      <c r="AZ206" s="407">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A206" s="405">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B206" s="414">
        <f>ROUND(WWWW[[#This Row],['#people Equitable and continuous access to sufficient quantity of domestic water borehole n ponds_2]]/500,0)</f>
        <v>0</v>
      </c>
      <c r="BC206" s="404">
        <f>1-WWWW[[#This Row],[%Equitable and continuous access to sufficient quantity of domestic water borehole n ponds]]</f>
        <v>1</v>
      </c>
      <c r="BD206" s="405">
        <f>WWWW[[#This Row],[%equitable and continuous access to sufficient quantity of safe drinking and domestic water''s GAP]]*WWWW[[#This Row],[Total PoP ]]</f>
        <v>295</v>
      </c>
      <c r="BE206" s="406">
        <f>IF(WWWW[[#This Row],[Total required water points]]-WWWW[[#This Row],['#Water points coverage]]&lt;0,0,WWWW[[#This Row],[Total required water points]]-WWWW[[#This Row],['#Water points coverage]])</f>
        <v>1</v>
      </c>
      <c r="BF206" s="406">
        <f>ROUND(IF(WWWW[[#This Row],[Total PoP ]]&lt;500,1,WWWW[[#This Row],[Total PoP ]]/500),0)</f>
        <v>1</v>
      </c>
      <c r="BG206" s="406" t="str">
        <f>IF(AND(WWWW[[#This Row],[%of Water samples which passed at water source]]="no test",WWWW[[#This Row],[%Water samples which passed at HH]]="no test"),"No Test","Tested")</f>
        <v>No Test</v>
      </c>
      <c r="BH206" s="406">
        <f>WWWW[[#This Row],['# Existing functional latrines]]+WWWW[[#This Row],['# Existing latrines dysfunctional]]</f>
        <v>0</v>
      </c>
      <c r="BI206" s="404">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J206" s="676">
        <f>WWWW[[#This Row],[% people access to functioning Latrine]]*WWWW[[#This Row],[Total PoP ]]</f>
        <v>0</v>
      </c>
      <c r="BK206" s="404">
        <f>IF(WWWW[[#This Row],[Location Type 1]]="camp",WWWW[[#This Row],['# potential required new latrines]]/(WWWW[[#This Row],[Total PoP ]]/20),WWWW[[#This Row],['# potential required new latrines]]/(WWWW[[#This Row],[Total PoP ]]/6))</f>
        <v>0.99661016949152548</v>
      </c>
      <c r="BL206" s="405">
        <f>IF(WWWW[[#This Row],[Total required Latrines]]-WWWW[[#This Row],[Total '# of latrine]]&lt;0,0,WWWW[[#This Row],[Total required Latrines]]-WWWW[[#This Row],[Total '# of latrine]])</f>
        <v>49</v>
      </c>
      <c r="BM206" s="406">
        <f>ROUND(IF(WWWW[[#This Row],[Location Type 1]]="camp",WWWW[[#This Row],[Total PoP ]]/20,WWWW[[#This Row],[Total PoP ]]/6),0)</f>
        <v>49</v>
      </c>
      <c r="BN206" s="408">
        <f>IF(OR(WWWW[[#This Row],['# Existing latrines dysfunctional]]="",WWWW[[#This Row],['# Existing latrines dysfunctional]]=0),0,WWWW[[#This Row],['# Existing latrines dysfunctional]]/WWWW[[#This Row],[Total '# of latrine]])</f>
        <v>0</v>
      </c>
      <c r="BO206" s="676"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P206" s="404">
        <f>WWWW[[#This Row],[People adopt basic personal and community hygiene practices]]/WWWW[[#This Row],[Total PoP ]]</f>
        <v>0</v>
      </c>
      <c r="BQ206" s="408">
        <f>1-WWWW[[#This Row],[Hygiene Coverage%]]</f>
        <v>1</v>
      </c>
      <c r="BR206" s="405">
        <f>IF(500*WWWW[[#This Row],['# Hygiene Promoters ]]&gt;WWWW[[#This Row],[Total PoP ]],WWWW[[#This Row],[Total PoP ]],500*WWWW[[#This Row],['# Hygiene Promoters ]])</f>
        <v>0</v>
      </c>
      <c r="BS206" s="405">
        <f>IF(WWWW[[#This Row],[% of HH with access to Sanitary Pad]]&gt;=100%,1,0)</f>
        <v>0</v>
      </c>
      <c r="BT206" s="405">
        <f>IF(WWWW[[#This Row],[Total PoP ]]=0,0,IF(WWWW[[#This Row],['# Hygiene Promoters ]]=0,0,IF(WWWW[[#This Row],[Location Type 1]]="Village",IF(WWWW[[#This Row],[Total PoP ]]/WWWW[[#This Row],['# Hygiene Promoters ]]&lt;1000,1,0),IF(WWWW[[#This Row],[Total PoP ]]/WWWW[[#This Row],['# Hygiene Promoters ]]&lt;600,1,0))))</f>
        <v>0</v>
      </c>
      <c r="BU206" s="405">
        <f>IF(WWWW[[#This Row],[%HH with access to soap]]&gt;=100%,1,0)</f>
        <v>0</v>
      </c>
      <c r="BV206" s="405">
        <f>IF(WWWW[[#This Row],[% of HHs with access to Sanitary pad more than '#%]]+WWWW[[#This Row],[Ratio of Hyiene promoters to people less than '#]]+WWWW[[#This Row],[% of HHs with access to soap more than '#%]]&gt;=2,WWWW[[#This Row],[Total PoP ]],0)</f>
        <v>0</v>
      </c>
      <c r="BW206" s="391">
        <f>WWWW[[#This Row],['# people reached by regular dedicated hygiene promotion_5]]/WWWW[[#This Row],[Total PoP ]]</f>
        <v>0</v>
      </c>
      <c r="BX206" s="391">
        <f>IF(WWWW[[#This Row],['# HH received soaps]]/WWWW[[#This Row],[Total HH]]&gt;1,1,WWWW[[#This Row],['# HH received soaps]]/WWWW[[#This Row],[Total HH]])</f>
        <v>0</v>
      </c>
      <c r="BY206" s="391">
        <f>IF(WWWW[[#This Row],['# HH received Sanitary Pads]]/WWWW[[#This Row],[Total HH]]&gt;1,1,WWWW[[#This Row],['# HH received Sanitary Pads]]/WWWW[[#This Row],[Total HH]])</f>
        <v>0</v>
      </c>
      <c r="BZ206" s="721">
        <f>WWWW[[#This Row],['# HH received soaps]]*5</f>
        <v>0</v>
      </c>
      <c r="CA206" s="721">
        <f>WWWW[[#This Row],['# HH received Sanitary Pads]]*5</f>
        <v>0</v>
      </c>
      <c r="CB206" s="406">
        <f>IF(WWWW[[#This Row],['# People with access to soap]]&gt;WWWW[[#This Row],['# People with access to Sanity Pads]],WWWW[[#This Row],['# People with access to soap]],WWWW[[#This Row],['# People with access to Sanity Pads]])</f>
        <v>0</v>
      </c>
      <c r="CC206" s="405">
        <f>WWWW[[#This Row],[Total HH]]*WWWW[[#This Row],[%HHs with access to functional hand washing stations]]</f>
        <v>0</v>
      </c>
      <c r="CD206" s="240">
        <f>VLOOKUP(WWWW[[#This Row],[Site Name]],SiteDB6[],8,FALSE)</f>
        <v>0</v>
      </c>
      <c r="CE206" s="240">
        <f>VLOOKUP(WWWW[[#This Row],[Site Name]],SiteDB6[],9,FALSE)</f>
        <v>0</v>
      </c>
      <c r="CF206" s="240" t="str">
        <f>VLOOKUP(WWWW[[#This Row],[Site Name]],SiteDB6[],10,FALSE)</f>
        <v>Village_Not HRP</v>
      </c>
      <c r="CG206" s="240" t="str">
        <f>VLOOKUP(WWWW[[#This Row],[Site Name]],SiteDB6[],11,FALSE)</f>
        <v>Village</v>
      </c>
      <c r="CH206" s="240" t="str">
        <f>VLOOKUP(WWWW[[#This Row],[Site Name]],SiteDB6[],12,FALSE)</f>
        <v>Village</v>
      </c>
      <c r="CI206" s="240">
        <f>VLOOKUP(WWWW[[#This Row],[Site Name]],SiteDB6[],13,FALSE)</f>
        <v>0</v>
      </c>
      <c r="CJ206" s="240">
        <f>VLOOKUP(WWWW[[#This Row],[Site Name]],SiteDB6[],14,FALSE)</f>
        <v>20.8950595855713</v>
      </c>
      <c r="CK206" s="240">
        <f>VLOOKUP(WWWW[[#This Row],[Site Name]],SiteDB6[],15,FALSE)</f>
        <v>92.907356262207003</v>
      </c>
      <c r="CL206" s="240">
        <f>VLOOKUP(WWWW[[#This Row],[Site Name]],SiteDB6[],4,FALSE)</f>
        <v>196807</v>
      </c>
      <c r="CM206" s="404" t="str">
        <f t="shared" si="3"/>
        <v>Covered</v>
      </c>
      <c r="CN206" s="404"/>
    </row>
    <row r="207" spans="1:92" ht="15.75" hidden="1" customHeight="1" x14ac:dyDescent="0.25">
      <c r="A207" s="548" t="s">
        <v>1409</v>
      </c>
      <c r="B207" s="402" t="s">
        <v>489</v>
      </c>
      <c r="C207" s="314" t="s">
        <v>464</v>
      </c>
      <c r="D207" s="314" t="s">
        <v>473</v>
      </c>
      <c r="E207" s="314" t="s">
        <v>870</v>
      </c>
      <c r="F207" s="402">
        <v>499</v>
      </c>
      <c r="G207" s="405">
        <v>2554</v>
      </c>
      <c r="H207" s="402"/>
      <c r="I207" s="402" t="s">
        <v>505</v>
      </c>
      <c r="J207" s="403">
        <v>43615</v>
      </c>
      <c r="K207" s="402">
        <v>0</v>
      </c>
      <c r="L207" s="402" t="s">
        <v>2580</v>
      </c>
      <c r="M207" s="404">
        <v>0</v>
      </c>
      <c r="N207" s="404">
        <v>0</v>
      </c>
      <c r="O207" s="605">
        <v>0</v>
      </c>
      <c r="P207" s="606">
        <v>0</v>
      </c>
      <c r="Q207" s="606">
        <v>0</v>
      </c>
      <c r="R207" s="607">
        <v>0</v>
      </c>
      <c r="S207" s="607">
        <v>2</v>
      </c>
      <c r="T207" s="607"/>
      <c r="U207" s="607"/>
      <c r="V207" s="607"/>
      <c r="W207" s="607"/>
      <c r="X207" s="607"/>
      <c r="Y207" s="607"/>
      <c r="Z207" s="598">
        <v>0</v>
      </c>
      <c r="AA207" s="598">
        <v>0</v>
      </c>
      <c r="AB207" s="80"/>
      <c r="AC207" s="598">
        <v>0</v>
      </c>
      <c r="AD207" s="598" t="s">
        <v>342</v>
      </c>
      <c r="AE207" s="598" t="s">
        <v>342</v>
      </c>
      <c r="AF207" s="599"/>
      <c r="AG207" s="598"/>
      <c r="AH207" s="598"/>
      <c r="AI207" s="649">
        <v>0</v>
      </c>
      <c r="AJ207" s="650"/>
      <c r="AK207" s="650">
        <v>0</v>
      </c>
      <c r="AL207" s="645">
        <v>0</v>
      </c>
      <c r="AM207" s="645">
        <v>0</v>
      </c>
      <c r="AN207" s="600"/>
      <c r="AO207" s="600"/>
      <c r="AP207" s="600"/>
      <c r="AQ207" s="651"/>
      <c r="AR207" s="404" t="str">
        <f>IFERROR(WWWW[[#This Row],['# of Water passed at source]]/WWWW[[#This Row],['# of Water tested at source]],"no test")</f>
        <v>no test</v>
      </c>
      <c r="AS207" s="407" t="str">
        <f>IFERROR(WWWW[[#This Row],['# of Water passed at HH]]/WWWW[[#This Row],['# of Water tested at HH]],"no test")</f>
        <v>no test</v>
      </c>
      <c r="AT207" s="407">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U207" s="407">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AV207" s="407">
        <f>IF(WWWW[[#This Row],[Location Type 1]]="Village",WWWW[[#This Row],[Access to safe drinking water for Village]],WWWW[[#This Row],[Access to safe drinking water for Camp]])</f>
        <v>0</v>
      </c>
      <c r="AW207" s="405">
        <f>WWWW[[#This Row],[%Equitable and continuous access to sufficient quantity of safe drinking water]]*WWWW[[#This Row],[Total PoP ]]</f>
        <v>0</v>
      </c>
      <c r="AX207" s="407">
        <f>IF((WWWW[[#This Row],['# Existing protected/fenced ponds ]]*250)/WWWW[[#This Row],[Total PoP ]]&gt;1,1,WWWW[[#This Row],['# Existing protected/fenced ponds ]]*250/WWWW[[#This Row],[Total PoP ]])</f>
        <v>0</v>
      </c>
      <c r="AY207" s="405">
        <f>WWWW[[#This Row],[Access to unimproved water points]]*WWWW[[#This Row],[Total PoP ]]</f>
        <v>0</v>
      </c>
      <c r="AZ207" s="407">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A207" s="405">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B207" s="414">
        <f>ROUND(WWWW[[#This Row],['#people Equitable and continuous access to sufficient quantity of domestic water borehole n ponds_2]]/500,0)</f>
        <v>0</v>
      </c>
      <c r="BC207" s="404">
        <f>1-WWWW[[#This Row],[%Equitable and continuous access to sufficient quantity of domestic water borehole n ponds]]</f>
        <v>1</v>
      </c>
      <c r="BD207" s="405">
        <f>WWWW[[#This Row],[%equitable and continuous access to sufficient quantity of safe drinking and domestic water''s GAP]]*WWWW[[#This Row],[Total PoP ]]</f>
        <v>2554</v>
      </c>
      <c r="BE207" s="406">
        <f>IF(WWWW[[#This Row],[Total required water points]]-WWWW[[#This Row],['#Water points coverage]]&lt;0,0,WWWW[[#This Row],[Total required water points]]-WWWW[[#This Row],['#Water points coverage]])</f>
        <v>5</v>
      </c>
      <c r="BF207" s="406">
        <f>ROUND(IF(WWWW[[#This Row],[Total PoP ]]&lt;500,1,WWWW[[#This Row],[Total PoP ]]/500),0)</f>
        <v>5</v>
      </c>
      <c r="BG207" s="406" t="str">
        <f>IF(AND(WWWW[[#This Row],[%of Water samples which passed at water source]]="no test",WWWW[[#This Row],[%Water samples which passed at HH]]="no test"),"No Test","Tested")</f>
        <v>No Test</v>
      </c>
      <c r="BH207" s="406">
        <f>WWWW[[#This Row],['# Existing functional latrines]]+WWWW[[#This Row],['# Existing latrines dysfunctional]]</f>
        <v>0</v>
      </c>
      <c r="BI207" s="404">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J207" s="676">
        <f>WWWW[[#This Row],[% people access to functioning Latrine]]*WWWW[[#This Row],[Total PoP ]]</f>
        <v>0</v>
      </c>
      <c r="BK207" s="404">
        <f>IF(WWWW[[#This Row],[Location Type 1]]="camp",WWWW[[#This Row],['# potential required new latrines]]/(WWWW[[#This Row],[Total PoP ]]/20),WWWW[[#This Row],['# potential required new latrines]]/(WWWW[[#This Row],[Total PoP ]]/6))</f>
        <v>1.0007830853563038</v>
      </c>
      <c r="BL207" s="405">
        <f>IF(WWWW[[#This Row],[Total required Latrines]]-WWWW[[#This Row],[Total '# of latrine]]&lt;0,0,WWWW[[#This Row],[Total required Latrines]]-WWWW[[#This Row],[Total '# of latrine]])</f>
        <v>426</v>
      </c>
      <c r="BM207" s="406">
        <f>ROUND(IF(WWWW[[#This Row],[Location Type 1]]="camp",WWWW[[#This Row],[Total PoP ]]/20,WWWW[[#This Row],[Total PoP ]]/6),0)</f>
        <v>426</v>
      </c>
      <c r="BN207" s="408">
        <f>IF(OR(WWWW[[#This Row],['# Existing latrines dysfunctional]]="",WWWW[[#This Row],['# Existing latrines dysfunctional]]=0),0,WWWW[[#This Row],['# Existing latrines dysfunctional]]/WWWW[[#This Row],[Total '# of latrine]])</f>
        <v>0</v>
      </c>
      <c r="BO207" s="676"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P207" s="404">
        <f>WWWW[[#This Row],[People adopt basic personal and community hygiene practices]]/WWWW[[#This Row],[Total PoP ]]</f>
        <v>0</v>
      </c>
      <c r="BQ207" s="408">
        <f>1-WWWW[[#This Row],[Hygiene Coverage%]]</f>
        <v>1</v>
      </c>
      <c r="BR207" s="405">
        <f>IF(500*WWWW[[#This Row],['# Hygiene Promoters ]]&gt;WWWW[[#This Row],[Total PoP ]],WWWW[[#This Row],[Total PoP ]],500*WWWW[[#This Row],['# Hygiene Promoters ]])</f>
        <v>0</v>
      </c>
      <c r="BS207" s="405">
        <f>IF(WWWW[[#This Row],[% of HH with access to Sanitary Pad]]&gt;=100%,1,0)</f>
        <v>0</v>
      </c>
      <c r="BT207" s="405">
        <f>IF(WWWW[[#This Row],[Total PoP ]]=0,0,IF(WWWW[[#This Row],['# Hygiene Promoters ]]=0,0,IF(WWWW[[#This Row],[Location Type 1]]="Village",IF(WWWW[[#This Row],[Total PoP ]]/WWWW[[#This Row],['# Hygiene Promoters ]]&lt;1000,1,0),IF(WWWW[[#This Row],[Total PoP ]]/WWWW[[#This Row],['# Hygiene Promoters ]]&lt;600,1,0))))</f>
        <v>0</v>
      </c>
      <c r="BU207" s="405">
        <f>IF(WWWW[[#This Row],[%HH with access to soap]]&gt;=100%,1,0)</f>
        <v>0</v>
      </c>
      <c r="BV207" s="405">
        <f>IF(WWWW[[#This Row],[% of HHs with access to Sanitary pad more than '#%]]+WWWW[[#This Row],[Ratio of Hyiene promoters to people less than '#]]+WWWW[[#This Row],[% of HHs with access to soap more than '#%]]&gt;=2,WWWW[[#This Row],[Total PoP ]],0)</f>
        <v>0</v>
      </c>
      <c r="BW207" s="391">
        <f>WWWW[[#This Row],['# people reached by regular dedicated hygiene promotion_5]]/WWWW[[#This Row],[Total PoP ]]</f>
        <v>0</v>
      </c>
      <c r="BX207" s="391">
        <f>IF(WWWW[[#This Row],['# HH received soaps]]/WWWW[[#This Row],[Total HH]]&gt;1,1,WWWW[[#This Row],['# HH received soaps]]/WWWW[[#This Row],[Total HH]])</f>
        <v>0</v>
      </c>
      <c r="BY207" s="391">
        <f>IF(WWWW[[#This Row],['# HH received Sanitary Pads]]/WWWW[[#This Row],[Total HH]]&gt;1,1,WWWW[[#This Row],['# HH received Sanitary Pads]]/WWWW[[#This Row],[Total HH]])</f>
        <v>0</v>
      </c>
      <c r="BZ207" s="721">
        <f>WWWW[[#This Row],['# HH received soaps]]*5</f>
        <v>0</v>
      </c>
      <c r="CA207" s="721">
        <f>WWWW[[#This Row],['# HH received Sanitary Pads]]*5</f>
        <v>0</v>
      </c>
      <c r="CB207" s="406">
        <f>IF(WWWW[[#This Row],['# People with access to soap]]&gt;WWWW[[#This Row],['# People with access to Sanity Pads]],WWWW[[#This Row],['# People with access to soap]],WWWW[[#This Row],['# People with access to Sanity Pads]])</f>
        <v>0</v>
      </c>
      <c r="CC207" s="405">
        <f>WWWW[[#This Row],[Total HH]]*WWWW[[#This Row],[%HHs with access to functional hand washing stations]]</f>
        <v>0</v>
      </c>
      <c r="CD207" s="240">
        <f>VLOOKUP(WWWW[[#This Row],[Site Name]],SiteDB6[],8,FALSE)</f>
        <v>0</v>
      </c>
      <c r="CE207" s="240">
        <f>VLOOKUP(WWWW[[#This Row],[Site Name]],SiteDB6[],9,FALSE)</f>
        <v>0</v>
      </c>
      <c r="CF207" s="240" t="str">
        <f>VLOOKUP(WWWW[[#This Row],[Site Name]],SiteDB6[],10,FALSE)</f>
        <v>Village_Not HRP</v>
      </c>
      <c r="CG207" s="240" t="str">
        <f>VLOOKUP(WWWW[[#This Row],[Site Name]],SiteDB6[],11,FALSE)</f>
        <v>Village</v>
      </c>
      <c r="CH207" s="240" t="str">
        <f>VLOOKUP(WWWW[[#This Row],[Site Name]],SiteDB6[],12,FALSE)</f>
        <v>Village</v>
      </c>
      <c r="CI207" s="240" t="str">
        <f>VLOOKUP(WWWW[[#This Row],[Site Name]],SiteDB6[],13,FALSE)</f>
        <v>Muslim</v>
      </c>
      <c r="CJ207" s="240">
        <f>VLOOKUP(WWWW[[#This Row],[Site Name]],SiteDB6[],14,FALSE)</f>
        <v>20.859569549560501</v>
      </c>
      <c r="CK207" s="240">
        <f>VLOOKUP(WWWW[[#This Row],[Site Name]],SiteDB6[],15,FALSE)</f>
        <v>92.941146850585895</v>
      </c>
      <c r="CL207" s="240" t="str">
        <f>VLOOKUP(WWWW[[#This Row],[Site Name]],SiteDB6[],4,FALSE)</f>
        <v>196823</v>
      </c>
      <c r="CM207" s="404" t="str">
        <f t="shared" si="3"/>
        <v>Covered</v>
      </c>
      <c r="CN207" s="404"/>
    </row>
    <row r="208" spans="1:92" ht="15.75" hidden="1" customHeight="1" x14ac:dyDescent="0.25">
      <c r="A208" s="548" t="s">
        <v>1409</v>
      </c>
      <c r="B208" s="314" t="s">
        <v>489</v>
      </c>
      <c r="C208" s="314" t="s">
        <v>464</v>
      </c>
      <c r="D208" s="314" t="s">
        <v>473</v>
      </c>
      <c r="E208" s="314" t="s">
        <v>871</v>
      </c>
      <c r="F208" s="314">
        <v>156</v>
      </c>
      <c r="G208" s="731">
        <v>932</v>
      </c>
      <c r="H208" s="314"/>
      <c r="I208" s="314" t="s">
        <v>505</v>
      </c>
      <c r="J208" s="315">
        <v>43615</v>
      </c>
      <c r="K208" s="314">
        <v>0</v>
      </c>
      <c r="L208" s="314" t="s">
        <v>2580</v>
      </c>
      <c r="M208" s="316">
        <v>0</v>
      </c>
      <c r="N208" s="316">
        <v>0</v>
      </c>
      <c r="O208" s="608">
        <v>0</v>
      </c>
      <c r="P208" s="609">
        <v>0</v>
      </c>
      <c r="Q208" s="613">
        <v>0</v>
      </c>
      <c r="R208" s="614">
        <v>0</v>
      </c>
      <c r="S208" s="614">
        <v>0</v>
      </c>
      <c r="T208" s="604"/>
      <c r="U208" s="604"/>
      <c r="V208" s="604"/>
      <c r="W208" s="604"/>
      <c r="X208" s="604"/>
      <c r="Y208" s="604"/>
      <c r="Z208" s="628">
        <v>0</v>
      </c>
      <c r="AA208" s="628">
        <v>0</v>
      </c>
      <c r="AB208" s="634"/>
      <c r="AC208" s="634">
        <v>0</v>
      </c>
      <c r="AD208" s="598" t="s">
        <v>342</v>
      </c>
      <c r="AE208" s="598" t="s">
        <v>342</v>
      </c>
      <c r="AF208" s="629"/>
      <c r="AG208" s="629"/>
      <c r="AH208" s="634"/>
      <c r="AI208" s="655">
        <v>0</v>
      </c>
      <c r="AJ208" s="656"/>
      <c r="AK208" s="644">
        <v>0</v>
      </c>
      <c r="AL208" s="645">
        <v>0</v>
      </c>
      <c r="AM208" s="645">
        <v>0</v>
      </c>
      <c r="AN208" s="600"/>
      <c r="AO208" s="647"/>
      <c r="AP208" s="647"/>
      <c r="AQ208" s="657"/>
      <c r="AR208" s="235" t="str">
        <f>IFERROR(WWWW[[#This Row],['# of Water passed at source]]/WWWW[[#This Row],['# of Water tested at source]],"no test")</f>
        <v>no test</v>
      </c>
      <c r="AS208" s="237" t="str">
        <f>IFERROR(WWWW[[#This Row],['# of Water passed at HH]]/WWWW[[#This Row],['# of Water tested at HH]],"no test")</f>
        <v>no test</v>
      </c>
      <c r="AT208" s="237">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U208" s="237">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AV208" s="237">
        <f>IF(WWWW[[#This Row],[Location Type 1]]="Village",WWWW[[#This Row],[Access to safe drinking water for Village]],WWWW[[#This Row],[Access to safe drinking water for Camp]])</f>
        <v>0</v>
      </c>
      <c r="AW208" s="414">
        <f>WWWW[[#This Row],[%Equitable and continuous access to sufficient quantity of safe drinking water]]*WWWW[[#This Row],[Total PoP ]]</f>
        <v>0</v>
      </c>
      <c r="AX208" s="237">
        <f>IF((WWWW[[#This Row],['# Existing protected/fenced ponds ]]*250)/WWWW[[#This Row],[Total PoP ]]&gt;1,1,WWWW[[#This Row],['# Existing protected/fenced ponds ]]*250/WWWW[[#This Row],[Total PoP ]])</f>
        <v>0</v>
      </c>
      <c r="AY208" s="414">
        <f>WWWW[[#This Row],[Access to unimproved water points]]*WWWW[[#This Row],[Total PoP ]]</f>
        <v>0</v>
      </c>
      <c r="AZ208" s="237">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A208" s="414">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B208" s="414">
        <f>ROUND(WWWW[[#This Row],['#people Equitable and continuous access to sufficient quantity of domestic water borehole n ponds_2]]/500,0)</f>
        <v>0</v>
      </c>
      <c r="BC208" s="235">
        <f>1-WWWW[[#This Row],[%Equitable and continuous access to sufficient quantity of domestic water borehole n ponds]]</f>
        <v>1</v>
      </c>
      <c r="BD208" s="414">
        <f>WWWW[[#This Row],[%equitable and continuous access to sufficient quantity of safe drinking and domestic water''s GAP]]*WWWW[[#This Row],[Total PoP ]]</f>
        <v>932</v>
      </c>
      <c r="BE208" s="238">
        <f>IF(WWWW[[#This Row],[Total required water points]]-WWWW[[#This Row],['#Water points coverage]]&lt;0,0,WWWW[[#This Row],[Total required water points]]-WWWW[[#This Row],['#Water points coverage]])</f>
        <v>2</v>
      </c>
      <c r="BF208" s="238">
        <f>ROUND(IF(WWWW[[#This Row],[Total PoP ]]&lt;500,1,WWWW[[#This Row],[Total PoP ]]/500),0)</f>
        <v>2</v>
      </c>
      <c r="BG208" s="238" t="str">
        <f>IF(AND(WWWW[[#This Row],[%of Water samples which passed at water source]]="no test",WWWW[[#This Row],[%Water samples which passed at HH]]="no test"),"No Test","Tested")</f>
        <v>No Test</v>
      </c>
      <c r="BH208" s="238">
        <f>WWWW[[#This Row],['# Existing functional latrines]]+WWWW[[#This Row],['# Existing latrines dysfunctional]]</f>
        <v>0</v>
      </c>
      <c r="BI208" s="235">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J208" s="675">
        <f>WWWW[[#This Row],[% people access to functioning Latrine]]*WWWW[[#This Row],[Total PoP ]]</f>
        <v>0</v>
      </c>
      <c r="BK208" s="235">
        <f>IF(WWWW[[#This Row],[Location Type 1]]="camp",WWWW[[#This Row],['# potential required new latrines]]/(WWWW[[#This Row],[Total PoP ]]/20),WWWW[[#This Row],['# potential required new latrines]]/(WWWW[[#This Row],[Total PoP ]]/6))</f>
        <v>0.99785407725321884</v>
      </c>
      <c r="BL208" s="414">
        <f>IF(WWWW[[#This Row],[Total required Latrines]]-WWWW[[#This Row],[Total '# of latrine]]&lt;0,0,WWWW[[#This Row],[Total required Latrines]]-WWWW[[#This Row],[Total '# of latrine]])</f>
        <v>155</v>
      </c>
      <c r="BM208" s="238">
        <f>ROUND(IF(WWWW[[#This Row],[Location Type 1]]="camp",WWWW[[#This Row],[Total PoP ]]/20,WWWW[[#This Row],[Total PoP ]]/6),0)</f>
        <v>155</v>
      </c>
      <c r="BN208" s="239">
        <f>IF(OR(WWWW[[#This Row],['# Existing latrines dysfunctional]]="",WWWW[[#This Row],['# Existing latrines dysfunctional]]=0),0,WWWW[[#This Row],['# Existing latrines dysfunctional]]/WWWW[[#This Row],[Total '# of latrine]])</f>
        <v>0</v>
      </c>
      <c r="BO208" s="675"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P208" s="235">
        <f>WWWW[[#This Row],[People adopt basic personal and community hygiene practices]]/WWWW[[#This Row],[Total PoP ]]</f>
        <v>0</v>
      </c>
      <c r="BQ208" s="239">
        <f>1-WWWW[[#This Row],[Hygiene Coverage%]]</f>
        <v>1</v>
      </c>
      <c r="BR208" s="405">
        <f>IF(500*WWWW[[#This Row],['# Hygiene Promoters ]]&gt;WWWW[[#This Row],[Total PoP ]],WWWW[[#This Row],[Total PoP ]],500*WWWW[[#This Row],['# Hygiene Promoters ]])</f>
        <v>0</v>
      </c>
      <c r="BS208" s="405">
        <f>IF(WWWW[[#This Row],[% of HH with access to Sanitary Pad]]&gt;=100%,1,0)</f>
        <v>0</v>
      </c>
      <c r="BT208" s="405">
        <f>IF(WWWW[[#This Row],[Total PoP ]]=0,0,IF(WWWW[[#This Row],['# Hygiene Promoters ]]=0,0,IF(WWWW[[#This Row],[Location Type 1]]="Village",IF(WWWW[[#This Row],[Total PoP ]]/WWWW[[#This Row],['# Hygiene Promoters ]]&lt;1000,1,0),IF(WWWW[[#This Row],[Total PoP ]]/WWWW[[#This Row],['# Hygiene Promoters ]]&lt;600,1,0))))</f>
        <v>0</v>
      </c>
      <c r="BU208" s="405">
        <f>IF(WWWW[[#This Row],[%HH with access to soap]]&gt;=100%,1,0)</f>
        <v>0</v>
      </c>
      <c r="BV208" s="405">
        <f>IF(WWWW[[#This Row],[% of HHs with access to Sanitary pad more than '#%]]+WWWW[[#This Row],[Ratio of Hyiene promoters to people less than '#]]+WWWW[[#This Row],[% of HHs with access to soap more than '#%]]&gt;=2,WWWW[[#This Row],[Total PoP ]],0)</f>
        <v>0</v>
      </c>
      <c r="BW208" s="346">
        <f>WWWW[[#This Row],['# people reached by regular dedicated hygiene promotion_5]]/WWWW[[#This Row],[Total PoP ]]</f>
        <v>0</v>
      </c>
      <c r="BX208" s="346">
        <f>IF(WWWW[[#This Row],['# HH received soaps]]/WWWW[[#This Row],[Total HH]]&gt;1,1,WWWW[[#This Row],['# HH received soaps]]/WWWW[[#This Row],[Total HH]])</f>
        <v>0</v>
      </c>
      <c r="BY208" s="346">
        <f>IF(WWWW[[#This Row],['# HH received Sanitary Pads]]/WWWW[[#This Row],[Total HH]]&gt;1,1,WWWW[[#This Row],['# HH received Sanitary Pads]]/WWWW[[#This Row],[Total HH]])</f>
        <v>0</v>
      </c>
      <c r="BZ208" s="720">
        <f>WWWW[[#This Row],['# HH received soaps]]*5</f>
        <v>0</v>
      </c>
      <c r="CA208" s="720">
        <f>WWWW[[#This Row],['# HH received Sanitary Pads]]*5</f>
        <v>0</v>
      </c>
      <c r="CB208" s="675">
        <f>IF(WWWW[[#This Row],['# People with access to soap]]&gt;WWWW[[#This Row],['# People with access to Sanity Pads]],WWWW[[#This Row],['# People with access to soap]],WWWW[[#This Row],['# People with access to Sanity Pads]])</f>
        <v>0</v>
      </c>
      <c r="CC208" s="414">
        <f>WWWW[[#This Row],[Total HH]]*WWWW[[#This Row],[%HHs with access to functional hand washing stations]]</f>
        <v>0</v>
      </c>
      <c r="CD208" s="240">
        <f>VLOOKUP(WWWW[[#This Row],[Site Name]],SiteDB6[],8,FALSE)</f>
        <v>0</v>
      </c>
      <c r="CE208" s="240">
        <f>VLOOKUP(WWWW[[#This Row],[Site Name]],SiteDB6[],9,FALSE)</f>
        <v>0</v>
      </c>
      <c r="CF208" s="240" t="str">
        <f>VLOOKUP(WWWW[[#This Row],[Site Name]],SiteDB6[],10,FALSE)</f>
        <v>Village_Not HRP</v>
      </c>
      <c r="CG208" s="240" t="str">
        <f>VLOOKUP(WWWW[[#This Row],[Site Name]],SiteDB6[],11,FALSE)</f>
        <v>village</v>
      </c>
      <c r="CH208" s="240" t="str">
        <f>VLOOKUP(WWWW[[#This Row],[Site Name]],SiteDB6[],12,FALSE)</f>
        <v>Village</v>
      </c>
      <c r="CI208" s="240" t="str">
        <f>VLOOKUP(WWWW[[#This Row],[Site Name]],SiteDB6[],13,FALSE)</f>
        <v>Rakhine</v>
      </c>
      <c r="CJ208" s="240">
        <f>VLOOKUP(WWWW[[#This Row],[Site Name]],SiteDB6[],14,FALSE)</f>
        <v>20.786739349365199</v>
      </c>
      <c r="CK208" s="240">
        <f>VLOOKUP(WWWW[[#This Row],[Site Name]],SiteDB6[],15,FALSE)</f>
        <v>92.944313049316406</v>
      </c>
      <c r="CL208" s="240" t="str">
        <f>VLOOKUP(WWWW[[#This Row],[Site Name]],SiteDB6[],4,FALSE)</f>
        <v>196884</v>
      </c>
      <c r="CM208" s="235" t="str">
        <f t="shared" si="3"/>
        <v>Covered</v>
      </c>
      <c r="CN208" s="240"/>
    </row>
    <row r="209" spans="1:92" ht="15.75" hidden="1" customHeight="1" x14ac:dyDescent="0.25">
      <c r="A209" s="548" t="s">
        <v>1409</v>
      </c>
      <c r="B209" s="555" t="s">
        <v>489</v>
      </c>
      <c r="C209" s="555" t="s">
        <v>464</v>
      </c>
      <c r="D209" s="555" t="s">
        <v>473</v>
      </c>
      <c r="E209" s="555" t="s">
        <v>872</v>
      </c>
      <c r="F209" s="555">
        <v>88</v>
      </c>
      <c r="G209" s="558">
        <v>325</v>
      </c>
      <c r="H209" s="555"/>
      <c r="I209" s="555" t="s">
        <v>505</v>
      </c>
      <c r="J209" s="556">
        <v>43615</v>
      </c>
      <c r="K209" s="555">
        <v>0</v>
      </c>
      <c r="L209" s="555" t="s">
        <v>2580</v>
      </c>
      <c r="M209" s="557">
        <v>0</v>
      </c>
      <c r="N209" s="557">
        <v>0</v>
      </c>
      <c r="O209" s="625"/>
      <c r="P209" s="626"/>
      <c r="Q209" s="626"/>
      <c r="R209" s="627"/>
      <c r="S209" s="627"/>
      <c r="T209" s="627"/>
      <c r="U209" s="627"/>
      <c r="V209" s="627"/>
      <c r="W209" s="627"/>
      <c r="X209" s="627"/>
      <c r="Y209" s="627"/>
      <c r="Z209" s="568"/>
      <c r="AA209" s="568"/>
      <c r="AB209" s="568"/>
      <c r="AC209" s="568"/>
      <c r="AD209" s="405" t="s">
        <v>296</v>
      </c>
      <c r="AE209" s="406" t="s">
        <v>296</v>
      </c>
      <c r="AF209" s="566"/>
      <c r="AG209" s="566"/>
      <c r="AH209" s="568"/>
      <c r="AI209" s="564"/>
      <c r="AJ209" s="566"/>
      <c r="AK209" s="566"/>
      <c r="AL209" s="561"/>
      <c r="AM209" s="561"/>
      <c r="AN209" s="802"/>
      <c r="AO209" s="736"/>
      <c r="AP209" s="736"/>
      <c r="AQ209" s="568"/>
      <c r="AR209" s="569" t="str">
        <f>IFERROR(WWWW[[#This Row],['# of Water passed at source]]/WWWW[[#This Row],['# of Water tested at source]],"no test")</f>
        <v>no test</v>
      </c>
      <c r="AS209" s="564" t="str">
        <f>IFERROR(WWWW[[#This Row],['# of Water passed at HH]]/WWWW[[#This Row],['# of Water tested at HH]],"no test")</f>
        <v>no test</v>
      </c>
      <c r="AT209" s="564">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U209" s="564">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AV209" s="564">
        <f>IF(WWWW[[#This Row],[Location Type 1]]="Village",WWWW[[#This Row],[Access to safe drinking water for Village]],WWWW[[#This Row],[Access to safe drinking water for Camp]])</f>
        <v>0</v>
      </c>
      <c r="AW209" s="568">
        <f>WWWW[[#This Row],[%Equitable and continuous access to sufficient quantity of safe drinking water]]*WWWW[[#This Row],[Total PoP ]]</f>
        <v>0</v>
      </c>
      <c r="AX209" s="564">
        <f>IF((WWWW[[#This Row],['# Existing protected/fenced ponds ]]*250)/WWWW[[#This Row],[Total PoP ]]&gt;1,1,WWWW[[#This Row],['# Existing protected/fenced ponds ]]*250/WWWW[[#This Row],[Total PoP ]])</f>
        <v>0</v>
      </c>
      <c r="AY209" s="568">
        <f>WWWW[[#This Row],[Access to unimproved water points]]*WWWW[[#This Row],[Total PoP ]]</f>
        <v>0</v>
      </c>
      <c r="AZ209" s="564">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A209" s="568">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B209" s="568">
        <f>WWWW[[#This Row],['#people Equitable and continuous access to sufficient quantity of domestic water borehole n ponds_2]]/500</f>
        <v>0</v>
      </c>
      <c r="BC209" s="569">
        <f>1-WWWW[[#This Row],[%Equitable and continuous access to sufficient quantity of domestic water borehole n ponds]]</f>
        <v>1</v>
      </c>
      <c r="BD209" s="568">
        <f>WWWW[[#This Row],[%equitable and continuous access to sufficient quantity of safe drinking and domestic water''s GAP]]*WWWW[[#This Row],[Total PoP ]]</f>
        <v>325</v>
      </c>
      <c r="BE209" s="561">
        <f>IF(WWWW[[#This Row],[Total required water points]]-WWWW[[#This Row],['#Water points coverage]]&lt;0,0,WWWW[[#This Row],[Total required water points]]-WWWW[[#This Row],['#Water points coverage]])</f>
        <v>1</v>
      </c>
      <c r="BF209" s="561">
        <f>ROUND(IF(WWWW[[#This Row],[Total PoP ]]&lt;500,1,WWWW[[#This Row],[Total PoP ]]/500),0)</f>
        <v>1</v>
      </c>
      <c r="BG209" s="561" t="str">
        <f>IF(AND(WWWW[[#This Row],[%of Water samples which passed at water source]]="no test",WWWW[[#This Row],[%Water samples which passed at HH]]="no test"),"No Test","Tested")</f>
        <v>No Test</v>
      </c>
      <c r="BH209" s="561">
        <f>WWWW[[#This Row],['# Existing functional latrines]]+WWWW[[#This Row],['# Existing latrines dysfunctional]]</f>
        <v>0</v>
      </c>
      <c r="BI209" s="56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J209" s="678">
        <f>WWWW[[#This Row],[% people access to functioning Latrine]]*WWWW[[#This Row],[Total PoP ]]</f>
        <v>0</v>
      </c>
      <c r="BK209" s="569">
        <f>IF(WWWW[[#This Row],[Location Type 1]]="camp",WWWW[[#This Row],['# potential required new latrines]]/(WWWW[[#This Row],[Total PoP ]]/20),WWWW[[#This Row],['# potential required new latrines]]/(WWWW[[#This Row],[Total PoP ]]/6))</f>
        <v>0.99692307692307691</v>
      </c>
      <c r="BL209" s="568">
        <f>IF(WWWW[[#This Row],[Total required Latrines]]-WWWW[[#This Row],[Total '# of latrine]]&lt;0,0,WWWW[[#This Row],[Total required Latrines]]-WWWW[[#This Row],[Total '# of latrine]])</f>
        <v>54</v>
      </c>
      <c r="BM209" s="561">
        <f>ROUND(IF(WWWW[[#This Row],[Location Type 1]]="camp",WWWW[[#This Row],[Total PoP ]]/20,WWWW[[#This Row],[Total PoP ]]/6),0)</f>
        <v>54</v>
      </c>
      <c r="BN209" s="570">
        <f>IF(OR(WWWW[[#This Row],['# Existing latrines dysfunctional]]="",WWWW[[#This Row],['# Existing latrines dysfunctional]]=0),0,WWWW[[#This Row],['# Existing latrines dysfunctional]]/WWWW[[#This Row],[Total '# of latrine]])</f>
        <v>0</v>
      </c>
      <c r="BO209" s="678"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P209" s="569">
        <f>WWWW[[#This Row],[People adopt basic personal and community hygiene practices]]/WWWW[[#This Row],[Total PoP ]]</f>
        <v>0</v>
      </c>
      <c r="BQ209" s="570">
        <f>1-WWWW[[#This Row],[Hygiene Coverage%]]</f>
        <v>1</v>
      </c>
      <c r="BR209" s="558">
        <f>IF(500*WWWW[[#This Row],['# Hygiene Promoters ]]&gt;WWWW[[#This Row],[Total PoP ]],WWWW[[#This Row],[Total PoP ]],500*WWWW[[#This Row],['# Hygiene Promoters ]])</f>
        <v>0</v>
      </c>
      <c r="BS209" s="558">
        <f>IF(WWWW[[#This Row],[% of HH with access to Sanitary Pad]]&gt;=100%,1,0)</f>
        <v>0</v>
      </c>
      <c r="BT209" s="558">
        <f>IF(WWWW[[#This Row],[Total PoP ]]=0,0,IF(WWWW[[#This Row],['# Hygiene Promoters ]]=0,0,IF(WWWW[[#This Row],[Location Type 1]]="Village",IF(WWWW[[#This Row],[Total PoP ]]/WWWW[[#This Row],['# Hygiene Promoters ]]&lt;1000,1,0),IF(WWWW[[#This Row],[Total PoP ]]/WWWW[[#This Row],['# Hygiene Promoters ]]&lt;600,1,0))))</f>
        <v>0</v>
      </c>
      <c r="BU209" s="558">
        <f>IF(WWWW[[#This Row],[%HH with access to soap]]&gt;=100%,1,0)</f>
        <v>0</v>
      </c>
      <c r="BV209" s="558">
        <f>IF(WWWW[[#This Row],[% of HHs with access to Sanitary pad more than '#%]]+WWWW[[#This Row],[Ratio of Hyiene promoters to people less than '#]]+WWWW[[#This Row],[% of HHs with access to soap more than '#%]]&gt;=2,WWWW[[#This Row],[Total PoP ]],0)</f>
        <v>0</v>
      </c>
      <c r="BW209" s="571">
        <f>WWWW[[#This Row],['# people reached by regular dedicated hygiene promotion_5]]/WWWW[[#This Row],[Total PoP ]]</f>
        <v>0</v>
      </c>
      <c r="BX209" s="571">
        <f>IF(WWWW[[#This Row],['# HH received soaps]]/WWWW[[#This Row],[Total HH]]&gt;1,1,WWWW[[#This Row],['# HH received soaps]]/WWWW[[#This Row],[Total HH]])</f>
        <v>0</v>
      </c>
      <c r="BY209" s="571">
        <f>IF(WWWW[[#This Row],['# HH received Sanitary Pads]]/WWWW[[#This Row],[Total HH]]&gt;1,1,WWWW[[#This Row],['# HH received Sanitary Pads]]/WWWW[[#This Row],[Total HH]])</f>
        <v>0</v>
      </c>
      <c r="BZ209" s="723">
        <f>WWWW[[#This Row],['# HH received soaps]]*5</f>
        <v>0</v>
      </c>
      <c r="CA209" s="723">
        <f>WWWW[[#This Row],['# HH received Sanitary Pads]]*5</f>
        <v>0</v>
      </c>
      <c r="CB209" s="561">
        <f>IF(WWWW[[#This Row],['# People with access to soap]]&gt;WWWW[[#This Row],['# People with access to Sanity Pads]],WWWW[[#This Row],['# People with access to soap]],WWWW[[#This Row],['# People with access to Sanity Pads]])</f>
        <v>0</v>
      </c>
      <c r="CC209" s="568">
        <f>WWWW[[#This Row],[Total HH]]*WWWW[[#This Row],[%HHs with access to functional hand washing stations]]</f>
        <v>0</v>
      </c>
      <c r="CD209" s="737">
        <f>VLOOKUP(WWWW[[#This Row],[Site Name]],SiteDB6[],8,FALSE)</f>
        <v>0</v>
      </c>
      <c r="CE209" s="737">
        <f>VLOOKUP(WWWW[[#This Row],[Site Name]],SiteDB6[],9,FALSE)</f>
        <v>0</v>
      </c>
      <c r="CF209" s="737" t="str">
        <f>VLOOKUP(WWWW[[#This Row],[Site Name]],SiteDB6[],10,FALSE)</f>
        <v>Village_Not HRP</v>
      </c>
      <c r="CG209" s="737" t="str">
        <f>VLOOKUP(WWWW[[#This Row],[Site Name]],SiteDB6[],11,FALSE)</f>
        <v>Village</v>
      </c>
      <c r="CH209" s="737" t="str">
        <f>VLOOKUP(WWWW[[#This Row],[Site Name]],SiteDB6[],12,FALSE)</f>
        <v>Village</v>
      </c>
      <c r="CI209" s="737" t="str">
        <f>VLOOKUP(WWWW[[#This Row],[Site Name]],SiteDB6[],13,FALSE)</f>
        <v>Rakhine</v>
      </c>
      <c r="CJ209" s="737">
        <f>VLOOKUP(WWWW[[#This Row],[Site Name]],SiteDB6[],14,FALSE)</f>
        <v>20.8037109375</v>
      </c>
      <c r="CK209" s="737">
        <f>VLOOKUP(WWWW[[#This Row],[Site Name]],SiteDB6[],15,FALSE)</f>
        <v>92.946136474609403</v>
      </c>
      <c r="CL209" s="737" t="str">
        <f>VLOOKUP(WWWW[[#This Row],[Site Name]],SiteDB6[],4,FALSE)</f>
        <v>196886</v>
      </c>
      <c r="CM209" s="569" t="str">
        <f t="shared" si="3"/>
        <v>Covered</v>
      </c>
      <c r="CN209" s="570"/>
    </row>
    <row r="210" spans="1:92" ht="15.75" hidden="1" customHeight="1" x14ac:dyDescent="0.25">
      <c r="A210" s="548" t="s">
        <v>1409</v>
      </c>
      <c r="B210" s="314" t="s">
        <v>489</v>
      </c>
      <c r="C210" s="314" t="s">
        <v>464</v>
      </c>
      <c r="D210" s="314" t="s">
        <v>473</v>
      </c>
      <c r="E210" s="314" t="s">
        <v>874</v>
      </c>
      <c r="F210" s="314">
        <v>142</v>
      </c>
      <c r="G210" s="731">
        <v>626</v>
      </c>
      <c r="H210" s="314"/>
      <c r="I210" s="314" t="s">
        <v>505</v>
      </c>
      <c r="J210" s="365">
        <v>43615</v>
      </c>
      <c r="K210" s="364">
        <v>0</v>
      </c>
      <c r="L210" s="364" t="s">
        <v>2580</v>
      </c>
      <c r="M210" s="366">
        <v>0</v>
      </c>
      <c r="N210" s="366">
        <v>0</v>
      </c>
      <c r="O210" s="601">
        <v>0</v>
      </c>
      <c r="P210" s="602">
        <v>0</v>
      </c>
      <c r="Q210" s="602">
        <v>0</v>
      </c>
      <c r="R210" s="603">
        <v>0</v>
      </c>
      <c r="S210" s="603">
        <v>0</v>
      </c>
      <c r="T210" s="604"/>
      <c r="U210" s="604"/>
      <c r="V210" s="604"/>
      <c r="W210" s="604"/>
      <c r="X210" s="604"/>
      <c r="Y210" s="604"/>
      <c r="Z210" s="628">
        <v>0</v>
      </c>
      <c r="AA210" s="628">
        <v>0</v>
      </c>
      <c r="AB210" s="629"/>
      <c r="AC210" s="630">
        <v>0</v>
      </c>
      <c r="AD210" s="598" t="s">
        <v>342</v>
      </c>
      <c r="AE210" s="598" t="s">
        <v>342</v>
      </c>
      <c r="AF210" s="631"/>
      <c r="AG210" s="628"/>
      <c r="AH210" s="630"/>
      <c r="AI210" s="642">
        <v>0</v>
      </c>
      <c r="AJ210" s="643"/>
      <c r="AK210" s="644">
        <v>0</v>
      </c>
      <c r="AL210" s="645">
        <v>0</v>
      </c>
      <c r="AM210" s="645">
        <v>0</v>
      </c>
      <c r="AN210" s="600"/>
      <c r="AO210" s="647"/>
      <c r="AP210" s="647"/>
      <c r="AQ210" s="648"/>
      <c r="AR210" s="235" t="str">
        <f>IFERROR(WWWW[[#This Row],['# of Water passed at source]]/WWWW[[#This Row],['# of Water tested at source]],"no test")</f>
        <v>no test</v>
      </c>
      <c r="AS210" s="237" t="str">
        <f>IFERROR(WWWW[[#This Row],['# of Water passed at HH]]/WWWW[[#This Row],['# of Water tested at HH]],"no test")</f>
        <v>no test</v>
      </c>
      <c r="AT210" s="400">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U210" s="400">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AV210" s="400">
        <f>IF(WWWW[[#This Row],[Location Type 1]]="Village",WWWW[[#This Row],[Access to safe drinking water for Village]],WWWW[[#This Row],[Access to safe drinking water for Camp]])</f>
        <v>0</v>
      </c>
      <c r="AW210" s="414">
        <f>WWWW[[#This Row],[%Equitable and continuous access to sufficient quantity of safe drinking water]]*WWWW[[#This Row],[Total PoP ]]</f>
        <v>0</v>
      </c>
      <c r="AX210" s="400">
        <f>IF((WWWW[[#This Row],['# Existing protected/fenced ponds ]]*250)/WWWW[[#This Row],[Total PoP ]]&gt;1,1,WWWW[[#This Row],['# Existing protected/fenced ponds ]]*250/WWWW[[#This Row],[Total PoP ]])</f>
        <v>0</v>
      </c>
      <c r="AY210" s="367">
        <f>WWWW[[#This Row],[Access to unimproved water points]]*WWWW[[#This Row],[Total PoP ]]</f>
        <v>0</v>
      </c>
      <c r="AZ210" s="400">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A210" s="367">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B210" s="414">
        <f>ROUND(WWWW[[#This Row],['#people Equitable and continuous access to sufficient quantity of domestic water borehole n ponds_2]]/500,0)</f>
        <v>0</v>
      </c>
      <c r="BC210" s="235">
        <f>1-WWWW[[#This Row],[%Equitable and continuous access to sufficient quantity of domestic water borehole n ponds]]</f>
        <v>1</v>
      </c>
      <c r="BD210" s="367">
        <f>WWWW[[#This Row],[%equitable and continuous access to sufficient quantity of safe drinking and domestic water''s GAP]]*WWWW[[#This Row],[Total PoP ]]</f>
        <v>626</v>
      </c>
      <c r="BE210" s="238">
        <f>IF(WWWW[[#This Row],[Total required water points]]-WWWW[[#This Row],['#Water points coverage]]&lt;0,0,WWWW[[#This Row],[Total required water points]]-WWWW[[#This Row],['#Water points coverage]])</f>
        <v>1</v>
      </c>
      <c r="BF210" s="368">
        <f>ROUND(IF(WWWW[[#This Row],[Total PoP ]]&lt;500,1,WWWW[[#This Row],[Total PoP ]]/500),0)</f>
        <v>1</v>
      </c>
      <c r="BG210" s="368" t="str">
        <f>IF(AND(WWWW[[#This Row],[%of Water samples which passed at water source]]="no test",WWWW[[#This Row],[%Water samples which passed at HH]]="no test"),"No Test","Tested")</f>
        <v>No Test</v>
      </c>
      <c r="BH210" s="238">
        <f>WWWW[[#This Row],['# Existing functional latrines]]+WWWW[[#This Row],['# Existing latrines dysfunctional]]</f>
        <v>0</v>
      </c>
      <c r="BI210" s="366">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J210" s="675">
        <f>WWWW[[#This Row],[% people access to functioning Latrine]]*WWWW[[#This Row],[Total PoP ]]</f>
        <v>0</v>
      </c>
      <c r="BK210" s="235">
        <f>IF(WWWW[[#This Row],[Location Type 1]]="camp",WWWW[[#This Row],['# potential required new latrines]]/(WWWW[[#This Row],[Total PoP ]]/20),WWWW[[#This Row],['# potential required new latrines]]/(WWWW[[#This Row],[Total PoP ]]/6))</f>
        <v>0.99680511182108633</v>
      </c>
      <c r="BL210" s="414">
        <f>IF(WWWW[[#This Row],[Total required Latrines]]-WWWW[[#This Row],[Total '# of latrine]]&lt;0,0,WWWW[[#This Row],[Total required Latrines]]-WWWW[[#This Row],[Total '# of latrine]])</f>
        <v>104</v>
      </c>
      <c r="BM210" s="368">
        <f>ROUND(IF(WWWW[[#This Row],[Location Type 1]]="camp",WWWW[[#This Row],[Total PoP ]]/20,WWWW[[#This Row],[Total PoP ]]/6),0)</f>
        <v>104</v>
      </c>
      <c r="BN210" s="369">
        <f>IF(OR(WWWW[[#This Row],['# Existing latrines dysfunctional]]="",WWWW[[#This Row],['# Existing latrines dysfunctional]]=0),0,WWWW[[#This Row],['# Existing latrines dysfunctional]]/WWWW[[#This Row],[Total '# of latrine]])</f>
        <v>0</v>
      </c>
      <c r="BO210" s="675"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P210" s="235">
        <f>WWWW[[#This Row],[People adopt basic personal and community hygiene practices]]/WWWW[[#This Row],[Total PoP ]]</f>
        <v>0</v>
      </c>
      <c r="BQ210" s="369">
        <f>1-WWWW[[#This Row],[Hygiene Coverage%]]</f>
        <v>1</v>
      </c>
      <c r="BR210" s="367">
        <f>IF(500*WWWW[[#This Row],['# Hygiene Promoters ]]&gt;WWWW[[#This Row],[Total PoP ]],WWWW[[#This Row],[Total PoP ]],500*WWWW[[#This Row],['# Hygiene Promoters ]])</f>
        <v>0</v>
      </c>
      <c r="BS210" s="367">
        <f>IF(WWWW[[#This Row],[% of HH with access to Sanitary Pad]]&gt;=100%,1,0)</f>
        <v>0</v>
      </c>
      <c r="BT210" s="367">
        <f>IF(WWWW[[#This Row],[Total PoP ]]=0,0,IF(WWWW[[#This Row],['# Hygiene Promoters ]]=0,0,IF(WWWW[[#This Row],[Location Type 1]]="Village",IF(WWWW[[#This Row],[Total PoP ]]/WWWW[[#This Row],['# Hygiene Promoters ]]&lt;1000,1,0),IF(WWWW[[#This Row],[Total PoP ]]/WWWW[[#This Row],['# Hygiene Promoters ]]&lt;600,1,0))))</f>
        <v>0</v>
      </c>
      <c r="BU210" s="367">
        <f>IF(WWWW[[#This Row],[%HH with access to soap]]&gt;=100%,1,0)</f>
        <v>0</v>
      </c>
      <c r="BV210" s="367">
        <f>IF(WWWW[[#This Row],[% of HHs with access to Sanitary pad more than '#%]]+WWWW[[#This Row],[Ratio of Hyiene promoters to people less than '#]]+WWWW[[#This Row],[% of HHs with access to soap more than '#%]]&gt;=2,WWWW[[#This Row],[Total PoP ]],0)</f>
        <v>0</v>
      </c>
      <c r="BW210" s="346">
        <f>WWWW[[#This Row],['# people reached by regular dedicated hygiene promotion_5]]/WWWW[[#This Row],[Total PoP ]]</f>
        <v>0</v>
      </c>
      <c r="BX210" s="346">
        <f>IF(WWWW[[#This Row],['# HH received soaps]]/WWWW[[#This Row],[Total HH]]&gt;1,1,WWWW[[#This Row],['# HH received soaps]]/WWWW[[#This Row],[Total HH]])</f>
        <v>0</v>
      </c>
      <c r="BY210" s="346">
        <f>IF(WWWW[[#This Row],['# HH received Sanitary Pads]]/WWWW[[#This Row],[Total HH]]&gt;1,1,WWWW[[#This Row],['# HH received Sanitary Pads]]/WWWW[[#This Row],[Total HH]])</f>
        <v>0</v>
      </c>
      <c r="BZ210" s="720">
        <f>WWWW[[#This Row],['# HH received soaps]]*5</f>
        <v>0</v>
      </c>
      <c r="CA210" s="720">
        <f>WWWW[[#This Row],['# HH received Sanitary Pads]]*5</f>
        <v>0</v>
      </c>
      <c r="CB210" s="238">
        <f>IF(WWWW[[#This Row],['# People with access to soap]]&gt;WWWW[[#This Row],['# People with access to Sanity Pads]],WWWW[[#This Row],['# People with access to soap]],WWWW[[#This Row],['# People with access to Sanity Pads]])</f>
        <v>0</v>
      </c>
      <c r="CC210" s="367">
        <f>WWWW[[#This Row],[Total HH]]*WWWW[[#This Row],[%HHs with access to functional hand washing stations]]</f>
        <v>0</v>
      </c>
      <c r="CD210" s="240">
        <f>VLOOKUP(WWWW[[#This Row],[Site Name]],SiteDB6[],8,FALSE)</f>
        <v>0</v>
      </c>
      <c r="CE210" s="240">
        <f>VLOOKUP(WWWW[[#This Row],[Site Name]],SiteDB6[],9,FALSE)</f>
        <v>0</v>
      </c>
      <c r="CF210" s="240" t="str">
        <f>VLOOKUP(WWWW[[#This Row],[Site Name]],SiteDB6[],10,FALSE)</f>
        <v>Village_Not HRP</v>
      </c>
      <c r="CG210" s="240" t="str">
        <f>VLOOKUP(WWWW[[#This Row],[Site Name]],SiteDB6[],11,FALSE)</f>
        <v>Village</v>
      </c>
      <c r="CH210" s="240" t="str">
        <f>VLOOKUP(WWWW[[#This Row],[Site Name]],SiteDB6[],12,FALSE)</f>
        <v>Village</v>
      </c>
      <c r="CI210" s="240" t="str">
        <f>VLOOKUP(WWWW[[#This Row],[Site Name]],SiteDB6[],13,FALSE)</f>
        <v>Rakhine</v>
      </c>
      <c r="CJ210" s="240">
        <f>VLOOKUP(WWWW[[#This Row],[Site Name]],SiteDB6[],14,FALSE)</f>
        <v>20.677059173583999</v>
      </c>
      <c r="CK210" s="240">
        <f>VLOOKUP(WWWW[[#This Row],[Site Name]],SiteDB6[],15,FALSE)</f>
        <v>92.9532470703125</v>
      </c>
      <c r="CL210" s="240" t="str">
        <f>VLOOKUP(WWWW[[#This Row],[Site Name]],SiteDB6[],4,FALSE)</f>
        <v>196929</v>
      </c>
      <c r="CM210" s="235" t="str">
        <f t="shared" si="3"/>
        <v>Covered</v>
      </c>
      <c r="CN210" s="366"/>
    </row>
    <row r="211" spans="1:92" ht="15.75" customHeight="1" x14ac:dyDescent="0.25">
      <c r="A211" s="532" t="s">
        <v>1409</v>
      </c>
      <c r="B211" s="541" t="s">
        <v>463</v>
      </c>
      <c r="C211" s="541" t="s">
        <v>464</v>
      </c>
      <c r="D211" s="541" t="s">
        <v>473</v>
      </c>
      <c r="E211" s="541" t="s">
        <v>2571</v>
      </c>
      <c r="F211" s="169">
        <v>91</v>
      </c>
      <c r="G211" s="732">
        <v>581</v>
      </c>
      <c r="H211" s="169"/>
      <c r="I211" s="402" t="s">
        <v>2653</v>
      </c>
      <c r="J211" s="403" t="s">
        <v>2654</v>
      </c>
      <c r="K211" s="169"/>
      <c r="L211" s="169"/>
      <c r="M211" s="171"/>
      <c r="N211" s="171"/>
      <c r="O211" s="608">
        <v>0</v>
      </c>
      <c r="P211" s="609">
        <v>0</v>
      </c>
      <c r="Q211" s="610"/>
      <c r="R211" s="611">
        <v>3</v>
      </c>
      <c r="S211" s="611">
        <v>0</v>
      </c>
      <c r="T211" s="611"/>
      <c r="U211" s="604"/>
      <c r="V211" s="606"/>
      <c r="W211" s="606"/>
      <c r="X211" s="604"/>
      <c r="Y211" s="607"/>
      <c r="Z211" s="598">
        <v>13</v>
      </c>
      <c r="AA211" s="599"/>
      <c r="AB211" s="629"/>
      <c r="AC211" s="632">
        <v>0</v>
      </c>
      <c r="AD211" s="80" t="s">
        <v>296</v>
      </c>
      <c r="AE211" s="80" t="s">
        <v>296</v>
      </c>
      <c r="AF211" s="80"/>
      <c r="AG211" s="80"/>
      <c r="AH211" s="633"/>
      <c r="AI211" s="652">
        <v>0</v>
      </c>
      <c r="AJ211" s="653"/>
      <c r="AK211" s="651">
        <v>0</v>
      </c>
      <c r="AL211" s="645"/>
      <c r="AM211" s="645">
        <v>0</v>
      </c>
      <c r="AN211" s="600"/>
      <c r="AO211" s="600"/>
      <c r="AP211" s="600"/>
      <c r="AQ211" s="654"/>
      <c r="AR211" s="235" t="str">
        <f>IFERROR(WWWW[[#This Row],['# of Water passed at source]]/WWWW[[#This Row],['# of Water tested at source]],"no test")</f>
        <v>no test</v>
      </c>
      <c r="AS211" s="237" t="str">
        <f>IFERROR(WWWW[[#This Row],['# of Water passed at HH]]/WWWW[[#This Row],['# of Water tested at HH]],"no test")</f>
        <v>no test</v>
      </c>
      <c r="AT211" s="237">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U211" s="237">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AV211" s="237">
        <f>IF(WWWW[[#This Row],[Location Type 1]]="Village",WWWW[[#This Row],[Access to safe drinking water for Village]],WWWW[[#This Row],[Access to safe drinking water for Camp]])</f>
        <v>0</v>
      </c>
      <c r="AW211" s="414">
        <f>WWWW[[#This Row],[%Equitable and continuous access to sufficient quantity of safe drinking water]]*WWWW[[#This Row],[Total PoP ]]</f>
        <v>0</v>
      </c>
      <c r="AX211" s="237">
        <f>IF((WWWW[[#This Row],['# Existing protected/fenced ponds ]]*250)/WWWW[[#This Row],[Total PoP ]]&gt;1,1,WWWW[[#This Row],['# Existing protected/fenced ponds ]]*250/WWWW[[#This Row],[Total PoP ]])</f>
        <v>1</v>
      </c>
      <c r="AY211" s="414">
        <f>WWWW[[#This Row],[Access to unimproved water points]]*WWWW[[#This Row],[Total PoP ]]</f>
        <v>581</v>
      </c>
      <c r="AZ211" s="237">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A211" s="414">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581</v>
      </c>
      <c r="BB211" s="414">
        <f>ROUND(WWWW[[#This Row],['#people Equitable and continuous access to sufficient quantity of domestic water borehole n ponds_2]]/500,0)</f>
        <v>1</v>
      </c>
      <c r="BC211" s="235">
        <f>1-WWWW[[#This Row],[%Equitable and continuous access to sufficient quantity of domestic water borehole n ponds]]</f>
        <v>0</v>
      </c>
      <c r="BD211" s="414">
        <f>WWWW[[#This Row],[%equitable and continuous access to sufficient quantity of safe drinking and domestic water''s GAP]]*WWWW[[#This Row],[Total PoP ]]</f>
        <v>0</v>
      </c>
      <c r="BE211" s="238">
        <f>IF(WWWW[[#This Row],[Total required water points]]-WWWW[[#This Row],['#Water points coverage]]&lt;0,0,WWWW[[#This Row],[Total required water points]]-WWWW[[#This Row],['#Water points coverage]])</f>
        <v>0</v>
      </c>
      <c r="BF211" s="238">
        <f>ROUND(IF(WWWW[[#This Row],[Total PoP ]]&lt;500,1,WWWW[[#This Row],[Total PoP ]]/500),0)</f>
        <v>1</v>
      </c>
      <c r="BG211" s="238" t="str">
        <f>IF(AND(WWWW[[#This Row],[%of Water samples which passed at water source]]="no test",WWWW[[#This Row],[%Water samples which passed at HH]]="no test"),"No Test","Tested")</f>
        <v>No Test</v>
      </c>
      <c r="BH211" s="238">
        <f>WWWW[[#This Row],['# Existing functional latrines]]+WWWW[[#This Row],['# Existing latrines dysfunctional]]</f>
        <v>13</v>
      </c>
      <c r="BI211" s="235">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0.44750430292598969</v>
      </c>
      <c r="BJ211" s="675">
        <f>WWWW[[#This Row],[% people access to functioning Latrine]]*WWWW[[#This Row],[Total PoP ]]</f>
        <v>260</v>
      </c>
      <c r="BK211" s="235">
        <f>IF(WWWW[[#This Row],[Location Type 1]]="camp",WWWW[[#This Row],['# potential required new latrines]]/(WWWW[[#This Row],[Total PoP ]]/20),WWWW[[#This Row],['# potential required new latrines]]/(WWWW[[#This Row],[Total PoP ]]/6))</f>
        <v>0.55077452667814109</v>
      </c>
      <c r="BL211" s="414">
        <f>IF(WWWW[[#This Row],[Total required Latrines]]-WWWW[[#This Row],[Total '# of latrine]]&lt;0,0,WWWW[[#This Row],[Total required Latrines]]-WWWW[[#This Row],[Total '# of latrine]])</f>
        <v>16</v>
      </c>
      <c r="BM211" s="238">
        <f>ROUND(IF(WWWW[[#This Row],[Location Type 1]]="camp",WWWW[[#This Row],[Total PoP ]]/20,WWWW[[#This Row],[Total PoP ]]/6),0)</f>
        <v>29</v>
      </c>
      <c r="BN211" s="239">
        <f>IF(OR(WWWW[[#This Row],['# Existing latrines dysfunctional]]="",WWWW[[#This Row],['# Existing latrines dysfunctional]]=0),0,WWWW[[#This Row],['# Existing latrines dysfunctional]]/WWWW[[#This Row],[Total '# of latrine]])</f>
        <v>0</v>
      </c>
      <c r="BO211" s="675">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P211" s="235">
        <f>WWWW[[#This Row],[People adopt basic personal and community hygiene practices]]/WWWW[[#This Row],[Total PoP ]]</f>
        <v>0</v>
      </c>
      <c r="BQ211" s="239">
        <f>1-WWWW[[#This Row],[Hygiene Coverage%]]</f>
        <v>1</v>
      </c>
      <c r="BR211" s="405">
        <f>IF(500*WWWW[[#This Row],['# Hygiene Promoters ]]&gt;WWWW[[#This Row],[Total PoP ]],WWWW[[#This Row],[Total PoP ]],500*WWWW[[#This Row],['# Hygiene Promoters ]])</f>
        <v>0</v>
      </c>
      <c r="BS211" s="405">
        <f>IF(WWWW[[#This Row],[% of HH with access to Sanitary Pad]]&gt;=100%,1,0)</f>
        <v>0</v>
      </c>
      <c r="BT211" s="405">
        <f>IF(WWWW[[#This Row],[Total PoP ]]=0,0,IF(WWWW[[#This Row],['# Hygiene Promoters ]]=0,0,IF(WWWW[[#This Row],[Location Type 1]]="Village",IF(WWWW[[#This Row],[Total PoP ]]/WWWW[[#This Row],['# Hygiene Promoters ]]&lt;1000,1,0),IF(WWWW[[#This Row],[Total PoP ]]/WWWW[[#This Row],['# Hygiene Promoters ]]&lt;600,1,0))))</f>
        <v>0</v>
      </c>
      <c r="BU211" s="405">
        <f>IF(WWWW[[#This Row],[%HH with access to soap]]&gt;=100%,1,0)</f>
        <v>0</v>
      </c>
      <c r="BV211" s="405">
        <f>IF(WWWW[[#This Row],[% of HHs with access to Sanitary pad more than '#%]]+WWWW[[#This Row],[Ratio of Hyiene promoters to people less than '#]]+WWWW[[#This Row],[% of HHs with access to soap more than '#%]]&gt;=2,WWWW[[#This Row],[Total PoP ]],0)</f>
        <v>0</v>
      </c>
      <c r="BW211" s="346">
        <f>WWWW[[#This Row],['# people reached by regular dedicated hygiene promotion_5]]/WWWW[[#This Row],[Total PoP ]]</f>
        <v>0</v>
      </c>
      <c r="BX211" s="346">
        <f>IF(WWWW[[#This Row],['# HH received soaps]]/WWWW[[#This Row],[Total HH]]&gt;1,1,WWWW[[#This Row],['# HH received soaps]]/WWWW[[#This Row],[Total HH]])</f>
        <v>0</v>
      </c>
      <c r="BY211" s="346">
        <f>IF(WWWW[[#This Row],['# HH received Sanitary Pads]]/WWWW[[#This Row],[Total HH]]&gt;1,1,WWWW[[#This Row],['# HH received Sanitary Pads]]/WWWW[[#This Row],[Total HH]])</f>
        <v>0</v>
      </c>
      <c r="BZ211" s="720">
        <f>WWWW[[#This Row],['# HH received soaps]]*5</f>
        <v>0</v>
      </c>
      <c r="CA211" s="720">
        <f>WWWW[[#This Row],['# HH received Sanitary Pads]]*5</f>
        <v>0</v>
      </c>
      <c r="CB211" s="675">
        <f>IF(WWWW[[#This Row],['# People with access to soap]]&gt;WWWW[[#This Row],['# People with access to Sanity Pads]],WWWW[[#This Row],['# People with access to soap]],WWWW[[#This Row],['# People with access to Sanity Pads]])</f>
        <v>0</v>
      </c>
      <c r="CC211" s="414">
        <f>WWWW[[#This Row],[Total HH]]*WWWW[[#This Row],[%HHs with access to functional hand washing stations]]</f>
        <v>0</v>
      </c>
      <c r="CD211" s="240" t="str">
        <f>VLOOKUP(WWWW[[#This Row],[Site Name]],SiteDB6[],8,FALSE)</f>
        <v>Yes</v>
      </c>
      <c r="CE211" s="240" t="str">
        <f>VLOOKUP(WWWW[[#This Row],[Site Name]],SiteDB6[],9,FALSE)</f>
        <v>UNHCR</v>
      </c>
      <c r="CF211" s="240" t="str">
        <f>VLOOKUP(WWWW[[#This Row],[Site Name]],SiteDB6[],10,FALSE)</f>
        <v>Camp</v>
      </c>
      <c r="CG211" s="240" t="str">
        <f>VLOOKUP(WWWW[[#This Row],[Site Name]],SiteDB6[],11,FALSE)</f>
        <v>Camp</v>
      </c>
      <c r="CH211" s="240" t="str">
        <f>VLOOKUP(WWWW[[#This Row],[Site Name]],SiteDB6[],12,FALSE)</f>
        <v>Self Settled Camp</v>
      </c>
      <c r="CI211" s="240" t="str">
        <f>VLOOKUP(WWWW[[#This Row],[Site Name]],SiteDB6[],13,FALSE)</f>
        <v>Muslim</v>
      </c>
      <c r="CJ211" s="240">
        <f>VLOOKUP(WWWW[[#This Row],[Site Name]],SiteDB6[],14,FALSE)</f>
        <v>20.865687000000001</v>
      </c>
      <c r="CK211" s="240">
        <f>VLOOKUP(WWWW[[#This Row],[Site Name]],SiteDB6[],15,FALSE)</f>
        <v>92.965980999999999</v>
      </c>
      <c r="CL211" s="240" t="str">
        <f>VLOOKUP(WWWW[[#This Row],[Site Name]],SiteDB6[],4,FALSE)</f>
        <v>MMR012CMP023</v>
      </c>
      <c r="CM211" s="235" t="str">
        <f t="shared" si="3"/>
        <v>Covered</v>
      </c>
      <c r="CN211" s="240"/>
    </row>
    <row r="212" spans="1:92" ht="15.75" hidden="1" customHeight="1" x14ac:dyDescent="0.25">
      <c r="A212" s="548" t="s">
        <v>1409</v>
      </c>
      <c r="B212" s="531" t="s">
        <v>470</v>
      </c>
      <c r="C212" s="531" t="s">
        <v>464</v>
      </c>
      <c r="D212" s="531" t="s">
        <v>473</v>
      </c>
      <c r="E212" s="531" t="s">
        <v>474</v>
      </c>
      <c r="F212" s="402">
        <f>ROUND(WWWW[[#This Row],[Total PoP ]]/5,0)</f>
        <v>167</v>
      </c>
      <c r="G212" s="731">
        <v>836</v>
      </c>
      <c r="H212" s="314"/>
      <c r="I212" s="314"/>
      <c r="J212" s="315"/>
      <c r="K212" s="314"/>
      <c r="L212" s="402" t="s">
        <v>292</v>
      </c>
      <c r="M212" s="404">
        <v>0</v>
      </c>
      <c r="N212" s="404">
        <v>0</v>
      </c>
      <c r="O212" s="608">
        <v>0</v>
      </c>
      <c r="P212" s="609">
        <v>0</v>
      </c>
      <c r="Q212" s="613"/>
      <c r="R212" s="614"/>
      <c r="S212" s="614">
        <v>0</v>
      </c>
      <c r="T212" s="604"/>
      <c r="U212" s="604"/>
      <c r="V212" s="604"/>
      <c r="W212" s="604"/>
      <c r="X212" s="604"/>
      <c r="Y212" s="604"/>
      <c r="Z212" s="628">
        <v>53</v>
      </c>
      <c r="AA212" s="628"/>
      <c r="AB212" s="634"/>
      <c r="AC212" s="634">
        <v>0</v>
      </c>
      <c r="AD212" s="634" t="s">
        <v>296</v>
      </c>
      <c r="AE212" s="631" t="s">
        <v>296</v>
      </c>
      <c r="AF212" s="629"/>
      <c r="AG212" s="629"/>
      <c r="AH212" s="634"/>
      <c r="AI212" s="655">
        <v>0</v>
      </c>
      <c r="AJ212" s="656"/>
      <c r="AK212" s="644">
        <v>0</v>
      </c>
      <c r="AL212" s="645"/>
      <c r="AM212" s="645">
        <v>0</v>
      </c>
      <c r="AN212" s="600"/>
      <c r="AO212" s="647"/>
      <c r="AP212" s="647"/>
      <c r="AQ212" s="657"/>
      <c r="AR212" s="235" t="str">
        <f>IFERROR(WWWW[[#This Row],['# of Water passed at source]]/WWWW[[#This Row],['# of Water tested at source]],"no test")</f>
        <v>no test</v>
      </c>
      <c r="AS212" s="237" t="str">
        <f>IFERROR(WWWW[[#This Row],['# of Water passed at HH]]/WWWW[[#This Row],['# of Water tested at HH]],"no test")</f>
        <v>no test</v>
      </c>
      <c r="AT212" s="237">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U212" s="237">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AV212" s="237">
        <f>IF(WWWW[[#This Row],[Location Type 1]]="Village",WWWW[[#This Row],[Access to safe drinking water for Village]],WWWW[[#This Row],[Access to safe drinking water for Camp]])</f>
        <v>0</v>
      </c>
      <c r="AW212" s="414">
        <f>WWWW[[#This Row],[%Equitable and continuous access to sufficient quantity of safe drinking water]]*WWWW[[#This Row],[Total PoP ]]</f>
        <v>0</v>
      </c>
      <c r="AX212" s="237">
        <f>IF((WWWW[[#This Row],['# Existing protected/fenced ponds ]]*250)/WWWW[[#This Row],[Total PoP ]]&gt;1,1,WWWW[[#This Row],['# Existing protected/fenced ponds ]]*250/WWWW[[#This Row],[Total PoP ]])</f>
        <v>0</v>
      </c>
      <c r="AY212" s="414">
        <f>WWWW[[#This Row],[Access to unimproved water points]]*WWWW[[#This Row],[Total PoP ]]</f>
        <v>0</v>
      </c>
      <c r="AZ212" s="237">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A212" s="414">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B212" s="414">
        <f>ROUND(WWWW[[#This Row],['#people Equitable and continuous access to sufficient quantity of domestic water borehole n ponds_2]]/500,0)</f>
        <v>0</v>
      </c>
      <c r="BC212" s="235">
        <f>1-WWWW[[#This Row],[%Equitable and continuous access to sufficient quantity of domestic water borehole n ponds]]</f>
        <v>1</v>
      </c>
      <c r="BD212" s="414">
        <f>WWWW[[#This Row],[%equitable and continuous access to sufficient quantity of safe drinking and domestic water''s GAP]]*WWWW[[#This Row],[Total PoP ]]</f>
        <v>836</v>
      </c>
      <c r="BE212" s="238">
        <f>IF(WWWW[[#This Row],[Total required water points]]-WWWW[[#This Row],['#Water points coverage]]&lt;0,0,WWWW[[#This Row],[Total required water points]]-WWWW[[#This Row],['#Water points coverage]])</f>
        <v>2</v>
      </c>
      <c r="BF212" s="238">
        <f>ROUND(IF(WWWW[[#This Row],[Total PoP ]]&lt;500,1,WWWW[[#This Row],[Total PoP ]]/500),0)</f>
        <v>2</v>
      </c>
      <c r="BG212" s="238" t="str">
        <f>IF(AND(WWWW[[#This Row],[%of Water samples which passed at water source]]="no test",WWWW[[#This Row],[%Water samples which passed at HH]]="no test"),"No Test","Tested")</f>
        <v>No Test</v>
      </c>
      <c r="BH212" s="238">
        <f>WWWW[[#This Row],['# Existing functional latrines]]+WWWW[[#This Row],['# Existing latrines dysfunctional]]</f>
        <v>53</v>
      </c>
      <c r="BI212" s="235">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0.38038277511961721</v>
      </c>
      <c r="BJ212" s="675">
        <f>WWWW[[#This Row],[% people access to functioning Latrine]]*WWWW[[#This Row],[Total PoP ]]</f>
        <v>318</v>
      </c>
      <c r="BK212" s="235">
        <f>IF(WWWW[[#This Row],[Location Type 1]]="camp",WWWW[[#This Row],['# potential required new latrines]]/(WWWW[[#This Row],[Total PoP ]]/20),WWWW[[#This Row],['# potential required new latrines]]/(WWWW[[#This Row],[Total PoP ]]/6))</f>
        <v>0.61722488038277512</v>
      </c>
      <c r="BL212" s="414">
        <f>IF(WWWW[[#This Row],[Total required Latrines]]-WWWW[[#This Row],[Total '# of latrine]]&lt;0,0,WWWW[[#This Row],[Total required Latrines]]-WWWW[[#This Row],[Total '# of latrine]])</f>
        <v>86</v>
      </c>
      <c r="BM212" s="238">
        <f>ROUND(IF(WWWW[[#This Row],[Location Type 1]]="camp",WWWW[[#This Row],[Total PoP ]]/20,WWWW[[#This Row],[Total PoP ]]/6),0)</f>
        <v>139</v>
      </c>
      <c r="BN212" s="239">
        <f>IF(OR(WWWW[[#This Row],['# Existing latrines dysfunctional]]="",WWWW[[#This Row],['# Existing latrines dysfunctional]]=0),0,WWWW[[#This Row],['# Existing latrines dysfunctional]]/WWWW[[#This Row],[Total '# of latrine]])</f>
        <v>0</v>
      </c>
      <c r="BO212" s="675"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P212" s="235">
        <f>WWWW[[#This Row],[People adopt basic personal and community hygiene practices]]/WWWW[[#This Row],[Total PoP ]]</f>
        <v>0</v>
      </c>
      <c r="BQ212" s="239">
        <f>1-WWWW[[#This Row],[Hygiene Coverage%]]</f>
        <v>1</v>
      </c>
      <c r="BR212" s="405">
        <f>IF(500*WWWW[[#This Row],['# Hygiene Promoters ]]&gt;WWWW[[#This Row],[Total PoP ]],WWWW[[#This Row],[Total PoP ]],500*WWWW[[#This Row],['# Hygiene Promoters ]])</f>
        <v>0</v>
      </c>
      <c r="BS212" s="405">
        <f>IF(WWWW[[#This Row],[% of HH with access to Sanitary Pad]]&gt;=100%,1,0)</f>
        <v>0</v>
      </c>
      <c r="BT212" s="405">
        <f>IF(WWWW[[#This Row],[Total PoP ]]=0,0,IF(WWWW[[#This Row],['# Hygiene Promoters ]]=0,0,IF(WWWW[[#This Row],[Location Type 1]]="Village",IF(WWWW[[#This Row],[Total PoP ]]/WWWW[[#This Row],['# Hygiene Promoters ]]&lt;1000,1,0),IF(WWWW[[#This Row],[Total PoP ]]/WWWW[[#This Row],['# Hygiene Promoters ]]&lt;600,1,0))))</f>
        <v>0</v>
      </c>
      <c r="BU212" s="405">
        <f>IF(WWWW[[#This Row],[%HH with access to soap]]&gt;=100%,1,0)</f>
        <v>0</v>
      </c>
      <c r="BV212" s="405">
        <f>IF(WWWW[[#This Row],[% of HHs with access to Sanitary pad more than '#%]]+WWWW[[#This Row],[Ratio of Hyiene promoters to people less than '#]]+WWWW[[#This Row],[% of HHs with access to soap more than '#%]]&gt;=2,WWWW[[#This Row],[Total PoP ]],0)</f>
        <v>0</v>
      </c>
      <c r="BW212" s="346">
        <f>WWWW[[#This Row],['# people reached by regular dedicated hygiene promotion_5]]/WWWW[[#This Row],[Total PoP ]]</f>
        <v>0</v>
      </c>
      <c r="BX212" s="346">
        <f>IF(WWWW[[#This Row],['# HH received soaps]]/WWWW[[#This Row],[Total HH]]&gt;1,1,WWWW[[#This Row],['# HH received soaps]]/WWWW[[#This Row],[Total HH]])</f>
        <v>0</v>
      </c>
      <c r="BY212" s="346">
        <f>IF(WWWW[[#This Row],['# HH received Sanitary Pads]]/WWWW[[#This Row],[Total HH]]&gt;1,1,WWWW[[#This Row],['# HH received Sanitary Pads]]/WWWW[[#This Row],[Total HH]])</f>
        <v>0</v>
      </c>
      <c r="BZ212" s="720">
        <f>WWWW[[#This Row],['# HH received soaps]]*5</f>
        <v>0</v>
      </c>
      <c r="CA212" s="720">
        <f>WWWW[[#This Row],['# HH received Sanitary Pads]]*5</f>
        <v>0</v>
      </c>
      <c r="CB212" s="675">
        <f>IF(WWWW[[#This Row],['# People with access to soap]]&gt;WWWW[[#This Row],['# People with access to Sanity Pads]],WWWW[[#This Row],['# People with access to soap]],WWWW[[#This Row],['# People with access to Sanity Pads]])</f>
        <v>0</v>
      </c>
      <c r="CC212" s="414">
        <f>WWWW[[#This Row],[Total HH]]*WWWW[[#This Row],[%HHs with access to functional hand washing stations]]</f>
        <v>0</v>
      </c>
      <c r="CD212" s="240">
        <f>VLOOKUP(WWWW[[#This Row],[Site Name]],SiteDB6[],8,FALSE)</f>
        <v>0</v>
      </c>
      <c r="CE212" s="240">
        <f>VLOOKUP(WWWW[[#This Row],[Site Name]],SiteDB6[],9,FALSE)</f>
        <v>0</v>
      </c>
      <c r="CF212" s="240" t="str">
        <f>VLOOKUP(WWWW[[#This Row],[Site Name]],SiteDB6[],10,FALSE)</f>
        <v>Village</v>
      </c>
      <c r="CG212" s="240" t="str">
        <f>VLOOKUP(WWWW[[#This Row],[Site Name]],SiteDB6[],11,FALSE)</f>
        <v>Village</v>
      </c>
      <c r="CH212" s="240" t="str">
        <f>VLOOKUP(WWWW[[#This Row],[Site Name]],SiteDB6[],12,FALSE)</f>
        <v>Village</v>
      </c>
      <c r="CI212" s="240" t="str">
        <f>VLOOKUP(WWWW[[#This Row],[Site Name]],SiteDB6[],13,FALSE)</f>
        <v>Rakhine</v>
      </c>
      <c r="CJ212" s="240">
        <f>VLOOKUP(WWWW[[#This Row],[Site Name]],SiteDB6[],14,FALSE)</f>
        <v>0</v>
      </c>
      <c r="CK212" s="240">
        <f>VLOOKUP(WWWW[[#This Row],[Site Name]],SiteDB6[],15,FALSE)</f>
        <v>0</v>
      </c>
      <c r="CL212" s="240" t="str">
        <f>VLOOKUP(WWWW[[#This Row],[Site Name]],SiteDB6[],4,FALSE)</f>
        <v/>
      </c>
      <c r="CM212" s="235" t="str">
        <f t="shared" si="3"/>
        <v>Notcovered</v>
      </c>
      <c r="CN212" s="240"/>
    </row>
    <row r="213" spans="1:92" ht="15.75" hidden="1" customHeight="1" x14ac:dyDescent="0.25">
      <c r="A213" s="548" t="s">
        <v>1409</v>
      </c>
      <c r="B213" s="530" t="s">
        <v>470</v>
      </c>
      <c r="C213" s="531" t="s">
        <v>464</v>
      </c>
      <c r="D213" s="531" t="s">
        <v>473</v>
      </c>
      <c r="E213" s="531" t="s">
        <v>514</v>
      </c>
      <c r="F213" s="402">
        <v>395</v>
      </c>
      <c r="G213" s="405">
        <v>1687</v>
      </c>
      <c r="H213" s="402"/>
      <c r="I213" s="402"/>
      <c r="J213" s="403"/>
      <c r="K213" s="402"/>
      <c r="L213" s="402" t="s">
        <v>292</v>
      </c>
      <c r="M213" s="404">
        <v>0</v>
      </c>
      <c r="N213" s="404">
        <v>0</v>
      </c>
      <c r="O213" s="605">
        <v>0</v>
      </c>
      <c r="P213" s="606">
        <v>0</v>
      </c>
      <c r="Q213" s="606"/>
      <c r="R213" s="607"/>
      <c r="S213" s="607">
        <v>2</v>
      </c>
      <c r="T213" s="607"/>
      <c r="U213" s="607"/>
      <c r="V213" s="607"/>
      <c r="W213" s="607"/>
      <c r="X213" s="607"/>
      <c r="Y213" s="607"/>
      <c r="Z213" s="598">
        <v>0</v>
      </c>
      <c r="AA213" s="598"/>
      <c r="AB213" s="80"/>
      <c r="AC213" s="598">
        <v>0</v>
      </c>
      <c r="AD213" s="598" t="s">
        <v>296</v>
      </c>
      <c r="AE213" s="599" t="s">
        <v>296</v>
      </c>
      <c r="AF213" s="599"/>
      <c r="AG213" s="598"/>
      <c r="AH213" s="598"/>
      <c r="AI213" s="649">
        <v>0</v>
      </c>
      <c r="AJ213" s="650"/>
      <c r="AK213" s="650">
        <v>0</v>
      </c>
      <c r="AL213" s="645"/>
      <c r="AM213" s="645"/>
      <c r="AN213" s="600"/>
      <c r="AO213" s="600"/>
      <c r="AP213" s="600"/>
      <c r="AQ213" s="651"/>
      <c r="AR213" s="404" t="str">
        <f>IFERROR(WWWW[[#This Row],['# of Water passed at source]]/WWWW[[#This Row],['# of Water tested at source]],"no test")</f>
        <v>no test</v>
      </c>
      <c r="AS213" s="407" t="str">
        <f>IFERROR(WWWW[[#This Row],['# of Water passed at HH]]/WWWW[[#This Row],['# of Water tested at HH]],"no test")</f>
        <v>no test</v>
      </c>
      <c r="AT213" s="407">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U213" s="407">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AV213" s="407">
        <f>IF(WWWW[[#This Row],[Location Type 1]]="Village",WWWW[[#This Row],[Access to safe drinking water for Village]],WWWW[[#This Row],[Access to safe drinking water for Camp]])</f>
        <v>0</v>
      </c>
      <c r="AW213" s="405">
        <f>WWWW[[#This Row],[%Equitable and continuous access to sufficient quantity of safe drinking water]]*WWWW[[#This Row],[Total PoP ]]</f>
        <v>0</v>
      </c>
      <c r="AX213" s="407">
        <f>IF((WWWW[[#This Row],['# Existing protected/fenced ponds ]]*250)/WWWW[[#This Row],[Total PoP ]]&gt;1,1,WWWW[[#This Row],['# Existing protected/fenced ponds ]]*250/WWWW[[#This Row],[Total PoP ]])</f>
        <v>0</v>
      </c>
      <c r="AY213" s="405">
        <f>WWWW[[#This Row],[Access to unimproved water points]]*WWWW[[#This Row],[Total PoP ]]</f>
        <v>0</v>
      </c>
      <c r="AZ213" s="407">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A213" s="405">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B213" s="414">
        <f>ROUND(WWWW[[#This Row],['#people Equitable and continuous access to sufficient quantity of domestic water borehole n ponds_2]]/500,0)</f>
        <v>0</v>
      </c>
      <c r="BC213" s="404">
        <f>1-WWWW[[#This Row],[%Equitable and continuous access to sufficient quantity of domestic water borehole n ponds]]</f>
        <v>1</v>
      </c>
      <c r="BD213" s="405">
        <f>WWWW[[#This Row],[%equitable and continuous access to sufficient quantity of safe drinking and domestic water''s GAP]]*WWWW[[#This Row],[Total PoP ]]</f>
        <v>1687</v>
      </c>
      <c r="BE213" s="406">
        <f>IF(WWWW[[#This Row],[Total required water points]]-WWWW[[#This Row],['#Water points coverage]]&lt;0,0,WWWW[[#This Row],[Total required water points]]-WWWW[[#This Row],['#Water points coverage]])</f>
        <v>3</v>
      </c>
      <c r="BF213" s="406">
        <f>ROUND(IF(WWWW[[#This Row],[Total PoP ]]&lt;500,1,WWWW[[#This Row],[Total PoP ]]/500),0)</f>
        <v>3</v>
      </c>
      <c r="BG213" s="406" t="str">
        <f>IF(AND(WWWW[[#This Row],[%of Water samples which passed at water source]]="no test",WWWW[[#This Row],[%Water samples which passed at HH]]="no test"),"No Test","Tested")</f>
        <v>No Test</v>
      </c>
      <c r="BH213" s="406">
        <f>WWWW[[#This Row],['# Existing functional latrines]]+WWWW[[#This Row],['# Existing latrines dysfunctional]]</f>
        <v>0</v>
      </c>
      <c r="BI213" s="404">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J213" s="676">
        <f>WWWW[[#This Row],[% people access to functioning Latrine]]*WWWW[[#This Row],[Total PoP ]]</f>
        <v>0</v>
      </c>
      <c r="BK213" s="404">
        <f>IF(WWWW[[#This Row],[Location Type 1]]="camp",WWWW[[#This Row],['# potential required new latrines]]/(WWWW[[#This Row],[Total PoP ]]/20),WWWW[[#This Row],['# potential required new latrines]]/(WWWW[[#This Row],[Total PoP ]]/6))</f>
        <v>0.99940723177237689</v>
      </c>
      <c r="BL213" s="405">
        <f>IF(WWWW[[#This Row],[Total required Latrines]]-WWWW[[#This Row],[Total '# of latrine]]&lt;0,0,WWWW[[#This Row],[Total required Latrines]]-WWWW[[#This Row],[Total '# of latrine]])</f>
        <v>281</v>
      </c>
      <c r="BM213" s="406">
        <f>ROUND(IF(WWWW[[#This Row],[Location Type 1]]="camp",WWWW[[#This Row],[Total PoP ]]/20,WWWW[[#This Row],[Total PoP ]]/6),0)</f>
        <v>281</v>
      </c>
      <c r="BN213" s="408">
        <f>IF(OR(WWWW[[#This Row],['# Existing latrines dysfunctional]]="",WWWW[[#This Row],['# Existing latrines dysfunctional]]=0),0,WWWW[[#This Row],['# Existing latrines dysfunctional]]/WWWW[[#This Row],[Total '# of latrine]])</f>
        <v>0</v>
      </c>
      <c r="BO213" s="676"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P213" s="404">
        <f>WWWW[[#This Row],[People adopt basic personal and community hygiene practices]]/WWWW[[#This Row],[Total PoP ]]</f>
        <v>0</v>
      </c>
      <c r="BQ213" s="408">
        <f>1-WWWW[[#This Row],[Hygiene Coverage%]]</f>
        <v>1</v>
      </c>
      <c r="BR213" s="405">
        <f>IF(500*WWWW[[#This Row],['# Hygiene Promoters ]]&gt;WWWW[[#This Row],[Total PoP ]],WWWW[[#This Row],[Total PoP ]],500*WWWW[[#This Row],['# Hygiene Promoters ]])</f>
        <v>0</v>
      </c>
      <c r="BS213" s="405">
        <f>IF(WWWW[[#This Row],[% of HH with access to Sanitary Pad]]&gt;=100%,1,0)</f>
        <v>0</v>
      </c>
      <c r="BT213" s="405">
        <f>IF(WWWW[[#This Row],[Total PoP ]]=0,0,IF(WWWW[[#This Row],['# Hygiene Promoters ]]=0,0,IF(WWWW[[#This Row],[Location Type 1]]="Village",IF(WWWW[[#This Row],[Total PoP ]]/WWWW[[#This Row],['# Hygiene Promoters ]]&lt;1000,1,0),IF(WWWW[[#This Row],[Total PoP ]]/WWWW[[#This Row],['# Hygiene Promoters ]]&lt;600,1,0))))</f>
        <v>0</v>
      </c>
      <c r="BU213" s="405">
        <f>IF(WWWW[[#This Row],[%HH with access to soap]]&gt;=100%,1,0)</f>
        <v>0</v>
      </c>
      <c r="BV213" s="405">
        <f>IF(WWWW[[#This Row],[% of HHs with access to Sanitary pad more than '#%]]+WWWW[[#This Row],[Ratio of Hyiene promoters to people less than '#]]+WWWW[[#This Row],[% of HHs with access to soap more than '#%]]&gt;=2,WWWW[[#This Row],[Total PoP ]],0)</f>
        <v>0</v>
      </c>
      <c r="BW213" s="391">
        <f>WWWW[[#This Row],['# people reached by regular dedicated hygiene promotion_5]]/WWWW[[#This Row],[Total PoP ]]</f>
        <v>0</v>
      </c>
      <c r="BX213" s="391">
        <f>IF(WWWW[[#This Row],['# HH received soaps]]/WWWW[[#This Row],[Total HH]]&gt;1,1,WWWW[[#This Row],['# HH received soaps]]/WWWW[[#This Row],[Total HH]])</f>
        <v>0</v>
      </c>
      <c r="BY213" s="391">
        <f>IF(WWWW[[#This Row],['# HH received Sanitary Pads]]/WWWW[[#This Row],[Total HH]]&gt;1,1,WWWW[[#This Row],['# HH received Sanitary Pads]]/WWWW[[#This Row],[Total HH]])</f>
        <v>0</v>
      </c>
      <c r="BZ213" s="721">
        <f>WWWW[[#This Row],['# HH received soaps]]*5</f>
        <v>0</v>
      </c>
      <c r="CA213" s="721">
        <f>WWWW[[#This Row],['# HH received Sanitary Pads]]*5</f>
        <v>0</v>
      </c>
      <c r="CB213" s="406">
        <f>IF(WWWW[[#This Row],['# People with access to soap]]&gt;WWWW[[#This Row],['# People with access to Sanity Pads]],WWWW[[#This Row],['# People with access to soap]],WWWW[[#This Row],['# People with access to Sanity Pads]])</f>
        <v>0</v>
      </c>
      <c r="CC213" s="405">
        <f>WWWW[[#This Row],[Total HH]]*WWWW[[#This Row],[%HHs with access to functional hand washing stations]]</f>
        <v>0</v>
      </c>
      <c r="CD213" s="240">
        <f>VLOOKUP(WWWW[[#This Row],[Site Name]],SiteDB6[],8,FALSE)</f>
        <v>0</v>
      </c>
      <c r="CE213" s="240">
        <f>VLOOKUP(WWWW[[#This Row],[Site Name]],SiteDB6[],9,FALSE)</f>
        <v>0</v>
      </c>
      <c r="CF213" s="240" t="str">
        <f>VLOOKUP(WWWW[[#This Row],[Site Name]],SiteDB6[],10,FALSE)</f>
        <v>Village</v>
      </c>
      <c r="CG213" s="240" t="str">
        <f>VLOOKUP(WWWW[[#This Row],[Site Name]],SiteDB6[],11,FALSE)</f>
        <v>Village</v>
      </c>
      <c r="CH213" s="240" t="str">
        <f>VLOOKUP(WWWW[[#This Row],[Site Name]],SiteDB6[],12,FALSE)</f>
        <v>Village</v>
      </c>
      <c r="CI213" s="240" t="str">
        <f>VLOOKUP(WWWW[[#This Row],[Site Name]],SiteDB6[],13,FALSE)</f>
        <v>Rakhine</v>
      </c>
      <c r="CJ213" s="240">
        <f>VLOOKUP(WWWW[[#This Row],[Site Name]],SiteDB6[],14,FALSE)</f>
        <v>0</v>
      </c>
      <c r="CK213" s="240">
        <f>VLOOKUP(WWWW[[#This Row],[Site Name]],SiteDB6[],15,FALSE)</f>
        <v>0</v>
      </c>
      <c r="CL213" s="240" t="str">
        <f>VLOOKUP(WWWW[[#This Row],[Site Name]],SiteDB6[],4,FALSE)</f>
        <v/>
      </c>
      <c r="CM213" s="404" t="str">
        <f t="shared" si="3"/>
        <v>Notcovered</v>
      </c>
      <c r="CN213" s="404"/>
    </row>
    <row r="214" spans="1:92" ht="15.75" hidden="1" customHeight="1" x14ac:dyDescent="0.25">
      <c r="A214" s="548" t="s">
        <v>1409</v>
      </c>
      <c r="B214" s="541" t="s">
        <v>470</v>
      </c>
      <c r="C214" s="541" t="s">
        <v>464</v>
      </c>
      <c r="D214" s="541" t="s">
        <v>473</v>
      </c>
      <c r="E214" s="541" t="s">
        <v>692</v>
      </c>
      <c r="F214" s="169">
        <v>165</v>
      </c>
      <c r="G214" s="732">
        <v>786</v>
      </c>
      <c r="H214" s="169"/>
      <c r="I214" s="169"/>
      <c r="J214" s="170"/>
      <c r="K214" s="169"/>
      <c r="L214" s="402" t="s">
        <v>292</v>
      </c>
      <c r="M214" s="404">
        <v>0</v>
      </c>
      <c r="N214" s="404">
        <v>0</v>
      </c>
      <c r="O214" s="609">
        <v>0</v>
      </c>
      <c r="P214" s="609">
        <v>0</v>
      </c>
      <c r="Q214" s="610"/>
      <c r="R214" s="607"/>
      <c r="S214" s="611">
        <v>1</v>
      </c>
      <c r="T214" s="606"/>
      <c r="U214" s="606"/>
      <c r="V214" s="606"/>
      <c r="W214" s="606"/>
      <c r="X214" s="606"/>
      <c r="Y214" s="607"/>
      <c r="Z214" s="598">
        <v>0</v>
      </c>
      <c r="AA214" s="599"/>
      <c r="AB214" s="629"/>
      <c r="AC214" s="632">
        <v>0</v>
      </c>
      <c r="AD214" s="80" t="s">
        <v>296</v>
      </c>
      <c r="AE214" s="80" t="s">
        <v>296</v>
      </c>
      <c r="AF214" s="80"/>
      <c r="AG214" s="80"/>
      <c r="AH214" s="633"/>
      <c r="AI214" s="652">
        <v>0</v>
      </c>
      <c r="AJ214" s="653"/>
      <c r="AK214" s="651">
        <v>0</v>
      </c>
      <c r="AL214" s="645"/>
      <c r="AM214" s="645"/>
      <c r="AN214" s="600"/>
      <c r="AO214" s="600"/>
      <c r="AP214" s="600"/>
      <c r="AQ214" s="654"/>
      <c r="AR214" s="235" t="str">
        <f>IFERROR(WWWW[[#This Row],['# of Water passed at source]]/WWWW[[#This Row],['# of Water tested at source]],"no test")</f>
        <v>no test</v>
      </c>
      <c r="AS214" s="237" t="str">
        <f>IFERROR(WWWW[[#This Row],['# of Water passed at HH]]/WWWW[[#This Row],['# of Water tested at HH]],"no test")</f>
        <v>no test</v>
      </c>
      <c r="AT214" s="237">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U214" s="237">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AV214" s="237">
        <f>IF(WWWW[[#This Row],[Location Type 1]]="Village",WWWW[[#This Row],[Access to safe drinking water for Village]],WWWW[[#This Row],[Access to safe drinking water for Camp]])</f>
        <v>0</v>
      </c>
      <c r="AW214" s="414">
        <f>WWWW[[#This Row],[%Equitable and continuous access to sufficient quantity of safe drinking water]]*WWWW[[#This Row],[Total PoP ]]</f>
        <v>0</v>
      </c>
      <c r="AX214" s="237">
        <f>IF((WWWW[[#This Row],['# Existing protected/fenced ponds ]]*250)/WWWW[[#This Row],[Total PoP ]]&gt;1,1,WWWW[[#This Row],['# Existing protected/fenced ponds ]]*250/WWWW[[#This Row],[Total PoP ]])</f>
        <v>0</v>
      </c>
      <c r="AY214" s="414">
        <f>WWWW[[#This Row],[Access to unimproved water points]]*WWWW[[#This Row],[Total PoP ]]</f>
        <v>0</v>
      </c>
      <c r="AZ214" s="237">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A214" s="414">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B214" s="414">
        <f>ROUND(WWWW[[#This Row],['#people Equitable and continuous access to sufficient quantity of domestic water borehole n ponds_2]]/500,0)</f>
        <v>0</v>
      </c>
      <c r="BC214" s="235">
        <f>1-WWWW[[#This Row],[%Equitable and continuous access to sufficient quantity of domestic water borehole n ponds]]</f>
        <v>1</v>
      </c>
      <c r="BD214" s="414">
        <f>WWWW[[#This Row],[%equitable and continuous access to sufficient quantity of safe drinking and domestic water''s GAP]]*WWWW[[#This Row],[Total PoP ]]</f>
        <v>786</v>
      </c>
      <c r="BE214" s="238">
        <f>IF(WWWW[[#This Row],[Total required water points]]-WWWW[[#This Row],['#Water points coverage]]&lt;0,0,WWWW[[#This Row],[Total required water points]]-WWWW[[#This Row],['#Water points coverage]])</f>
        <v>2</v>
      </c>
      <c r="BF214" s="238">
        <f>ROUND(IF(WWWW[[#This Row],[Total PoP ]]&lt;500,1,WWWW[[#This Row],[Total PoP ]]/500),0)</f>
        <v>2</v>
      </c>
      <c r="BG214" s="238" t="str">
        <f>IF(AND(WWWW[[#This Row],[%of Water samples which passed at water source]]="no test",WWWW[[#This Row],[%Water samples which passed at HH]]="no test"),"No Test","Tested")</f>
        <v>No Test</v>
      </c>
      <c r="BH214" s="238">
        <f>WWWW[[#This Row],['# Existing functional latrines]]+WWWW[[#This Row],['# Existing latrines dysfunctional]]</f>
        <v>0</v>
      </c>
      <c r="BI214" s="235">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J214" s="675">
        <f>WWWW[[#This Row],[% people access to functioning Latrine]]*WWWW[[#This Row],[Total PoP ]]</f>
        <v>0</v>
      </c>
      <c r="BK214" s="235">
        <f>IF(WWWW[[#This Row],[Location Type 1]]="camp",WWWW[[#This Row],['# potential required new latrines]]/(WWWW[[#This Row],[Total PoP ]]/20),WWWW[[#This Row],['# potential required new latrines]]/(WWWW[[#This Row],[Total PoP ]]/6))</f>
        <v>1</v>
      </c>
      <c r="BL214" s="414">
        <f>IF(WWWW[[#This Row],[Total required Latrines]]-WWWW[[#This Row],[Total '# of latrine]]&lt;0,0,WWWW[[#This Row],[Total required Latrines]]-WWWW[[#This Row],[Total '# of latrine]])</f>
        <v>131</v>
      </c>
      <c r="BM214" s="238">
        <f>ROUND(IF(WWWW[[#This Row],[Location Type 1]]="camp",WWWW[[#This Row],[Total PoP ]]/20,WWWW[[#This Row],[Total PoP ]]/6),0)</f>
        <v>131</v>
      </c>
      <c r="BN214" s="239">
        <f>IF(OR(WWWW[[#This Row],['# Existing latrines dysfunctional]]="",WWWW[[#This Row],['# Existing latrines dysfunctional]]=0),0,WWWW[[#This Row],['# Existing latrines dysfunctional]]/WWWW[[#This Row],[Total '# of latrine]])</f>
        <v>0</v>
      </c>
      <c r="BO214" s="675"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P214" s="235">
        <f>WWWW[[#This Row],[People adopt basic personal and community hygiene practices]]/WWWW[[#This Row],[Total PoP ]]</f>
        <v>0</v>
      </c>
      <c r="BQ214" s="239">
        <f>1-WWWW[[#This Row],[Hygiene Coverage%]]</f>
        <v>1</v>
      </c>
      <c r="BR214" s="405">
        <f>IF(500*WWWW[[#This Row],['# Hygiene Promoters ]]&gt;WWWW[[#This Row],[Total PoP ]],WWWW[[#This Row],[Total PoP ]],500*WWWW[[#This Row],['# Hygiene Promoters ]])</f>
        <v>0</v>
      </c>
      <c r="BS214" s="405">
        <f>IF(WWWW[[#This Row],[% of HH with access to Sanitary Pad]]&gt;=100%,1,0)</f>
        <v>0</v>
      </c>
      <c r="BT214" s="405">
        <f>IF(WWWW[[#This Row],[Total PoP ]]=0,0,IF(WWWW[[#This Row],['# Hygiene Promoters ]]=0,0,IF(WWWW[[#This Row],[Location Type 1]]="Village",IF(WWWW[[#This Row],[Total PoP ]]/WWWW[[#This Row],['# Hygiene Promoters ]]&lt;1000,1,0),IF(WWWW[[#This Row],[Total PoP ]]/WWWW[[#This Row],['# Hygiene Promoters ]]&lt;600,1,0))))</f>
        <v>0</v>
      </c>
      <c r="BU214" s="405">
        <f>IF(WWWW[[#This Row],[%HH with access to soap]]&gt;=100%,1,0)</f>
        <v>0</v>
      </c>
      <c r="BV214" s="405">
        <f>IF(WWWW[[#This Row],[% of HHs with access to Sanitary pad more than '#%]]+WWWW[[#This Row],[Ratio of Hyiene promoters to people less than '#]]+WWWW[[#This Row],[% of HHs with access to soap more than '#%]]&gt;=2,WWWW[[#This Row],[Total PoP ]],0)</f>
        <v>0</v>
      </c>
      <c r="BW214" s="346">
        <f>WWWW[[#This Row],['# people reached by regular dedicated hygiene promotion_5]]/WWWW[[#This Row],[Total PoP ]]</f>
        <v>0</v>
      </c>
      <c r="BX214" s="346">
        <f>IF(WWWW[[#This Row],['# HH received soaps]]/WWWW[[#This Row],[Total HH]]&gt;1,1,WWWW[[#This Row],['# HH received soaps]]/WWWW[[#This Row],[Total HH]])</f>
        <v>0</v>
      </c>
      <c r="BY214" s="346">
        <f>IF(WWWW[[#This Row],['# HH received Sanitary Pads]]/WWWW[[#This Row],[Total HH]]&gt;1,1,WWWW[[#This Row],['# HH received Sanitary Pads]]/WWWW[[#This Row],[Total HH]])</f>
        <v>0</v>
      </c>
      <c r="BZ214" s="720">
        <f>WWWW[[#This Row],['# HH received soaps]]*5</f>
        <v>0</v>
      </c>
      <c r="CA214" s="720">
        <f>WWWW[[#This Row],['# HH received Sanitary Pads]]*5</f>
        <v>0</v>
      </c>
      <c r="CB214" s="675">
        <f>IF(WWWW[[#This Row],['# People with access to soap]]&gt;WWWW[[#This Row],['# People with access to Sanity Pads]],WWWW[[#This Row],['# People with access to soap]],WWWW[[#This Row],['# People with access to Sanity Pads]])</f>
        <v>0</v>
      </c>
      <c r="CC214" s="414">
        <f>WWWW[[#This Row],[Total HH]]*WWWW[[#This Row],[%HHs with access to functional hand washing stations]]</f>
        <v>0</v>
      </c>
      <c r="CD214" s="240">
        <f>VLOOKUP(WWWW[[#This Row],[Site Name]],SiteDB6[],8,FALSE)</f>
        <v>0</v>
      </c>
      <c r="CE214" s="240">
        <f>VLOOKUP(WWWW[[#This Row],[Site Name]],SiteDB6[],9,FALSE)</f>
        <v>0</v>
      </c>
      <c r="CF214" s="240" t="str">
        <f>VLOOKUP(WWWW[[#This Row],[Site Name]],SiteDB6[],10,FALSE)</f>
        <v>Village</v>
      </c>
      <c r="CG214" s="240" t="str">
        <f>VLOOKUP(WWWW[[#This Row],[Site Name]],SiteDB6[],11,FALSE)</f>
        <v>Village</v>
      </c>
      <c r="CH214" s="240" t="str">
        <f>VLOOKUP(WWWW[[#This Row],[Site Name]],SiteDB6[],12,FALSE)</f>
        <v>Village</v>
      </c>
      <c r="CI214" s="240" t="str">
        <f>VLOOKUP(WWWW[[#This Row],[Site Name]],SiteDB6[],13,FALSE)</f>
        <v>Rakhine</v>
      </c>
      <c r="CJ214" s="240">
        <f>VLOOKUP(WWWW[[#This Row],[Site Name]],SiteDB6[],14,FALSE)</f>
        <v>20.644098281860401</v>
      </c>
      <c r="CK214" s="240">
        <f>VLOOKUP(WWWW[[#This Row],[Site Name]],SiteDB6[],15,FALSE)</f>
        <v>93.036460876464801</v>
      </c>
      <c r="CL214" s="240" t="str">
        <f>VLOOKUP(WWWW[[#This Row],[Site Name]],SiteDB6[],4,FALSE)</f>
        <v>196983</v>
      </c>
      <c r="CM214" s="235" t="str">
        <f t="shared" si="3"/>
        <v>Notcovered</v>
      </c>
      <c r="CN214" s="240"/>
    </row>
    <row r="215" spans="1:92" ht="15.75" hidden="1" customHeight="1" x14ac:dyDescent="0.25">
      <c r="A215" s="548" t="s">
        <v>1409</v>
      </c>
      <c r="B215" s="530" t="s">
        <v>470</v>
      </c>
      <c r="C215" s="531" t="s">
        <v>464</v>
      </c>
      <c r="D215" s="531" t="s">
        <v>473</v>
      </c>
      <c r="E215" s="531" t="s">
        <v>732</v>
      </c>
      <c r="F215" s="402">
        <f>ROUND(WWWW[[#This Row],[Total PoP ]]/5,0)</f>
        <v>314</v>
      </c>
      <c r="G215" s="405">
        <v>1569</v>
      </c>
      <c r="H215" s="402"/>
      <c r="I215" s="402"/>
      <c r="J215" s="403"/>
      <c r="K215" s="402"/>
      <c r="L215" s="402" t="s">
        <v>292</v>
      </c>
      <c r="M215" s="404">
        <v>0</v>
      </c>
      <c r="N215" s="404">
        <v>0</v>
      </c>
      <c r="O215" s="605">
        <v>0</v>
      </c>
      <c r="P215" s="606">
        <v>0</v>
      </c>
      <c r="Q215" s="606"/>
      <c r="R215" s="607"/>
      <c r="S215" s="607">
        <v>0</v>
      </c>
      <c r="T215" s="607"/>
      <c r="U215" s="607"/>
      <c r="V215" s="607"/>
      <c r="W215" s="607"/>
      <c r="X215" s="607"/>
      <c r="Y215" s="607"/>
      <c r="Z215" s="598">
        <v>160</v>
      </c>
      <c r="AA215" s="598"/>
      <c r="AB215" s="80"/>
      <c r="AC215" s="598">
        <v>0</v>
      </c>
      <c r="AD215" s="598" t="s">
        <v>296</v>
      </c>
      <c r="AE215" s="599" t="s">
        <v>296</v>
      </c>
      <c r="AF215" s="599"/>
      <c r="AG215" s="598"/>
      <c r="AH215" s="598"/>
      <c r="AI215" s="649">
        <v>0</v>
      </c>
      <c r="AJ215" s="650"/>
      <c r="AK215" s="650">
        <v>0</v>
      </c>
      <c r="AL215" s="645"/>
      <c r="AM215" s="645">
        <v>0</v>
      </c>
      <c r="AN215" s="600"/>
      <c r="AO215" s="600"/>
      <c r="AP215" s="600"/>
      <c r="AQ215" s="651"/>
      <c r="AR215" s="404" t="str">
        <f>IFERROR(WWWW[[#This Row],['# of Water passed at source]]/WWWW[[#This Row],['# of Water tested at source]],"no test")</f>
        <v>no test</v>
      </c>
      <c r="AS215" s="407" t="str">
        <f>IFERROR(WWWW[[#This Row],['# of Water passed at HH]]/WWWW[[#This Row],['# of Water tested at HH]],"no test")</f>
        <v>no test</v>
      </c>
      <c r="AT215" s="407">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U215" s="407">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AV215" s="407">
        <f>IF(WWWW[[#This Row],[Location Type 1]]="Village",WWWW[[#This Row],[Access to safe drinking water for Village]],WWWW[[#This Row],[Access to safe drinking water for Camp]])</f>
        <v>0</v>
      </c>
      <c r="AW215" s="405">
        <f>WWWW[[#This Row],[%Equitable and continuous access to sufficient quantity of safe drinking water]]*WWWW[[#This Row],[Total PoP ]]</f>
        <v>0</v>
      </c>
      <c r="AX215" s="407">
        <f>IF((WWWW[[#This Row],['# Existing protected/fenced ponds ]]*250)/WWWW[[#This Row],[Total PoP ]]&gt;1,1,WWWW[[#This Row],['# Existing protected/fenced ponds ]]*250/WWWW[[#This Row],[Total PoP ]])</f>
        <v>0</v>
      </c>
      <c r="AY215" s="405">
        <f>WWWW[[#This Row],[Access to unimproved water points]]*WWWW[[#This Row],[Total PoP ]]</f>
        <v>0</v>
      </c>
      <c r="AZ215" s="407">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A215" s="405">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B215" s="414">
        <f>ROUND(WWWW[[#This Row],['#people Equitable and continuous access to sufficient quantity of domestic water borehole n ponds_2]]/500,0)</f>
        <v>0</v>
      </c>
      <c r="BC215" s="404">
        <f>1-WWWW[[#This Row],[%Equitable and continuous access to sufficient quantity of domestic water borehole n ponds]]</f>
        <v>1</v>
      </c>
      <c r="BD215" s="405">
        <f>WWWW[[#This Row],[%equitable and continuous access to sufficient quantity of safe drinking and domestic water''s GAP]]*WWWW[[#This Row],[Total PoP ]]</f>
        <v>1569</v>
      </c>
      <c r="BE215" s="406">
        <f>IF(WWWW[[#This Row],[Total required water points]]-WWWW[[#This Row],['#Water points coverage]]&lt;0,0,WWWW[[#This Row],[Total required water points]]-WWWW[[#This Row],['#Water points coverage]])</f>
        <v>3</v>
      </c>
      <c r="BF215" s="406">
        <f>ROUND(IF(WWWW[[#This Row],[Total PoP ]]&lt;500,1,WWWW[[#This Row],[Total PoP ]]/500),0)</f>
        <v>3</v>
      </c>
      <c r="BG215" s="406" t="str">
        <f>IF(AND(WWWW[[#This Row],[%of Water samples which passed at water source]]="no test",WWWW[[#This Row],[%Water samples which passed at HH]]="no test"),"No Test","Tested")</f>
        <v>No Test</v>
      </c>
      <c r="BH215" s="406">
        <f>WWWW[[#This Row],['# Existing functional latrines]]+WWWW[[#This Row],['# Existing latrines dysfunctional]]</f>
        <v>160</v>
      </c>
      <c r="BI215" s="404">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0.6118546845124283</v>
      </c>
      <c r="BJ215" s="676">
        <f>WWWW[[#This Row],[% people access to functioning Latrine]]*WWWW[[#This Row],[Total PoP ]]</f>
        <v>960</v>
      </c>
      <c r="BK215" s="404">
        <f>IF(WWWW[[#This Row],[Location Type 1]]="camp",WWWW[[#This Row],['# potential required new latrines]]/(WWWW[[#This Row],[Total PoP ]]/20),WWWW[[#This Row],['# potential required new latrines]]/(WWWW[[#This Row],[Total PoP ]]/6))</f>
        <v>0.39005736137667302</v>
      </c>
      <c r="BL215" s="405">
        <f>IF(WWWW[[#This Row],[Total required Latrines]]-WWWW[[#This Row],[Total '# of latrine]]&lt;0,0,WWWW[[#This Row],[Total required Latrines]]-WWWW[[#This Row],[Total '# of latrine]])</f>
        <v>102</v>
      </c>
      <c r="BM215" s="406">
        <f>ROUND(IF(WWWW[[#This Row],[Location Type 1]]="camp",WWWW[[#This Row],[Total PoP ]]/20,WWWW[[#This Row],[Total PoP ]]/6),0)</f>
        <v>262</v>
      </c>
      <c r="BN215" s="408">
        <f>IF(OR(WWWW[[#This Row],['# Existing latrines dysfunctional]]="",WWWW[[#This Row],['# Existing latrines dysfunctional]]=0),0,WWWW[[#This Row],['# Existing latrines dysfunctional]]/WWWW[[#This Row],[Total '# of latrine]])</f>
        <v>0</v>
      </c>
      <c r="BO215" s="676"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P215" s="404">
        <f>WWWW[[#This Row],[People adopt basic personal and community hygiene practices]]/WWWW[[#This Row],[Total PoP ]]</f>
        <v>0</v>
      </c>
      <c r="BQ215" s="408">
        <f>1-WWWW[[#This Row],[Hygiene Coverage%]]</f>
        <v>1</v>
      </c>
      <c r="BR215" s="405">
        <f>IF(500*WWWW[[#This Row],['# Hygiene Promoters ]]&gt;WWWW[[#This Row],[Total PoP ]],WWWW[[#This Row],[Total PoP ]],500*WWWW[[#This Row],['# Hygiene Promoters ]])</f>
        <v>0</v>
      </c>
      <c r="BS215" s="405">
        <f>IF(WWWW[[#This Row],[% of HH with access to Sanitary Pad]]&gt;=100%,1,0)</f>
        <v>0</v>
      </c>
      <c r="BT215" s="405">
        <f>IF(WWWW[[#This Row],[Total PoP ]]=0,0,IF(WWWW[[#This Row],['# Hygiene Promoters ]]=0,0,IF(WWWW[[#This Row],[Location Type 1]]="Village",IF(WWWW[[#This Row],[Total PoP ]]/WWWW[[#This Row],['# Hygiene Promoters ]]&lt;1000,1,0),IF(WWWW[[#This Row],[Total PoP ]]/WWWW[[#This Row],['# Hygiene Promoters ]]&lt;600,1,0))))</f>
        <v>0</v>
      </c>
      <c r="BU215" s="405">
        <f>IF(WWWW[[#This Row],[%HH with access to soap]]&gt;=100%,1,0)</f>
        <v>0</v>
      </c>
      <c r="BV215" s="405">
        <f>IF(WWWW[[#This Row],[% of HHs with access to Sanitary pad more than '#%]]+WWWW[[#This Row],[Ratio of Hyiene promoters to people less than '#]]+WWWW[[#This Row],[% of HHs with access to soap more than '#%]]&gt;=2,WWWW[[#This Row],[Total PoP ]],0)</f>
        <v>0</v>
      </c>
      <c r="BW215" s="391">
        <f>WWWW[[#This Row],['# people reached by regular dedicated hygiene promotion_5]]/WWWW[[#This Row],[Total PoP ]]</f>
        <v>0</v>
      </c>
      <c r="BX215" s="391">
        <f>IF(WWWW[[#This Row],['# HH received soaps]]/WWWW[[#This Row],[Total HH]]&gt;1,1,WWWW[[#This Row],['# HH received soaps]]/WWWW[[#This Row],[Total HH]])</f>
        <v>0</v>
      </c>
      <c r="BY215" s="391">
        <f>IF(WWWW[[#This Row],['# HH received Sanitary Pads]]/WWWW[[#This Row],[Total HH]]&gt;1,1,WWWW[[#This Row],['# HH received Sanitary Pads]]/WWWW[[#This Row],[Total HH]])</f>
        <v>0</v>
      </c>
      <c r="BZ215" s="721">
        <f>WWWW[[#This Row],['# HH received soaps]]*5</f>
        <v>0</v>
      </c>
      <c r="CA215" s="721">
        <f>WWWW[[#This Row],['# HH received Sanitary Pads]]*5</f>
        <v>0</v>
      </c>
      <c r="CB215" s="406">
        <f>IF(WWWW[[#This Row],['# People with access to soap]]&gt;WWWW[[#This Row],['# People with access to Sanity Pads]],WWWW[[#This Row],['# People with access to soap]],WWWW[[#This Row],['# People with access to Sanity Pads]])</f>
        <v>0</v>
      </c>
      <c r="CC215" s="405">
        <f>WWWW[[#This Row],[Total HH]]*WWWW[[#This Row],[%HHs with access to functional hand washing stations]]</f>
        <v>0</v>
      </c>
      <c r="CD215" s="240">
        <f>VLOOKUP(WWWW[[#This Row],[Site Name]],SiteDB6[],8,FALSE)</f>
        <v>0</v>
      </c>
      <c r="CE215" s="240">
        <f>VLOOKUP(WWWW[[#This Row],[Site Name]],SiteDB6[],9,FALSE)</f>
        <v>0</v>
      </c>
      <c r="CF215" s="240" t="str">
        <f>VLOOKUP(WWWW[[#This Row],[Site Name]],SiteDB6[],10,FALSE)</f>
        <v>Village</v>
      </c>
      <c r="CG215" s="240" t="str">
        <f>VLOOKUP(WWWW[[#This Row],[Site Name]],SiteDB6[],11,FALSE)</f>
        <v>Village</v>
      </c>
      <c r="CH215" s="240" t="str">
        <f>VLOOKUP(WWWW[[#This Row],[Site Name]],SiteDB6[],12,FALSE)</f>
        <v>Village</v>
      </c>
      <c r="CI215" s="240" t="str">
        <f>VLOOKUP(WWWW[[#This Row],[Site Name]],SiteDB6[],13,FALSE)</f>
        <v>Rakhine</v>
      </c>
      <c r="CJ215" s="240">
        <f>VLOOKUP(WWWW[[#This Row],[Site Name]],SiteDB6[],14,FALSE)</f>
        <v>20.709970473999999</v>
      </c>
      <c r="CK215" s="240">
        <f>VLOOKUP(WWWW[[#This Row],[Site Name]],SiteDB6[],15,FALSE)</f>
        <v>93.015357971</v>
      </c>
      <c r="CL215" s="240" t="str">
        <f>VLOOKUP(WWWW[[#This Row],[Site Name]],SiteDB6[],4,FALSE)</f>
        <v>196973</v>
      </c>
      <c r="CM215" s="404" t="str">
        <f t="shared" si="3"/>
        <v>Notcovered</v>
      </c>
      <c r="CN215" s="404"/>
    </row>
    <row r="216" spans="1:92" ht="15.75" hidden="1" customHeight="1" x14ac:dyDescent="0.25">
      <c r="A216" s="548" t="s">
        <v>1409</v>
      </c>
      <c r="B216" s="541" t="s">
        <v>470</v>
      </c>
      <c r="C216" s="541" t="s">
        <v>464</v>
      </c>
      <c r="D216" s="541" t="s">
        <v>473</v>
      </c>
      <c r="E216" s="541" t="s">
        <v>734</v>
      </c>
      <c r="F216" s="169">
        <v>116</v>
      </c>
      <c r="G216" s="732">
        <v>802</v>
      </c>
      <c r="H216" s="169"/>
      <c r="I216" s="169"/>
      <c r="J216" s="170"/>
      <c r="K216" s="169"/>
      <c r="L216" s="402" t="s">
        <v>292</v>
      </c>
      <c r="M216" s="404">
        <v>0</v>
      </c>
      <c r="N216" s="404">
        <v>0</v>
      </c>
      <c r="O216" s="608">
        <v>0</v>
      </c>
      <c r="P216" s="609">
        <v>0</v>
      </c>
      <c r="Q216" s="610"/>
      <c r="R216" s="607"/>
      <c r="S216" s="611">
        <v>0</v>
      </c>
      <c r="T216" s="606"/>
      <c r="U216" s="606"/>
      <c r="V216" s="606"/>
      <c r="W216" s="606"/>
      <c r="X216" s="606"/>
      <c r="Y216" s="607"/>
      <c r="Z216" s="598">
        <v>40</v>
      </c>
      <c r="AA216" s="599"/>
      <c r="AB216" s="629"/>
      <c r="AC216" s="632">
        <v>0</v>
      </c>
      <c r="AD216" s="80" t="s">
        <v>296</v>
      </c>
      <c r="AE216" s="80" t="s">
        <v>296</v>
      </c>
      <c r="AF216" s="80"/>
      <c r="AG216" s="80"/>
      <c r="AH216" s="633"/>
      <c r="AI216" s="652">
        <v>0</v>
      </c>
      <c r="AJ216" s="653"/>
      <c r="AK216" s="651">
        <v>0</v>
      </c>
      <c r="AL216" s="645"/>
      <c r="AM216" s="645">
        <v>0</v>
      </c>
      <c r="AN216" s="600"/>
      <c r="AO216" s="600"/>
      <c r="AP216" s="600"/>
      <c r="AQ216" s="654"/>
      <c r="AR216" s="235" t="str">
        <f>IFERROR(WWWW[[#This Row],['# of Water passed at source]]/WWWW[[#This Row],['# of Water tested at source]],"no test")</f>
        <v>no test</v>
      </c>
      <c r="AS216" s="237" t="str">
        <f>IFERROR(WWWW[[#This Row],['# of Water passed at HH]]/WWWW[[#This Row],['# of Water tested at HH]],"no test")</f>
        <v>no test</v>
      </c>
      <c r="AT216" s="237">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U216" s="237">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AV216" s="237">
        <f>IF(WWWW[[#This Row],[Location Type 1]]="Village",WWWW[[#This Row],[Access to safe drinking water for Village]],WWWW[[#This Row],[Access to safe drinking water for Camp]])</f>
        <v>0</v>
      </c>
      <c r="AW216" s="414">
        <f>WWWW[[#This Row],[%Equitable and continuous access to sufficient quantity of safe drinking water]]*WWWW[[#This Row],[Total PoP ]]</f>
        <v>0</v>
      </c>
      <c r="AX216" s="237">
        <f>IF((WWWW[[#This Row],['# Existing protected/fenced ponds ]]*250)/WWWW[[#This Row],[Total PoP ]]&gt;1,1,WWWW[[#This Row],['# Existing protected/fenced ponds ]]*250/WWWW[[#This Row],[Total PoP ]])</f>
        <v>0</v>
      </c>
      <c r="AY216" s="414">
        <f>WWWW[[#This Row],[Access to unimproved water points]]*WWWW[[#This Row],[Total PoP ]]</f>
        <v>0</v>
      </c>
      <c r="AZ216" s="237">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A216" s="414">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B216" s="414">
        <f>ROUND(WWWW[[#This Row],['#people Equitable and continuous access to sufficient quantity of domestic water borehole n ponds_2]]/500,0)</f>
        <v>0</v>
      </c>
      <c r="BC216" s="235">
        <f>1-WWWW[[#This Row],[%Equitable and continuous access to sufficient quantity of domestic water borehole n ponds]]</f>
        <v>1</v>
      </c>
      <c r="BD216" s="414">
        <f>WWWW[[#This Row],[%equitable and continuous access to sufficient quantity of safe drinking and domestic water''s GAP]]*WWWW[[#This Row],[Total PoP ]]</f>
        <v>802</v>
      </c>
      <c r="BE216" s="238">
        <f>IF(WWWW[[#This Row],[Total required water points]]-WWWW[[#This Row],['#Water points coverage]]&lt;0,0,WWWW[[#This Row],[Total required water points]]-WWWW[[#This Row],['#Water points coverage]])</f>
        <v>2</v>
      </c>
      <c r="BF216" s="238">
        <f>ROUND(IF(WWWW[[#This Row],[Total PoP ]]&lt;500,1,WWWW[[#This Row],[Total PoP ]]/500),0)</f>
        <v>2</v>
      </c>
      <c r="BG216" s="238" t="str">
        <f>IF(AND(WWWW[[#This Row],[%of Water samples which passed at water source]]="no test",WWWW[[#This Row],[%Water samples which passed at HH]]="no test"),"No Test","Tested")</f>
        <v>No Test</v>
      </c>
      <c r="BH216" s="238">
        <f>WWWW[[#This Row],['# Existing functional latrines]]+WWWW[[#This Row],['# Existing latrines dysfunctional]]</f>
        <v>40</v>
      </c>
      <c r="BI216" s="235">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0.29925187032418954</v>
      </c>
      <c r="BJ216" s="675">
        <f>WWWW[[#This Row],[% people access to functioning Latrine]]*WWWW[[#This Row],[Total PoP ]]</f>
        <v>240</v>
      </c>
      <c r="BK216" s="235">
        <f>IF(WWWW[[#This Row],[Location Type 1]]="camp",WWWW[[#This Row],['# potential required new latrines]]/(WWWW[[#This Row],[Total PoP ]]/20),WWWW[[#This Row],['# potential required new latrines]]/(WWWW[[#This Row],[Total PoP ]]/6))</f>
        <v>0.70324189526184544</v>
      </c>
      <c r="BL216" s="414">
        <f>IF(WWWW[[#This Row],[Total required Latrines]]-WWWW[[#This Row],[Total '# of latrine]]&lt;0,0,WWWW[[#This Row],[Total required Latrines]]-WWWW[[#This Row],[Total '# of latrine]])</f>
        <v>94</v>
      </c>
      <c r="BM216" s="238">
        <f>ROUND(IF(WWWW[[#This Row],[Location Type 1]]="camp",WWWW[[#This Row],[Total PoP ]]/20,WWWW[[#This Row],[Total PoP ]]/6),0)</f>
        <v>134</v>
      </c>
      <c r="BN216" s="239">
        <f>IF(OR(WWWW[[#This Row],['# Existing latrines dysfunctional]]="",WWWW[[#This Row],['# Existing latrines dysfunctional]]=0),0,WWWW[[#This Row],['# Existing latrines dysfunctional]]/WWWW[[#This Row],[Total '# of latrine]])</f>
        <v>0</v>
      </c>
      <c r="BO216" s="675"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P216" s="235">
        <f>WWWW[[#This Row],[People adopt basic personal and community hygiene practices]]/WWWW[[#This Row],[Total PoP ]]</f>
        <v>0</v>
      </c>
      <c r="BQ216" s="239">
        <f>1-WWWW[[#This Row],[Hygiene Coverage%]]</f>
        <v>1</v>
      </c>
      <c r="BR216" s="405">
        <f>IF(500*WWWW[[#This Row],['# Hygiene Promoters ]]&gt;WWWW[[#This Row],[Total PoP ]],WWWW[[#This Row],[Total PoP ]],500*WWWW[[#This Row],['# Hygiene Promoters ]])</f>
        <v>0</v>
      </c>
      <c r="BS216" s="405">
        <f>IF(WWWW[[#This Row],[% of HH with access to Sanitary Pad]]&gt;=100%,1,0)</f>
        <v>0</v>
      </c>
      <c r="BT216" s="405">
        <f>IF(WWWW[[#This Row],[Total PoP ]]=0,0,IF(WWWW[[#This Row],['# Hygiene Promoters ]]=0,0,IF(WWWW[[#This Row],[Location Type 1]]="Village",IF(WWWW[[#This Row],[Total PoP ]]/WWWW[[#This Row],['# Hygiene Promoters ]]&lt;1000,1,0),IF(WWWW[[#This Row],[Total PoP ]]/WWWW[[#This Row],['# Hygiene Promoters ]]&lt;600,1,0))))</f>
        <v>0</v>
      </c>
      <c r="BU216" s="405">
        <f>IF(WWWW[[#This Row],[%HH with access to soap]]&gt;=100%,1,0)</f>
        <v>0</v>
      </c>
      <c r="BV216" s="405">
        <f>IF(WWWW[[#This Row],[% of HHs with access to Sanitary pad more than '#%]]+WWWW[[#This Row],[Ratio of Hyiene promoters to people less than '#]]+WWWW[[#This Row],[% of HHs with access to soap more than '#%]]&gt;=2,WWWW[[#This Row],[Total PoP ]],0)</f>
        <v>0</v>
      </c>
      <c r="BW216" s="346">
        <f>WWWW[[#This Row],['# people reached by regular dedicated hygiene promotion_5]]/WWWW[[#This Row],[Total PoP ]]</f>
        <v>0</v>
      </c>
      <c r="BX216" s="346">
        <f>IF(WWWW[[#This Row],['# HH received soaps]]/WWWW[[#This Row],[Total HH]]&gt;1,1,WWWW[[#This Row],['# HH received soaps]]/WWWW[[#This Row],[Total HH]])</f>
        <v>0</v>
      </c>
      <c r="BY216" s="346">
        <f>IF(WWWW[[#This Row],['# HH received Sanitary Pads]]/WWWW[[#This Row],[Total HH]]&gt;1,1,WWWW[[#This Row],['# HH received Sanitary Pads]]/WWWW[[#This Row],[Total HH]])</f>
        <v>0</v>
      </c>
      <c r="BZ216" s="720">
        <f>WWWW[[#This Row],['# HH received soaps]]*5</f>
        <v>0</v>
      </c>
      <c r="CA216" s="720">
        <f>WWWW[[#This Row],['# HH received Sanitary Pads]]*5</f>
        <v>0</v>
      </c>
      <c r="CB216" s="675">
        <f>IF(WWWW[[#This Row],['# People with access to soap]]&gt;WWWW[[#This Row],['# People with access to Sanity Pads]],WWWW[[#This Row],['# People with access to soap]],WWWW[[#This Row],['# People with access to Sanity Pads]])</f>
        <v>0</v>
      </c>
      <c r="CC216" s="414">
        <f>WWWW[[#This Row],[Total HH]]*WWWW[[#This Row],[%HHs with access to functional hand washing stations]]</f>
        <v>0</v>
      </c>
      <c r="CD216" s="240">
        <f>VLOOKUP(WWWW[[#This Row],[Site Name]],SiteDB6[],8,FALSE)</f>
        <v>0</v>
      </c>
      <c r="CE216" s="240">
        <f>VLOOKUP(WWWW[[#This Row],[Site Name]],SiteDB6[],9,FALSE)</f>
        <v>0</v>
      </c>
      <c r="CF216" s="240" t="str">
        <f>VLOOKUP(WWWW[[#This Row],[Site Name]],SiteDB6[],10,FALSE)</f>
        <v>Village</v>
      </c>
      <c r="CG216" s="240" t="str">
        <f>VLOOKUP(WWWW[[#This Row],[Site Name]],SiteDB6[],11,FALSE)</f>
        <v>Village</v>
      </c>
      <c r="CH216" s="240" t="str">
        <f>VLOOKUP(WWWW[[#This Row],[Site Name]],SiteDB6[],12,FALSE)</f>
        <v>Returned</v>
      </c>
      <c r="CI216" s="240" t="str">
        <f>VLOOKUP(WWWW[[#This Row],[Site Name]],SiteDB6[],13,FALSE)</f>
        <v>Muslim</v>
      </c>
      <c r="CJ216" s="240">
        <f>VLOOKUP(WWWW[[#This Row],[Site Name]],SiteDB6[],14,FALSE)</f>
        <v>20.713259999999998</v>
      </c>
      <c r="CK216" s="240">
        <f>VLOOKUP(WWWW[[#This Row],[Site Name]],SiteDB6[],15,FALSE)</f>
        <v>93.014089999999996</v>
      </c>
      <c r="CL216" s="240" t="str">
        <f>VLOOKUP(WWWW[[#This Row],[Site Name]],SiteDB6[],4,FALSE)</f>
        <v>MMR012CMP027</v>
      </c>
      <c r="CM216" s="235" t="str">
        <f t="shared" si="3"/>
        <v>Notcovered</v>
      </c>
      <c r="CN216" s="240"/>
    </row>
    <row r="217" spans="1:92" ht="15.75" hidden="1" customHeight="1" x14ac:dyDescent="0.25">
      <c r="A217" s="548" t="s">
        <v>1409</v>
      </c>
      <c r="B217" s="541" t="s">
        <v>470</v>
      </c>
      <c r="C217" s="541" t="s">
        <v>464</v>
      </c>
      <c r="D217" s="541" t="s">
        <v>473</v>
      </c>
      <c r="E217" s="541" t="s">
        <v>744</v>
      </c>
      <c r="F217" s="169">
        <v>92</v>
      </c>
      <c r="G217" s="732">
        <v>559</v>
      </c>
      <c r="H217" s="169"/>
      <c r="I217" s="169"/>
      <c r="J217" s="170"/>
      <c r="K217" s="169"/>
      <c r="L217" s="402" t="s">
        <v>292</v>
      </c>
      <c r="M217" s="404">
        <v>0</v>
      </c>
      <c r="N217" s="404">
        <v>0</v>
      </c>
      <c r="O217" s="608">
        <v>0</v>
      </c>
      <c r="P217" s="609">
        <v>0</v>
      </c>
      <c r="Q217" s="610"/>
      <c r="R217" s="607"/>
      <c r="S217" s="611">
        <v>0</v>
      </c>
      <c r="T217" s="606"/>
      <c r="U217" s="606"/>
      <c r="V217" s="606"/>
      <c r="W217" s="606"/>
      <c r="X217" s="606"/>
      <c r="Y217" s="607"/>
      <c r="Z217" s="598">
        <v>194</v>
      </c>
      <c r="AA217" s="599"/>
      <c r="AB217" s="629"/>
      <c r="AC217" s="632">
        <v>0</v>
      </c>
      <c r="AD217" s="80" t="s">
        <v>296</v>
      </c>
      <c r="AE217" s="80" t="s">
        <v>296</v>
      </c>
      <c r="AF217" s="80"/>
      <c r="AG217" s="80"/>
      <c r="AH217" s="633"/>
      <c r="AI217" s="652">
        <v>0</v>
      </c>
      <c r="AJ217" s="653"/>
      <c r="AK217" s="651">
        <v>0</v>
      </c>
      <c r="AL217" s="645"/>
      <c r="AM217" s="645">
        <v>0</v>
      </c>
      <c r="AN217" s="600"/>
      <c r="AO217" s="600"/>
      <c r="AP217" s="600"/>
      <c r="AQ217" s="654"/>
      <c r="AR217" s="235" t="str">
        <f>IFERROR(WWWW[[#This Row],['# of Water passed at source]]/WWWW[[#This Row],['# of Water tested at source]],"no test")</f>
        <v>no test</v>
      </c>
      <c r="AS217" s="237" t="str">
        <f>IFERROR(WWWW[[#This Row],['# of Water passed at HH]]/WWWW[[#This Row],['# of Water tested at HH]],"no test")</f>
        <v>no test</v>
      </c>
      <c r="AT217" s="237">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U217" s="237">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AV217" s="237">
        <f>IF(WWWW[[#This Row],[Location Type 1]]="Village",WWWW[[#This Row],[Access to safe drinking water for Village]],WWWW[[#This Row],[Access to safe drinking water for Camp]])</f>
        <v>0</v>
      </c>
      <c r="AW217" s="414">
        <f>WWWW[[#This Row],[%Equitable and continuous access to sufficient quantity of safe drinking water]]*WWWW[[#This Row],[Total PoP ]]</f>
        <v>0</v>
      </c>
      <c r="AX217" s="237">
        <f>IF((WWWW[[#This Row],['# Existing protected/fenced ponds ]]*250)/WWWW[[#This Row],[Total PoP ]]&gt;1,1,WWWW[[#This Row],['# Existing protected/fenced ponds ]]*250/WWWW[[#This Row],[Total PoP ]])</f>
        <v>0</v>
      </c>
      <c r="AY217" s="414">
        <f>WWWW[[#This Row],[Access to unimproved water points]]*WWWW[[#This Row],[Total PoP ]]</f>
        <v>0</v>
      </c>
      <c r="AZ217" s="237">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A217" s="414">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B217" s="414">
        <f>ROUND(WWWW[[#This Row],['#people Equitable and continuous access to sufficient quantity of domestic water borehole n ponds_2]]/500,0)</f>
        <v>0</v>
      </c>
      <c r="BC217" s="235">
        <f>1-WWWW[[#This Row],[%Equitable and continuous access to sufficient quantity of domestic water borehole n ponds]]</f>
        <v>1</v>
      </c>
      <c r="BD217" s="414">
        <f>WWWW[[#This Row],[%equitable and continuous access to sufficient quantity of safe drinking and domestic water''s GAP]]*WWWW[[#This Row],[Total PoP ]]</f>
        <v>559</v>
      </c>
      <c r="BE217" s="238">
        <f>IF(WWWW[[#This Row],[Total required water points]]-WWWW[[#This Row],['#Water points coverage]]&lt;0,0,WWWW[[#This Row],[Total required water points]]-WWWW[[#This Row],['#Water points coverage]])</f>
        <v>1</v>
      </c>
      <c r="BF217" s="238">
        <f>ROUND(IF(WWWW[[#This Row],[Total PoP ]]&lt;500,1,WWWW[[#This Row],[Total PoP ]]/500),0)</f>
        <v>1</v>
      </c>
      <c r="BG217" s="238" t="str">
        <f>IF(AND(WWWW[[#This Row],[%of Water samples which passed at water source]]="no test",WWWW[[#This Row],[%Water samples which passed at HH]]="no test"),"No Test","Tested")</f>
        <v>No Test</v>
      </c>
      <c r="BH217" s="238">
        <f>WWWW[[#This Row],['# Existing functional latrines]]+WWWW[[#This Row],['# Existing latrines dysfunctional]]</f>
        <v>194</v>
      </c>
      <c r="BI217" s="235">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1</v>
      </c>
      <c r="BJ217" s="675">
        <f>WWWW[[#This Row],[% people access to functioning Latrine]]*WWWW[[#This Row],[Total PoP ]]</f>
        <v>559</v>
      </c>
      <c r="BK217" s="235">
        <f>IF(WWWW[[#This Row],[Location Type 1]]="camp",WWWW[[#This Row],['# potential required new latrines]]/(WWWW[[#This Row],[Total PoP ]]/20),WWWW[[#This Row],['# potential required new latrines]]/(WWWW[[#This Row],[Total PoP ]]/6))</f>
        <v>0</v>
      </c>
      <c r="BL217" s="414">
        <f>IF(WWWW[[#This Row],[Total required Latrines]]-WWWW[[#This Row],[Total '# of latrine]]&lt;0,0,WWWW[[#This Row],[Total required Latrines]]-WWWW[[#This Row],[Total '# of latrine]])</f>
        <v>0</v>
      </c>
      <c r="BM217" s="238">
        <f>ROUND(IF(WWWW[[#This Row],[Location Type 1]]="camp",WWWW[[#This Row],[Total PoP ]]/20,WWWW[[#This Row],[Total PoP ]]/6),0)</f>
        <v>93</v>
      </c>
      <c r="BN217" s="239">
        <f>IF(OR(WWWW[[#This Row],['# Existing latrines dysfunctional]]="",WWWW[[#This Row],['# Existing latrines dysfunctional]]=0),0,WWWW[[#This Row],['# Existing latrines dysfunctional]]/WWWW[[#This Row],[Total '# of latrine]])</f>
        <v>0</v>
      </c>
      <c r="BO217" s="675"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P217" s="235">
        <f>WWWW[[#This Row],[People adopt basic personal and community hygiene practices]]/WWWW[[#This Row],[Total PoP ]]</f>
        <v>0</v>
      </c>
      <c r="BQ217" s="239">
        <f>1-WWWW[[#This Row],[Hygiene Coverage%]]</f>
        <v>1</v>
      </c>
      <c r="BR217" s="405">
        <f>IF(500*WWWW[[#This Row],['# Hygiene Promoters ]]&gt;WWWW[[#This Row],[Total PoP ]],WWWW[[#This Row],[Total PoP ]],500*WWWW[[#This Row],['# Hygiene Promoters ]])</f>
        <v>0</v>
      </c>
      <c r="BS217" s="405">
        <f>IF(WWWW[[#This Row],[% of HH with access to Sanitary Pad]]&gt;=100%,1,0)</f>
        <v>0</v>
      </c>
      <c r="BT217" s="405">
        <f>IF(WWWW[[#This Row],[Total PoP ]]=0,0,IF(WWWW[[#This Row],['# Hygiene Promoters ]]=0,0,IF(WWWW[[#This Row],[Location Type 1]]="Village",IF(WWWW[[#This Row],[Total PoP ]]/WWWW[[#This Row],['# Hygiene Promoters ]]&lt;1000,1,0),IF(WWWW[[#This Row],[Total PoP ]]/WWWW[[#This Row],['# Hygiene Promoters ]]&lt;600,1,0))))</f>
        <v>0</v>
      </c>
      <c r="BU217" s="405">
        <f>IF(WWWW[[#This Row],[%HH with access to soap]]&gt;=100%,1,0)</f>
        <v>0</v>
      </c>
      <c r="BV217" s="405">
        <f>IF(WWWW[[#This Row],[% of HHs with access to Sanitary pad more than '#%]]+WWWW[[#This Row],[Ratio of Hyiene promoters to people less than '#]]+WWWW[[#This Row],[% of HHs with access to soap more than '#%]]&gt;=2,WWWW[[#This Row],[Total PoP ]],0)</f>
        <v>0</v>
      </c>
      <c r="BW217" s="346">
        <f>WWWW[[#This Row],['# people reached by regular dedicated hygiene promotion_5]]/WWWW[[#This Row],[Total PoP ]]</f>
        <v>0</v>
      </c>
      <c r="BX217" s="346">
        <f>IF(WWWW[[#This Row],['# HH received soaps]]/WWWW[[#This Row],[Total HH]]&gt;1,1,WWWW[[#This Row],['# HH received soaps]]/WWWW[[#This Row],[Total HH]])</f>
        <v>0</v>
      </c>
      <c r="BY217" s="346">
        <f>IF(WWWW[[#This Row],['# HH received Sanitary Pads]]/WWWW[[#This Row],[Total HH]]&gt;1,1,WWWW[[#This Row],['# HH received Sanitary Pads]]/WWWW[[#This Row],[Total HH]])</f>
        <v>0</v>
      </c>
      <c r="BZ217" s="720">
        <f>WWWW[[#This Row],['# HH received soaps]]*5</f>
        <v>0</v>
      </c>
      <c r="CA217" s="720">
        <f>WWWW[[#This Row],['# HH received Sanitary Pads]]*5</f>
        <v>0</v>
      </c>
      <c r="CB217" s="675">
        <f>IF(WWWW[[#This Row],['# People with access to soap]]&gt;WWWW[[#This Row],['# People with access to Sanity Pads]],WWWW[[#This Row],['# People with access to soap]],WWWW[[#This Row],['# People with access to Sanity Pads]])</f>
        <v>0</v>
      </c>
      <c r="CC217" s="414">
        <f>WWWW[[#This Row],[Total HH]]*WWWW[[#This Row],[%HHs with access to functional hand washing stations]]</f>
        <v>0</v>
      </c>
      <c r="CD217" s="240">
        <f>VLOOKUP(WWWW[[#This Row],[Site Name]],SiteDB6[],8,FALSE)</f>
        <v>0</v>
      </c>
      <c r="CE217" s="240">
        <f>VLOOKUP(WWWW[[#This Row],[Site Name]],SiteDB6[],9,FALSE)</f>
        <v>0</v>
      </c>
      <c r="CF217" s="240" t="str">
        <f>VLOOKUP(WWWW[[#This Row],[Site Name]],SiteDB6[],10,FALSE)</f>
        <v>Village</v>
      </c>
      <c r="CG217" s="240" t="str">
        <f>VLOOKUP(WWWW[[#This Row],[Site Name]],SiteDB6[],11,FALSE)</f>
        <v>Village</v>
      </c>
      <c r="CH217" s="240" t="str">
        <f>VLOOKUP(WWWW[[#This Row],[Site Name]],SiteDB6[],12,FALSE)</f>
        <v>Returned</v>
      </c>
      <c r="CI217" s="240" t="str">
        <f>VLOOKUP(WWWW[[#This Row],[Site Name]],SiteDB6[],13,FALSE)</f>
        <v>Rakhine</v>
      </c>
      <c r="CJ217" s="240">
        <f>VLOOKUP(WWWW[[#This Row],[Site Name]],SiteDB6[],14,FALSE)</f>
        <v>20.720213000000001</v>
      </c>
      <c r="CK217" s="240">
        <f>VLOOKUP(WWWW[[#This Row],[Site Name]],SiteDB6[],15,FALSE)</f>
        <v>92.961841000000007</v>
      </c>
      <c r="CL217" s="240" t="str">
        <f>VLOOKUP(WWWW[[#This Row],[Site Name]],SiteDB6[],4,FALSE)</f>
        <v>MMR012CMP024</v>
      </c>
      <c r="CM217" s="235" t="str">
        <f t="shared" si="3"/>
        <v>Notcovered</v>
      </c>
      <c r="CN217" s="240"/>
    </row>
    <row r="218" spans="1:92" ht="15.75" hidden="1" customHeight="1" x14ac:dyDescent="0.25">
      <c r="A218" s="548" t="s">
        <v>1409</v>
      </c>
      <c r="B218" s="541" t="s">
        <v>470</v>
      </c>
      <c r="C218" s="541" t="s">
        <v>464</v>
      </c>
      <c r="D218" s="541" t="s">
        <v>473</v>
      </c>
      <c r="E218" s="541" t="s">
        <v>747</v>
      </c>
      <c r="F218" s="402">
        <f>ROUND(WWWW[[#This Row],[Total PoP ]]/5,0)</f>
        <v>139</v>
      </c>
      <c r="G218" s="732">
        <v>695</v>
      </c>
      <c r="H218" s="169"/>
      <c r="I218" s="169"/>
      <c r="J218" s="170"/>
      <c r="K218" s="169"/>
      <c r="L218" s="402" t="s">
        <v>292</v>
      </c>
      <c r="M218" s="404">
        <v>0</v>
      </c>
      <c r="N218" s="404">
        <v>0</v>
      </c>
      <c r="O218" s="608">
        <v>0</v>
      </c>
      <c r="P218" s="609">
        <v>0</v>
      </c>
      <c r="Q218" s="610"/>
      <c r="R218" s="607"/>
      <c r="S218" s="611">
        <v>0</v>
      </c>
      <c r="T218" s="606"/>
      <c r="U218" s="606"/>
      <c r="V218" s="606"/>
      <c r="W218" s="606"/>
      <c r="X218" s="606"/>
      <c r="Y218" s="607"/>
      <c r="Z218" s="598">
        <v>73</v>
      </c>
      <c r="AA218" s="599"/>
      <c r="AB218" s="629"/>
      <c r="AC218" s="632">
        <v>0</v>
      </c>
      <c r="AD218" s="80" t="s">
        <v>296</v>
      </c>
      <c r="AE218" s="80" t="s">
        <v>296</v>
      </c>
      <c r="AF218" s="80"/>
      <c r="AG218" s="80"/>
      <c r="AH218" s="633"/>
      <c r="AI218" s="652">
        <v>0</v>
      </c>
      <c r="AJ218" s="653"/>
      <c r="AK218" s="651">
        <v>0</v>
      </c>
      <c r="AL218" s="645"/>
      <c r="AM218" s="645">
        <v>0</v>
      </c>
      <c r="AN218" s="600"/>
      <c r="AO218" s="600"/>
      <c r="AP218" s="600"/>
      <c r="AQ218" s="654"/>
      <c r="AR218" s="235" t="str">
        <f>IFERROR(WWWW[[#This Row],['# of Water passed at source]]/WWWW[[#This Row],['# of Water tested at source]],"no test")</f>
        <v>no test</v>
      </c>
      <c r="AS218" s="237" t="str">
        <f>IFERROR(WWWW[[#This Row],['# of Water passed at HH]]/WWWW[[#This Row],['# of Water tested at HH]],"no test")</f>
        <v>no test</v>
      </c>
      <c r="AT218" s="237">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U218" s="237">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AV218" s="237">
        <f>IF(WWWW[[#This Row],[Location Type 1]]="Village",WWWW[[#This Row],[Access to safe drinking water for Village]],WWWW[[#This Row],[Access to safe drinking water for Camp]])</f>
        <v>0</v>
      </c>
      <c r="AW218" s="414">
        <f>WWWW[[#This Row],[%Equitable and continuous access to sufficient quantity of safe drinking water]]*WWWW[[#This Row],[Total PoP ]]</f>
        <v>0</v>
      </c>
      <c r="AX218" s="237">
        <f>IF((WWWW[[#This Row],['# Existing protected/fenced ponds ]]*250)/WWWW[[#This Row],[Total PoP ]]&gt;1,1,WWWW[[#This Row],['# Existing protected/fenced ponds ]]*250/WWWW[[#This Row],[Total PoP ]])</f>
        <v>0</v>
      </c>
      <c r="AY218" s="414">
        <f>WWWW[[#This Row],[Access to unimproved water points]]*WWWW[[#This Row],[Total PoP ]]</f>
        <v>0</v>
      </c>
      <c r="AZ218" s="237">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A218" s="414">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B218" s="414">
        <f>ROUND(WWWW[[#This Row],['#people Equitable and continuous access to sufficient quantity of domestic water borehole n ponds_2]]/500,0)</f>
        <v>0</v>
      </c>
      <c r="BC218" s="235">
        <f>1-WWWW[[#This Row],[%Equitable and continuous access to sufficient quantity of domestic water borehole n ponds]]</f>
        <v>1</v>
      </c>
      <c r="BD218" s="414">
        <f>WWWW[[#This Row],[%equitable and continuous access to sufficient quantity of safe drinking and domestic water''s GAP]]*WWWW[[#This Row],[Total PoP ]]</f>
        <v>695</v>
      </c>
      <c r="BE218" s="238">
        <f>IF(WWWW[[#This Row],[Total required water points]]-WWWW[[#This Row],['#Water points coverage]]&lt;0,0,WWWW[[#This Row],[Total required water points]]-WWWW[[#This Row],['#Water points coverage]])</f>
        <v>1</v>
      </c>
      <c r="BF218" s="238">
        <f>ROUND(IF(WWWW[[#This Row],[Total PoP ]]&lt;500,1,WWWW[[#This Row],[Total PoP ]]/500),0)</f>
        <v>1</v>
      </c>
      <c r="BG218" s="238" t="str">
        <f>IF(AND(WWWW[[#This Row],[%of Water samples which passed at water source]]="no test",WWWW[[#This Row],[%Water samples which passed at HH]]="no test"),"No Test","Tested")</f>
        <v>No Test</v>
      </c>
      <c r="BH218" s="238">
        <f>WWWW[[#This Row],['# Existing functional latrines]]+WWWW[[#This Row],['# Existing latrines dysfunctional]]</f>
        <v>73</v>
      </c>
      <c r="BI218" s="235">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0.63021582733812953</v>
      </c>
      <c r="BJ218" s="675">
        <f>WWWW[[#This Row],[% people access to functioning Latrine]]*WWWW[[#This Row],[Total PoP ]]</f>
        <v>438</v>
      </c>
      <c r="BK218" s="235">
        <f>IF(WWWW[[#This Row],[Location Type 1]]="camp",WWWW[[#This Row],['# potential required new latrines]]/(WWWW[[#This Row],[Total PoP ]]/20),WWWW[[#This Row],['# potential required new latrines]]/(WWWW[[#This Row],[Total PoP ]]/6))</f>
        <v>0.37122302158273385</v>
      </c>
      <c r="BL218" s="414">
        <f>IF(WWWW[[#This Row],[Total required Latrines]]-WWWW[[#This Row],[Total '# of latrine]]&lt;0,0,WWWW[[#This Row],[Total required Latrines]]-WWWW[[#This Row],[Total '# of latrine]])</f>
        <v>43</v>
      </c>
      <c r="BM218" s="238">
        <f>ROUND(IF(WWWW[[#This Row],[Location Type 1]]="camp",WWWW[[#This Row],[Total PoP ]]/20,WWWW[[#This Row],[Total PoP ]]/6),0)</f>
        <v>116</v>
      </c>
      <c r="BN218" s="239">
        <f>IF(OR(WWWW[[#This Row],['# Existing latrines dysfunctional]]="",WWWW[[#This Row],['# Existing latrines dysfunctional]]=0),0,WWWW[[#This Row],['# Existing latrines dysfunctional]]/WWWW[[#This Row],[Total '# of latrine]])</f>
        <v>0</v>
      </c>
      <c r="BO218" s="675"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P218" s="235">
        <f>WWWW[[#This Row],[People adopt basic personal and community hygiene practices]]/WWWW[[#This Row],[Total PoP ]]</f>
        <v>0</v>
      </c>
      <c r="BQ218" s="239">
        <f>1-WWWW[[#This Row],[Hygiene Coverage%]]</f>
        <v>1</v>
      </c>
      <c r="BR218" s="405">
        <f>IF(500*WWWW[[#This Row],['# Hygiene Promoters ]]&gt;WWWW[[#This Row],[Total PoP ]],WWWW[[#This Row],[Total PoP ]],500*WWWW[[#This Row],['# Hygiene Promoters ]])</f>
        <v>0</v>
      </c>
      <c r="BS218" s="405">
        <f>IF(WWWW[[#This Row],[% of HH with access to Sanitary Pad]]&gt;=100%,1,0)</f>
        <v>0</v>
      </c>
      <c r="BT218" s="405">
        <f>IF(WWWW[[#This Row],[Total PoP ]]=0,0,IF(WWWW[[#This Row],['# Hygiene Promoters ]]=0,0,IF(WWWW[[#This Row],[Location Type 1]]="Village",IF(WWWW[[#This Row],[Total PoP ]]/WWWW[[#This Row],['# Hygiene Promoters ]]&lt;1000,1,0),IF(WWWW[[#This Row],[Total PoP ]]/WWWW[[#This Row],['# Hygiene Promoters ]]&lt;600,1,0))))</f>
        <v>0</v>
      </c>
      <c r="BU218" s="405">
        <f>IF(WWWW[[#This Row],[%HH with access to soap]]&gt;=100%,1,0)</f>
        <v>0</v>
      </c>
      <c r="BV218" s="405">
        <f>IF(WWWW[[#This Row],[% of HHs with access to Sanitary pad more than '#%]]+WWWW[[#This Row],[Ratio of Hyiene promoters to people less than '#]]+WWWW[[#This Row],[% of HHs with access to soap more than '#%]]&gt;=2,WWWW[[#This Row],[Total PoP ]],0)</f>
        <v>0</v>
      </c>
      <c r="BW218" s="346">
        <f>WWWW[[#This Row],['# people reached by regular dedicated hygiene promotion_5]]/WWWW[[#This Row],[Total PoP ]]</f>
        <v>0</v>
      </c>
      <c r="BX218" s="346">
        <f>IF(WWWW[[#This Row],['# HH received soaps]]/WWWW[[#This Row],[Total HH]]&gt;1,1,WWWW[[#This Row],['# HH received soaps]]/WWWW[[#This Row],[Total HH]])</f>
        <v>0</v>
      </c>
      <c r="BY218" s="346">
        <f>IF(WWWW[[#This Row],['# HH received Sanitary Pads]]/WWWW[[#This Row],[Total HH]]&gt;1,1,WWWW[[#This Row],['# HH received Sanitary Pads]]/WWWW[[#This Row],[Total HH]])</f>
        <v>0</v>
      </c>
      <c r="BZ218" s="720">
        <f>WWWW[[#This Row],['# HH received soaps]]*5</f>
        <v>0</v>
      </c>
      <c r="CA218" s="720">
        <f>WWWW[[#This Row],['# HH received Sanitary Pads]]*5</f>
        <v>0</v>
      </c>
      <c r="CB218" s="675">
        <f>IF(WWWW[[#This Row],['# People with access to soap]]&gt;WWWW[[#This Row],['# People with access to Sanity Pads]],WWWW[[#This Row],['# People with access to soap]],WWWW[[#This Row],['# People with access to Sanity Pads]])</f>
        <v>0</v>
      </c>
      <c r="CC218" s="414">
        <f>WWWW[[#This Row],[Total HH]]*WWWW[[#This Row],[%HHs with access to functional hand washing stations]]</f>
        <v>0</v>
      </c>
      <c r="CD218" s="240">
        <f>VLOOKUP(WWWW[[#This Row],[Site Name]],SiteDB6[],8,FALSE)</f>
        <v>0</v>
      </c>
      <c r="CE218" s="240">
        <f>VLOOKUP(WWWW[[#This Row],[Site Name]],SiteDB6[],9,FALSE)</f>
        <v>0</v>
      </c>
      <c r="CF218" s="240" t="str">
        <f>VLOOKUP(WWWW[[#This Row],[Site Name]],SiteDB6[],10,FALSE)</f>
        <v>Village</v>
      </c>
      <c r="CG218" s="240" t="str">
        <f>VLOOKUP(WWWW[[#This Row],[Site Name]],SiteDB6[],11,FALSE)</f>
        <v>Village</v>
      </c>
      <c r="CH218" s="240" t="str">
        <f>VLOOKUP(WWWW[[#This Row],[Site Name]],SiteDB6[],12,FALSE)</f>
        <v>Village</v>
      </c>
      <c r="CI218" s="240" t="str">
        <f>VLOOKUP(WWWW[[#This Row],[Site Name]],SiteDB6[],13,FALSE)</f>
        <v>Rakhine</v>
      </c>
      <c r="CJ218" s="240">
        <f>VLOOKUP(WWWW[[#This Row],[Site Name]],SiteDB6[],14,FALSE)</f>
        <v>20.723630905151399</v>
      </c>
      <c r="CK218" s="240">
        <f>VLOOKUP(WWWW[[#This Row],[Site Name]],SiteDB6[],15,FALSE)</f>
        <v>92.974327087402301</v>
      </c>
      <c r="CL218" s="240" t="str">
        <f>VLOOKUP(WWWW[[#This Row],[Site Name]],SiteDB6[],4,FALSE)</f>
        <v>196951</v>
      </c>
      <c r="CM218" s="235" t="str">
        <f t="shared" si="3"/>
        <v>Notcovered</v>
      </c>
      <c r="CN218" s="240"/>
    </row>
    <row r="219" spans="1:92" ht="15.75" hidden="1" customHeight="1" thickBot="1" x14ac:dyDescent="0.3">
      <c r="A219" s="548" t="s">
        <v>1409</v>
      </c>
      <c r="B219" s="541" t="s">
        <v>470</v>
      </c>
      <c r="C219" s="541" t="s">
        <v>464</v>
      </c>
      <c r="D219" s="541" t="s">
        <v>473</v>
      </c>
      <c r="E219" s="541" t="s">
        <v>751</v>
      </c>
      <c r="F219" s="169">
        <v>112</v>
      </c>
      <c r="G219" s="732">
        <v>738</v>
      </c>
      <c r="H219" s="169"/>
      <c r="I219" s="169"/>
      <c r="J219" s="170"/>
      <c r="K219" s="169"/>
      <c r="L219" s="402" t="s">
        <v>292</v>
      </c>
      <c r="M219" s="404">
        <v>0</v>
      </c>
      <c r="N219" s="404">
        <v>0</v>
      </c>
      <c r="O219" s="608">
        <v>0</v>
      </c>
      <c r="P219" s="609">
        <v>0</v>
      </c>
      <c r="Q219" s="610"/>
      <c r="R219" s="607"/>
      <c r="S219" s="611">
        <v>0</v>
      </c>
      <c r="T219" s="606"/>
      <c r="U219" s="606"/>
      <c r="V219" s="606"/>
      <c r="W219" s="606"/>
      <c r="X219" s="606"/>
      <c r="Y219" s="607"/>
      <c r="Z219" s="598">
        <v>73</v>
      </c>
      <c r="AA219" s="599"/>
      <c r="AB219" s="629"/>
      <c r="AC219" s="632">
        <v>0</v>
      </c>
      <c r="AD219" s="80" t="s">
        <v>296</v>
      </c>
      <c r="AE219" s="80" t="s">
        <v>296</v>
      </c>
      <c r="AF219" s="80"/>
      <c r="AG219" s="80"/>
      <c r="AH219" s="633"/>
      <c r="AI219" s="652">
        <v>0</v>
      </c>
      <c r="AJ219" s="653"/>
      <c r="AK219" s="651">
        <v>0</v>
      </c>
      <c r="AL219" s="645"/>
      <c r="AM219" s="645">
        <v>0</v>
      </c>
      <c r="AN219" s="600"/>
      <c r="AO219" s="600"/>
      <c r="AP219" s="600"/>
      <c r="AQ219" s="654"/>
      <c r="AR219" s="235" t="str">
        <f>IFERROR(WWWW[[#This Row],['# of Water passed at source]]/WWWW[[#This Row],['# of Water tested at source]],"no test")</f>
        <v>no test</v>
      </c>
      <c r="AS219" s="237" t="str">
        <f>IFERROR(WWWW[[#This Row],['# of Water passed at HH]]/WWWW[[#This Row],['# of Water tested at HH]],"no test")</f>
        <v>no test</v>
      </c>
      <c r="AT219" s="237">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U219" s="237">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AV219" s="237">
        <f>IF(WWWW[[#This Row],[Location Type 1]]="Village",WWWW[[#This Row],[Access to safe drinking water for Village]],WWWW[[#This Row],[Access to safe drinking water for Camp]])</f>
        <v>0</v>
      </c>
      <c r="AW219" s="414">
        <f>WWWW[[#This Row],[%Equitable and continuous access to sufficient quantity of safe drinking water]]*WWWW[[#This Row],[Total PoP ]]</f>
        <v>0</v>
      </c>
      <c r="AX219" s="237">
        <f>IF((WWWW[[#This Row],['# Existing protected/fenced ponds ]]*250)/WWWW[[#This Row],[Total PoP ]]&gt;1,1,WWWW[[#This Row],['# Existing protected/fenced ponds ]]*250/WWWW[[#This Row],[Total PoP ]])</f>
        <v>0</v>
      </c>
      <c r="AY219" s="414">
        <f>WWWW[[#This Row],[Access to unimproved water points]]*WWWW[[#This Row],[Total PoP ]]</f>
        <v>0</v>
      </c>
      <c r="AZ219" s="237">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A219" s="414">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B219" s="414">
        <f>ROUND(WWWW[[#This Row],['#people Equitable and continuous access to sufficient quantity of domestic water borehole n ponds_2]]/500,0)</f>
        <v>0</v>
      </c>
      <c r="BC219" s="235">
        <f>1-WWWW[[#This Row],[%Equitable and continuous access to sufficient quantity of domestic water borehole n ponds]]</f>
        <v>1</v>
      </c>
      <c r="BD219" s="414">
        <f>WWWW[[#This Row],[%equitable and continuous access to sufficient quantity of safe drinking and domestic water''s GAP]]*WWWW[[#This Row],[Total PoP ]]</f>
        <v>738</v>
      </c>
      <c r="BE219" s="238">
        <f>IF(WWWW[[#This Row],[Total required water points]]-WWWW[[#This Row],['#Water points coverage]]&lt;0,0,WWWW[[#This Row],[Total required water points]]-WWWW[[#This Row],['#Water points coverage]])</f>
        <v>1</v>
      </c>
      <c r="BF219" s="238">
        <f>ROUND(IF(WWWW[[#This Row],[Total PoP ]]&lt;500,1,WWWW[[#This Row],[Total PoP ]]/500),0)</f>
        <v>1</v>
      </c>
      <c r="BG219" s="238" t="str">
        <f>IF(AND(WWWW[[#This Row],[%of Water samples which passed at water source]]="no test",WWWW[[#This Row],[%Water samples which passed at HH]]="no test"),"No Test","Tested")</f>
        <v>No Test</v>
      </c>
      <c r="BH219" s="238">
        <f>WWWW[[#This Row],['# Existing functional latrines]]+WWWW[[#This Row],['# Existing latrines dysfunctional]]</f>
        <v>73</v>
      </c>
      <c r="BI219" s="235">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0.5934959349593496</v>
      </c>
      <c r="BJ219" s="675">
        <f>WWWW[[#This Row],[% people access to functioning Latrine]]*WWWW[[#This Row],[Total PoP ]]</f>
        <v>438</v>
      </c>
      <c r="BK219" s="235">
        <f>IF(WWWW[[#This Row],[Location Type 1]]="camp",WWWW[[#This Row],['# potential required new latrines]]/(WWWW[[#This Row],[Total PoP ]]/20),WWWW[[#This Row],['# potential required new latrines]]/(WWWW[[#This Row],[Total PoP ]]/6))</f>
        <v>0.4065040650406504</v>
      </c>
      <c r="BL219" s="414">
        <f>IF(WWWW[[#This Row],[Total required Latrines]]-WWWW[[#This Row],[Total '# of latrine]]&lt;0,0,WWWW[[#This Row],[Total required Latrines]]-WWWW[[#This Row],[Total '# of latrine]])</f>
        <v>50</v>
      </c>
      <c r="BM219" s="238">
        <f>ROUND(IF(WWWW[[#This Row],[Location Type 1]]="camp",WWWW[[#This Row],[Total PoP ]]/20,WWWW[[#This Row],[Total PoP ]]/6),0)</f>
        <v>123</v>
      </c>
      <c r="BN219" s="239">
        <f>IF(OR(WWWW[[#This Row],['# Existing latrines dysfunctional]]="",WWWW[[#This Row],['# Existing latrines dysfunctional]]=0),0,WWWW[[#This Row],['# Existing latrines dysfunctional]]/WWWW[[#This Row],[Total '# of latrine]])</f>
        <v>0</v>
      </c>
      <c r="BO219" s="675"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P219" s="235">
        <f>WWWW[[#This Row],[People adopt basic personal and community hygiene practices]]/WWWW[[#This Row],[Total PoP ]]</f>
        <v>0</v>
      </c>
      <c r="BQ219" s="239">
        <f>1-WWWW[[#This Row],[Hygiene Coverage%]]</f>
        <v>1</v>
      </c>
      <c r="BR219" s="405">
        <f>IF(500*WWWW[[#This Row],['# Hygiene Promoters ]]&gt;WWWW[[#This Row],[Total PoP ]],WWWW[[#This Row],[Total PoP ]],500*WWWW[[#This Row],['# Hygiene Promoters ]])</f>
        <v>0</v>
      </c>
      <c r="BS219" s="405">
        <f>IF(WWWW[[#This Row],[% of HH with access to Sanitary Pad]]&gt;=100%,1,0)</f>
        <v>0</v>
      </c>
      <c r="BT219" s="405">
        <f>IF(WWWW[[#This Row],[Total PoP ]]=0,0,IF(WWWW[[#This Row],['# Hygiene Promoters ]]=0,0,IF(WWWW[[#This Row],[Location Type 1]]="Village",IF(WWWW[[#This Row],[Total PoP ]]/WWWW[[#This Row],['# Hygiene Promoters ]]&lt;1000,1,0),IF(WWWW[[#This Row],[Total PoP ]]/WWWW[[#This Row],['# Hygiene Promoters ]]&lt;600,1,0))))</f>
        <v>0</v>
      </c>
      <c r="BU219" s="405">
        <f>IF(WWWW[[#This Row],[%HH with access to soap]]&gt;=100%,1,0)</f>
        <v>0</v>
      </c>
      <c r="BV219" s="405">
        <f>IF(WWWW[[#This Row],[% of HHs with access to Sanitary pad more than '#%]]+WWWW[[#This Row],[Ratio of Hyiene promoters to people less than '#]]+WWWW[[#This Row],[% of HHs with access to soap more than '#%]]&gt;=2,WWWW[[#This Row],[Total PoP ]],0)</f>
        <v>0</v>
      </c>
      <c r="BW219" s="346">
        <f>WWWW[[#This Row],['# people reached by regular dedicated hygiene promotion_5]]/WWWW[[#This Row],[Total PoP ]]</f>
        <v>0</v>
      </c>
      <c r="BX219" s="346">
        <f>IF(WWWW[[#This Row],['# HH received soaps]]/WWWW[[#This Row],[Total HH]]&gt;1,1,WWWW[[#This Row],['# HH received soaps]]/WWWW[[#This Row],[Total HH]])</f>
        <v>0</v>
      </c>
      <c r="BY219" s="346">
        <f>IF(WWWW[[#This Row],['# HH received Sanitary Pads]]/WWWW[[#This Row],[Total HH]]&gt;1,1,WWWW[[#This Row],['# HH received Sanitary Pads]]/WWWW[[#This Row],[Total HH]])</f>
        <v>0</v>
      </c>
      <c r="BZ219" s="720">
        <f>WWWW[[#This Row],['# HH received soaps]]*5</f>
        <v>0</v>
      </c>
      <c r="CA219" s="720">
        <f>WWWW[[#This Row],['# HH received Sanitary Pads]]*5</f>
        <v>0</v>
      </c>
      <c r="CB219" s="675">
        <f>IF(WWWW[[#This Row],['# People with access to soap]]&gt;WWWW[[#This Row],['# People with access to Sanity Pads]],WWWW[[#This Row],['# People with access to soap]],WWWW[[#This Row],['# People with access to Sanity Pads]])</f>
        <v>0</v>
      </c>
      <c r="CC219" s="414">
        <f>WWWW[[#This Row],[Total HH]]*WWWW[[#This Row],[%HHs with access to functional hand washing stations]]</f>
        <v>0</v>
      </c>
      <c r="CD219" s="240">
        <f>VLOOKUP(WWWW[[#This Row],[Site Name]],SiteDB6[],8,FALSE)</f>
        <v>0</v>
      </c>
      <c r="CE219" s="240">
        <f>VLOOKUP(WWWW[[#This Row],[Site Name]],SiteDB6[],9,FALSE)</f>
        <v>0</v>
      </c>
      <c r="CF219" s="240" t="str">
        <f>VLOOKUP(WWWW[[#This Row],[Site Name]],SiteDB6[],10,FALSE)</f>
        <v>Village</v>
      </c>
      <c r="CG219" s="240" t="str">
        <f>VLOOKUP(WWWW[[#This Row],[Site Name]],SiteDB6[],11,FALSE)</f>
        <v>Village</v>
      </c>
      <c r="CH219" s="240" t="str">
        <f>VLOOKUP(WWWW[[#This Row],[Site Name]],SiteDB6[],12,FALSE)</f>
        <v>Returned</v>
      </c>
      <c r="CI219" s="240" t="str">
        <f>VLOOKUP(WWWW[[#This Row],[Site Name]],SiteDB6[],13,FALSE)</f>
        <v>Muslim</v>
      </c>
      <c r="CJ219" s="240">
        <f>VLOOKUP(WWWW[[#This Row],[Site Name]],SiteDB6[],14,FALSE)</f>
        <v>20.727589999999999</v>
      </c>
      <c r="CK219" s="240">
        <f>VLOOKUP(WWWW[[#This Row],[Site Name]],SiteDB6[],15,FALSE)</f>
        <v>92.969350000000006</v>
      </c>
      <c r="CL219" s="240" t="str">
        <f>VLOOKUP(WWWW[[#This Row],[Site Name]],SiteDB6[],4,FALSE)</f>
        <v>MMR012CMP028</v>
      </c>
      <c r="CM219" s="235" t="str">
        <f t="shared" si="3"/>
        <v>Notcovered</v>
      </c>
      <c r="CN219" s="240"/>
    </row>
    <row r="220" spans="1:92" ht="16.5" hidden="1" customHeight="1" thickBot="1" x14ac:dyDescent="0.3">
      <c r="A220" s="594" t="s">
        <v>1409</v>
      </c>
      <c r="B220" s="530" t="s">
        <v>470</v>
      </c>
      <c r="C220" s="531" t="s">
        <v>464</v>
      </c>
      <c r="D220" s="531" t="s">
        <v>473</v>
      </c>
      <c r="E220" s="531" t="s">
        <v>771</v>
      </c>
      <c r="F220" s="402">
        <v>144</v>
      </c>
      <c r="G220" s="405">
        <v>1006</v>
      </c>
      <c r="H220" s="402"/>
      <c r="I220" s="402"/>
      <c r="J220" s="403"/>
      <c r="K220" s="402"/>
      <c r="L220" s="402" t="s">
        <v>292</v>
      </c>
      <c r="M220" s="404">
        <v>0</v>
      </c>
      <c r="N220" s="404">
        <v>0</v>
      </c>
      <c r="O220" s="612">
        <v>0</v>
      </c>
      <c r="P220" s="606">
        <v>0</v>
      </c>
      <c r="Q220" s="606"/>
      <c r="R220" s="607"/>
      <c r="S220" s="607">
        <v>0</v>
      </c>
      <c r="T220" s="607"/>
      <c r="U220" s="607"/>
      <c r="V220" s="607"/>
      <c r="W220" s="607"/>
      <c r="X220" s="607"/>
      <c r="Y220" s="607"/>
      <c r="Z220" s="598">
        <v>33</v>
      </c>
      <c r="AA220" s="598"/>
      <c r="AB220" s="80"/>
      <c r="AC220" s="598">
        <v>0</v>
      </c>
      <c r="AD220" s="598" t="s">
        <v>296</v>
      </c>
      <c r="AE220" s="599" t="s">
        <v>296</v>
      </c>
      <c r="AF220" s="599"/>
      <c r="AG220" s="598"/>
      <c r="AH220" s="598"/>
      <c r="AI220" s="649">
        <v>0</v>
      </c>
      <c r="AJ220" s="650"/>
      <c r="AK220" s="650">
        <v>0</v>
      </c>
      <c r="AL220" s="645"/>
      <c r="AM220" s="645">
        <v>0</v>
      </c>
      <c r="AN220" s="600"/>
      <c r="AO220" s="600"/>
      <c r="AP220" s="600"/>
      <c r="AQ220" s="651"/>
      <c r="AR220" s="404" t="str">
        <f>IFERROR(WWWW[[#This Row],['# of Water passed at source]]/WWWW[[#This Row],['# of Water tested at source]],"no test")</f>
        <v>no test</v>
      </c>
      <c r="AS220" s="407" t="str">
        <f>IFERROR(WWWW[[#This Row],['# of Water passed at HH]]/WWWW[[#This Row],['# of Water tested at HH]],"no test")</f>
        <v>no test</v>
      </c>
      <c r="AT220" s="407">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U220" s="407">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AV220" s="407">
        <f>IF(WWWW[[#This Row],[Location Type 1]]="Village",WWWW[[#This Row],[Access to safe drinking water for Village]],WWWW[[#This Row],[Access to safe drinking water for Camp]])</f>
        <v>0</v>
      </c>
      <c r="AW220" s="405">
        <f>WWWW[[#This Row],[%Equitable and continuous access to sufficient quantity of safe drinking water]]*WWWW[[#This Row],[Total PoP ]]</f>
        <v>0</v>
      </c>
      <c r="AX220" s="407">
        <f>IF((WWWW[[#This Row],['# Existing protected/fenced ponds ]]*250)/WWWW[[#This Row],[Total PoP ]]&gt;1,1,WWWW[[#This Row],['# Existing protected/fenced ponds ]]*250/WWWW[[#This Row],[Total PoP ]])</f>
        <v>0</v>
      </c>
      <c r="AY220" s="405">
        <f>WWWW[[#This Row],[Access to unimproved water points]]*WWWW[[#This Row],[Total PoP ]]</f>
        <v>0</v>
      </c>
      <c r="AZ220" s="407">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A220" s="405">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B220" s="414">
        <f>ROUND(WWWW[[#This Row],['#people Equitable and continuous access to sufficient quantity of domestic water borehole n ponds_2]]/500,0)</f>
        <v>0</v>
      </c>
      <c r="BC220" s="404">
        <f>1-WWWW[[#This Row],[%Equitable and continuous access to sufficient quantity of domestic water borehole n ponds]]</f>
        <v>1</v>
      </c>
      <c r="BD220" s="405">
        <f>WWWW[[#This Row],[%equitable and continuous access to sufficient quantity of safe drinking and domestic water''s GAP]]*WWWW[[#This Row],[Total PoP ]]</f>
        <v>1006</v>
      </c>
      <c r="BE220" s="406">
        <f>IF(WWWW[[#This Row],[Total required water points]]-WWWW[[#This Row],['#Water points coverage]]&lt;0,0,WWWW[[#This Row],[Total required water points]]-WWWW[[#This Row],['#Water points coverage]])</f>
        <v>2</v>
      </c>
      <c r="BF220" s="406">
        <f>ROUND(IF(WWWW[[#This Row],[Total PoP ]]&lt;500,1,WWWW[[#This Row],[Total PoP ]]/500),0)</f>
        <v>2</v>
      </c>
      <c r="BG220" s="406" t="str">
        <f>IF(AND(WWWW[[#This Row],[%of Water samples which passed at water source]]="no test",WWWW[[#This Row],[%Water samples which passed at HH]]="no test"),"No Test","Tested")</f>
        <v>No Test</v>
      </c>
      <c r="BH220" s="406">
        <f>WWWW[[#This Row],['# Existing functional latrines]]+WWWW[[#This Row],['# Existing latrines dysfunctional]]</f>
        <v>33</v>
      </c>
      <c r="BI220" s="404">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0.19681908548707752</v>
      </c>
      <c r="BJ220" s="676">
        <f>WWWW[[#This Row],[% people access to functioning Latrine]]*WWWW[[#This Row],[Total PoP ]]</f>
        <v>198</v>
      </c>
      <c r="BK220" s="404">
        <f>IF(WWWW[[#This Row],[Location Type 1]]="camp",WWWW[[#This Row],['# potential required new latrines]]/(WWWW[[#This Row],[Total PoP ]]/20),WWWW[[#This Row],['# potential required new latrines]]/(WWWW[[#This Row],[Total PoP ]]/6))</f>
        <v>0.80516898608349907</v>
      </c>
      <c r="BL220" s="405">
        <f>IF(WWWW[[#This Row],[Total required Latrines]]-WWWW[[#This Row],[Total '# of latrine]]&lt;0,0,WWWW[[#This Row],[Total required Latrines]]-WWWW[[#This Row],[Total '# of latrine]])</f>
        <v>135</v>
      </c>
      <c r="BM220" s="406">
        <f>ROUND(IF(WWWW[[#This Row],[Location Type 1]]="camp",WWWW[[#This Row],[Total PoP ]]/20,WWWW[[#This Row],[Total PoP ]]/6),0)</f>
        <v>168</v>
      </c>
      <c r="BN220" s="408">
        <f>IF(OR(WWWW[[#This Row],['# Existing latrines dysfunctional]]="",WWWW[[#This Row],['# Existing latrines dysfunctional]]=0),0,WWWW[[#This Row],['# Existing latrines dysfunctional]]/WWWW[[#This Row],[Total '# of latrine]])</f>
        <v>0</v>
      </c>
      <c r="BO220" s="676"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P220" s="404">
        <f>WWWW[[#This Row],[People adopt basic personal and community hygiene practices]]/WWWW[[#This Row],[Total PoP ]]</f>
        <v>0</v>
      </c>
      <c r="BQ220" s="408">
        <f>1-WWWW[[#This Row],[Hygiene Coverage%]]</f>
        <v>1</v>
      </c>
      <c r="BR220" s="405">
        <f>IF(500*WWWW[[#This Row],['# Hygiene Promoters ]]&gt;WWWW[[#This Row],[Total PoP ]],WWWW[[#This Row],[Total PoP ]],500*WWWW[[#This Row],['# Hygiene Promoters ]])</f>
        <v>0</v>
      </c>
      <c r="BS220" s="405">
        <f>IF(WWWW[[#This Row],[% of HH with access to Sanitary Pad]]&gt;=100%,1,0)</f>
        <v>0</v>
      </c>
      <c r="BT220" s="405">
        <f>IF(WWWW[[#This Row],[Total PoP ]]=0,0,IF(WWWW[[#This Row],['# Hygiene Promoters ]]=0,0,IF(WWWW[[#This Row],[Location Type 1]]="Village",IF(WWWW[[#This Row],[Total PoP ]]/WWWW[[#This Row],['# Hygiene Promoters ]]&lt;1000,1,0),IF(WWWW[[#This Row],[Total PoP ]]/WWWW[[#This Row],['# Hygiene Promoters ]]&lt;600,1,0))))</f>
        <v>0</v>
      </c>
      <c r="BU220" s="405">
        <f>IF(WWWW[[#This Row],[%HH with access to soap]]&gt;=100%,1,0)</f>
        <v>0</v>
      </c>
      <c r="BV220" s="405">
        <f>IF(WWWW[[#This Row],[% of HHs with access to Sanitary pad more than '#%]]+WWWW[[#This Row],[Ratio of Hyiene promoters to people less than '#]]+WWWW[[#This Row],[% of HHs with access to soap more than '#%]]&gt;=2,WWWW[[#This Row],[Total PoP ]],0)</f>
        <v>0</v>
      </c>
      <c r="BW220" s="391">
        <f>WWWW[[#This Row],['# people reached by regular dedicated hygiene promotion_5]]/WWWW[[#This Row],[Total PoP ]]</f>
        <v>0</v>
      </c>
      <c r="BX220" s="391">
        <f>IF(WWWW[[#This Row],['# HH received soaps]]/WWWW[[#This Row],[Total HH]]&gt;1,1,WWWW[[#This Row],['# HH received soaps]]/WWWW[[#This Row],[Total HH]])</f>
        <v>0</v>
      </c>
      <c r="BY220" s="391">
        <f>IF(WWWW[[#This Row],['# HH received Sanitary Pads]]/WWWW[[#This Row],[Total HH]]&gt;1,1,WWWW[[#This Row],['# HH received Sanitary Pads]]/WWWW[[#This Row],[Total HH]])</f>
        <v>0</v>
      </c>
      <c r="BZ220" s="721">
        <f>WWWW[[#This Row],['# HH received soaps]]*5</f>
        <v>0</v>
      </c>
      <c r="CA220" s="721">
        <f>WWWW[[#This Row],['# HH received Sanitary Pads]]*5</f>
        <v>0</v>
      </c>
      <c r="CB220" s="406">
        <f>IF(WWWW[[#This Row],['# People with access to soap]]&gt;WWWW[[#This Row],['# People with access to Sanity Pads]],WWWW[[#This Row],['# People with access to soap]],WWWW[[#This Row],['# People with access to Sanity Pads]])</f>
        <v>0</v>
      </c>
      <c r="CC220" s="405">
        <f>WWWW[[#This Row],[Total HH]]*WWWW[[#This Row],[%HHs with access to functional hand washing stations]]</f>
        <v>0</v>
      </c>
      <c r="CD220" s="240">
        <f>VLOOKUP(WWWW[[#This Row],[Site Name]],SiteDB6[],8,FALSE)</f>
        <v>0</v>
      </c>
      <c r="CE220" s="240">
        <f>VLOOKUP(WWWW[[#This Row],[Site Name]],SiteDB6[],9,FALSE)</f>
        <v>0</v>
      </c>
      <c r="CF220" s="240" t="str">
        <f>VLOOKUP(WWWW[[#This Row],[Site Name]],SiteDB6[],10,FALSE)</f>
        <v>Village</v>
      </c>
      <c r="CG220" s="240" t="str">
        <f>VLOOKUP(WWWW[[#This Row],[Site Name]],SiteDB6[],11,FALSE)</f>
        <v>Village</v>
      </c>
      <c r="CH220" s="240" t="str">
        <f>VLOOKUP(WWWW[[#This Row],[Site Name]],SiteDB6[],12,FALSE)</f>
        <v>Returned</v>
      </c>
      <c r="CI220" s="240" t="str">
        <f>VLOOKUP(WWWW[[#This Row],[Site Name]],SiteDB6[],13,FALSE)</f>
        <v>Muslim</v>
      </c>
      <c r="CJ220" s="240">
        <f>VLOOKUP(WWWW[[#This Row],[Site Name]],SiteDB6[],14,FALSE)</f>
        <v>20.78332</v>
      </c>
      <c r="CK220" s="240">
        <f>VLOOKUP(WWWW[[#This Row],[Site Name]],SiteDB6[],15,FALSE)</f>
        <v>92.987399999999994</v>
      </c>
      <c r="CL220" s="240" t="str">
        <f>VLOOKUP(WWWW[[#This Row],[Site Name]],SiteDB6[],4,FALSE)</f>
        <v>MMR012CMP029</v>
      </c>
      <c r="CM220" s="404" t="str">
        <f t="shared" si="3"/>
        <v>Notcovered</v>
      </c>
      <c r="CN220" s="404"/>
    </row>
    <row r="221" spans="1:92" ht="15.75" hidden="1" customHeight="1" x14ac:dyDescent="0.25">
      <c r="A221" s="529" t="s">
        <v>1409</v>
      </c>
      <c r="B221" s="531" t="s">
        <v>470</v>
      </c>
      <c r="C221" s="531" t="s">
        <v>464</v>
      </c>
      <c r="D221" s="531" t="s">
        <v>473</v>
      </c>
      <c r="E221" s="531" t="s">
        <v>773</v>
      </c>
      <c r="F221" s="402">
        <f>ROUND(WWWW[[#This Row],[Total PoP ]]/5,0)</f>
        <v>233</v>
      </c>
      <c r="G221" s="731">
        <v>1163</v>
      </c>
      <c r="H221" s="314"/>
      <c r="I221" s="314"/>
      <c r="J221" s="315"/>
      <c r="K221" s="314"/>
      <c r="L221" s="402" t="s">
        <v>292</v>
      </c>
      <c r="M221" s="404">
        <v>0</v>
      </c>
      <c r="N221" s="404">
        <v>0</v>
      </c>
      <c r="O221" s="612">
        <v>0</v>
      </c>
      <c r="P221" s="606">
        <v>0</v>
      </c>
      <c r="Q221" s="606"/>
      <c r="R221" s="607"/>
      <c r="S221" s="607">
        <v>0</v>
      </c>
      <c r="T221" s="607"/>
      <c r="U221" s="607"/>
      <c r="V221" s="607"/>
      <c r="W221" s="607"/>
      <c r="X221" s="604"/>
      <c r="Y221" s="607"/>
      <c r="Z221" s="628">
        <v>39</v>
      </c>
      <c r="AA221" s="628"/>
      <c r="AB221" s="628"/>
      <c r="AC221" s="628">
        <v>0</v>
      </c>
      <c r="AD221" s="598" t="s">
        <v>296</v>
      </c>
      <c r="AE221" s="599" t="s">
        <v>296</v>
      </c>
      <c r="AF221" s="80"/>
      <c r="AG221" s="80"/>
      <c r="AH221" s="599"/>
      <c r="AI221" s="649">
        <v>0</v>
      </c>
      <c r="AJ221" s="653"/>
      <c r="AK221" s="651">
        <v>0</v>
      </c>
      <c r="AL221" s="645"/>
      <c r="AM221" s="645">
        <v>0</v>
      </c>
      <c r="AN221" s="600"/>
      <c r="AO221" s="600"/>
      <c r="AP221" s="647"/>
      <c r="AQ221" s="658"/>
      <c r="AR221" s="235" t="str">
        <f>IFERROR(WWWW[[#This Row],['# of Water passed at source]]/WWWW[[#This Row],['# of Water tested at source]],"no test")</f>
        <v>no test</v>
      </c>
      <c r="AS221" s="237" t="str">
        <f>IFERROR(WWWW[[#This Row],['# of Water passed at HH]]/WWWW[[#This Row],['# of Water tested at HH]],"no test")</f>
        <v>no test</v>
      </c>
      <c r="AT221" s="237">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U221" s="237">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AV221" s="237">
        <f>IF(WWWW[[#This Row],[Location Type 1]]="Village",WWWW[[#This Row],[Access to safe drinking water for Village]],WWWW[[#This Row],[Access to safe drinking water for Camp]])</f>
        <v>0</v>
      </c>
      <c r="AW221" s="414">
        <f>WWWW[[#This Row],[%Equitable and continuous access to sufficient quantity of safe drinking water]]*WWWW[[#This Row],[Total PoP ]]</f>
        <v>0</v>
      </c>
      <c r="AX221" s="237">
        <f>IF((WWWW[[#This Row],['# Existing protected/fenced ponds ]]*250)/WWWW[[#This Row],[Total PoP ]]&gt;1,1,WWWW[[#This Row],['# Existing protected/fenced ponds ]]*250/WWWW[[#This Row],[Total PoP ]])</f>
        <v>0</v>
      </c>
      <c r="AY221" s="414">
        <f>WWWW[[#This Row],[Access to unimproved water points]]*WWWW[[#This Row],[Total PoP ]]</f>
        <v>0</v>
      </c>
      <c r="AZ221" s="237">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A221" s="414">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B221" s="414">
        <f>ROUND(WWWW[[#This Row],['#people Equitable and continuous access to sufficient quantity of domestic water borehole n ponds_2]]/500,0)</f>
        <v>0</v>
      </c>
      <c r="BC221" s="235">
        <f>1-WWWW[[#This Row],[%Equitable and continuous access to sufficient quantity of domestic water borehole n ponds]]</f>
        <v>1</v>
      </c>
      <c r="BD221" s="414">
        <f>WWWW[[#This Row],[%equitable and continuous access to sufficient quantity of safe drinking and domestic water''s GAP]]*WWWW[[#This Row],[Total PoP ]]</f>
        <v>1163</v>
      </c>
      <c r="BE221" s="238">
        <f>IF(WWWW[[#This Row],[Total required water points]]-WWWW[[#This Row],['#Water points coverage]]&lt;0,0,WWWW[[#This Row],[Total required water points]]-WWWW[[#This Row],['#Water points coverage]])</f>
        <v>2</v>
      </c>
      <c r="BF221" s="238">
        <f>ROUND(IF(WWWW[[#This Row],[Total PoP ]]&lt;500,1,WWWW[[#This Row],[Total PoP ]]/500),0)</f>
        <v>2</v>
      </c>
      <c r="BG221" s="238" t="str">
        <f>IF(AND(WWWW[[#This Row],[%of Water samples which passed at water source]]="no test",WWWW[[#This Row],[%Water samples which passed at HH]]="no test"),"No Test","Tested")</f>
        <v>No Test</v>
      </c>
      <c r="BH221" s="238">
        <f>WWWW[[#This Row],['# Existing functional latrines]]+WWWW[[#This Row],['# Existing latrines dysfunctional]]</f>
        <v>39</v>
      </c>
      <c r="BI221" s="235">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0.20120378331900257</v>
      </c>
      <c r="BJ221" s="675">
        <f>WWWW[[#This Row],[% people access to functioning Latrine]]*WWWW[[#This Row],[Total PoP ]]</f>
        <v>234</v>
      </c>
      <c r="BK221" s="235">
        <f>IF(WWWW[[#This Row],[Location Type 1]]="camp",WWWW[[#This Row],['# potential required new latrines]]/(WWWW[[#This Row],[Total PoP ]]/20),WWWW[[#This Row],['# potential required new latrines]]/(WWWW[[#This Row],[Total PoP ]]/6))</f>
        <v>0.79965606190885641</v>
      </c>
      <c r="BL221" s="414">
        <f>IF(WWWW[[#This Row],[Total required Latrines]]-WWWW[[#This Row],[Total '# of latrine]]&lt;0,0,WWWW[[#This Row],[Total required Latrines]]-WWWW[[#This Row],[Total '# of latrine]])</f>
        <v>155</v>
      </c>
      <c r="BM221" s="238">
        <f>ROUND(IF(WWWW[[#This Row],[Location Type 1]]="camp",WWWW[[#This Row],[Total PoP ]]/20,WWWW[[#This Row],[Total PoP ]]/6),0)</f>
        <v>194</v>
      </c>
      <c r="BN221" s="239">
        <f>IF(OR(WWWW[[#This Row],['# Existing latrines dysfunctional]]="",WWWW[[#This Row],['# Existing latrines dysfunctional]]=0),0,WWWW[[#This Row],['# Existing latrines dysfunctional]]/WWWW[[#This Row],[Total '# of latrine]])</f>
        <v>0</v>
      </c>
      <c r="BO221" s="675"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P221" s="235">
        <f>WWWW[[#This Row],[People adopt basic personal and community hygiene practices]]/WWWW[[#This Row],[Total PoP ]]</f>
        <v>0</v>
      </c>
      <c r="BQ221" s="239">
        <f>1-WWWW[[#This Row],[Hygiene Coverage%]]</f>
        <v>1</v>
      </c>
      <c r="BR221" s="414">
        <f>IF(500*WWWW[[#This Row],['# Hygiene Promoters ]]&gt;WWWW[[#This Row],[Total PoP ]],WWWW[[#This Row],[Total PoP ]],500*WWWW[[#This Row],['# Hygiene Promoters ]])</f>
        <v>0</v>
      </c>
      <c r="BS221" s="414">
        <f>IF(WWWW[[#This Row],[% of HH with access to Sanitary Pad]]&gt;=100%,1,0)</f>
        <v>0</v>
      </c>
      <c r="BT221" s="414">
        <f>IF(WWWW[[#This Row],[Total PoP ]]=0,0,IF(WWWW[[#This Row],['# Hygiene Promoters ]]=0,0,IF(WWWW[[#This Row],[Location Type 1]]="Village",IF(WWWW[[#This Row],[Total PoP ]]/WWWW[[#This Row],['# Hygiene Promoters ]]&lt;1000,1,0),IF(WWWW[[#This Row],[Total PoP ]]/WWWW[[#This Row],['# Hygiene Promoters ]]&lt;600,1,0))))</f>
        <v>0</v>
      </c>
      <c r="BU221" s="414">
        <f>IF(WWWW[[#This Row],[%HH with access to soap]]&gt;=100%,1,0)</f>
        <v>0</v>
      </c>
      <c r="BV221" s="414">
        <f>IF(WWWW[[#This Row],[% of HHs with access to Sanitary pad more than '#%]]+WWWW[[#This Row],[Ratio of Hyiene promoters to people less than '#]]+WWWW[[#This Row],[% of HHs with access to soap more than '#%]]&gt;=2,WWWW[[#This Row],[Total PoP ]],0)</f>
        <v>0</v>
      </c>
      <c r="BW221" s="346">
        <f>WWWW[[#This Row],['# people reached by regular dedicated hygiene promotion_5]]/WWWW[[#This Row],[Total PoP ]]</f>
        <v>0</v>
      </c>
      <c r="BX221" s="346">
        <f>IF(WWWW[[#This Row],['# HH received soaps]]/WWWW[[#This Row],[Total HH]]&gt;1,1,WWWW[[#This Row],['# HH received soaps]]/WWWW[[#This Row],[Total HH]])</f>
        <v>0</v>
      </c>
      <c r="BY221" s="346">
        <f>IF(WWWW[[#This Row],['# HH received Sanitary Pads]]/WWWW[[#This Row],[Total HH]]&gt;1,1,WWWW[[#This Row],['# HH received Sanitary Pads]]/WWWW[[#This Row],[Total HH]])</f>
        <v>0</v>
      </c>
      <c r="BZ221" s="720">
        <f>WWWW[[#This Row],['# HH received soaps]]*5</f>
        <v>0</v>
      </c>
      <c r="CA221" s="720">
        <f>WWWW[[#This Row],['# HH received Sanitary Pads]]*5</f>
        <v>0</v>
      </c>
      <c r="CB221" s="238">
        <f>IF(WWWW[[#This Row],['# People with access to soap]]&gt;WWWW[[#This Row],['# People with access to Sanity Pads]],WWWW[[#This Row],['# People with access to soap]],WWWW[[#This Row],['# People with access to Sanity Pads]])</f>
        <v>0</v>
      </c>
      <c r="CC221" s="414">
        <f>WWWW[[#This Row],[Total HH]]*WWWW[[#This Row],[%HHs with access to functional hand washing stations]]</f>
        <v>0</v>
      </c>
      <c r="CD221" s="240">
        <f>VLOOKUP(WWWW[[#This Row],[Site Name]],SiteDB6[],8,FALSE)</f>
        <v>0</v>
      </c>
      <c r="CE221" s="240">
        <f>VLOOKUP(WWWW[[#This Row],[Site Name]],SiteDB6[],9,FALSE)</f>
        <v>0</v>
      </c>
      <c r="CF221" s="240" t="str">
        <f>VLOOKUP(WWWW[[#This Row],[Site Name]],SiteDB6[],10,FALSE)</f>
        <v>Village</v>
      </c>
      <c r="CG221" s="240" t="str">
        <f>VLOOKUP(WWWW[[#This Row],[Site Name]],SiteDB6[],11,FALSE)</f>
        <v>Village</v>
      </c>
      <c r="CH221" s="240" t="str">
        <f>VLOOKUP(WWWW[[#This Row],[Site Name]],SiteDB6[],12,FALSE)</f>
        <v>Village</v>
      </c>
      <c r="CI221" s="240" t="str">
        <f>VLOOKUP(WWWW[[#This Row],[Site Name]],SiteDB6[],13,FALSE)</f>
        <v>Rakhine</v>
      </c>
      <c r="CJ221" s="240">
        <f>VLOOKUP(WWWW[[#This Row],[Site Name]],SiteDB6[],14,FALSE)</f>
        <v>20.785699844360401</v>
      </c>
      <c r="CK221" s="240">
        <f>VLOOKUP(WWWW[[#This Row],[Site Name]],SiteDB6[],15,FALSE)</f>
        <v>92.986633300781307</v>
      </c>
      <c r="CL221" s="240" t="str">
        <f>VLOOKUP(WWWW[[#This Row],[Site Name]],SiteDB6[],4,FALSE)</f>
        <v>196869</v>
      </c>
      <c r="CM221" s="235" t="str">
        <f t="shared" si="3"/>
        <v>Notcovered</v>
      </c>
      <c r="CN221" s="235"/>
    </row>
    <row r="222" spans="1:92" ht="15.75" hidden="1" customHeight="1" x14ac:dyDescent="0.25">
      <c r="A222" s="548" t="s">
        <v>1409</v>
      </c>
      <c r="B222" s="541" t="s">
        <v>470</v>
      </c>
      <c r="C222" s="541" t="s">
        <v>464</v>
      </c>
      <c r="D222" s="541" t="s">
        <v>473</v>
      </c>
      <c r="E222" s="541" t="s">
        <v>788</v>
      </c>
      <c r="F222" s="169">
        <v>18</v>
      </c>
      <c r="G222" s="732">
        <v>157</v>
      </c>
      <c r="H222" s="169"/>
      <c r="I222" s="169"/>
      <c r="J222" s="170"/>
      <c r="K222" s="169"/>
      <c r="L222" s="402" t="s">
        <v>292</v>
      </c>
      <c r="M222" s="404">
        <v>0</v>
      </c>
      <c r="N222" s="404">
        <v>0</v>
      </c>
      <c r="O222" s="609">
        <v>0</v>
      </c>
      <c r="P222" s="609">
        <v>0</v>
      </c>
      <c r="Q222" s="615"/>
      <c r="R222" s="604"/>
      <c r="S222" s="604">
        <v>0</v>
      </c>
      <c r="T222" s="611"/>
      <c r="U222" s="611"/>
      <c r="V222" s="611"/>
      <c r="W222" s="611"/>
      <c r="X222" s="604"/>
      <c r="Y222" s="604"/>
      <c r="Z222" s="598">
        <v>96</v>
      </c>
      <c r="AA222" s="628"/>
      <c r="AB222" s="629"/>
      <c r="AC222" s="628">
        <v>0</v>
      </c>
      <c r="AD222" s="628" t="s">
        <v>296</v>
      </c>
      <c r="AE222" s="631" t="s">
        <v>296</v>
      </c>
      <c r="AF222" s="629"/>
      <c r="AG222" s="629"/>
      <c r="AH222" s="628"/>
      <c r="AI222" s="659">
        <v>0</v>
      </c>
      <c r="AJ222" s="644"/>
      <c r="AK222" s="644">
        <v>0</v>
      </c>
      <c r="AL222" s="645"/>
      <c r="AM222" s="645">
        <v>0</v>
      </c>
      <c r="AN222" s="600"/>
      <c r="AO222" s="647"/>
      <c r="AP222" s="647"/>
      <c r="AQ222" s="658"/>
      <c r="AR222" s="235" t="str">
        <f>IFERROR(WWWW[[#This Row],['# of Water passed at source]]/WWWW[[#This Row],['# of Water tested at source]],"no test")</f>
        <v>no test</v>
      </c>
      <c r="AS222" s="237" t="str">
        <f>IFERROR(WWWW[[#This Row],['# of Water passed at HH]]/WWWW[[#This Row],['# of Water tested at HH]],"no test")</f>
        <v>no test</v>
      </c>
      <c r="AT222" s="237">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U222" s="237">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AV222" s="237">
        <f>IF(WWWW[[#This Row],[Location Type 1]]="Village",WWWW[[#This Row],[Access to safe drinking water for Village]],WWWW[[#This Row],[Access to safe drinking water for Camp]])</f>
        <v>0</v>
      </c>
      <c r="AW222" s="414">
        <f>WWWW[[#This Row],[%Equitable and continuous access to sufficient quantity of safe drinking water]]*WWWW[[#This Row],[Total PoP ]]</f>
        <v>0</v>
      </c>
      <c r="AX222" s="237">
        <f>IF((WWWW[[#This Row],['# Existing protected/fenced ponds ]]*250)/WWWW[[#This Row],[Total PoP ]]&gt;1,1,WWWW[[#This Row],['# Existing protected/fenced ponds ]]*250/WWWW[[#This Row],[Total PoP ]])</f>
        <v>0</v>
      </c>
      <c r="AY222" s="414">
        <f>WWWW[[#This Row],[Access to unimproved water points]]*WWWW[[#This Row],[Total PoP ]]</f>
        <v>0</v>
      </c>
      <c r="AZ222" s="237">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A222" s="414">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B222" s="414">
        <f>ROUND(WWWW[[#This Row],['#people Equitable and continuous access to sufficient quantity of domestic water borehole n ponds_2]]/500,0)</f>
        <v>0</v>
      </c>
      <c r="BC222" s="235">
        <f>1-WWWW[[#This Row],[%Equitable and continuous access to sufficient quantity of domestic water borehole n ponds]]</f>
        <v>1</v>
      </c>
      <c r="BD222" s="414">
        <f>WWWW[[#This Row],[%equitable and continuous access to sufficient quantity of safe drinking and domestic water''s GAP]]*WWWW[[#This Row],[Total PoP ]]</f>
        <v>157</v>
      </c>
      <c r="BE222" s="238">
        <f>IF(WWWW[[#This Row],[Total required water points]]-WWWW[[#This Row],['#Water points coverage]]&lt;0,0,WWWW[[#This Row],[Total required water points]]-WWWW[[#This Row],['#Water points coverage]])</f>
        <v>1</v>
      </c>
      <c r="BF222" s="238">
        <f>ROUND(IF(WWWW[[#This Row],[Total PoP ]]&lt;500,1,WWWW[[#This Row],[Total PoP ]]/500),0)</f>
        <v>1</v>
      </c>
      <c r="BG222" s="238" t="str">
        <f>IF(AND(WWWW[[#This Row],[%of Water samples which passed at water source]]="no test",WWWW[[#This Row],[%Water samples which passed at HH]]="no test"),"No Test","Tested")</f>
        <v>No Test</v>
      </c>
      <c r="BH222" s="238">
        <f>WWWW[[#This Row],['# Existing functional latrines]]+WWWW[[#This Row],['# Existing latrines dysfunctional]]</f>
        <v>96</v>
      </c>
      <c r="BI222" s="235">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1</v>
      </c>
      <c r="BJ222" s="675">
        <f>WWWW[[#This Row],[% people access to functioning Latrine]]*WWWW[[#This Row],[Total PoP ]]</f>
        <v>157</v>
      </c>
      <c r="BK222" s="235">
        <f>IF(WWWW[[#This Row],[Location Type 1]]="camp",WWWW[[#This Row],['# potential required new latrines]]/(WWWW[[#This Row],[Total PoP ]]/20),WWWW[[#This Row],['# potential required new latrines]]/(WWWW[[#This Row],[Total PoP ]]/6))</f>
        <v>0</v>
      </c>
      <c r="BL222" s="414">
        <f>IF(WWWW[[#This Row],[Total required Latrines]]-WWWW[[#This Row],[Total '# of latrine]]&lt;0,0,WWWW[[#This Row],[Total required Latrines]]-WWWW[[#This Row],[Total '# of latrine]])</f>
        <v>0</v>
      </c>
      <c r="BM222" s="238">
        <f>ROUND(IF(WWWW[[#This Row],[Location Type 1]]="camp",WWWW[[#This Row],[Total PoP ]]/20,WWWW[[#This Row],[Total PoP ]]/6),0)</f>
        <v>26</v>
      </c>
      <c r="BN222" s="239">
        <f>IF(OR(WWWW[[#This Row],['# Existing latrines dysfunctional]]="",WWWW[[#This Row],['# Existing latrines dysfunctional]]=0),0,WWWW[[#This Row],['# Existing latrines dysfunctional]]/WWWW[[#This Row],[Total '# of latrine]])</f>
        <v>0</v>
      </c>
      <c r="BO222" s="675"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P222" s="235">
        <f>WWWW[[#This Row],[People adopt basic personal and community hygiene practices]]/WWWW[[#This Row],[Total PoP ]]</f>
        <v>0</v>
      </c>
      <c r="BQ222" s="239">
        <f>1-WWWW[[#This Row],[Hygiene Coverage%]]</f>
        <v>1</v>
      </c>
      <c r="BR222" s="405">
        <f>IF(500*WWWW[[#This Row],['# Hygiene Promoters ]]&gt;WWWW[[#This Row],[Total PoP ]],WWWW[[#This Row],[Total PoP ]],500*WWWW[[#This Row],['# Hygiene Promoters ]])</f>
        <v>0</v>
      </c>
      <c r="BS222" s="405">
        <f>IF(WWWW[[#This Row],[% of HH with access to Sanitary Pad]]&gt;=100%,1,0)</f>
        <v>0</v>
      </c>
      <c r="BT222" s="405">
        <f>IF(WWWW[[#This Row],[Total PoP ]]=0,0,IF(WWWW[[#This Row],['# Hygiene Promoters ]]=0,0,IF(WWWW[[#This Row],[Location Type 1]]="Village",IF(WWWW[[#This Row],[Total PoP ]]/WWWW[[#This Row],['# Hygiene Promoters ]]&lt;1000,1,0),IF(WWWW[[#This Row],[Total PoP ]]/WWWW[[#This Row],['# Hygiene Promoters ]]&lt;600,1,0))))</f>
        <v>0</v>
      </c>
      <c r="BU222" s="405">
        <f>IF(WWWW[[#This Row],[%HH with access to soap]]&gt;=100%,1,0)</f>
        <v>0</v>
      </c>
      <c r="BV222" s="405">
        <f>IF(WWWW[[#This Row],[% of HHs with access to Sanitary pad more than '#%]]+WWWW[[#This Row],[Ratio of Hyiene promoters to people less than '#]]+WWWW[[#This Row],[% of HHs with access to soap more than '#%]]&gt;=2,WWWW[[#This Row],[Total PoP ]],0)</f>
        <v>0</v>
      </c>
      <c r="BW222" s="346">
        <f>WWWW[[#This Row],['# people reached by regular dedicated hygiene promotion_5]]/WWWW[[#This Row],[Total PoP ]]</f>
        <v>0</v>
      </c>
      <c r="BX222" s="346">
        <f>IF(WWWW[[#This Row],['# HH received soaps]]/WWWW[[#This Row],[Total HH]]&gt;1,1,WWWW[[#This Row],['# HH received soaps]]/WWWW[[#This Row],[Total HH]])</f>
        <v>0</v>
      </c>
      <c r="BY222" s="346">
        <f>IF(WWWW[[#This Row],['# HH received Sanitary Pads]]/WWWW[[#This Row],[Total HH]]&gt;1,1,WWWW[[#This Row],['# HH received Sanitary Pads]]/WWWW[[#This Row],[Total HH]])</f>
        <v>0</v>
      </c>
      <c r="BZ222" s="720">
        <f>WWWW[[#This Row],['# HH received soaps]]*5</f>
        <v>0</v>
      </c>
      <c r="CA222" s="720">
        <f>WWWW[[#This Row],['# HH received Sanitary Pads]]*5</f>
        <v>0</v>
      </c>
      <c r="CB222" s="675">
        <f>IF(WWWW[[#This Row],['# People with access to soap]]&gt;WWWW[[#This Row],['# People with access to Sanity Pads]],WWWW[[#This Row],['# People with access to soap]],WWWW[[#This Row],['# People with access to Sanity Pads]])</f>
        <v>0</v>
      </c>
      <c r="CC222" s="414">
        <f>WWWW[[#This Row],[Total HH]]*WWWW[[#This Row],[%HHs with access to functional hand washing stations]]</f>
        <v>0</v>
      </c>
      <c r="CD222" s="240">
        <f>VLOOKUP(WWWW[[#This Row],[Site Name]],SiteDB6[],8,FALSE)</f>
        <v>0</v>
      </c>
      <c r="CE222" s="240">
        <f>VLOOKUP(WWWW[[#This Row],[Site Name]],SiteDB6[],9,FALSE)</f>
        <v>0</v>
      </c>
      <c r="CF222" s="240" t="str">
        <f>VLOOKUP(WWWW[[#This Row],[Site Name]],SiteDB6[],10,FALSE)</f>
        <v>Village</v>
      </c>
      <c r="CG222" s="240" t="str">
        <f>VLOOKUP(WWWW[[#This Row],[Site Name]],SiteDB6[],11,FALSE)</f>
        <v>Village</v>
      </c>
      <c r="CH222" s="240" t="str">
        <f>VLOOKUP(WWWW[[#This Row],[Site Name]],SiteDB6[],12,FALSE)</f>
        <v>Returned</v>
      </c>
      <c r="CI222" s="240" t="str">
        <f>VLOOKUP(WWWW[[#This Row],[Site Name]],SiteDB6[],13,FALSE)</f>
        <v>Muslim</v>
      </c>
      <c r="CJ222" s="240">
        <f>VLOOKUP(WWWW[[#This Row],[Site Name]],SiteDB6[],14,FALSE)</f>
        <v>20.805734000000001</v>
      </c>
      <c r="CK222" s="240">
        <f>VLOOKUP(WWWW[[#This Row],[Site Name]],SiteDB6[],15,FALSE)</f>
        <v>92.982675999999998</v>
      </c>
      <c r="CL222" s="240" t="str">
        <f>VLOOKUP(WWWW[[#This Row],[Site Name]],SiteDB6[],4,FALSE)</f>
        <v>MMR012CMP020</v>
      </c>
      <c r="CM222" s="235" t="str">
        <f t="shared" si="3"/>
        <v>Notcovered</v>
      </c>
      <c r="CN222" s="240"/>
    </row>
    <row r="223" spans="1:92" ht="15.75" hidden="1" customHeight="1" x14ac:dyDescent="0.25">
      <c r="A223" s="548" t="s">
        <v>1409</v>
      </c>
      <c r="B223" s="541" t="s">
        <v>470</v>
      </c>
      <c r="C223" s="541" t="s">
        <v>464</v>
      </c>
      <c r="D223" s="541" t="s">
        <v>473</v>
      </c>
      <c r="E223" s="541" t="s">
        <v>792</v>
      </c>
      <c r="F223" s="402">
        <f>ROUND(WWWW[[#This Row],[Total PoP ]]/5,0)</f>
        <v>181</v>
      </c>
      <c r="G223" s="732">
        <v>907</v>
      </c>
      <c r="H223" s="169"/>
      <c r="I223" s="169"/>
      <c r="J223" s="170"/>
      <c r="K223" s="169"/>
      <c r="L223" s="402" t="s">
        <v>292</v>
      </c>
      <c r="M223" s="404">
        <v>0</v>
      </c>
      <c r="N223" s="404">
        <v>0</v>
      </c>
      <c r="O223" s="609">
        <v>0</v>
      </c>
      <c r="P223" s="609">
        <v>0</v>
      </c>
      <c r="Q223" s="615"/>
      <c r="R223" s="604"/>
      <c r="S223" s="604">
        <v>0</v>
      </c>
      <c r="T223" s="604"/>
      <c r="U223" s="604"/>
      <c r="V223" s="604"/>
      <c r="W223" s="604"/>
      <c r="X223" s="604"/>
      <c r="Y223" s="604"/>
      <c r="Z223" s="628">
        <v>41</v>
      </c>
      <c r="AA223" s="628"/>
      <c r="AB223" s="629"/>
      <c r="AC223" s="628">
        <v>0</v>
      </c>
      <c r="AD223" s="628" t="s">
        <v>296</v>
      </c>
      <c r="AE223" s="631" t="s">
        <v>296</v>
      </c>
      <c r="AF223" s="629"/>
      <c r="AG223" s="629"/>
      <c r="AH223" s="628"/>
      <c r="AI223" s="659">
        <v>0</v>
      </c>
      <c r="AJ223" s="644"/>
      <c r="AK223" s="644">
        <v>0</v>
      </c>
      <c r="AL223" s="645"/>
      <c r="AM223" s="645">
        <v>0</v>
      </c>
      <c r="AN223" s="600"/>
      <c r="AO223" s="647"/>
      <c r="AP223" s="647"/>
      <c r="AQ223" s="658"/>
      <c r="AR223" s="235" t="str">
        <f>IFERROR(WWWW[[#This Row],['# of Water passed at source]]/WWWW[[#This Row],['# of Water tested at source]],"no test")</f>
        <v>no test</v>
      </c>
      <c r="AS223" s="237" t="str">
        <f>IFERROR(WWWW[[#This Row],['# of Water passed at HH]]/WWWW[[#This Row],['# of Water tested at HH]],"no test")</f>
        <v>no test</v>
      </c>
      <c r="AT223" s="237">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U223" s="237">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AV223" s="237">
        <f>IF(WWWW[[#This Row],[Location Type 1]]="Village",WWWW[[#This Row],[Access to safe drinking water for Village]],WWWW[[#This Row],[Access to safe drinking water for Camp]])</f>
        <v>0</v>
      </c>
      <c r="AW223" s="414">
        <f>WWWW[[#This Row],[%Equitable and continuous access to sufficient quantity of safe drinking water]]*WWWW[[#This Row],[Total PoP ]]</f>
        <v>0</v>
      </c>
      <c r="AX223" s="237">
        <f>IF((WWWW[[#This Row],['# Existing protected/fenced ponds ]]*250)/WWWW[[#This Row],[Total PoP ]]&gt;1,1,WWWW[[#This Row],['# Existing protected/fenced ponds ]]*250/WWWW[[#This Row],[Total PoP ]])</f>
        <v>0</v>
      </c>
      <c r="AY223" s="414">
        <f>WWWW[[#This Row],[Access to unimproved water points]]*WWWW[[#This Row],[Total PoP ]]</f>
        <v>0</v>
      </c>
      <c r="AZ223" s="237">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A223" s="414">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B223" s="414">
        <f>ROUND(WWWW[[#This Row],['#people Equitable and continuous access to sufficient quantity of domestic water borehole n ponds_2]]/500,0)</f>
        <v>0</v>
      </c>
      <c r="BC223" s="235">
        <f>1-WWWW[[#This Row],[%Equitable and continuous access to sufficient quantity of domestic water borehole n ponds]]</f>
        <v>1</v>
      </c>
      <c r="BD223" s="414">
        <f>WWWW[[#This Row],[%equitable and continuous access to sufficient quantity of safe drinking and domestic water''s GAP]]*WWWW[[#This Row],[Total PoP ]]</f>
        <v>907</v>
      </c>
      <c r="BE223" s="238">
        <f>IF(WWWW[[#This Row],[Total required water points]]-WWWW[[#This Row],['#Water points coverage]]&lt;0,0,WWWW[[#This Row],[Total required water points]]-WWWW[[#This Row],['#Water points coverage]])</f>
        <v>2</v>
      </c>
      <c r="BF223" s="238">
        <f>ROUND(IF(WWWW[[#This Row],[Total PoP ]]&lt;500,1,WWWW[[#This Row],[Total PoP ]]/500),0)</f>
        <v>2</v>
      </c>
      <c r="BG223" s="238" t="str">
        <f>IF(AND(WWWW[[#This Row],[%of Water samples which passed at water source]]="no test",WWWW[[#This Row],[%Water samples which passed at HH]]="no test"),"No Test","Tested")</f>
        <v>No Test</v>
      </c>
      <c r="BH223" s="238">
        <f>WWWW[[#This Row],['# Existing functional latrines]]+WWWW[[#This Row],['# Existing latrines dysfunctional]]</f>
        <v>41</v>
      </c>
      <c r="BI223" s="235">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0.27122381477398017</v>
      </c>
      <c r="BJ223" s="675">
        <f>WWWW[[#This Row],[% people access to functioning Latrine]]*WWWW[[#This Row],[Total PoP ]]</f>
        <v>246</v>
      </c>
      <c r="BK223" s="235">
        <f>IF(WWWW[[#This Row],[Location Type 1]]="camp",WWWW[[#This Row],['# potential required new latrines]]/(WWWW[[#This Row],[Total PoP ]]/20),WWWW[[#This Row],['# potential required new latrines]]/(WWWW[[#This Row],[Total PoP ]]/6))</f>
        <v>0.72767364939360535</v>
      </c>
      <c r="BL223" s="414">
        <f>IF(WWWW[[#This Row],[Total required Latrines]]-WWWW[[#This Row],[Total '# of latrine]]&lt;0,0,WWWW[[#This Row],[Total required Latrines]]-WWWW[[#This Row],[Total '# of latrine]])</f>
        <v>110</v>
      </c>
      <c r="BM223" s="238">
        <f>ROUND(IF(WWWW[[#This Row],[Location Type 1]]="camp",WWWW[[#This Row],[Total PoP ]]/20,WWWW[[#This Row],[Total PoP ]]/6),0)</f>
        <v>151</v>
      </c>
      <c r="BN223" s="239">
        <f>IF(OR(WWWW[[#This Row],['# Existing latrines dysfunctional]]="",WWWW[[#This Row],['# Existing latrines dysfunctional]]=0),0,WWWW[[#This Row],['# Existing latrines dysfunctional]]/WWWW[[#This Row],[Total '# of latrine]])</f>
        <v>0</v>
      </c>
      <c r="BO223" s="675"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P223" s="235">
        <f>WWWW[[#This Row],[People adopt basic personal and community hygiene practices]]/WWWW[[#This Row],[Total PoP ]]</f>
        <v>0</v>
      </c>
      <c r="BQ223" s="239">
        <f>1-WWWW[[#This Row],[Hygiene Coverage%]]</f>
        <v>1</v>
      </c>
      <c r="BR223" s="405">
        <f>IF(500*WWWW[[#This Row],['# Hygiene Promoters ]]&gt;WWWW[[#This Row],[Total PoP ]],WWWW[[#This Row],[Total PoP ]],500*WWWW[[#This Row],['# Hygiene Promoters ]])</f>
        <v>0</v>
      </c>
      <c r="BS223" s="405">
        <f>IF(WWWW[[#This Row],[% of HH with access to Sanitary Pad]]&gt;=100%,1,0)</f>
        <v>0</v>
      </c>
      <c r="BT223" s="405">
        <f>IF(WWWW[[#This Row],[Total PoP ]]=0,0,IF(WWWW[[#This Row],['# Hygiene Promoters ]]=0,0,IF(WWWW[[#This Row],[Location Type 1]]="Village",IF(WWWW[[#This Row],[Total PoP ]]/WWWW[[#This Row],['# Hygiene Promoters ]]&lt;1000,1,0),IF(WWWW[[#This Row],[Total PoP ]]/WWWW[[#This Row],['# Hygiene Promoters ]]&lt;600,1,0))))</f>
        <v>0</v>
      </c>
      <c r="BU223" s="405">
        <f>IF(WWWW[[#This Row],[%HH with access to soap]]&gt;=100%,1,0)</f>
        <v>0</v>
      </c>
      <c r="BV223" s="405">
        <f>IF(WWWW[[#This Row],[% of HHs with access to Sanitary pad more than '#%]]+WWWW[[#This Row],[Ratio of Hyiene promoters to people less than '#]]+WWWW[[#This Row],[% of HHs with access to soap more than '#%]]&gt;=2,WWWW[[#This Row],[Total PoP ]],0)</f>
        <v>0</v>
      </c>
      <c r="BW223" s="346">
        <f>WWWW[[#This Row],['# people reached by regular dedicated hygiene promotion_5]]/WWWW[[#This Row],[Total PoP ]]</f>
        <v>0</v>
      </c>
      <c r="BX223" s="346">
        <f>IF(WWWW[[#This Row],['# HH received soaps]]/WWWW[[#This Row],[Total HH]]&gt;1,1,WWWW[[#This Row],['# HH received soaps]]/WWWW[[#This Row],[Total HH]])</f>
        <v>0</v>
      </c>
      <c r="BY223" s="346">
        <f>IF(WWWW[[#This Row],['# HH received Sanitary Pads]]/WWWW[[#This Row],[Total HH]]&gt;1,1,WWWW[[#This Row],['# HH received Sanitary Pads]]/WWWW[[#This Row],[Total HH]])</f>
        <v>0</v>
      </c>
      <c r="BZ223" s="720">
        <f>WWWW[[#This Row],['# HH received soaps]]*5</f>
        <v>0</v>
      </c>
      <c r="CA223" s="720">
        <f>WWWW[[#This Row],['# HH received Sanitary Pads]]*5</f>
        <v>0</v>
      </c>
      <c r="CB223" s="675">
        <f>IF(WWWW[[#This Row],['# People with access to soap]]&gt;WWWW[[#This Row],['# People with access to Sanity Pads]],WWWW[[#This Row],['# People with access to soap]],WWWW[[#This Row],['# People with access to Sanity Pads]])</f>
        <v>0</v>
      </c>
      <c r="CC223" s="414">
        <f>WWWW[[#This Row],[Total HH]]*WWWW[[#This Row],[%HHs with access to functional hand washing stations]]</f>
        <v>0</v>
      </c>
      <c r="CD223" s="240">
        <f>VLOOKUP(WWWW[[#This Row],[Site Name]],SiteDB6[],8,FALSE)</f>
        <v>0</v>
      </c>
      <c r="CE223" s="240">
        <f>VLOOKUP(WWWW[[#This Row],[Site Name]],SiteDB6[],9,FALSE)</f>
        <v>0</v>
      </c>
      <c r="CF223" s="240" t="str">
        <f>VLOOKUP(WWWW[[#This Row],[Site Name]],SiteDB6[],10,FALSE)</f>
        <v>Village</v>
      </c>
      <c r="CG223" s="240" t="str">
        <f>VLOOKUP(WWWW[[#This Row],[Site Name]],SiteDB6[],11,FALSE)</f>
        <v>Village</v>
      </c>
      <c r="CH223" s="240" t="str">
        <f>VLOOKUP(WWWW[[#This Row],[Site Name]],SiteDB6[],12,FALSE)</f>
        <v>Village</v>
      </c>
      <c r="CI223" s="240" t="str">
        <f>VLOOKUP(WWWW[[#This Row],[Site Name]],SiteDB6[],13,FALSE)</f>
        <v>Rakhine</v>
      </c>
      <c r="CJ223" s="240">
        <f>VLOOKUP(WWWW[[#This Row],[Site Name]],SiteDB6[],14,FALSE)</f>
        <v>20.806400299072301</v>
      </c>
      <c r="CK223" s="240">
        <f>VLOOKUP(WWWW[[#This Row],[Site Name]],SiteDB6[],15,FALSE)</f>
        <v>92.982147216796903</v>
      </c>
      <c r="CL223" s="240" t="str">
        <f>VLOOKUP(WWWW[[#This Row],[Site Name]],SiteDB6[],4,FALSE)</f>
        <v>196873</v>
      </c>
      <c r="CM223" s="235" t="str">
        <f t="shared" si="3"/>
        <v>Notcovered</v>
      </c>
      <c r="CN223" s="240"/>
    </row>
    <row r="224" spans="1:92" ht="15.75" hidden="1" customHeight="1" x14ac:dyDescent="0.25">
      <c r="A224" s="548" t="s">
        <v>1409</v>
      </c>
      <c r="B224" s="541" t="s">
        <v>470</v>
      </c>
      <c r="C224" s="541" t="s">
        <v>464</v>
      </c>
      <c r="D224" s="541" t="s">
        <v>473</v>
      </c>
      <c r="E224" s="541" t="s">
        <v>823</v>
      </c>
      <c r="F224" s="169">
        <v>97</v>
      </c>
      <c r="G224" s="732">
        <v>557</v>
      </c>
      <c r="H224" s="169"/>
      <c r="I224" s="169"/>
      <c r="J224" s="170"/>
      <c r="K224" s="169"/>
      <c r="L224" s="402" t="s">
        <v>292</v>
      </c>
      <c r="M224" s="404">
        <v>0</v>
      </c>
      <c r="N224" s="404">
        <v>0</v>
      </c>
      <c r="O224" s="608">
        <v>0</v>
      </c>
      <c r="P224" s="609">
        <v>0</v>
      </c>
      <c r="Q224" s="615"/>
      <c r="R224" s="604"/>
      <c r="S224" s="604">
        <v>0</v>
      </c>
      <c r="T224" s="604"/>
      <c r="U224" s="604"/>
      <c r="V224" s="604"/>
      <c r="W224" s="604"/>
      <c r="X224" s="604"/>
      <c r="Y224" s="604"/>
      <c r="Z224" s="628">
        <v>235</v>
      </c>
      <c r="AA224" s="628"/>
      <c r="AB224" s="628"/>
      <c r="AC224" s="628">
        <v>0</v>
      </c>
      <c r="AD224" s="628" t="s">
        <v>296</v>
      </c>
      <c r="AE224" s="631" t="s">
        <v>296</v>
      </c>
      <c r="AF224" s="629"/>
      <c r="AG224" s="629"/>
      <c r="AH224" s="628"/>
      <c r="AI224" s="659">
        <v>0</v>
      </c>
      <c r="AJ224" s="644"/>
      <c r="AK224" s="644">
        <v>0</v>
      </c>
      <c r="AL224" s="645"/>
      <c r="AM224" s="645">
        <v>0</v>
      </c>
      <c r="AN224" s="600"/>
      <c r="AO224" s="647"/>
      <c r="AP224" s="647"/>
      <c r="AQ224" s="658"/>
      <c r="AR224" s="235" t="str">
        <f>IFERROR(WWWW[[#This Row],['# of Water passed at source]]/WWWW[[#This Row],['# of Water tested at source]],"no test")</f>
        <v>no test</v>
      </c>
      <c r="AS224" s="237" t="str">
        <f>IFERROR(WWWW[[#This Row],['# of Water passed at HH]]/WWWW[[#This Row],['# of Water tested at HH]],"no test")</f>
        <v>no test</v>
      </c>
      <c r="AT224" s="237">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U224" s="237">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AV224" s="237">
        <f>IF(WWWW[[#This Row],[Location Type 1]]="Village",WWWW[[#This Row],[Access to safe drinking water for Village]],WWWW[[#This Row],[Access to safe drinking water for Camp]])</f>
        <v>0</v>
      </c>
      <c r="AW224" s="414">
        <f>WWWW[[#This Row],[%Equitable and continuous access to sufficient quantity of safe drinking water]]*WWWW[[#This Row],[Total PoP ]]</f>
        <v>0</v>
      </c>
      <c r="AX224" s="237">
        <f>IF((WWWW[[#This Row],['# Existing protected/fenced ponds ]]*250)/WWWW[[#This Row],[Total PoP ]]&gt;1,1,WWWW[[#This Row],['# Existing protected/fenced ponds ]]*250/WWWW[[#This Row],[Total PoP ]])</f>
        <v>0</v>
      </c>
      <c r="AY224" s="414">
        <f>WWWW[[#This Row],[Access to unimproved water points]]*WWWW[[#This Row],[Total PoP ]]</f>
        <v>0</v>
      </c>
      <c r="AZ224" s="237">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A224" s="414">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B224" s="414">
        <f>ROUND(WWWW[[#This Row],['#people Equitable and continuous access to sufficient quantity of domestic water borehole n ponds_2]]/500,0)</f>
        <v>0</v>
      </c>
      <c r="BC224" s="235">
        <f>1-WWWW[[#This Row],[%Equitable and continuous access to sufficient quantity of domestic water borehole n ponds]]</f>
        <v>1</v>
      </c>
      <c r="BD224" s="414">
        <f>WWWW[[#This Row],[%equitable and continuous access to sufficient quantity of safe drinking and domestic water''s GAP]]*WWWW[[#This Row],[Total PoP ]]</f>
        <v>557</v>
      </c>
      <c r="BE224" s="238">
        <f>IF(WWWW[[#This Row],[Total required water points]]-WWWW[[#This Row],['#Water points coverage]]&lt;0,0,WWWW[[#This Row],[Total required water points]]-WWWW[[#This Row],['#Water points coverage]])</f>
        <v>1</v>
      </c>
      <c r="BF224" s="238">
        <f>ROUND(IF(WWWW[[#This Row],[Total PoP ]]&lt;500,1,WWWW[[#This Row],[Total PoP ]]/500),0)</f>
        <v>1</v>
      </c>
      <c r="BG224" s="238" t="str">
        <f>IF(AND(WWWW[[#This Row],[%of Water samples which passed at water source]]="no test",WWWW[[#This Row],[%Water samples which passed at HH]]="no test"),"No Test","Tested")</f>
        <v>No Test</v>
      </c>
      <c r="BH224" s="238">
        <f>WWWW[[#This Row],['# Existing functional latrines]]+WWWW[[#This Row],['# Existing latrines dysfunctional]]</f>
        <v>235</v>
      </c>
      <c r="BI224" s="235">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1</v>
      </c>
      <c r="BJ224" s="675">
        <f>WWWW[[#This Row],[% people access to functioning Latrine]]*WWWW[[#This Row],[Total PoP ]]</f>
        <v>557</v>
      </c>
      <c r="BK224" s="235">
        <f>IF(WWWW[[#This Row],[Location Type 1]]="camp",WWWW[[#This Row],['# potential required new latrines]]/(WWWW[[#This Row],[Total PoP ]]/20),WWWW[[#This Row],['# potential required new latrines]]/(WWWW[[#This Row],[Total PoP ]]/6))</f>
        <v>0</v>
      </c>
      <c r="BL224" s="414">
        <f>IF(WWWW[[#This Row],[Total required Latrines]]-WWWW[[#This Row],[Total '# of latrine]]&lt;0,0,WWWW[[#This Row],[Total required Latrines]]-WWWW[[#This Row],[Total '# of latrine]])</f>
        <v>0</v>
      </c>
      <c r="BM224" s="238">
        <f>ROUND(IF(WWWW[[#This Row],[Location Type 1]]="camp",WWWW[[#This Row],[Total PoP ]]/20,WWWW[[#This Row],[Total PoP ]]/6),0)</f>
        <v>93</v>
      </c>
      <c r="BN224" s="239">
        <f>IF(OR(WWWW[[#This Row],['# Existing latrines dysfunctional]]="",WWWW[[#This Row],['# Existing latrines dysfunctional]]=0),0,WWWW[[#This Row],['# Existing latrines dysfunctional]]/WWWW[[#This Row],[Total '# of latrine]])</f>
        <v>0</v>
      </c>
      <c r="BO224" s="675"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P224" s="235">
        <f>WWWW[[#This Row],[People adopt basic personal and community hygiene practices]]/WWWW[[#This Row],[Total PoP ]]</f>
        <v>0</v>
      </c>
      <c r="BQ224" s="239">
        <f>1-WWWW[[#This Row],[Hygiene Coverage%]]</f>
        <v>1</v>
      </c>
      <c r="BR224" s="405">
        <f>IF(500*WWWW[[#This Row],['# Hygiene Promoters ]]&gt;WWWW[[#This Row],[Total PoP ]],WWWW[[#This Row],[Total PoP ]],500*WWWW[[#This Row],['# Hygiene Promoters ]])</f>
        <v>0</v>
      </c>
      <c r="BS224" s="405">
        <f>IF(WWWW[[#This Row],[% of HH with access to Sanitary Pad]]&gt;=100%,1,0)</f>
        <v>0</v>
      </c>
      <c r="BT224" s="405">
        <f>IF(WWWW[[#This Row],[Total PoP ]]=0,0,IF(WWWW[[#This Row],['# Hygiene Promoters ]]=0,0,IF(WWWW[[#This Row],[Location Type 1]]="Village",IF(WWWW[[#This Row],[Total PoP ]]/WWWW[[#This Row],['# Hygiene Promoters ]]&lt;1000,1,0),IF(WWWW[[#This Row],[Total PoP ]]/WWWW[[#This Row],['# Hygiene Promoters ]]&lt;600,1,0))))</f>
        <v>0</v>
      </c>
      <c r="BU224" s="405">
        <f>IF(WWWW[[#This Row],[%HH with access to soap]]&gt;=100%,1,0)</f>
        <v>0</v>
      </c>
      <c r="BV224" s="405">
        <f>IF(WWWW[[#This Row],[% of HHs with access to Sanitary pad more than '#%]]+WWWW[[#This Row],[Ratio of Hyiene promoters to people less than '#]]+WWWW[[#This Row],[% of HHs with access to soap more than '#%]]&gt;=2,WWWW[[#This Row],[Total PoP ]],0)</f>
        <v>0</v>
      </c>
      <c r="BW224" s="346">
        <f>WWWW[[#This Row],['# people reached by regular dedicated hygiene promotion_5]]/WWWW[[#This Row],[Total PoP ]]</f>
        <v>0</v>
      </c>
      <c r="BX224" s="346">
        <f>IF(WWWW[[#This Row],['# HH received soaps]]/WWWW[[#This Row],[Total HH]]&gt;1,1,WWWW[[#This Row],['# HH received soaps]]/WWWW[[#This Row],[Total HH]])</f>
        <v>0</v>
      </c>
      <c r="BY224" s="346">
        <f>IF(WWWW[[#This Row],['# HH received Sanitary Pads]]/WWWW[[#This Row],[Total HH]]&gt;1,1,WWWW[[#This Row],['# HH received Sanitary Pads]]/WWWW[[#This Row],[Total HH]])</f>
        <v>0</v>
      </c>
      <c r="BZ224" s="720">
        <f>WWWW[[#This Row],['# HH received soaps]]*5</f>
        <v>0</v>
      </c>
      <c r="CA224" s="720">
        <f>WWWW[[#This Row],['# HH received Sanitary Pads]]*5</f>
        <v>0</v>
      </c>
      <c r="CB224" s="675">
        <f>IF(WWWW[[#This Row],['# People with access to soap]]&gt;WWWW[[#This Row],['# People with access to Sanity Pads]],WWWW[[#This Row],['# People with access to soap]],WWWW[[#This Row],['# People with access to Sanity Pads]])</f>
        <v>0</v>
      </c>
      <c r="CC224" s="414">
        <f>WWWW[[#This Row],[Total HH]]*WWWW[[#This Row],[%HHs with access to functional hand washing stations]]</f>
        <v>0</v>
      </c>
      <c r="CD224" s="240">
        <f>VLOOKUP(WWWW[[#This Row],[Site Name]],SiteDB6[],8,FALSE)</f>
        <v>0</v>
      </c>
      <c r="CE224" s="240">
        <f>VLOOKUP(WWWW[[#This Row],[Site Name]],SiteDB6[],9,FALSE)</f>
        <v>0</v>
      </c>
      <c r="CF224" s="240" t="str">
        <f>VLOOKUP(WWWW[[#This Row],[Site Name]],SiteDB6[],10,FALSE)</f>
        <v>Village</v>
      </c>
      <c r="CG224" s="240" t="str">
        <f>VLOOKUP(WWWW[[#This Row],[Site Name]],SiteDB6[],11,FALSE)</f>
        <v>Village</v>
      </c>
      <c r="CH224" s="240" t="str">
        <f>VLOOKUP(WWWW[[#This Row],[Site Name]],SiteDB6[],12,FALSE)</f>
        <v>Relocated</v>
      </c>
      <c r="CI224" s="240" t="str">
        <f>VLOOKUP(WWWW[[#This Row],[Site Name]],SiteDB6[],13,FALSE)</f>
        <v>Muslim</v>
      </c>
      <c r="CJ224" s="240">
        <f>VLOOKUP(WWWW[[#This Row],[Site Name]],SiteDB6[],14,FALSE)</f>
        <v>20.886997999999998</v>
      </c>
      <c r="CK224" s="240">
        <f>VLOOKUP(WWWW[[#This Row],[Site Name]],SiteDB6[],15,FALSE)</f>
        <v>93.006497999999993</v>
      </c>
      <c r="CL224" s="240" t="str">
        <f>VLOOKUP(WWWW[[#This Row],[Site Name]],SiteDB6[],4,FALSE)</f>
        <v>MMR012CMP030</v>
      </c>
      <c r="CM224" s="235" t="str">
        <f t="shared" si="3"/>
        <v>Notcovered</v>
      </c>
      <c r="CN224" s="240"/>
    </row>
    <row r="225" spans="1:92" ht="15.75" hidden="1" customHeight="1" x14ac:dyDescent="0.25">
      <c r="A225" s="548" t="s">
        <v>1409</v>
      </c>
      <c r="B225" s="531" t="s">
        <v>470</v>
      </c>
      <c r="C225" s="531" t="s">
        <v>464</v>
      </c>
      <c r="D225" s="531" t="s">
        <v>473</v>
      </c>
      <c r="E225" s="531" t="s">
        <v>835</v>
      </c>
      <c r="F225" s="402">
        <f>ROUND(WWWW[[#This Row],[Total PoP ]]/5,0)</f>
        <v>167</v>
      </c>
      <c r="G225" s="731">
        <v>833</v>
      </c>
      <c r="H225" s="314"/>
      <c r="I225" s="314"/>
      <c r="J225" s="365"/>
      <c r="K225" s="364"/>
      <c r="L225" s="402" t="s">
        <v>292</v>
      </c>
      <c r="M225" s="404">
        <v>0</v>
      </c>
      <c r="N225" s="404">
        <v>0</v>
      </c>
      <c r="O225" s="601">
        <v>1</v>
      </c>
      <c r="P225" s="602"/>
      <c r="Q225" s="602"/>
      <c r="R225" s="603"/>
      <c r="S225" s="603">
        <v>0</v>
      </c>
      <c r="T225" s="604"/>
      <c r="U225" s="604"/>
      <c r="V225" s="604"/>
      <c r="W225" s="604"/>
      <c r="X225" s="604"/>
      <c r="Y225" s="604"/>
      <c r="Z225" s="628">
        <v>0</v>
      </c>
      <c r="AA225" s="628"/>
      <c r="AB225" s="629"/>
      <c r="AC225" s="630">
        <v>0</v>
      </c>
      <c r="AD225" s="630" t="s">
        <v>296</v>
      </c>
      <c r="AE225" s="631" t="s">
        <v>296</v>
      </c>
      <c r="AF225" s="631"/>
      <c r="AG225" s="628"/>
      <c r="AH225" s="630"/>
      <c r="AI225" s="642">
        <v>0</v>
      </c>
      <c r="AJ225" s="643"/>
      <c r="AK225" s="644">
        <v>0</v>
      </c>
      <c r="AL225" s="645"/>
      <c r="AM225" s="645">
        <v>0</v>
      </c>
      <c r="AN225" s="600"/>
      <c r="AO225" s="600"/>
      <c r="AP225" s="647"/>
      <c r="AQ225" s="648"/>
      <c r="AR225" s="235" t="str">
        <f>IFERROR(WWWW[[#This Row],['# of Water passed at source]]/WWWW[[#This Row],['# of Water tested at source]],"no test")</f>
        <v>no test</v>
      </c>
      <c r="AS225" s="237" t="str">
        <f>IFERROR(WWWW[[#This Row],['# of Water passed at HH]]/WWWW[[#This Row],['# of Water tested at HH]],"no test")</f>
        <v>no test</v>
      </c>
      <c r="AT225" s="400">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U225" s="400">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0.30012004801920766</v>
      </c>
      <c r="AV225" s="400">
        <f>IF(WWWW[[#This Row],[Location Type 1]]="Village",WWWW[[#This Row],[Access to safe drinking water for Village]],WWWW[[#This Row],[Access to safe drinking water for Camp]])</f>
        <v>0.30012004801920766</v>
      </c>
      <c r="AW225" s="414">
        <f>WWWW[[#This Row],[%Equitable and continuous access to sufficient quantity of safe drinking water]]*WWWW[[#This Row],[Total PoP ]]</f>
        <v>249.99999999999997</v>
      </c>
      <c r="AX225" s="400">
        <f>IF((WWWW[[#This Row],['# Existing protected/fenced ponds ]]*250)/WWWW[[#This Row],[Total PoP ]]&gt;1,1,WWWW[[#This Row],['# Existing protected/fenced ponds ]]*250/WWWW[[#This Row],[Total PoP ]])</f>
        <v>0</v>
      </c>
      <c r="AY225" s="367">
        <f>WWWW[[#This Row],[Access to unimproved water points]]*WWWW[[#This Row],[Total PoP ]]</f>
        <v>0</v>
      </c>
      <c r="AZ225" s="400">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0.30012004801920766</v>
      </c>
      <c r="BA225" s="367">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249.99999999999997</v>
      </c>
      <c r="BB225" s="414">
        <f>ROUND(WWWW[[#This Row],['#people Equitable and continuous access to sufficient quantity of domestic water borehole n ponds_2]]/500,0)</f>
        <v>1</v>
      </c>
      <c r="BC225" s="235">
        <f>1-WWWW[[#This Row],[%Equitable and continuous access to sufficient quantity of domestic water borehole n ponds]]</f>
        <v>0.69987995198079234</v>
      </c>
      <c r="BD225" s="367">
        <f>WWWW[[#This Row],[%equitable and continuous access to sufficient quantity of safe drinking and domestic water''s GAP]]*WWWW[[#This Row],[Total PoP ]]</f>
        <v>583</v>
      </c>
      <c r="BE225" s="238">
        <f>IF(WWWW[[#This Row],[Total required water points]]-WWWW[[#This Row],['#Water points coverage]]&lt;0,0,WWWW[[#This Row],[Total required water points]]-WWWW[[#This Row],['#Water points coverage]])</f>
        <v>1</v>
      </c>
      <c r="BF225" s="368">
        <f>ROUND(IF(WWWW[[#This Row],[Total PoP ]]&lt;500,1,WWWW[[#This Row],[Total PoP ]]/500),0)</f>
        <v>2</v>
      </c>
      <c r="BG225" s="368" t="str">
        <f>IF(AND(WWWW[[#This Row],[%of Water samples which passed at water source]]="no test",WWWW[[#This Row],[%Water samples which passed at HH]]="no test"),"No Test","Tested")</f>
        <v>No Test</v>
      </c>
      <c r="BH225" s="238">
        <f>WWWW[[#This Row],['# Existing functional latrines]]+WWWW[[#This Row],['# Existing latrines dysfunctional]]</f>
        <v>0</v>
      </c>
      <c r="BI225" s="366">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J225" s="675">
        <f>WWWW[[#This Row],[% people access to functioning Latrine]]*WWWW[[#This Row],[Total PoP ]]</f>
        <v>0</v>
      </c>
      <c r="BK225" s="235">
        <f>IF(WWWW[[#This Row],[Location Type 1]]="camp",WWWW[[#This Row],['# potential required new latrines]]/(WWWW[[#This Row],[Total PoP ]]/20),WWWW[[#This Row],['# potential required new latrines]]/(WWWW[[#This Row],[Total PoP ]]/6))</f>
        <v>1.0012004801920769</v>
      </c>
      <c r="BL225" s="414">
        <f>IF(WWWW[[#This Row],[Total required Latrines]]-WWWW[[#This Row],[Total '# of latrine]]&lt;0,0,WWWW[[#This Row],[Total required Latrines]]-WWWW[[#This Row],[Total '# of latrine]])</f>
        <v>139</v>
      </c>
      <c r="BM225" s="368">
        <f>ROUND(IF(WWWW[[#This Row],[Location Type 1]]="camp",WWWW[[#This Row],[Total PoP ]]/20,WWWW[[#This Row],[Total PoP ]]/6),0)</f>
        <v>139</v>
      </c>
      <c r="BN225" s="369">
        <f>IF(OR(WWWW[[#This Row],['# Existing latrines dysfunctional]]="",WWWW[[#This Row],['# Existing latrines dysfunctional]]=0),0,WWWW[[#This Row],['# Existing latrines dysfunctional]]/WWWW[[#This Row],[Total '# of latrine]])</f>
        <v>0</v>
      </c>
      <c r="BO225" s="675"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P225" s="235">
        <f>WWWW[[#This Row],[People adopt basic personal and community hygiene practices]]/WWWW[[#This Row],[Total PoP ]]</f>
        <v>0</v>
      </c>
      <c r="BQ225" s="369">
        <f>1-WWWW[[#This Row],[Hygiene Coverage%]]</f>
        <v>1</v>
      </c>
      <c r="BR225" s="367">
        <f>IF(500*WWWW[[#This Row],['# Hygiene Promoters ]]&gt;WWWW[[#This Row],[Total PoP ]],WWWW[[#This Row],[Total PoP ]],500*WWWW[[#This Row],['# Hygiene Promoters ]])</f>
        <v>0</v>
      </c>
      <c r="BS225" s="367">
        <f>IF(WWWW[[#This Row],[% of HH with access to Sanitary Pad]]&gt;=100%,1,0)</f>
        <v>0</v>
      </c>
      <c r="BT225" s="367">
        <f>IF(WWWW[[#This Row],[Total PoP ]]=0,0,IF(WWWW[[#This Row],['# Hygiene Promoters ]]=0,0,IF(WWWW[[#This Row],[Location Type 1]]="Village",IF(WWWW[[#This Row],[Total PoP ]]/WWWW[[#This Row],['# Hygiene Promoters ]]&lt;1000,1,0),IF(WWWW[[#This Row],[Total PoP ]]/WWWW[[#This Row],['# Hygiene Promoters ]]&lt;600,1,0))))</f>
        <v>0</v>
      </c>
      <c r="BU225" s="367">
        <f>IF(WWWW[[#This Row],[%HH with access to soap]]&gt;=100%,1,0)</f>
        <v>0</v>
      </c>
      <c r="BV225" s="367">
        <f>IF(WWWW[[#This Row],[% of HHs with access to Sanitary pad more than '#%]]+WWWW[[#This Row],[Ratio of Hyiene promoters to people less than '#]]+WWWW[[#This Row],[% of HHs with access to soap more than '#%]]&gt;=2,WWWW[[#This Row],[Total PoP ]],0)</f>
        <v>0</v>
      </c>
      <c r="BW225" s="346">
        <f>WWWW[[#This Row],['# people reached by regular dedicated hygiene promotion_5]]/WWWW[[#This Row],[Total PoP ]]</f>
        <v>0</v>
      </c>
      <c r="BX225" s="346">
        <f>IF(WWWW[[#This Row],['# HH received soaps]]/WWWW[[#This Row],[Total HH]]&gt;1,1,WWWW[[#This Row],['# HH received soaps]]/WWWW[[#This Row],[Total HH]])</f>
        <v>0</v>
      </c>
      <c r="BY225" s="346">
        <f>IF(WWWW[[#This Row],['# HH received Sanitary Pads]]/WWWW[[#This Row],[Total HH]]&gt;1,1,WWWW[[#This Row],['# HH received Sanitary Pads]]/WWWW[[#This Row],[Total HH]])</f>
        <v>0</v>
      </c>
      <c r="BZ225" s="720">
        <f>WWWW[[#This Row],['# HH received soaps]]*5</f>
        <v>0</v>
      </c>
      <c r="CA225" s="720">
        <f>WWWW[[#This Row],['# HH received Sanitary Pads]]*5</f>
        <v>0</v>
      </c>
      <c r="CB225" s="238">
        <f>IF(WWWW[[#This Row],['# People with access to soap]]&gt;WWWW[[#This Row],['# People with access to Sanity Pads]],WWWW[[#This Row],['# People with access to soap]],WWWW[[#This Row],['# People with access to Sanity Pads]])</f>
        <v>0</v>
      </c>
      <c r="CC225" s="367">
        <f>WWWW[[#This Row],[Total HH]]*WWWW[[#This Row],[%HHs with access to functional hand washing stations]]</f>
        <v>0</v>
      </c>
      <c r="CD225" s="240">
        <f>VLOOKUP(WWWW[[#This Row],[Site Name]],SiteDB6[],8,FALSE)</f>
        <v>0</v>
      </c>
      <c r="CE225" s="240">
        <f>VLOOKUP(WWWW[[#This Row],[Site Name]],SiteDB6[],9,FALSE)</f>
        <v>0</v>
      </c>
      <c r="CF225" s="240" t="str">
        <f>VLOOKUP(WWWW[[#This Row],[Site Name]],SiteDB6[],10,FALSE)</f>
        <v>Village</v>
      </c>
      <c r="CG225" s="240" t="str">
        <f>VLOOKUP(WWWW[[#This Row],[Site Name]],SiteDB6[],11,FALSE)</f>
        <v>Village</v>
      </c>
      <c r="CH225" s="240" t="str">
        <f>VLOOKUP(WWWW[[#This Row],[Site Name]],SiteDB6[],12,FALSE)</f>
        <v>Village</v>
      </c>
      <c r="CI225" s="240" t="str">
        <f>VLOOKUP(WWWW[[#This Row],[Site Name]],SiteDB6[],13,FALSE)</f>
        <v>Muslim</v>
      </c>
      <c r="CJ225" s="240">
        <f>VLOOKUP(WWWW[[#This Row],[Site Name]],SiteDB6[],14,FALSE)</f>
        <v>20.903770446777301</v>
      </c>
      <c r="CK225" s="240">
        <f>VLOOKUP(WWWW[[#This Row],[Site Name]],SiteDB6[],15,FALSE)</f>
        <v>93.004432678222699</v>
      </c>
      <c r="CL225" s="240" t="str">
        <f>VLOOKUP(WWWW[[#This Row],[Site Name]],SiteDB6[],4,FALSE)</f>
        <v>196787</v>
      </c>
      <c r="CM225" s="235" t="str">
        <f t="shared" si="3"/>
        <v>Notcovered</v>
      </c>
      <c r="CN225" s="366"/>
    </row>
    <row r="226" spans="1:92" ht="15.75" hidden="1" customHeight="1" x14ac:dyDescent="0.25">
      <c r="A226" s="548" t="s">
        <v>1409</v>
      </c>
      <c r="B226" s="530" t="s">
        <v>470</v>
      </c>
      <c r="C226" s="531" t="s">
        <v>464</v>
      </c>
      <c r="D226" s="531" t="s">
        <v>473</v>
      </c>
      <c r="E226" s="531" t="s">
        <v>873</v>
      </c>
      <c r="F226" s="402">
        <v>118</v>
      </c>
      <c r="G226" s="405">
        <v>665</v>
      </c>
      <c r="H226" s="402"/>
      <c r="I226" s="402"/>
      <c r="J226" s="403"/>
      <c r="K226" s="402"/>
      <c r="L226" s="402" t="s">
        <v>292</v>
      </c>
      <c r="M226" s="404">
        <v>0</v>
      </c>
      <c r="N226" s="404">
        <v>0</v>
      </c>
      <c r="O226" s="605">
        <v>0</v>
      </c>
      <c r="P226" s="606">
        <v>0</v>
      </c>
      <c r="Q226" s="606"/>
      <c r="R226" s="607"/>
      <c r="S226" s="607">
        <v>1</v>
      </c>
      <c r="T226" s="607"/>
      <c r="U226" s="607"/>
      <c r="V226" s="607"/>
      <c r="W226" s="607"/>
      <c r="X226" s="607"/>
      <c r="Y226" s="607"/>
      <c r="Z226" s="598">
        <v>0</v>
      </c>
      <c r="AA226" s="598"/>
      <c r="AB226" s="80"/>
      <c r="AC226" s="598">
        <v>0</v>
      </c>
      <c r="AD226" s="598" t="s">
        <v>296</v>
      </c>
      <c r="AE226" s="599" t="s">
        <v>296</v>
      </c>
      <c r="AF226" s="599"/>
      <c r="AG226" s="598"/>
      <c r="AH226" s="598"/>
      <c r="AI226" s="649">
        <v>0</v>
      </c>
      <c r="AJ226" s="650"/>
      <c r="AK226" s="650">
        <v>0</v>
      </c>
      <c r="AL226" s="645"/>
      <c r="AM226" s="645"/>
      <c r="AN226" s="600"/>
      <c r="AO226" s="600"/>
      <c r="AP226" s="600"/>
      <c r="AQ226" s="651"/>
      <c r="AR226" s="404" t="str">
        <f>IFERROR(WWWW[[#This Row],['# of Water passed at source]]/WWWW[[#This Row],['# of Water tested at source]],"no test")</f>
        <v>no test</v>
      </c>
      <c r="AS226" s="407" t="str">
        <f>IFERROR(WWWW[[#This Row],['# of Water passed at HH]]/WWWW[[#This Row],['# of Water tested at HH]],"no test")</f>
        <v>no test</v>
      </c>
      <c r="AT226" s="407">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U226" s="407">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AV226" s="407">
        <f>IF(WWWW[[#This Row],[Location Type 1]]="Village",WWWW[[#This Row],[Access to safe drinking water for Village]],WWWW[[#This Row],[Access to safe drinking water for Camp]])</f>
        <v>0</v>
      </c>
      <c r="AW226" s="405">
        <f>WWWW[[#This Row],[%Equitable and continuous access to sufficient quantity of safe drinking water]]*WWWW[[#This Row],[Total PoP ]]</f>
        <v>0</v>
      </c>
      <c r="AX226" s="407">
        <f>IF((WWWW[[#This Row],['# Existing protected/fenced ponds ]]*250)/WWWW[[#This Row],[Total PoP ]]&gt;1,1,WWWW[[#This Row],['# Existing protected/fenced ponds ]]*250/WWWW[[#This Row],[Total PoP ]])</f>
        <v>0</v>
      </c>
      <c r="AY226" s="405">
        <f>WWWW[[#This Row],[Access to unimproved water points]]*WWWW[[#This Row],[Total PoP ]]</f>
        <v>0</v>
      </c>
      <c r="AZ226" s="407">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A226" s="405">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B226" s="414">
        <f>ROUND(WWWW[[#This Row],['#people Equitable and continuous access to sufficient quantity of domestic water borehole n ponds_2]]/500,0)</f>
        <v>0</v>
      </c>
      <c r="BC226" s="404">
        <f>1-WWWW[[#This Row],[%Equitable and continuous access to sufficient quantity of domestic water borehole n ponds]]</f>
        <v>1</v>
      </c>
      <c r="BD226" s="405">
        <f>WWWW[[#This Row],[%equitable and continuous access to sufficient quantity of safe drinking and domestic water''s GAP]]*WWWW[[#This Row],[Total PoP ]]</f>
        <v>665</v>
      </c>
      <c r="BE226" s="406">
        <f>IF(WWWW[[#This Row],[Total required water points]]-WWWW[[#This Row],['#Water points coverage]]&lt;0,0,WWWW[[#This Row],[Total required water points]]-WWWW[[#This Row],['#Water points coverage]])</f>
        <v>1</v>
      </c>
      <c r="BF226" s="406">
        <f>ROUND(IF(WWWW[[#This Row],[Total PoP ]]&lt;500,1,WWWW[[#This Row],[Total PoP ]]/500),0)</f>
        <v>1</v>
      </c>
      <c r="BG226" s="406" t="str">
        <f>IF(AND(WWWW[[#This Row],[%of Water samples which passed at water source]]="no test",WWWW[[#This Row],[%Water samples which passed at HH]]="no test"),"No Test","Tested")</f>
        <v>No Test</v>
      </c>
      <c r="BH226" s="406">
        <f>WWWW[[#This Row],['# Existing functional latrines]]+WWWW[[#This Row],['# Existing latrines dysfunctional]]</f>
        <v>0</v>
      </c>
      <c r="BI226" s="404">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J226" s="676">
        <f>WWWW[[#This Row],[% people access to functioning Latrine]]*WWWW[[#This Row],[Total PoP ]]</f>
        <v>0</v>
      </c>
      <c r="BK226" s="404">
        <f>IF(WWWW[[#This Row],[Location Type 1]]="camp",WWWW[[#This Row],['# potential required new latrines]]/(WWWW[[#This Row],[Total PoP ]]/20),WWWW[[#This Row],['# potential required new latrines]]/(WWWW[[#This Row],[Total PoP ]]/6))</f>
        <v>1.0015037593984963</v>
      </c>
      <c r="BL226" s="405">
        <f>IF(WWWW[[#This Row],[Total required Latrines]]-WWWW[[#This Row],[Total '# of latrine]]&lt;0,0,WWWW[[#This Row],[Total required Latrines]]-WWWW[[#This Row],[Total '# of latrine]])</f>
        <v>111</v>
      </c>
      <c r="BM226" s="406">
        <f>ROUND(IF(WWWW[[#This Row],[Location Type 1]]="camp",WWWW[[#This Row],[Total PoP ]]/20,WWWW[[#This Row],[Total PoP ]]/6),0)</f>
        <v>111</v>
      </c>
      <c r="BN226" s="408">
        <f>IF(OR(WWWW[[#This Row],['# Existing latrines dysfunctional]]="",WWWW[[#This Row],['# Existing latrines dysfunctional]]=0),0,WWWW[[#This Row],['# Existing latrines dysfunctional]]/WWWW[[#This Row],[Total '# of latrine]])</f>
        <v>0</v>
      </c>
      <c r="BO226" s="676"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P226" s="404">
        <f>WWWW[[#This Row],[People adopt basic personal and community hygiene practices]]/WWWW[[#This Row],[Total PoP ]]</f>
        <v>0</v>
      </c>
      <c r="BQ226" s="408">
        <f>1-WWWW[[#This Row],[Hygiene Coverage%]]</f>
        <v>1</v>
      </c>
      <c r="BR226" s="405">
        <f>IF(500*WWWW[[#This Row],['# Hygiene Promoters ]]&gt;WWWW[[#This Row],[Total PoP ]],WWWW[[#This Row],[Total PoP ]],500*WWWW[[#This Row],['# Hygiene Promoters ]])</f>
        <v>0</v>
      </c>
      <c r="BS226" s="405">
        <f>IF(WWWW[[#This Row],[% of HH with access to Sanitary Pad]]&gt;=100%,1,0)</f>
        <v>0</v>
      </c>
      <c r="BT226" s="405">
        <f>IF(WWWW[[#This Row],[Total PoP ]]=0,0,IF(WWWW[[#This Row],['# Hygiene Promoters ]]=0,0,IF(WWWW[[#This Row],[Location Type 1]]="Village",IF(WWWW[[#This Row],[Total PoP ]]/WWWW[[#This Row],['# Hygiene Promoters ]]&lt;1000,1,0),IF(WWWW[[#This Row],[Total PoP ]]/WWWW[[#This Row],['# Hygiene Promoters ]]&lt;600,1,0))))</f>
        <v>0</v>
      </c>
      <c r="BU226" s="405">
        <f>IF(WWWW[[#This Row],[%HH with access to soap]]&gt;=100%,1,0)</f>
        <v>0</v>
      </c>
      <c r="BV226" s="405">
        <f>IF(WWWW[[#This Row],[% of HHs with access to Sanitary pad more than '#%]]+WWWW[[#This Row],[Ratio of Hyiene promoters to people less than '#]]+WWWW[[#This Row],[% of HHs with access to soap more than '#%]]&gt;=2,WWWW[[#This Row],[Total PoP ]],0)</f>
        <v>0</v>
      </c>
      <c r="BW226" s="391">
        <f>WWWW[[#This Row],['# people reached by regular dedicated hygiene promotion_5]]/WWWW[[#This Row],[Total PoP ]]</f>
        <v>0</v>
      </c>
      <c r="BX226" s="391">
        <f>IF(WWWW[[#This Row],['# HH received soaps]]/WWWW[[#This Row],[Total HH]]&gt;1,1,WWWW[[#This Row],['# HH received soaps]]/WWWW[[#This Row],[Total HH]])</f>
        <v>0</v>
      </c>
      <c r="BY226" s="391">
        <f>IF(WWWW[[#This Row],['# HH received Sanitary Pads]]/WWWW[[#This Row],[Total HH]]&gt;1,1,WWWW[[#This Row],['# HH received Sanitary Pads]]/WWWW[[#This Row],[Total HH]])</f>
        <v>0</v>
      </c>
      <c r="BZ226" s="721">
        <f>WWWW[[#This Row],['# HH received soaps]]*5</f>
        <v>0</v>
      </c>
      <c r="CA226" s="721">
        <f>WWWW[[#This Row],['# HH received Sanitary Pads]]*5</f>
        <v>0</v>
      </c>
      <c r="CB226" s="406">
        <f>IF(WWWW[[#This Row],['# People with access to soap]]&gt;WWWW[[#This Row],['# People with access to Sanity Pads]],WWWW[[#This Row],['# People with access to soap]],WWWW[[#This Row],['# People with access to Sanity Pads]])</f>
        <v>0</v>
      </c>
      <c r="CC226" s="405">
        <f>WWWW[[#This Row],[Total HH]]*WWWW[[#This Row],[%HHs with access to functional hand washing stations]]</f>
        <v>0</v>
      </c>
      <c r="CD226" s="240">
        <f>VLOOKUP(WWWW[[#This Row],[Site Name]],SiteDB6[],8,FALSE)</f>
        <v>0</v>
      </c>
      <c r="CE226" s="240">
        <f>VLOOKUP(WWWW[[#This Row],[Site Name]],SiteDB6[],9,FALSE)</f>
        <v>0</v>
      </c>
      <c r="CF226" s="240" t="str">
        <f>VLOOKUP(WWWW[[#This Row],[Site Name]],SiteDB6[],10,FALSE)</f>
        <v>Village</v>
      </c>
      <c r="CG226" s="240" t="str">
        <f>VLOOKUP(WWWW[[#This Row],[Site Name]],SiteDB6[],11,FALSE)</f>
        <v>Village</v>
      </c>
      <c r="CH226" s="240" t="str">
        <f>VLOOKUP(WWWW[[#This Row],[Site Name]],SiteDB6[],12,FALSE)</f>
        <v>Village</v>
      </c>
      <c r="CI226" s="240" t="str">
        <f>VLOOKUP(WWWW[[#This Row],[Site Name]],SiteDB6[],13,FALSE)</f>
        <v>Rakhine</v>
      </c>
      <c r="CJ226" s="240">
        <f>VLOOKUP(WWWW[[#This Row],[Site Name]],SiteDB6[],14,FALSE)</f>
        <v>20.697889328002901</v>
      </c>
      <c r="CK226" s="240">
        <f>VLOOKUP(WWWW[[#This Row],[Site Name]],SiteDB6[],15,FALSE)</f>
        <v>92.951232910156307</v>
      </c>
      <c r="CL226" s="240" t="str">
        <f>VLOOKUP(WWWW[[#This Row],[Site Name]],SiteDB6[],4,FALSE)</f>
        <v>196927</v>
      </c>
      <c r="CM226" s="404" t="str">
        <f t="shared" si="3"/>
        <v>Notcovered</v>
      </c>
      <c r="CN226" s="404"/>
    </row>
    <row r="227" spans="1:92" ht="15.75" hidden="1" customHeight="1" x14ac:dyDescent="0.25">
      <c r="A227" s="548" t="s">
        <v>1409</v>
      </c>
      <c r="B227" s="530" t="s">
        <v>470</v>
      </c>
      <c r="C227" s="531" t="s">
        <v>464</v>
      </c>
      <c r="D227" s="531" t="s">
        <v>473</v>
      </c>
      <c r="E227" s="531" t="s">
        <v>875</v>
      </c>
      <c r="F227" s="402">
        <v>289</v>
      </c>
      <c r="G227" s="405">
        <v>1419</v>
      </c>
      <c r="H227" s="402"/>
      <c r="I227" s="402"/>
      <c r="J227" s="403"/>
      <c r="K227" s="402"/>
      <c r="L227" s="402" t="s">
        <v>292</v>
      </c>
      <c r="M227" s="404">
        <v>0</v>
      </c>
      <c r="N227" s="404">
        <v>0</v>
      </c>
      <c r="O227" s="605">
        <v>0</v>
      </c>
      <c r="P227" s="606">
        <v>0</v>
      </c>
      <c r="Q227" s="606"/>
      <c r="R227" s="607"/>
      <c r="S227" s="607">
        <v>2</v>
      </c>
      <c r="T227" s="607"/>
      <c r="U227" s="607"/>
      <c r="V227" s="607"/>
      <c r="W227" s="607"/>
      <c r="X227" s="607"/>
      <c r="Y227" s="607"/>
      <c r="Z227" s="598">
        <v>0</v>
      </c>
      <c r="AA227" s="598"/>
      <c r="AB227" s="80"/>
      <c r="AC227" s="598">
        <v>0</v>
      </c>
      <c r="AD227" s="598" t="s">
        <v>296</v>
      </c>
      <c r="AE227" s="599" t="s">
        <v>296</v>
      </c>
      <c r="AF227" s="599"/>
      <c r="AG227" s="598"/>
      <c r="AH227" s="598"/>
      <c r="AI227" s="649">
        <v>0</v>
      </c>
      <c r="AJ227" s="650"/>
      <c r="AK227" s="650">
        <v>0</v>
      </c>
      <c r="AL227" s="645"/>
      <c r="AM227" s="645"/>
      <c r="AN227" s="600"/>
      <c r="AO227" s="600"/>
      <c r="AP227" s="600"/>
      <c r="AQ227" s="651"/>
      <c r="AR227" s="404" t="str">
        <f>IFERROR(WWWW[[#This Row],['# of Water passed at source]]/WWWW[[#This Row],['# of Water tested at source]],"no test")</f>
        <v>no test</v>
      </c>
      <c r="AS227" s="407" t="str">
        <f>IFERROR(WWWW[[#This Row],['# of Water passed at HH]]/WWWW[[#This Row],['# of Water tested at HH]],"no test")</f>
        <v>no test</v>
      </c>
      <c r="AT227" s="407">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U227" s="407">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AV227" s="407">
        <f>IF(WWWW[[#This Row],[Location Type 1]]="Village",WWWW[[#This Row],[Access to safe drinking water for Village]],WWWW[[#This Row],[Access to safe drinking water for Camp]])</f>
        <v>0</v>
      </c>
      <c r="AW227" s="405">
        <f>WWWW[[#This Row],[%Equitable and continuous access to sufficient quantity of safe drinking water]]*WWWW[[#This Row],[Total PoP ]]</f>
        <v>0</v>
      </c>
      <c r="AX227" s="407">
        <f>IF((WWWW[[#This Row],['# Existing protected/fenced ponds ]]*250)/WWWW[[#This Row],[Total PoP ]]&gt;1,1,WWWW[[#This Row],['# Existing protected/fenced ponds ]]*250/WWWW[[#This Row],[Total PoP ]])</f>
        <v>0</v>
      </c>
      <c r="AY227" s="405">
        <f>WWWW[[#This Row],[Access to unimproved water points]]*WWWW[[#This Row],[Total PoP ]]</f>
        <v>0</v>
      </c>
      <c r="AZ227" s="407">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A227" s="405">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B227" s="414">
        <f>ROUND(WWWW[[#This Row],['#people Equitable and continuous access to sufficient quantity of domestic water borehole n ponds_2]]/500,0)</f>
        <v>0</v>
      </c>
      <c r="BC227" s="404">
        <f>1-WWWW[[#This Row],[%Equitable and continuous access to sufficient quantity of domestic water borehole n ponds]]</f>
        <v>1</v>
      </c>
      <c r="BD227" s="405">
        <f>WWWW[[#This Row],[%equitable and continuous access to sufficient quantity of safe drinking and domestic water''s GAP]]*WWWW[[#This Row],[Total PoP ]]</f>
        <v>1419</v>
      </c>
      <c r="BE227" s="406">
        <f>IF(WWWW[[#This Row],[Total required water points]]-WWWW[[#This Row],['#Water points coverage]]&lt;0,0,WWWW[[#This Row],[Total required water points]]-WWWW[[#This Row],['#Water points coverage]])</f>
        <v>3</v>
      </c>
      <c r="BF227" s="406">
        <f>ROUND(IF(WWWW[[#This Row],[Total PoP ]]&lt;500,1,WWWW[[#This Row],[Total PoP ]]/500),0)</f>
        <v>3</v>
      </c>
      <c r="BG227" s="406" t="str">
        <f>IF(AND(WWWW[[#This Row],[%of Water samples which passed at water source]]="no test",WWWW[[#This Row],[%Water samples which passed at HH]]="no test"),"No Test","Tested")</f>
        <v>No Test</v>
      </c>
      <c r="BH227" s="406">
        <f>WWWW[[#This Row],['# Existing functional latrines]]+WWWW[[#This Row],['# Existing latrines dysfunctional]]</f>
        <v>0</v>
      </c>
      <c r="BI227" s="404">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J227" s="676">
        <f>WWWW[[#This Row],[% people access to functioning Latrine]]*WWWW[[#This Row],[Total PoP ]]</f>
        <v>0</v>
      </c>
      <c r="BK227" s="404">
        <f>IF(WWWW[[#This Row],[Location Type 1]]="camp",WWWW[[#This Row],['# potential required new latrines]]/(WWWW[[#This Row],[Total PoP ]]/20),WWWW[[#This Row],['# potential required new latrines]]/(WWWW[[#This Row],[Total PoP ]]/6))</f>
        <v>1.0021141649048626</v>
      </c>
      <c r="BL227" s="405">
        <f>IF(WWWW[[#This Row],[Total required Latrines]]-WWWW[[#This Row],[Total '# of latrine]]&lt;0,0,WWWW[[#This Row],[Total required Latrines]]-WWWW[[#This Row],[Total '# of latrine]])</f>
        <v>237</v>
      </c>
      <c r="BM227" s="406">
        <f>ROUND(IF(WWWW[[#This Row],[Location Type 1]]="camp",WWWW[[#This Row],[Total PoP ]]/20,WWWW[[#This Row],[Total PoP ]]/6),0)</f>
        <v>237</v>
      </c>
      <c r="BN227" s="408">
        <f>IF(OR(WWWW[[#This Row],['# Existing latrines dysfunctional]]="",WWWW[[#This Row],['# Existing latrines dysfunctional]]=0),0,WWWW[[#This Row],['# Existing latrines dysfunctional]]/WWWW[[#This Row],[Total '# of latrine]])</f>
        <v>0</v>
      </c>
      <c r="BO227" s="676"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P227" s="404">
        <f>WWWW[[#This Row],[People adopt basic personal and community hygiene practices]]/WWWW[[#This Row],[Total PoP ]]</f>
        <v>0</v>
      </c>
      <c r="BQ227" s="408">
        <f>1-WWWW[[#This Row],[Hygiene Coverage%]]</f>
        <v>1</v>
      </c>
      <c r="BR227" s="405">
        <f>IF(500*WWWW[[#This Row],['# Hygiene Promoters ]]&gt;WWWW[[#This Row],[Total PoP ]],WWWW[[#This Row],[Total PoP ]],500*WWWW[[#This Row],['# Hygiene Promoters ]])</f>
        <v>0</v>
      </c>
      <c r="BS227" s="405">
        <f>IF(WWWW[[#This Row],[% of HH with access to Sanitary Pad]]&gt;=100%,1,0)</f>
        <v>0</v>
      </c>
      <c r="BT227" s="405">
        <f>IF(WWWW[[#This Row],[Total PoP ]]=0,0,IF(WWWW[[#This Row],['# Hygiene Promoters ]]=0,0,IF(WWWW[[#This Row],[Location Type 1]]="Village",IF(WWWW[[#This Row],[Total PoP ]]/WWWW[[#This Row],['# Hygiene Promoters ]]&lt;1000,1,0),IF(WWWW[[#This Row],[Total PoP ]]/WWWW[[#This Row],['# Hygiene Promoters ]]&lt;600,1,0))))</f>
        <v>0</v>
      </c>
      <c r="BU227" s="405">
        <f>IF(WWWW[[#This Row],[%HH with access to soap]]&gt;=100%,1,0)</f>
        <v>0</v>
      </c>
      <c r="BV227" s="405">
        <f>IF(WWWW[[#This Row],[% of HHs with access to Sanitary pad more than '#%]]+WWWW[[#This Row],[Ratio of Hyiene promoters to people less than '#]]+WWWW[[#This Row],[% of HHs with access to soap more than '#%]]&gt;=2,WWWW[[#This Row],[Total PoP ]],0)</f>
        <v>0</v>
      </c>
      <c r="BW227" s="391">
        <f>WWWW[[#This Row],['# people reached by regular dedicated hygiene promotion_5]]/WWWW[[#This Row],[Total PoP ]]</f>
        <v>0</v>
      </c>
      <c r="BX227" s="391">
        <f>IF(WWWW[[#This Row],['# HH received soaps]]/WWWW[[#This Row],[Total HH]]&gt;1,1,WWWW[[#This Row],['# HH received soaps]]/WWWW[[#This Row],[Total HH]])</f>
        <v>0</v>
      </c>
      <c r="BY227" s="391">
        <f>IF(WWWW[[#This Row],['# HH received Sanitary Pads]]/WWWW[[#This Row],[Total HH]]&gt;1,1,WWWW[[#This Row],['# HH received Sanitary Pads]]/WWWW[[#This Row],[Total HH]])</f>
        <v>0</v>
      </c>
      <c r="BZ227" s="721">
        <f>WWWW[[#This Row],['# HH received soaps]]*5</f>
        <v>0</v>
      </c>
      <c r="CA227" s="721">
        <f>WWWW[[#This Row],['# HH received Sanitary Pads]]*5</f>
        <v>0</v>
      </c>
      <c r="CB227" s="406">
        <f>IF(WWWW[[#This Row],['# People with access to soap]]&gt;WWWW[[#This Row],['# People with access to Sanity Pads]],WWWW[[#This Row],['# People with access to soap]],WWWW[[#This Row],['# People with access to Sanity Pads]])</f>
        <v>0</v>
      </c>
      <c r="CC227" s="405">
        <f>WWWW[[#This Row],[Total HH]]*WWWW[[#This Row],[%HHs with access to functional hand washing stations]]</f>
        <v>0</v>
      </c>
      <c r="CD227" s="240">
        <f>VLOOKUP(WWWW[[#This Row],[Site Name]],SiteDB6[],8,FALSE)</f>
        <v>0</v>
      </c>
      <c r="CE227" s="240">
        <f>VLOOKUP(WWWW[[#This Row],[Site Name]],SiteDB6[],9,FALSE)</f>
        <v>0</v>
      </c>
      <c r="CF227" s="240" t="str">
        <f>VLOOKUP(WWWW[[#This Row],[Site Name]],SiteDB6[],10,FALSE)</f>
        <v>Village</v>
      </c>
      <c r="CG227" s="240" t="str">
        <f>VLOOKUP(WWWW[[#This Row],[Site Name]],SiteDB6[],11,FALSE)</f>
        <v>Village</v>
      </c>
      <c r="CH227" s="240" t="str">
        <f>VLOOKUP(WWWW[[#This Row],[Site Name]],SiteDB6[],12,FALSE)</f>
        <v>Village</v>
      </c>
      <c r="CI227" s="240" t="str">
        <f>VLOOKUP(WWWW[[#This Row],[Site Name]],SiteDB6[],13,FALSE)</f>
        <v>Rakhine</v>
      </c>
      <c r="CJ227" s="240">
        <f>VLOOKUP(WWWW[[#This Row],[Site Name]],SiteDB6[],14,FALSE)</f>
        <v>20.716699600219702</v>
      </c>
      <c r="CK227" s="240">
        <f>VLOOKUP(WWWW[[#This Row],[Site Name]],SiteDB6[],15,FALSE)</f>
        <v>92.997863769531307</v>
      </c>
      <c r="CL227" s="240" t="str">
        <f>VLOOKUP(WWWW[[#This Row],[Site Name]],SiteDB6[],4,FALSE)</f>
        <v>196971</v>
      </c>
      <c r="CM227" s="404" t="str">
        <f t="shared" si="3"/>
        <v>Notcovered</v>
      </c>
      <c r="CN227" s="404"/>
    </row>
    <row r="228" spans="1:92" ht="15.75" hidden="1" customHeight="1" x14ac:dyDescent="0.25">
      <c r="A228" s="548" t="s">
        <v>1409</v>
      </c>
      <c r="B228" s="541" t="s">
        <v>470</v>
      </c>
      <c r="C228" s="541" t="s">
        <v>464</v>
      </c>
      <c r="D228" s="541" t="s">
        <v>473</v>
      </c>
      <c r="E228" s="541" t="s">
        <v>876</v>
      </c>
      <c r="F228" s="233">
        <v>175</v>
      </c>
      <c r="G228" s="414">
        <v>855</v>
      </c>
      <c r="H228" s="233"/>
      <c r="I228" s="169"/>
      <c r="J228" s="234"/>
      <c r="K228" s="169"/>
      <c r="L228" s="402" t="s">
        <v>292</v>
      </c>
      <c r="M228" s="404">
        <v>0</v>
      </c>
      <c r="N228" s="404">
        <v>0</v>
      </c>
      <c r="O228" s="608">
        <v>0</v>
      </c>
      <c r="P228" s="609">
        <v>0</v>
      </c>
      <c r="Q228" s="610"/>
      <c r="R228" s="611"/>
      <c r="S228" s="611">
        <v>1</v>
      </c>
      <c r="T228" s="606"/>
      <c r="U228" s="606"/>
      <c r="V228" s="606"/>
      <c r="W228" s="606"/>
      <c r="X228" s="606"/>
      <c r="Y228" s="604"/>
      <c r="Z228" s="598">
        <v>0</v>
      </c>
      <c r="AA228" s="599"/>
      <c r="AB228" s="629"/>
      <c r="AC228" s="632">
        <v>0</v>
      </c>
      <c r="AD228" s="628" t="s">
        <v>296</v>
      </c>
      <c r="AE228" s="80" t="s">
        <v>296</v>
      </c>
      <c r="AF228" s="80"/>
      <c r="AG228" s="80"/>
      <c r="AH228" s="633"/>
      <c r="AI228" s="652">
        <v>0</v>
      </c>
      <c r="AJ228" s="653"/>
      <c r="AK228" s="651">
        <v>0</v>
      </c>
      <c r="AL228" s="645"/>
      <c r="AM228" s="645"/>
      <c r="AN228" s="600"/>
      <c r="AO228" s="600"/>
      <c r="AP228" s="600"/>
      <c r="AQ228" s="658"/>
      <c r="AR228" s="235" t="str">
        <f>IFERROR(WWWW[[#This Row],['# of Water passed at source]]/WWWW[[#This Row],['# of Water tested at source]],"no test")</f>
        <v>no test</v>
      </c>
      <c r="AS228" s="237" t="str">
        <f>IFERROR(WWWW[[#This Row],['# of Water passed at HH]]/WWWW[[#This Row],['# of Water tested at HH]],"no test")</f>
        <v>no test</v>
      </c>
      <c r="AT228" s="237">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U228" s="237">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AV228" s="237">
        <f>IF(WWWW[[#This Row],[Location Type 1]]="Village",WWWW[[#This Row],[Access to safe drinking water for Village]],WWWW[[#This Row],[Access to safe drinking water for Camp]])</f>
        <v>0</v>
      </c>
      <c r="AW228" s="414">
        <f>WWWW[[#This Row],[%Equitable and continuous access to sufficient quantity of safe drinking water]]*WWWW[[#This Row],[Total PoP ]]</f>
        <v>0</v>
      </c>
      <c r="AX228" s="237">
        <f>IF((WWWW[[#This Row],['# Existing protected/fenced ponds ]]*250)/WWWW[[#This Row],[Total PoP ]]&gt;1,1,WWWW[[#This Row],['# Existing protected/fenced ponds ]]*250/WWWW[[#This Row],[Total PoP ]])</f>
        <v>0</v>
      </c>
      <c r="AY228" s="414">
        <f>WWWW[[#This Row],[Access to unimproved water points]]*WWWW[[#This Row],[Total PoP ]]</f>
        <v>0</v>
      </c>
      <c r="AZ228" s="237">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A228" s="414">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B228" s="414">
        <f>ROUND(WWWW[[#This Row],['#people Equitable and continuous access to sufficient quantity of domestic water borehole n ponds_2]]/500,0)</f>
        <v>0</v>
      </c>
      <c r="BC228" s="235">
        <f>1-WWWW[[#This Row],[%Equitable and continuous access to sufficient quantity of domestic water borehole n ponds]]</f>
        <v>1</v>
      </c>
      <c r="BD228" s="414">
        <f>WWWW[[#This Row],[%equitable and continuous access to sufficient quantity of safe drinking and domestic water''s GAP]]*WWWW[[#This Row],[Total PoP ]]</f>
        <v>855</v>
      </c>
      <c r="BE228" s="238">
        <f>IF(WWWW[[#This Row],[Total required water points]]-WWWW[[#This Row],['#Water points coverage]]&lt;0,0,WWWW[[#This Row],[Total required water points]]-WWWW[[#This Row],['#Water points coverage]])</f>
        <v>2</v>
      </c>
      <c r="BF228" s="238">
        <f>ROUND(IF(WWWW[[#This Row],[Total PoP ]]&lt;500,1,WWWW[[#This Row],[Total PoP ]]/500),0)</f>
        <v>2</v>
      </c>
      <c r="BG228" s="238" t="str">
        <f>IF(AND(WWWW[[#This Row],[%of Water samples which passed at water source]]="no test",WWWW[[#This Row],[%Water samples which passed at HH]]="no test"),"No Test","Tested")</f>
        <v>No Test</v>
      </c>
      <c r="BH228" s="238">
        <f>WWWW[[#This Row],['# Existing functional latrines]]+WWWW[[#This Row],['# Existing latrines dysfunctional]]</f>
        <v>0</v>
      </c>
      <c r="BI228" s="235">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J228" s="675">
        <f>WWWW[[#This Row],[% people access to functioning Latrine]]*WWWW[[#This Row],[Total PoP ]]</f>
        <v>0</v>
      </c>
      <c r="BK228" s="235">
        <f>IF(WWWW[[#This Row],[Location Type 1]]="camp",WWWW[[#This Row],['# potential required new latrines]]/(WWWW[[#This Row],[Total PoP ]]/20),WWWW[[#This Row],['# potential required new latrines]]/(WWWW[[#This Row],[Total PoP ]]/6))</f>
        <v>1.0035087719298246</v>
      </c>
      <c r="BL228" s="414">
        <f>IF(WWWW[[#This Row],[Total required Latrines]]-WWWW[[#This Row],[Total '# of latrine]]&lt;0,0,WWWW[[#This Row],[Total required Latrines]]-WWWW[[#This Row],[Total '# of latrine]])</f>
        <v>143</v>
      </c>
      <c r="BM228" s="238">
        <f>ROUND(IF(WWWW[[#This Row],[Location Type 1]]="camp",WWWW[[#This Row],[Total PoP ]]/20,WWWW[[#This Row],[Total PoP ]]/6),0)</f>
        <v>143</v>
      </c>
      <c r="BN228" s="239">
        <f>IF(OR(WWWW[[#This Row],['# Existing latrines dysfunctional]]="",WWWW[[#This Row],['# Existing latrines dysfunctional]]=0),0,WWWW[[#This Row],['# Existing latrines dysfunctional]]/WWWW[[#This Row],[Total '# of latrine]])</f>
        <v>0</v>
      </c>
      <c r="BO228" s="675"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P228" s="235">
        <f>WWWW[[#This Row],[People adopt basic personal and community hygiene practices]]/WWWW[[#This Row],[Total PoP ]]</f>
        <v>0</v>
      </c>
      <c r="BQ228" s="239">
        <f>1-WWWW[[#This Row],[Hygiene Coverage%]]</f>
        <v>1</v>
      </c>
      <c r="BR228" s="405">
        <f>IF(500*WWWW[[#This Row],['# Hygiene Promoters ]]&gt;WWWW[[#This Row],[Total PoP ]],WWWW[[#This Row],[Total PoP ]],500*WWWW[[#This Row],['# Hygiene Promoters ]])</f>
        <v>0</v>
      </c>
      <c r="BS228" s="405">
        <f>IF(WWWW[[#This Row],[% of HH with access to Sanitary Pad]]&gt;=100%,1,0)</f>
        <v>0</v>
      </c>
      <c r="BT228" s="405">
        <f>IF(WWWW[[#This Row],[Total PoP ]]=0,0,IF(WWWW[[#This Row],['# Hygiene Promoters ]]=0,0,IF(WWWW[[#This Row],[Location Type 1]]="Village",IF(WWWW[[#This Row],[Total PoP ]]/WWWW[[#This Row],['# Hygiene Promoters ]]&lt;1000,1,0),IF(WWWW[[#This Row],[Total PoP ]]/WWWW[[#This Row],['# Hygiene Promoters ]]&lt;600,1,0))))</f>
        <v>0</v>
      </c>
      <c r="BU228" s="405">
        <f>IF(WWWW[[#This Row],[%HH with access to soap]]&gt;=100%,1,0)</f>
        <v>0</v>
      </c>
      <c r="BV228" s="405">
        <f>IF(WWWW[[#This Row],[% of HHs with access to Sanitary pad more than '#%]]+WWWW[[#This Row],[Ratio of Hyiene promoters to people less than '#]]+WWWW[[#This Row],[% of HHs with access to soap more than '#%]]&gt;=2,WWWW[[#This Row],[Total PoP ]],0)</f>
        <v>0</v>
      </c>
      <c r="BW228" s="346">
        <f>WWWW[[#This Row],['# people reached by regular dedicated hygiene promotion_5]]/WWWW[[#This Row],[Total PoP ]]</f>
        <v>0</v>
      </c>
      <c r="BX228" s="346">
        <f>IF(WWWW[[#This Row],['# HH received soaps]]/WWWW[[#This Row],[Total HH]]&gt;1,1,WWWW[[#This Row],['# HH received soaps]]/WWWW[[#This Row],[Total HH]])</f>
        <v>0</v>
      </c>
      <c r="BY228" s="346">
        <f>IF(WWWW[[#This Row],['# HH received Sanitary Pads]]/WWWW[[#This Row],[Total HH]]&gt;1,1,WWWW[[#This Row],['# HH received Sanitary Pads]]/WWWW[[#This Row],[Total HH]])</f>
        <v>0</v>
      </c>
      <c r="BZ228" s="720">
        <f>WWWW[[#This Row],['# HH received soaps]]*5</f>
        <v>0</v>
      </c>
      <c r="CA228" s="720">
        <f>WWWW[[#This Row],['# HH received Sanitary Pads]]*5</f>
        <v>0</v>
      </c>
      <c r="CB228" s="675">
        <f>IF(WWWW[[#This Row],['# People with access to soap]]&gt;WWWW[[#This Row],['# People with access to Sanity Pads]],WWWW[[#This Row],['# People with access to soap]],WWWW[[#This Row],['# People with access to Sanity Pads]])</f>
        <v>0</v>
      </c>
      <c r="CC228" s="414">
        <f>WWWW[[#This Row],[Total HH]]*WWWW[[#This Row],[%HHs with access to functional hand washing stations]]</f>
        <v>0</v>
      </c>
      <c r="CD228" s="240">
        <f>VLOOKUP(WWWW[[#This Row],[Site Name]],SiteDB6[],8,FALSE)</f>
        <v>0</v>
      </c>
      <c r="CE228" s="240">
        <f>VLOOKUP(WWWW[[#This Row],[Site Name]],SiteDB6[],9,FALSE)</f>
        <v>0</v>
      </c>
      <c r="CF228" s="240" t="str">
        <f>VLOOKUP(WWWW[[#This Row],[Site Name]],SiteDB6[],10,FALSE)</f>
        <v>Village</v>
      </c>
      <c r="CG228" s="240" t="str">
        <f>VLOOKUP(WWWW[[#This Row],[Site Name]],SiteDB6[],11,FALSE)</f>
        <v>Village</v>
      </c>
      <c r="CH228" s="240" t="str">
        <f>VLOOKUP(WWWW[[#This Row],[Site Name]],SiteDB6[],12,FALSE)</f>
        <v>Village</v>
      </c>
      <c r="CI228" s="240" t="str">
        <f>VLOOKUP(WWWW[[#This Row],[Site Name]],SiteDB6[],13,FALSE)</f>
        <v>Rakhine</v>
      </c>
      <c r="CJ228" s="240">
        <f>VLOOKUP(WWWW[[#This Row],[Site Name]],SiteDB6[],14,FALSE)</f>
        <v>20.627639770507798</v>
      </c>
      <c r="CK228" s="240">
        <f>VLOOKUP(WWWW[[#This Row],[Site Name]],SiteDB6[],15,FALSE)</f>
        <v>93.022773742675795</v>
      </c>
      <c r="CL228" s="240" t="str">
        <f>VLOOKUP(WWWW[[#This Row],[Site Name]],SiteDB6[],4,FALSE)</f>
        <v>196878</v>
      </c>
      <c r="CM228" s="235" t="str">
        <f t="shared" si="3"/>
        <v>Notcovered</v>
      </c>
      <c r="CN228" s="240"/>
    </row>
    <row r="229" spans="1:92" ht="15.75" hidden="1" customHeight="1" x14ac:dyDescent="0.25">
      <c r="A229" s="548" t="s">
        <v>1409</v>
      </c>
      <c r="B229" s="541" t="s">
        <v>470</v>
      </c>
      <c r="C229" s="541" t="s">
        <v>464</v>
      </c>
      <c r="D229" s="541" t="s">
        <v>473</v>
      </c>
      <c r="E229" s="541" t="s">
        <v>877</v>
      </c>
      <c r="F229" s="233">
        <v>130</v>
      </c>
      <c r="G229" s="414">
        <v>664</v>
      </c>
      <c r="H229" s="233"/>
      <c r="I229" s="169"/>
      <c r="J229" s="234"/>
      <c r="K229" s="169"/>
      <c r="L229" s="402" t="s">
        <v>292</v>
      </c>
      <c r="M229" s="404">
        <v>0</v>
      </c>
      <c r="N229" s="404">
        <v>0</v>
      </c>
      <c r="O229" s="608">
        <v>0</v>
      </c>
      <c r="P229" s="609">
        <v>0</v>
      </c>
      <c r="Q229" s="610"/>
      <c r="R229" s="611"/>
      <c r="S229" s="611">
        <v>1</v>
      </c>
      <c r="T229" s="606"/>
      <c r="U229" s="606"/>
      <c r="V229" s="606"/>
      <c r="W229" s="606"/>
      <c r="X229" s="606"/>
      <c r="Y229" s="604"/>
      <c r="Z229" s="598">
        <v>0</v>
      </c>
      <c r="AA229" s="599"/>
      <c r="AB229" s="629"/>
      <c r="AC229" s="632">
        <v>0</v>
      </c>
      <c r="AD229" s="628" t="s">
        <v>296</v>
      </c>
      <c r="AE229" s="80" t="s">
        <v>296</v>
      </c>
      <c r="AF229" s="80"/>
      <c r="AG229" s="80"/>
      <c r="AH229" s="633"/>
      <c r="AI229" s="652">
        <v>0</v>
      </c>
      <c r="AJ229" s="653"/>
      <c r="AK229" s="651">
        <v>0</v>
      </c>
      <c r="AL229" s="645"/>
      <c r="AM229" s="645"/>
      <c r="AN229" s="600"/>
      <c r="AO229" s="600"/>
      <c r="AP229" s="600"/>
      <c r="AQ229" s="658"/>
      <c r="AR229" s="235" t="str">
        <f>IFERROR(WWWW[[#This Row],['# of Water passed at source]]/WWWW[[#This Row],['# of Water tested at source]],"no test")</f>
        <v>no test</v>
      </c>
      <c r="AS229" s="237" t="str">
        <f>IFERROR(WWWW[[#This Row],['# of Water passed at HH]]/WWWW[[#This Row],['# of Water tested at HH]],"no test")</f>
        <v>no test</v>
      </c>
      <c r="AT229" s="237">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U229" s="237">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AV229" s="237">
        <f>IF(WWWW[[#This Row],[Location Type 1]]="Village",WWWW[[#This Row],[Access to safe drinking water for Village]],WWWW[[#This Row],[Access to safe drinking water for Camp]])</f>
        <v>0</v>
      </c>
      <c r="AW229" s="414">
        <f>WWWW[[#This Row],[%Equitable and continuous access to sufficient quantity of safe drinking water]]*WWWW[[#This Row],[Total PoP ]]</f>
        <v>0</v>
      </c>
      <c r="AX229" s="237">
        <f>IF((WWWW[[#This Row],['# Existing protected/fenced ponds ]]*250)/WWWW[[#This Row],[Total PoP ]]&gt;1,1,WWWW[[#This Row],['# Existing protected/fenced ponds ]]*250/WWWW[[#This Row],[Total PoP ]])</f>
        <v>0</v>
      </c>
      <c r="AY229" s="414">
        <f>WWWW[[#This Row],[Access to unimproved water points]]*WWWW[[#This Row],[Total PoP ]]</f>
        <v>0</v>
      </c>
      <c r="AZ229" s="237">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A229" s="414">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B229" s="414">
        <f>ROUND(WWWW[[#This Row],['#people Equitable and continuous access to sufficient quantity of domestic water borehole n ponds_2]]/500,0)</f>
        <v>0</v>
      </c>
      <c r="BC229" s="235">
        <f>1-WWWW[[#This Row],[%Equitable and continuous access to sufficient quantity of domestic water borehole n ponds]]</f>
        <v>1</v>
      </c>
      <c r="BD229" s="414">
        <f>WWWW[[#This Row],[%equitable and continuous access to sufficient quantity of safe drinking and domestic water''s GAP]]*WWWW[[#This Row],[Total PoP ]]</f>
        <v>664</v>
      </c>
      <c r="BE229" s="238">
        <f>IF(WWWW[[#This Row],[Total required water points]]-WWWW[[#This Row],['#Water points coverage]]&lt;0,0,WWWW[[#This Row],[Total required water points]]-WWWW[[#This Row],['#Water points coverage]])</f>
        <v>1</v>
      </c>
      <c r="BF229" s="238">
        <f>ROUND(IF(WWWW[[#This Row],[Total PoP ]]&lt;500,1,WWWW[[#This Row],[Total PoP ]]/500),0)</f>
        <v>1</v>
      </c>
      <c r="BG229" s="238" t="str">
        <f>IF(AND(WWWW[[#This Row],[%of Water samples which passed at water source]]="no test",WWWW[[#This Row],[%Water samples which passed at HH]]="no test"),"No Test","Tested")</f>
        <v>No Test</v>
      </c>
      <c r="BH229" s="238">
        <f>WWWW[[#This Row],['# Existing functional latrines]]+WWWW[[#This Row],['# Existing latrines dysfunctional]]</f>
        <v>0</v>
      </c>
      <c r="BI229" s="235">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J229" s="675">
        <f>WWWW[[#This Row],[% people access to functioning Latrine]]*WWWW[[#This Row],[Total PoP ]]</f>
        <v>0</v>
      </c>
      <c r="BK229" s="235">
        <f>IF(WWWW[[#This Row],[Location Type 1]]="camp",WWWW[[#This Row],['# potential required new latrines]]/(WWWW[[#This Row],[Total PoP ]]/20),WWWW[[#This Row],['# potential required new latrines]]/(WWWW[[#This Row],[Total PoP ]]/6))</f>
        <v>1.0030120481927711</v>
      </c>
      <c r="BL229" s="414">
        <f>IF(WWWW[[#This Row],[Total required Latrines]]-WWWW[[#This Row],[Total '# of latrine]]&lt;0,0,WWWW[[#This Row],[Total required Latrines]]-WWWW[[#This Row],[Total '# of latrine]])</f>
        <v>111</v>
      </c>
      <c r="BM229" s="238">
        <f>ROUND(IF(WWWW[[#This Row],[Location Type 1]]="camp",WWWW[[#This Row],[Total PoP ]]/20,WWWW[[#This Row],[Total PoP ]]/6),0)</f>
        <v>111</v>
      </c>
      <c r="BN229" s="239">
        <f>IF(OR(WWWW[[#This Row],['# Existing latrines dysfunctional]]="",WWWW[[#This Row],['# Existing latrines dysfunctional]]=0),0,WWWW[[#This Row],['# Existing latrines dysfunctional]]/WWWW[[#This Row],[Total '# of latrine]])</f>
        <v>0</v>
      </c>
      <c r="BO229" s="675"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P229" s="235">
        <f>WWWW[[#This Row],[People adopt basic personal and community hygiene practices]]/WWWW[[#This Row],[Total PoP ]]</f>
        <v>0</v>
      </c>
      <c r="BQ229" s="239">
        <f>1-WWWW[[#This Row],[Hygiene Coverage%]]</f>
        <v>1</v>
      </c>
      <c r="BR229" s="405">
        <f>IF(500*WWWW[[#This Row],['# Hygiene Promoters ]]&gt;WWWW[[#This Row],[Total PoP ]],WWWW[[#This Row],[Total PoP ]],500*WWWW[[#This Row],['# Hygiene Promoters ]])</f>
        <v>0</v>
      </c>
      <c r="BS229" s="405">
        <f>IF(WWWW[[#This Row],[% of HH with access to Sanitary Pad]]&gt;=100%,1,0)</f>
        <v>0</v>
      </c>
      <c r="BT229" s="405">
        <f>IF(WWWW[[#This Row],[Total PoP ]]=0,0,IF(WWWW[[#This Row],['# Hygiene Promoters ]]=0,0,IF(WWWW[[#This Row],[Location Type 1]]="Village",IF(WWWW[[#This Row],[Total PoP ]]/WWWW[[#This Row],['# Hygiene Promoters ]]&lt;1000,1,0),IF(WWWW[[#This Row],[Total PoP ]]/WWWW[[#This Row],['# Hygiene Promoters ]]&lt;600,1,0))))</f>
        <v>0</v>
      </c>
      <c r="BU229" s="405">
        <f>IF(WWWW[[#This Row],[%HH with access to soap]]&gt;=100%,1,0)</f>
        <v>0</v>
      </c>
      <c r="BV229" s="405">
        <f>IF(WWWW[[#This Row],[% of HHs with access to Sanitary pad more than '#%]]+WWWW[[#This Row],[Ratio of Hyiene promoters to people less than '#]]+WWWW[[#This Row],[% of HHs with access to soap more than '#%]]&gt;=2,WWWW[[#This Row],[Total PoP ]],0)</f>
        <v>0</v>
      </c>
      <c r="BW229" s="346">
        <f>WWWW[[#This Row],['# people reached by regular dedicated hygiene promotion_5]]/WWWW[[#This Row],[Total PoP ]]</f>
        <v>0</v>
      </c>
      <c r="BX229" s="346">
        <f>IF(WWWW[[#This Row],['# HH received soaps]]/WWWW[[#This Row],[Total HH]]&gt;1,1,WWWW[[#This Row],['# HH received soaps]]/WWWW[[#This Row],[Total HH]])</f>
        <v>0</v>
      </c>
      <c r="BY229" s="346">
        <f>IF(WWWW[[#This Row],['# HH received Sanitary Pads]]/WWWW[[#This Row],[Total HH]]&gt;1,1,WWWW[[#This Row],['# HH received Sanitary Pads]]/WWWW[[#This Row],[Total HH]])</f>
        <v>0</v>
      </c>
      <c r="BZ229" s="720">
        <f>WWWW[[#This Row],['# HH received soaps]]*5</f>
        <v>0</v>
      </c>
      <c r="CA229" s="720">
        <f>WWWW[[#This Row],['# HH received Sanitary Pads]]*5</f>
        <v>0</v>
      </c>
      <c r="CB229" s="675">
        <f>IF(WWWW[[#This Row],['# People with access to soap]]&gt;WWWW[[#This Row],['# People with access to Sanity Pads]],WWWW[[#This Row],['# People with access to soap]],WWWW[[#This Row],['# People with access to Sanity Pads]])</f>
        <v>0</v>
      </c>
      <c r="CC229" s="414">
        <f>WWWW[[#This Row],[Total HH]]*WWWW[[#This Row],[%HHs with access to functional hand washing stations]]</f>
        <v>0</v>
      </c>
      <c r="CD229" s="240">
        <f>VLOOKUP(WWWW[[#This Row],[Site Name]],SiteDB6[],8,FALSE)</f>
        <v>0</v>
      </c>
      <c r="CE229" s="240">
        <f>VLOOKUP(WWWW[[#This Row],[Site Name]],SiteDB6[],9,FALSE)</f>
        <v>0</v>
      </c>
      <c r="CF229" s="240" t="str">
        <f>VLOOKUP(WWWW[[#This Row],[Site Name]],SiteDB6[],10,FALSE)</f>
        <v>Village</v>
      </c>
      <c r="CG229" s="240" t="str">
        <f>VLOOKUP(WWWW[[#This Row],[Site Name]],SiteDB6[],11,FALSE)</f>
        <v>Village</v>
      </c>
      <c r="CH229" s="240" t="str">
        <f>VLOOKUP(WWWW[[#This Row],[Site Name]],SiteDB6[],12,FALSE)</f>
        <v>Village</v>
      </c>
      <c r="CI229" s="240" t="str">
        <f>VLOOKUP(WWWW[[#This Row],[Site Name]],SiteDB6[],13,FALSE)</f>
        <v>Rakhine</v>
      </c>
      <c r="CJ229" s="240">
        <f>VLOOKUP(WWWW[[#This Row],[Site Name]],SiteDB6[],14,FALSE)</f>
        <v>20.6080207824707</v>
      </c>
      <c r="CK229" s="240">
        <f>VLOOKUP(WWWW[[#This Row],[Site Name]],SiteDB6[],15,FALSE)</f>
        <v>93.035400390625</v>
      </c>
      <c r="CL229" s="240" t="str">
        <f>VLOOKUP(WWWW[[#This Row],[Site Name]],SiteDB6[],4,FALSE)</f>
        <v>196875</v>
      </c>
      <c r="CM229" s="235" t="str">
        <f t="shared" si="3"/>
        <v>Notcovered</v>
      </c>
      <c r="CN229" s="240"/>
    </row>
    <row r="230" spans="1:92" ht="15.75" hidden="1" customHeight="1" x14ac:dyDescent="0.25">
      <c r="A230" s="334" t="s">
        <v>1409</v>
      </c>
      <c r="B230" s="530" t="s">
        <v>542</v>
      </c>
      <c r="C230" s="531" t="s">
        <v>464</v>
      </c>
      <c r="D230" s="531" t="s">
        <v>476</v>
      </c>
      <c r="E230" s="531" t="s">
        <v>836</v>
      </c>
      <c r="F230" s="402">
        <v>102</v>
      </c>
      <c r="G230" s="405">
        <v>368</v>
      </c>
      <c r="H230" s="402"/>
      <c r="I230" s="402" t="s">
        <v>398</v>
      </c>
      <c r="J230" s="403">
        <v>43145</v>
      </c>
      <c r="K230" s="402">
        <v>0</v>
      </c>
      <c r="L230" s="402" t="s">
        <v>48</v>
      </c>
      <c r="M230" s="404">
        <v>0</v>
      </c>
      <c r="N230" s="404">
        <v>0</v>
      </c>
      <c r="O230" s="612">
        <v>3</v>
      </c>
      <c r="P230" s="606">
        <v>0</v>
      </c>
      <c r="Q230" s="606">
        <v>0</v>
      </c>
      <c r="R230" s="607">
        <v>2</v>
      </c>
      <c r="S230" s="607">
        <v>0</v>
      </c>
      <c r="T230" s="607"/>
      <c r="U230" s="607"/>
      <c r="V230" s="607"/>
      <c r="W230" s="607"/>
      <c r="X230" s="607"/>
      <c r="Y230" s="607"/>
      <c r="Z230" s="598">
        <v>0</v>
      </c>
      <c r="AA230" s="598">
        <v>0</v>
      </c>
      <c r="AB230" s="80"/>
      <c r="AC230" s="598">
        <v>0</v>
      </c>
      <c r="AD230" s="598" t="s">
        <v>342</v>
      </c>
      <c r="AE230" s="599" t="s">
        <v>342</v>
      </c>
      <c r="AF230" s="599"/>
      <c r="AG230" s="598"/>
      <c r="AH230" s="598"/>
      <c r="AI230" s="649">
        <v>0</v>
      </c>
      <c r="AJ230" s="650" t="s">
        <v>294</v>
      </c>
      <c r="AK230" s="650">
        <v>0</v>
      </c>
      <c r="AL230" s="645">
        <v>0</v>
      </c>
      <c r="AM230" s="645">
        <v>7</v>
      </c>
      <c r="AN230" s="600"/>
      <c r="AO230" s="600"/>
      <c r="AP230" s="600"/>
      <c r="AQ230" s="651"/>
      <c r="AR230" s="404" t="str">
        <f>IFERROR(WWWW[[#This Row],['# of Water passed at source]]/WWWW[[#This Row],['# of Water tested at source]],"no test")</f>
        <v>no test</v>
      </c>
      <c r="AS230" s="407" t="str">
        <f>IFERROR(WWWW[[#This Row],['# of Water passed at HH]]/WWWW[[#This Row],['# of Water tested at HH]],"no test")</f>
        <v>no test</v>
      </c>
      <c r="AT230" s="407">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U230" s="407">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AV230" s="407">
        <f>IF(WWWW[[#This Row],[Location Type 1]]="Village",WWWW[[#This Row],[Access to safe drinking water for Village]],WWWW[[#This Row],[Access to safe drinking water for Camp]])</f>
        <v>1</v>
      </c>
      <c r="AW230" s="405">
        <f>WWWW[[#This Row],[%Equitable and continuous access to sufficient quantity of safe drinking water]]*WWWW[[#This Row],[Total PoP ]]</f>
        <v>368</v>
      </c>
      <c r="AX230" s="407">
        <f>IF((WWWW[[#This Row],['# Existing protected/fenced ponds ]]*250)/WWWW[[#This Row],[Total PoP ]]&gt;1,1,WWWW[[#This Row],['# Existing protected/fenced ponds ]]*250/WWWW[[#This Row],[Total PoP ]])</f>
        <v>1</v>
      </c>
      <c r="AY230" s="405">
        <f>WWWW[[#This Row],[Access to unimproved water points]]*WWWW[[#This Row],[Total PoP ]]</f>
        <v>368</v>
      </c>
      <c r="AZ230" s="407">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A230" s="405">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368</v>
      </c>
      <c r="BB230" s="414">
        <f>ROUND(WWWW[[#This Row],['#people Equitable and continuous access to sufficient quantity of domestic water borehole n ponds_2]]/500,0)</f>
        <v>1</v>
      </c>
      <c r="BC230" s="404">
        <f>1-WWWW[[#This Row],[%Equitable and continuous access to sufficient quantity of domestic water borehole n ponds]]</f>
        <v>0</v>
      </c>
      <c r="BD230" s="405">
        <f>WWWW[[#This Row],[%equitable and continuous access to sufficient quantity of safe drinking and domestic water''s GAP]]*WWWW[[#This Row],[Total PoP ]]</f>
        <v>0</v>
      </c>
      <c r="BE230" s="406">
        <f>IF(WWWW[[#This Row],[Total required water points]]-WWWW[[#This Row],['#Water points coverage]]&lt;0,0,WWWW[[#This Row],[Total required water points]]-WWWW[[#This Row],['#Water points coverage]])</f>
        <v>0</v>
      </c>
      <c r="BF230" s="406">
        <f>ROUND(IF(WWWW[[#This Row],[Total PoP ]]&lt;500,1,WWWW[[#This Row],[Total PoP ]]/500),0)</f>
        <v>1</v>
      </c>
      <c r="BG230" s="406" t="str">
        <f>IF(AND(WWWW[[#This Row],[%of Water samples which passed at water source]]="no test",WWWW[[#This Row],[%Water samples which passed at HH]]="no test"),"No Test","Tested")</f>
        <v>No Test</v>
      </c>
      <c r="BH230" s="406">
        <f>WWWW[[#This Row],['# Existing functional latrines]]+WWWW[[#This Row],['# Existing latrines dysfunctional]]</f>
        <v>0</v>
      </c>
      <c r="BI230" s="404">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J230" s="676">
        <f>WWWW[[#This Row],[% people access to functioning Latrine]]*WWWW[[#This Row],[Total PoP ]]</f>
        <v>0</v>
      </c>
      <c r="BK230" s="404">
        <f>IF(WWWW[[#This Row],[Location Type 1]]="camp",WWWW[[#This Row],['# potential required new latrines]]/(WWWW[[#This Row],[Total PoP ]]/20),WWWW[[#This Row],['# potential required new latrines]]/(WWWW[[#This Row],[Total PoP ]]/6))</f>
        <v>0.99456521739130432</v>
      </c>
      <c r="BL230" s="405">
        <f>IF(WWWW[[#This Row],[Total required Latrines]]-WWWW[[#This Row],[Total '# of latrine]]&lt;0,0,WWWW[[#This Row],[Total required Latrines]]-WWWW[[#This Row],[Total '# of latrine]])</f>
        <v>61</v>
      </c>
      <c r="BM230" s="406">
        <f>ROUND(IF(WWWW[[#This Row],[Location Type 1]]="camp",WWWW[[#This Row],[Total PoP ]]/20,WWWW[[#This Row],[Total PoP ]]/6),0)</f>
        <v>61</v>
      </c>
      <c r="BN230" s="408">
        <f>IF(OR(WWWW[[#This Row],['# Existing latrines dysfunctional]]="",WWWW[[#This Row],['# Existing latrines dysfunctional]]=0),0,WWWW[[#This Row],['# Existing latrines dysfunctional]]/WWWW[[#This Row],[Total '# of latrine]])</f>
        <v>0</v>
      </c>
      <c r="BO230" s="676"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P230" s="404">
        <f>WWWW[[#This Row],[People adopt basic personal and community hygiene practices]]/WWWW[[#This Row],[Total PoP ]]</f>
        <v>0</v>
      </c>
      <c r="BQ230" s="408">
        <f>1-WWWW[[#This Row],[Hygiene Coverage%]]</f>
        <v>1</v>
      </c>
      <c r="BR230" s="405">
        <f>IF(500*WWWW[[#This Row],['# Hygiene Promoters ]]&gt;WWWW[[#This Row],[Total PoP ]],WWWW[[#This Row],[Total PoP ]],500*WWWW[[#This Row],['# Hygiene Promoters ]])</f>
        <v>368</v>
      </c>
      <c r="BS230" s="405">
        <f>IF(WWWW[[#This Row],[% of HH with access to Sanitary Pad]]&gt;=100%,1,0)</f>
        <v>0</v>
      </c>
      <c r="BT230" s="405">
        <f>IF(WWWW[[#This Row],[Total PoP ]]=0,0,IF(WWWW[[#This Row],['# Hygiene Promoters ]]=0,0,IF(WWWW[[#This Row],[Location Type 1]]="Village",IF(WWWW[[#This Row],[Total PoP ]]/WWWW[[#This Row],['# Hygiene Promoters ]]&lt;1000,1,0),IF(WWWW[[#This Row],[Total PoP ]]/WWWW[[#This Row],['# Hygiene Promoters ]]&lt;600,1,0))))</f>
        <v>1</v>
      </c>
      <c r="BU230" s="405">
        <f>IF(WWWW[[#This Row],[%HH with access to soap]]&gt;=100%,1,0)</f>
        <v>0</v>
      </c>
      <c r="BV230" s="405">
        <f>IF(WWWW[[#This Row],[% of HHs with access to Sanitary pad more than '#%]]+WWWW[[#This Row],[Ratio of Hyiene promoters to people less than '#]]+WWWW[[#This Row],[% of HHs with access to soap more than '#%]]&gt;=2,WWWW[[#This Row],[Total PoP ]],0)</f>
        <v>0</v>
      </c>
      <c r="BW230" s="391">
        <f>WWWW[[#This Row],['# people reached by regular dedicated hygiene promotion_5]]/WWWW[[#This Row],[Total PoP ]]</f>
        <v>1</v>
      </c>
      <c r="BX230" s="391">
        <f>IF(WWWW[[#This Row],['# HH received soaps]]/WWWW[[#This Row],[Total HH]]&gt;1,1,WWWW[[#This Row],['# HH received soaps]]/WWWW[[#This Row],[Total HH]])</f>
        <v>0</v>
      </c>
      <c r="BY230" s="391">
        <f>IF(WWWW[[#This Row],['# HH received Sanitary Pads]]/WWWW[[#This Row],[Total HH]]&gt;1,1,WWWW[[#This Row],['# HH received Sanitary Pads]]/WWWW[[#This Row],[Total HH]])</f>
        <v>0</v>
      </c>
      <c r="BZ230" s="721">
        <f>WWWW[[#This Row],['# HH received soaps]]*5</f>
        <v>0</v>
      </c>
      <c r="CA230" s="721">
        <f>WWWW[[#This Row],['# HH received Sanitary Pads]]*5</f>
        <v>0</v>
      </c>
      <c r="CB230" s="406">
        <f>IF(WWWW[[#This Row],['# People with access to soap]]&gt;WWWW[[#This Row],['# People with access to Sanity Pads]],WWWW[[#This Row],['# People with access to soap]],WWWW[[#This Row],['# People with access to Sanity Pads]])</f>
        <v>0</v>
      </c>
      <c r="CC230" s="405">
        <f>WWWW[[#This Row],[Total HH]]*WWWW[[#This Row],[%HHs with access to functional hand washing stations]]</f>
        <v>0</v>
      </c>
      <c r="CD230" s="240">
        <f>VLOOKUP(WWWW[[#This Row],[Site Name]],SiteDB6[],8,FALSE)</f>
        <v>0</v>
      </c>
      <c r="CE230" s="240">
        <f>VLOOKUP(WWWW[[#This Row],[Site Name]],SiteDB6[],9,FALSE)</f>
        <v>0</v>
      </c>
      <c r="CF230" s="240" t="str">
        <f>VLOOKUP(WWWW[[#This Row],[Site Name]],SiteDB6[],10,FALSE)</f>
        <v>Village</v>
      </c>
      <c r="CG230" s="240" t="str">
        <f>VLOOKUP(WWWW[[#This Row],[Site Name]],SiteDB6[],11,FALSE)</f>
        <v>Village</v>
      </c>
      <c r="CH230" s="240" t="str">
        <f>VLOOKUP(WWWW[[#This Row],[Site Name]],SiteDB6[],12,FALSE)</f>
        <v>Village</v>
      </c>
      <c r="CI230" s="240" t="str">
        <f>VLOOKUP(WWWW[[#This Row],[Site Name]],SiteDB6[],13,FALSE)</f>
        <v>Rakhine</v>
      </c>
      <c r="CJ230" s="240">
        <f>VLOOKUP(WWWW[[#This Row],[Site Name]],SiteDB6[],14,FALSE)</f>
        <v>20.910375595092798</v>
      </c>
      <c r="CK230" s="240">
        <f>VLOOKUP(WWWW[[#This Row],[Site Name]],SiteDB6[],15,FALSE)</f>
        <v>92.400138854980497</v>
      </c>
      <c r="CL230" s="240">
        <f>VLOOKUP(WWWW[[#This Row],[Site Name]],SiteDB6[],4,FALSE)</f>
        <v>220734</v>
      </c>
      <c r="CM230" s="404" t="str">
        <f t="shared" si="3"/>
        <v>Covered</v>
      </c>
      <c r="CN230" s="404"/>
    </row>
    <row r="231" spans="1:92" ht="15.75" hidden="1" customHeight="1" x14ac:dyDescent="0.25">
      <c r="A231" s="334" t="s">
        <v>1409</v>
      </c>
      <c r="B231" s="530" t="s">
        <v>542</v>
      </c>
      <c r="C231" s="531" t="s">
        <v>464</v>
      </c>
      <c r="D231" s="531" t="s">
        <v>476</v>
      </c>
      <c r="E231" s="531" t="s">
        <v>844</v>
      </c>
      <c r="F231" s="402">
        <v>104</v>
      </c>
      <c r="G231" s="405">
        <v>521</v>
      </c>
      <c r="H231" s="402"/>
      <c r="I231" s="402" t="s">
        <v>398</v>
      </c>
      <c r="J231" s="403">
        <v>43145</v>
      </c>
      <c r="K231" s="402">
        <v>0</v>
      </c>
      <c r="L231" s="402" t="s">
        <v>48</v>
      </c>
      <c r="M231" s="404">
        <v>0</v>
      </c>
      <c r="N231" s="404">
        <v>0</v>
      </c>
      <c r="O231" s="605">
        <v>0</v>
      </c>
      <c r="P231" s="606">
        <v>0</v>
      </c>
      <c r="Q231" s="606">
        <v>0</v>
      </c>
      <c r="R231" s="607">
        <v>1</v>
      </c>
      <c r="S231" s="607">
        <v>0</v>
      </c>
      <c r="T231" s="607"/>
      <c r="U231" s="607"/>
      <c r="V231" s="607"/>
      <c r="W231" s="607"/>
      <c r="X231" s="607"/>
      <c r="Y231" s="607"/>
      <c r="Z231" s="598">
        <v>3</v>
      </c>
      <c r="AA231" s="598">
        <v>0</v>
      </c>
      <c r="AB231" s="80"/>
      <c r="AC231" s="598">
        <v>3</v>
      </c>
      <c r="AD231" s="598" t="s">
        <v>342</v>
      </c>
      <c r="AE231" s="599" t="s">
        <v>342</v>
      </c>
      <c r="AF231" s="599"/>
      <c r="AG231" s="598"/>
      <c r="AH231" s="598"/>
      <c r="AI231" s="649">
        <v>0</v>
      </c>
      <c r="AJ231" s="650" t="s">
        <v>294</v>
      </c>
      <c r="AK231" s="650">
        <v>0</v>
      </c>
      <c r="AL231" s="645">
        <v>0</v>
      </c>
      <c r="AM231" s="645">
        <v>7</v>
      </c>
      <c r="AN231" s="600"/>
      <c r="AO231" s="600"/>
      <c r="AP231" s="600"/>
      <c r="AQ231" s="651"/>
      <c r="AR231" s="404" t="str">
        <f>IFERROR(WWWW[[#This Row],['# of Water passed at source]]/WWWW[[#This Row],['# of Water tested at source]],"no test")</f>
        <v>no test</v>
      </c>
      <c r="AS231" s="407" t="str">
        <f>IFERROR(WWWW[[#This Row],['# of Water passed at HH]]/WWWW[[#This Row],['# of Water tested at HH]],"no test")</f>
        <v>no test</v>
      </c>
      <c r="AT231" s="407">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U231" s="407">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AV231" s="407">
        <f>IF(WWWW[[#This Row],[Location Type 1]]="Village",WWWW[[#This Row],[Access to safe drinking water for Village]],WWWW[[#This Row],[Access to safe drinking water for Camp]])</f>
        <v>0</v>
      </c>
      <c r="AW231" s="405">
        <f>WWWW[[#This Row],[%Equitable and continuous access to sufficient quantity of safe drinking water]]*WWWW[[#This Row],[Total PoP ]]</f>
        <v>0</v>
      </c>
      <c r="AX231" s="407">
        <f>IF((WWWW[[#This Row],['# Existing protected/fenced ponds ]]*250)/WWWW[[#This Row],[Total PoP ]]&gt;1,1,WWWW[[#This Row],['# Existing protected/fenced ponds ]]*250/WWWW[[#This Row],[Total PoP ]])</f>
        <v>0.47984644913627639</v>
      </c>
      <c r="AY231" s="405">
        <f>WWWW[[#This Row],[Access to unimproved water points]]*WWWW[[#This Row],[Total PoP ]]</f>
        <v>250</v>
      </c>
      <c r="AZ231" s="407">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0.47984644913627639</v>
      </c>
      <c r="BA231" s="405">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250</v>
      </c>
      <c r="BB231" s="414">
        <f>ROUND(WWWW[[#This Row],['#people Equitable and continuous access to sufficient quantity of domestic water borehole n ponds_2]]/500,0)</f>
        <v>1</v>
      </c>
      <c r="BC231" s="404">
        <f>1-WWWW[[#This Row],[%Equitable and continuous access to sufficient quantity of domestic water borehole n ponds]]</f>
        <v>0.52015355086372361</v>
      </c>
      <c r="BD231" s="405">
        <f>WWWW[[#This Row],[%equitable and continuous access to sufficient quantity of safe drinking and domestic water''s GAP]]*WWWW[[#This Row],[Total PoP ]]</f>
        <v>271</v>
      </c>
      <c r="BE231" s="406">
        <f>IF(WWWW[[#This Row],[Total required water points]]-WWWW[[#This Row],['#Water points coverage]]&lt;0,0,WWWW[[#This Row],[Total required water points]]-WWWW[[#This Row],['#Water points coverage]])</f>
        <v>0</v>
      </c>
      <c r="BF231" s="406">
        <f>ROUND(IF(WWWW[[#This Row],[Total PoP ]]&lt;500,1,WWWW[[#This Row],[Total PoP ]]/500),0)</f>
        <v>1</v>
      </c>
      <c r="BG231" s="406" t="str">
        <f>IF(AND(WWWW[[#This Row],[%of Water samples which passed at water source]]="no test",WWWW[[#This Row],[%Water samples which passed at HH]]="no test"),"No Test","Tested")</f>
        <v>No Test</v>
      </c>
      <c r="BH231" s="406">
        <f>WWWW[[#This Row],['# Existing functional latrines]]+WWWW[[#This Row],['# Existing latrines dysfunctional]]</f>
        <v>3</v>
      </c>
      <c r="BI231" s="404">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3.4548944337811902E-2</v>
      </c>
      <c r="BJ231" s="676">
        <f>WWWW[[#This Row],[% people access to functioning Latrine]]*WWWW[[#This Row],[Total PoP ]]</f>
        <v>18</v>
      </c>
      <c r="BK231" s="404">
        <f>IF(WWWW[[#This Row],[Location Type 1]]="camp",WWWW[[#This Row],['# potential required new latrines]]/(WWWW[[#This Row],[Total PoP ]]/20),WWWW[[#This Row],['# potential required new latrines]]/(WWWW[[#This Row],[Total PoP ]]/6))</f>
        <v>0.9673704414587333</v>
      </c>
      <c r="BL231" s="405">
        <f>IF(WWWW[[#This Row],[Total required Latrines]]-WWWW[[#This Row],[Total '# of latrine]]&lt;0,0,WWWW[[#This Row],[Total required Latrines]]-WWWW[[#This Row],[Total '# of latrine]])</f>
        <v>84</v>
      </c>
      <c r="BM231" s="406">
        <f>ROUND(IF(WWWW[[#This Row],[Location Type 1]]="camp",WWWW[[#This Row],[Total PoP ]]/20,WWWW[[#This Row],[Total PoP ]]/6),0)</f>
        <v>87</v>
      </c>
      <c r="BN231" s="408">
        <f>IF(OR(WWWW[[#This Row],['# Existing latrines dysfunctional]]="",WWWW[[#This Row],['# Existing latrines dysfunctional]]=0),0,WWWW[[#This Row],['# Existing latrines dysfunctional]]/WWWW[[#This Row],[Total '# of latrine]])</f>
        <v>0</v>
      </c>
      <c r="BO231" s="676"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P231" s="404">
        <f>WWWW[[#This Row],[People adopt basic personal and community hygiene practices]]/WWWW[[#This Row],[Total PoP ]]</f>
        <v>0</v>
      </c>
      <c r="BQ231" s="408">
        <f>1-WWWW[[#This Row],[Hygiene Coverage%]]</f>
        <v>1</v>
      </c>
      <c r="BR231" s="405">
        <f>IF(500*WWWW[[#This Row],['# Hygiene Promoters ]]&gt;WWWW[[#This Row],[Total PoP ]],WWWW[[#This Row],[Total PoP ]],500*WWWW[[#This Row],['# Hygiene Promoters ]])</f>
        <v>521</v>
      </c>
      <c r="BS231" s="405">
        <f>IF(WWWW[[#This Row],[% of HH with access to Sanitary Pad]]&gt;=100%,1,0)</f>
        <v>0</v>
      </c>
      <c r="BT231" s="405">
        <f>IF(WWWW[[#This Row],[Total PoP ]]=0,0,IF(WWWW[[#This Row],['# Hygiene Promoters ]]=0,0,IF(WWWW[[#This Row],[Location Type 1]]="Village",IF(WWWW[[#This Row],[Total PoP ]]/WWWW[[#This Row],['# Hygiene Promoters ]]&lt;1000,1,0),IF(WWWW[[#This Row],[Total PoP ]]/WWWW[[#This Row],['# Hygiene Promoters ]]&lt;600,1,0))))</f>
        <v>1</v>
      </c>
      <c r="BU231" s="405">
        <f>IF(WWWW[[#This Row],[%HH with access to soap]]&gt;=100%,1,0)</f>
        <v>0</v>
      </c>
      <c r="BV231" s="405">
        <f>IF(WWWW[[#This Row],[% of HHs with access to Sanitary pad more than '#%]]+WWWW[[#This Row],[Ratio of Hyiene promoters to people less than '#]]+WWWW[[#This Row],[% of HHs with access to soap more than '#%]]&gt;=2,WWWW[[#This Row],[Total PoP ]],0)</f>
        <v>0</v>
      </c>
      <c r="BW231" s="391">
        <f>WWWW[[#This Row],['# people reached by regular dedicated hygiene promotion_5]]/WWWW[[#This Row],[Total PoP ]]</f>
        <v>1</v>
      </c>
      <c r="BX231" s="391">
        <f>IF(WWWW[[#This Row],['# HH received soaps]]/WWWW[[#This Row],[Total HH]]&gt;1,1,WWWW[[#This Row],['# HH received soaps]]/WWWW[[#This Row],[Total HH]])</f>
        <v>0</v>
      </c>
      <c r="BY231" s="391">
        <f>IF(WWWW[[#This Row],['# HH received Sanitary Pads]]/WWWW[[#This Row],[Total HH]]&gt;1,1,WWWW[[#This Row],['# HH received Sanitary Pads]]/WWWW[[#This Row],[Total HH]])</f>
        <v>0</v>
      </c>
      <c r="BZ231" s="721">
        <f>WWWW[[#This Row],['# HH received soaps]]*5</f>
        <v>0</v>
      </c>
      <c r="CA231" s="721">
        <f>WWWW[[#This Row],['# HH received Sanitary Pads]]*5</f>
        <v>0</v>
      </c>
      <c r="CB231" s="406">
        <f>IF(WWWW[[#This Row],['# People with access to soap]]&gt;WWWW[[#This Row],['# People with access to Sanity Pads]],WWWW[[#This Row],['# People with access to soap]],WWWW[[#This Row],['# People with access to Sanity Pads]])</f>
        <v>0</v>
      </c>
      <c r="CC231" s="405">
        <f>WWWW[[#This Row],[Total HH]]*WWWW[[#This Row],[%HHs with access to functional hand washing stations]]</f>
        <v>0</v>
      </c>
      <c r="CD231" s="240">
        <f>VLOOKUP(WWWW[[#This Row],[Site Name]],SiteDB6[],8,FALSE)</f>
        <v>0</v>
      </c>
      <c r="CE231" s="240">
        <f>VLOOKUP(WWWW[[#This Row],[Site Name]],SiteDB6[],9,FALSE)</f>
        <v>0</v>
      </c>
      <c r="CF231" s="240" t="str">
        <f>VLOOKUP(WWWW[[#This Row],[Site Name]],SiteDB6[],10,FALSE)</f>
        <v>Village</v>
      </c>
      <c r="CG231" s="240" t="str">
        <f>VLOOKUP(WWWW[[#This Row],[Site Name]],SiteDB6[],11,FALSE)</f>
        <v>Village</v>
      </c>
      <c r="CH231" s="240" t="str">
        <f>VLOOKUP(WWWW[[#This Row],[Site Name]],SiteDB6[],12,FALSE)</f>
        <v>Village</v>
      </c>
      <c r="CI231" s="240" t="str">
        <f>VLOOKUP(WWWW[[#This Row],[Site Name]],SiteDB6[],13,FALSE)</f>
        <v>Rakhine</v>
      </c>
      <c r="CJ231" s="240">
        <f>VLOOKUP(WWWW[[#This Row],[Site Name]],SiteDB6[],14,FALSE)</f>
        <v>20.987419128418001</v>
      </c>
      <c r="CK231" s="240">
        <f>VLOOKUP(WWWW[[#This Row],[Site Name]],SiteDB6[],15,FALSE)</f>
        <v>92.362136840820298</v>
      </c>
      <c r="CL231" s="240">
        <f>VLOOKUP(WWWW[[#This Row],[Site Name]],SiteDB6[],4,FALSE)</f>
        <v>197913</v>
      </c>
      <c r="CM231" s="404" t="str">
        <f t="shared" si="3"/>
        <v>Covered</v>
      </c>
      <c r="CN231" s="404"/>
    </row>
    <row r="232" spans="1:92" ht="15.75" hidden="1" customHeight="1" x14ac:dyDescent="0.25">
      <c r="A232" s="313" t="s">
        <v>1409</v>
      </c>
      <c r="B232" s="531" t="s">
        <v>542</v>
      </c>
      <c r="C232" s="531" t="s">
        <v>464</v>
      </c>
      <c r="D232" s="531" t="s">
        <v>476</v>
      </c>
      <c r="E232" s="531" t="s">
        <v>849</v>
      </c>
      <c r="F232" s="314">
        <v>173</v>
      </c>
      <c r="G232" s="731">
        <v>1205</v>
      </c>
      <c r="H232" s="314"/>
      <c r="I232" s="314" t="s">
        <v>398</v>
      </c>
      <c r="J232" s="315">
        <v>43145</v>
      </c>
      <c r="K232" s="314">
        <v>0</v>
      </c>
      <c r="L232" s="314" t="s">
        <v>48</v>
      </c>
      <c r="M232" s="316">
        <v>0</v>
      </c>
      <c r="N232" s="316">
        <v>0</v>
      </c>
      <c r="O232" s="608">
        <v>1</v>
      </c>
      <c r="P232" s="609">
        <v>10</v>
      </c>
      <c r="Q232" s="613">
        <v>0</v>
      </c>
      <c r="R232" s="614">
        <v>5</v>
      </c>
      <c r="S232" s="614">
        <v>0</v>
      </c>
      <c r="T232" s="604"/>
      <c r="U232" s="604"/>
      <c r="V232" s="604"/>
      <c r="W232" s="604"/>
      <c r="X232" s="604"/>
      <c r="Y232" s="604"/>
      <c r="Z232" s="628">
        <v>0</v>
      </c>
      <c r="AA232" s="628">
        <v>0</v>
      </c>
      <c r="AB232" s="634"/>
      <c r="AC232" s="634">
        <v>0</v>
      </c>
      <c r="AD232" s="634" t="s">
        <v>342</v>
      </c>
      <c r="AE232" s="631" t="s">
        <v>342</v>
      </c>
      <c r="AF232" s="629"/>
      <c r="AG232" s="629"/>
      <c r="AH232" s="634"/>
      <c r="AI232" s="649">
        <v>0</v>
      </c>
      <c r="AJ232" s="650" t="s">
        <v>294</v>
      </c>
      <c r="AK232" s="650">
        <v>0</v>
      </c>
      <c r="AL232" s="645">
        <v>0</v>
      </c>
      <c r="AM232" s="645">
        <v>7</v>
      </c>
      <c r="AN232" s="600"/>
      <c r="AO232" s="647"/>
      <c r="AP232" s="647"/>
      <c r="AQ232" s="657"/>
      <c r="AR232" s="235" t="str">
        <f>IFERROR(WWWW[[#This Row],['# of Water passed at source]]/WWWW[[#This Row],['# of Water tested at source]],"no test")</f>
        <v>no test</v>
      </c>
      <c r="AS232" s="237" t="str">
        <f>IFERROR(WWWW[[#This Row],['# of Water passed at HH]]/WWWW[[#This Row],['# of Water tested at HH]],"no test")</f>
        <v>no test</v>
      </c>
      <c r="AT232" s="237">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U232" s="237">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AV232" s="237">
        <f>IF(WWWW[[#This Row],[Location Type 1]]="Village",WWWW[[#This Row],[Access to safe drinking water for Village]],WWWW[[#This Row],[Access to safe drinking water for Camp]])</f>
        <v>1</v>
      </c>
      <c r="AW232" s="414">
        <f>WWWW[[#This Row],[%Equitable and continuous access to sufficient quantity of safe drinking water]]*WWWW[[#This Row],[Total PoP ]]</f>
        <v>1205</v>
      </c>
      <c r="AX232" s="237">
        <f>IF((WWWW[[#This Row],['# Existing protected/fenced ponds ]]*250)/WWWW[[#This Row],[Total PoP ]]&gt;1,1,WWWW[[#This Row],['# Existing protected/fenced ponds ]]*250/WWWW[[#This Row],[Total PoP ]])</f>
        <v>1</v>
      </c>
      <c r="AY232" s="414">
        <f>WWWW[[#This Row],[Access to unimproved water points]]*WWWW[[#This Row],[Total PoP ]]</f>
        <v>1205</v>
      </c>
      <c r="AZ232" s="237">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A232" s="414">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1205</v>
      </c>
      <c r="BB232" s="414">
        <f>ROUND(WWWW[[#This Row],['#people Equitable and continuous access to sufficient quantity of domestic water borehole n ponds_2]]/500,0)</f>
        <v>2</v>
      </c>
      <c r="BC232" s="235">
        <f>1-WWWW[[#This Row],[%Equitable and continuous access to sufficient quantity of domestic water borehole n ponds]]</f>
        <v>0</v>
      </c>
      <c r="BD232" s="414">
        <f>WWWW[[#This Row],[%equitable and continuous access to sufficient quantity of safe drinking and domestic water''s GAP]]*WWWW[[#This Row],[Total PoP ]]</f>
        <v>0</v>
      </c>
      <c r="BE232" s="238">
        <f>IF(WWWW[[#This Row],[Total required water points]]-WWWW[[#This Row],['#Water points coverage]]&lt;0,0,WWWW[[#This Row],[Total required water points]]-WWWW[[#This Row],['#Water points coverage]])</f>
        <v>0</v>
      </c>
      <c r="BF232" s="238">
        <f>ROUND(IF(WWWW[[#This Row],[Total PoP ]]&lt;500,1,WWWW[[#This Row],[Total PoP ]]/500),0)</f>
        <v>2</v>
      </c>
      <c r="BG232" s="238" t="str">
        <f>IF(AND(WWWW[[#This Row],[%of Water samples which passed at water source]]="no test",WWWW[[#This Row],[%Water samples which passed at HH]]="no test"),"No Test","Tested")</f>
        <v>No Test</v>
      </c>
      <c r="BH232" s="238">
        <f>WWWW[[#This Row],['# Existing functional latrines]]+WWWW[[#This Row],['# Existing latrines dysfunctional]]</f>
        <v>0</v>
      </c>
      <c r="BI232" s="235">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J232" s="675">
        <f>WWWW[[#This Row],[% people access to functioning Latrine]]*WWWW[[#This Row],[Total PoP ]]</f>
        <v>0</v>
      </c>
      <c r="BK232" s="235">
        <f>IF(WWWW[[#This Row],[Location Type 1]]="camp",WWWW[[#This Row],['# potential required new latrines]]/(WWWW[[#This Row],[Total PoP ]]/20),WWWW[[#This Row],['# potential required new latrines]]/(WWWW[[#This Row],[Total PoP ]]/6))</f>
        <v>1.0008298755186722</v>
      </c>
      <c r="BL232" s="414">
        <f>IF(WWWW[[#This Row],[Total required Latrines]]-WWWW[[#This Row],[Total '# of latrine]]&lt;0,0,WWWW[[#This Row],[Total required Latrines]]-WWWW[[#This Row],[Total '# of latrine]])</f>
        <v>201</v>
      </c>
      <c r="BM232" s="238">
        <f>ROUND(IF(WWWW[[#This Row],[Location Type 1]]="camp",WWWW[[#This Row],[Total PoP ]]/20,WWWW[[#This Row],[Total PoP ]]/6),0)</f>
        <v>201</v>
      </c>
      <c r="BN232" s="239">
        <f>IF(OR(WWWW[[#This Row],['# Existing latrines dysfunctional]]="",WWWW[[#This Row],['# Existing latrines dysfunctional]]=0),0,WWWW[[#This Row],['# Existing latrines dysfunctional]]/WWWW[[#This Row],[Total '# of latrine]])</f>
        <v>0</v>
      </c>
      <c r="BO232" s="675"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P232" s="235">
        <f>WWWW[[#This Row],[People adopt basic personal and community hygiene practices]]/WWWW[[#This Row],[Total PoP ]]</f>
        <v>0</v>
      </c>
      <c r="BQ232" s="239">
        <f>1-WWWW[[#This Row],[Hygiene Coverage%]]</f>
        <v>1</v>
      </c>
      <c r="BR232" s="405">
        <f>IF(500*WWWW[[#This Row],['# Hygiene Promoters ]]&gt;WWWW[[#This Row],[Total PoP ]],WWWW[[#This Row],[Total PoP ]],500*WWWW[[#This Row],['# Hygiene Promoters ]])</f>
        <v>1205</v>
      </c>
      <c r="BS232" s="405">
        <f>IF(WWWW[[#This Row],[% of HH with access to Sanitary Pad]]&gt;=100%,1,0)</f>
        <v>0</v>
      </c>
      <c r="BT232" s="405">
        <f>IF(WWWW[[#This Row],[Total PoP ]]=0,0,IF(WWWW[[#This Row],['# Hygiene Promoters ]]=0,0,IF(WWWW[[#This Row],[Location Type 1]]="Village",IF(WWWW[[#This Row],[Total PoP ]]/WWWW[[#This Row],['# Hygiene Promoters ]]&lt;1000,1,0),IF(WWWW[[#This Row],[Total PoP ]]/WWWW[[#This Row],['# Hygiene Promoters ]]&lt;600,1,0))))</f>
        <v>1</v>
      </c>
      <c r="BU232" s="405">
        <f>IF(WWWW[[#This Row],[%HH with access to soap]]&gt;=100%,1,0)</f>
        <v>0</v>
      </c>
      <c r="BV232" s="405">
        <f>IF(WWWW[[#This Row],[% of HHs with access to Sanitary pad more than '#%]]+WWWW[[#This Row],[Ratio of Hyiene promoters to people less than '#]]+WWWW[[#This Row],[% of HHs with access to soap more than '#%]]&gt;=2,WWWW[[#This Row],[Total PoP ]],0)</f>
        <v>0</v>
      </c>
      <c r="BW232" s="346">
        <f>WWWW[[#This Row],['# people reached by regular dedicated hygiene promotion_5]]/WWWW[[#This Row],[Total PoP ]]</f>
        <v>1</v>
      </c>
      <c r="BX232" s="346">
        <f>IF(WWWW[[#This Row],['# HH received soaps]]/WWWW[[#This Row],[Total HH]]&gt;1,1,WWWW[[#This Row],['# HH received soaps]]/WWWW[[#This Row],[Total HH]])</f>
        <v>0</v>
      </c>
      <c r="BY232" s="346">
        <f>IF(WWWW[[#This Row],['# HH received Sanitary Pads]]/WWWW[[#This Row],[Total HH]]&gt;1,1,WWWW[[#This Row],['# HH received Sanitary Pads]]/WWWW[[#This Row],[Total HH]])</f>
        <v>0</v>
      </c>
      <c r="BZ232" s="720">
        <f>WWWW[[#This Row],['# HH received soaps]]*5</f>
        <v>0</v>
      </c>
      <c r="CA232" s="720">
        <f>WWWW[[#This Row],['# HH received Sanitary Pads]]*5</f>
        <v>0</v>
      </c>
      <c r="CB232" s="675">
        <f>IF(WWWW[[#This Row],['# People with access to soap]]&gt;WWWW[[#This Row],['# People with access to Sanity Pads]],WWWW[[#This Row],['# People with access to soap]],WWWW[[#This Row],['# People with access to Sanity Pads]])</f>
        <v>0</v>
      </c>
      <c r="CC232" s="414">
        <f>WWWW[[#This Row],[Total HH]]*WWWW[[#This Row],[%HHs with access to functional hand washing stations]]</f>
        <v>0</v>
      </c>
      <c r="CD232" s="240">
        <f>VLOOKUP(WWWW[[#This Row],[Site Name]],SiteDB6[],8,FALSE)</f>
        <v>0</v>
      </c>
      <c r="CE232" s="240">
        <f>VLOOKUP(WWWW[[#This Row],[Site Name]],SiteDB6[],9,FALSE)</f>
        <v>0</v>
      </c>
      <c r="CF232" s="240" t="str">
        <f>VLOOKUP(WWWW[[#This Row],[Site Name]],SiteDB6[],10,FALSE)</f>
        <v>Village</v>
      </c>
      <c r="CG232" s="240" t="str">
        <f>VLOOKUP(WWWW[[#This Row],[Site Name]],SiteDB6[],11,FALSE)</f>
        <v>Village</v>
      </c>
      <c r="CH232" s="240" t="str">
        <f>VLOOKUP(WWWW[[#This Row],[Site Name]],SiteDB6[],12,FALSE)</f>
        <v>Village</v>
      </c>
      <c r="CI232" s="240" t="str">
        <f>VLOOKUP(WWWW[[#This Row],[Site Name]],SiteDB6[],13,FALSE)</f>
        <v>Muslim</v>
      </c>
      <c r="CJ232" s="240">
        <f>VLOOKUP(WWWW[[#This Row],[Site Name]],SiteDB6[],14,FALSE)</f>
        <v>21.000970840454102</v>
      </c>
      <c r="CK232" s="240">
        <f>VLOOKUP(WWWW[[#This Row],[Site Name]],SiteDB6[],15,FALSE)</f>
        <v>92.334213256835895</v>
      </c>
      <c r="CL232" s="240">
        <f>VLOOKUP(WWWW[[#This Row],[Site Name]],SiteDB6[],4,FALSE)</f>
        <v>197903</v>
      </c>
      <c r="CM232" s="235" t="str">
        <f t="shared" si="3"/>
        <v>Covered</v>
      </c>
      <c r="CN232" s="240"/>
    </row>
    <row r="233" spans="1:92" ht="15.75" hidden="1" customHeight="1" x14ac:dyDescent="0.25">
      <c r="A233" s="334" t="s">
        <v>1409</v>
      </c>
      <c r="B233" s="530" t="s">
        <v>542</v>
      </c>
      <c r="C233" s="531" t="s">
        <v>464</v>
      </c>
      <c r="D233" s="531" t="s">
        <v>476</v>
      </c>
      <c r="E233" s="531" t="s">
        <v>851</v>
      </c>
      <c r="F233" s="402">
        <v>240</v>
      </c>
      <c r="G233" s="405">
        <v>1350</v>
      </c>
      <c r="H233" s="402"/>
      <c r="I233" s="402" t="s">
        <v>398</v>
      </c>
      <c r="J233" s="403">
        <v>43145</v>
      </c>
      <c r="K233" s="402">
        <v>0</v>
      </c>
      <c r="L233" s="402" t="s">
        <v>48</v>
      </c>
      <c r="M233" s="404">
        <v>0</v>
      </c>
      <c r="N233" s="404">
        <v>0</v>
      </c>
      <c r="O233" s="612">
        <v>1</v>
      </c>
      <c r="P233" s="606">
        <v>25</v>
      </c>
      <c r="Q233" s="606">
        <v>0</v>
      </c>
      <c r="R233" s="607">
        <v>5</v>
      </c>
      <c r="S233" s="607">
        <v>0</v>
      </c>
      <c r="T233" s="607"/>
      <c r="U233" s="607"/>
      <c r="V233" s="607"/>
      <c r="W233" s="607"/>
      <c r="X233" s="607"/>
      <c r="Y233" s="607"/>
      <c r="Z233" s="598">
        <v>5</v>
      </c>
      <c r="AA233" s="598">
        <v>0</v>
      </c>
      <c r="AB233" s="80"/>
      <c r="AC233" s="598">
        <v>5</v>
      </c>
      <c r="AD233" s="598" t="s">
        <v>342</v>
      </c>
      <c r="AE233" s="599" t="s">
        <v>342</v>
      </c>
      <c r="AF233" s="599"/>
      <c r="AG233" s="598"/>
      <c r="AH233" s="598"/>
      <c r="AI233" s="649">
        <v>0</v>
      </c>
      <c r="AJ233" s="650" t="s">
        <v>294</v>
      </c>
      <c r="AK233" s="650">
        <v>0</v>
      </c>
      <c r="AL233" s="645">
        <v>0</v>
      </c>
      <c r="AM233" s="645">
        <v>7</v>
      </c>
      <c r="AN233" s="600"/>
      <c r="AO233" s="600"/>
      <c r="AP233" s="600"/>
      <c r="AQ233" s="651"/>
      <c r="AR233" s="404" t="str">
        <f>IFERROR(WWWW[[#This Row],['# of Water passed at source]]/WWWW[[#This Row],['# of Water tested at source]],"no test")</f>
        <v>no test</v>
      </c>
      <c r="AS233" s="407" t="str">
        <f>IFERROR(WWWW[[#This Row],['# of Water passed at HH]]/WWWW[[#This Row],['# of Water tested at HH]],"no test")</f>
        <v>no test</v>
      </c>
      <c r="AT233" s="407">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U233" s="407">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AV233" s="407">
        <f>IF(WWWW[[#This Row],[Location Type 1]]="Village",WWWW[[#This Row],[Access to safe drinking water for Village]],WWWW[[#This Row],[Access to safe drinking water for Camp]])</f>
        <v>1</v>
      </c>
      <c r="AW233" s="405">
        <f>WWWW[[#This Row],[%Equitable and continuous access to sufficient quantity of safe drinking water]]*WWWW[[#This Row],[Total PoP ]]</f>
        <v>1350</v>
      </c>
      <c r="AX233" s="407">
        <f>IF((WWWW[[#This Row],['# Existing protected/fenced ponds ]]*250)/WWWW[[#This Row],[Total PoP ]]&gt;1,1,WWWW[[#This Row],['# Existing protected/fenced ponds ]]*250/WWWW[[#This Row],[Total PoP ]])</f>
        <v>0.92592592592592593</v>
      </c>
      <c r="AY233" s="405">
        <f>WWWW[[#This Row],[Access to unimproved water points]]*WWWW[[#This Row],[Total PoP ]]</f>
        <v>1250</v>
      </c>
      <c r="AZ233" s="407">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A233" s="405">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1350</v>
      </c>
      <c r="BB233" s="414">
        <f>ROUND(WWWW[[#This Row],['#people Equitable and continuous access to sufficient quantity of domestic water borehole n ponds_2]]/500,0)</f>
        <v>3</v>
      </c>
      <c r="BC233" s="404">
        <f>1-WWWW[[#This Row],[%Equitable and continuous access to sufficient quantity of domestic water borehole n ponds]]</f>
        <v>0</v>
      </c>
      <c r="BD233" s="405">
        <f>WWWW[[#This Row],[%equitable and continuous access to sufficient quantity of safe drinking and domestic water''s GAP]]*WWWW[[#This Row],[Total PoP ]]</f>
        <v>0</v>
      </c>
      <c r="BE233" s="406">
        <f>IF(WWWW[[#This Row],[Total required water points]]-WWWW[[#This Row],['#Water points coverage]]&lt;0,0,WWWW[[#This Row],[Total required water points]]-WWWW[[#This Row],['#Water points coverage]])</f>
        <v>0</v>
      </c>
      <c r="BF233" s="406">
        <f>ROUND(IF(WWWW[[#This Row],[Total PoP ]]&lt;500,1,WWWW[[#This Row],[Total PoP ]]/500),0)</f>
        <v>3</v>
      </c>
      <c r="BG233" s="406" t="str">
        <f>IF(AND(WWWW[[#This Row],[%of Water samples which passed at water source]]="no test",WWWW[[#This Row],[%Water samples which passed at HH]]="no test"),"No Test","Tested")</f>
        <v>No Test</v>
      </c>
      <c r="BH233" s="406">
        <f>WWWW[[#This Row],['# Existing functional latrines]]+WWWW[[#This Row],['# Existing latrines dysfunctional]]</f>
        <v>5</v>
      </c>
      <c r="BI233" s="404">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2.2222222222222223E-2</v>
      </c>
      <c r="BJ233" s="676">
        <f>WWWW[[#This Row],[% people access to functioning Latrine]]*WWWW[[#This Row],[Total PoP ]]</f>
        <v>30</v>
      </c>
      <c r="BK233" s="404">
        <f>IF(WWWW[[#This Row],[Location Type 1]]="camp",WWWW[[#This Row],['# potential required new latrines]]/(WWWW[[#This Row],[Total PoP ]]/20),WWWW[[#This Row],['# potential required new latrines]]/(WWWW[[#This Row],[Total PoP ]]/6))</f>
        <v>0.97777777777777775</v>
      </c>
      <c r="BL233" s="405">
        <f>IF(WWWW[[#This Row],[Total required Latrines]]-WWWW[[#This Row],[Total '# of latrine]]&lt;0,0,WWWW[[#This Row],[Total required Latrines]]-WWWW[[#This Row],[Total '# of latrine]])</f>
        <v>220</v>
      </c>
      <c r="BM233" s="406">
        <f>ROUND(IF(WWWW[[#This Row],[Location Type 1]]="camp",WWWW[[#This Row],[Total PoP ]]/20,WWWW[[#This Row],[Total PoP ]]/6),0)</f>
        <v>225</v>
      </c>
      <c r="BN233" s="408">
        <f>IF(OR(WWWW[[#This Row],['# Existing latrines dysfunctional]]="",WWWW[[#This Row],['# Existing latrines dysfunctional]]=0),0,WWWW[[#This Row],['# Existing latrines dysfunctional]]/WWWW[[#This Row],[Total '# of latrine]])</f>
        <v>0</v>
      </c>
      <c r="BO233" s="676"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P233" s="404">
        <f>WWWW[[#This Row],[People adopt basic personal and community hygiene practices]]/WWWW[[#This Row],[Total PoP ]]</f>
        <v>0</v>
      </c>
      <c r="BQ233" s="408">
        <f>1-WWWW[[#This Row],[Hygiene Coverage%]]</f>
        <v>1</v>
      </c>
      <c r="BR233" s="405">
        <f>IF(500*WWWW[[#This Row],['# Hygiene Promoters ]]&gt;WWWW[[#This Row],[Total PoP ]],WWWW[[#This Row],[Total PoP ]],500*WWWW[[#This Row],['# Hygiene Promoters ]])</f>
        <v>1350</v>
      </c>
      <c r="BS233" s="405">
        <f>IF(WWWW[[#This Row],[% of HH with access to Sanitary Pad]]&gt;=100%,1,0)</f>
        <v>0</v>
      </c>
      <c r="BT233" s="405">
        <f>IF(WWWW[[#This Row],[Total PoP ]]=0,0,IF(WWWW[[#This Row],['# Hygiene Promoters ]]=0,0,IF(WWWW[[#This Row],[Location Type 1]]="Village",IF(WWWW[[#This Row],[Total PoP ]]/WWWW[[#This Row],['# Hygiene Promoters ]]&lt;1000,1,0),IF(WWWW[[#This Row],[Total PoP ]]/WWWW[[#This Row],['# Hygiene Promoters ]]&lt;600,1,0))))</f>
        <v>1</v>
      </c>
      <c r="BU233" s="405">
        <f>IF(WWWW[[#This Row],[%HH with access to soap]]&gt;=100%,1,0)</f>
        <v>0</v>
      </c>
      <c r="BV233" s="405">
        <f>IF(WWWW[[#This Row],[% of HHs with access to Sanitary pad more than '#%]]+WWWW[[#This Row],[Ratio of Hyiene promoters to people less than '#]]+WWWW[[#This Row],[% of HHs with access to soap more than '#%]]&gt;=2,WWWW[[#This Row],[Total PoP ]],0)</f>
        <v>0</v>
      </c>
      <c r="BW233" s="391">
        <f>WWWW[[#This Row],['# people reached by regular dedicated hygiene promotion_5]]/WWWW[[#This Row],[Total PoP ]]</f>
        <v>1</v>
      </c>
      <c r="BX233" s="391">
        <f>IF(WWWW[[#This Row],['# HH received soaps]]/WWWW[[#This Row],[Total HH]]&gt;1,1,WWWW[[#This Row],['# HH received soaps]]/WWWW[[#This Row],[Total HH]])</f>
        <v>0</v>
      </c>
      <c r="BY233" s="391">
        <f>IF(WWWW[[#This Row],['# HH received Sanitary Pads]]/WWWW[[#This Row],[Total HH]]&gt;1,1,WWWW[[#This Row],['# HH received Sanitary Pads]]/WWWW[[#This Row],[Total HH]])</f>
        <v>0</v>
      </c>
      <c r="BZ233" s="721">
        <f>WWWW[[#This Row],['# HH received soaps]]*5</f>
        <v>0</v>
      </c>
      <c r="CA233" s="721">
        <f>WWWW[[#This Row],['# HH received Sanitary Pads]]*5</f>
        <v>0</v>
      </c>
      <c r="CB233" s="406">
        <f>IF(WWWW[[#This Row],['# People with access to soap]]&gt;WWWW[[#This Row],['# People with access to Sanity Pads]],WWWW[[#This Row],['# People with access to soap]],WWWW[[#This Row],['# People with access to Sanity Pads]])</f>
        <v>0</v>
      </c>
      <c r="CC233" s="405">
        <f>WWWW[[#This Row],[Total HH]]*WWWW[[#This Row],[%HHs with access to functional hand washing stations]]</f>
        <v>0</v>
      </c>
      <c r="CD233" s="240">
        <f>VLOOKUP(WWWW[[#This Row],[Site Name]],SiteDB6[],8,FALSE)</f>
        <v>0</v>
      </c>
      <c r="CE233" s="240">
        <f>VLOOKUP(WWWW[[#This Row],[Site Name]],SiteDB6[],9,FALSE)</f>
        <v>0</v>
      </c>
      <c r="CF233" s="240" t="str">
        <f>VLOOKUP(WWWW[[#This Row],[Site Name]],SiteDB6[],10,FALSE)</f>
        <v>Village</v>
      </c>
      <c r="CG233" s="240" t="str">
        <f>VLOOKUP(WWWW[[#This Row],[Site Name]],SiteDB6[],11,FALSE)</f>
        <v>Village</v>
      </c>
      <c r="CH233" s="240" t="str">
        <f>VLOOKUP(WWWW[[#This Row],[Site Name]],SiteDB6[],12,FALSE)</f>
        <v>Village</v>
      </c>
      <c r="CI233" s="240" t="str">
        <f>VLOOKUP(WWWW[[#This Row],[Site Name]],SiteDB6[],13,FALSE)</f>
        <v>Rakhine</v>
      </c>
      <c r="CJ233" s="240">
        <f>VLOOKUP(WWWW[[#This Row],[Site Name]],SiteDB6[],14,FALSE)</f>
        <v>21.007270812988299</v>
      </c>
      <c r="CK233" s="240">
        <f>VLOOKUP(WWWW[[#This Row],[Site Name]],SiteDB6[],15,FALSE)</f>
        <v>92.3585205078125</v>
      </c>
      <c r="CL233" s="240">
        <f>VLOOKUP(WWWW[[#This Row],[Site Name]],SiteDB6[],4,FALSE)</f>
        <v>197910</v>
      </c>
      <c r="CM233" s="404" t="str">
        <f t="shared" si="3"/>
        <v>Covered</v>
      </c>
      <c r="CN233" s="404"/>
    </row>
    <row r="234" spans="1:92" ht="15.75" hidden="1" customHeight="1" x14ac:dyDescent="0.25">
      <c r="A234" s="554" t="s">
        <v>1409</v>
      </c>
      <c r="B234" s="565" t="s">
        <v>542</v>
      </c>
      <c r="C234" s="565" t="s">
        <v>464</v>
      </c>
      <c r="D234" s="565" t="s">
        <v>476</v>
      </c>
      <c r="E234" s="565" t="s">
        <v>852</v>
      </c>
      <c r="F234" s="555">
        <v>62</v>
      </c>
      <c r="G234" s="558">
        <v>278</v>
      </c>
      <c r="H234" s="555"/>
      <c r="I234" s="555" t="s">
        <v>398</v>
      </c>
      <c r="J234" s="556">
        <v>43145</v>
      </c>
      <c r="K234" s="555">
        <v>0</v>
      </c>
      <c r="L234" s="555" t="s">
        <v>48</v>
      </c>
      <c r="M234" s="557">
        <v>0</v>
      </c>
      <c r="N234" s="557">
        <v>0</v>
      </c>
      <c r="O234" s="624">
        <v>1</v>
      </c>
      <c r="P234" s="620">
        <v>2</v>
      </c>
      <c r="Q234" s="620">
        <v>0</v>
      </c>
      <c r="R234" s="621">
        <v>3</v>
      </c>
      <c r="S234" s="621">
        <v>0</v>
      </c>
      <c r="T234" s="621"/>
      <c r="U234" s="621"/>
      <c r="V234" s="621"/>
      <c r="W234" s="621"/>
      <c r="X234" s="621"/>
      <c r="Y234" s="621"/>
      <c r="Z234" s="637">
        <v>8</v>
      </c>
      <c r="AA234" s="637">
        <v>0</v>
      </c>
      <c r="AB234" s="638"/>
      <c r="AC234" s="637">
        <v>8</v>
      </c>
      <c r="AD234" s="637" t="s">
        <v>342</v>
      </c>
      <c r="AE234" s="639" t="s">
        <v>342</v>
      </c>
      <c r="AF234" s="639"/>
      <c r="AG234" s="637"/>
      <c r="AH234" s="637"/>
      <c r="AI234" s="649">
        <v>0</v>
      </c>
      <c r="AJ234" s="650" t="s">
        <v>294</v>
      </c>
      <c r="AK234" s="650">
        <v>0</v>
      </c>
      <c r="AL234" s="645">
        <v>0</v>
      </c>
      <c r="AM234" s="645">
        <v>7</v>
      </c>
      <c r="AN234" s="663"/>
      <c r="AO234" s="663"/>
      <c r="AP234" s="663"/>
      <c r="AQ234" s="664"/>
      <c r="AR234" s="557" t="str">
        <f>IFERROR(WWWW[[#This Row],['# of Water passed at source]]/WWWW[[#This Row],['# of Water tested at source]],"no test")</f>
        <v>no test</v>
      </c>
      <c r="AS234" s="560" t="str">
        <f>IFERROR(WWWW[[#This Row],['# of Water passed at HH]]/WWWW[[#This Row],['# of Water tested at HH]],"no test")</f>
        <v>no test</v>
      </c>
      <c r="AT234" s="560">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U234" s="560">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AV234" s="560">
        <f>IF(WWWW[[#This Row],[Location Type 1]]="Village",WWWW[[#This Row],[Access to safe drinking water for Village]],WWWW[[#This Row],[Access to safe drinking water for Camp]])</f>
        <v>1</v>
      </c>
      <c r="AW234" s="558">
        <f>WWWW[[#This Row],[%Equitable and continuous access to sufficient quantity of safe drinking water]]*WWWW[[#This Row],[Total PoP ]]</f>
        <v>278</v>
      </c>
      <c r="AX234" s="560">
        <f>IF((WWWW[[#This Row],['# Existing protected/fenced ponds ]]*250)/WWWW[[#This Row],[Total PoP ]]&gt;1,1,WWWW[[#This Row],['# Existing protected/fenced ponds ]]*250/WWWW[[#This Row],[Total PoP ]])</f>
        <v>1</v>
      </c>
      <c r="AY234" s="558">
        <f>WWWW[[#This Row],[Access to unimproved water points]]*WWWW[[#This Row],[Total PoP ]]</f>
        <v>278</v>
      </c>
      <c r="AZ234" s="560">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A234" s="558">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278</v>
      </c>
      <c r="BB234" s="414">
        <f>ROUND(WWWW[[#This Row],['#people Equitable and continuous access to sufficient quantity of domestic water borehole n ponds_2]]/500,0)</f>
        <v>1</v>
      </c>
      <c r="BC234" s="557">
        <f>1-WWWW[[#This Row],[%Equitable and continuous access to sufficient quantity of domestic water borehole n ponds]]</f>
        <v>0</v>
      </c>
      <c r="BD234" s="558">
        <f>WWWW[[#This Row],[%equitable and continuous access to sufficient quantity of safe drinking and domestic water''s GAP]]*WWWW[[#This Row],[Total PoP ]]</f>
        <v>0</v>
      </c>
      <c r="BE234" s="559">
        <f>IF(WWWW[[#This Row],[Total required water points]]-WWWW[[#This Row],['#Water points coverage]]&lt;0,0,WWWW[[#This Row],[Total required water points]]-WWWW[[#This Row],['#Water points coverage]])</f>
        <v>0</v>
      </c>
      <c r="BF234" s="559">
        <f>ROUND(IF(WWWW[[#This Row],[Total PoP ]]&lt;500,1,WWWW[[#This Row],[Total PoP ]]/500),0)</f>
        <v>1</v>
      </c>
      <c r="BG234" s="559" t="str">
        <f>IF(AND(WWWW[[#This Row],[%of Water samples which passed at water source]]="no test",WWWW[[#This Row],[%Water samples which passed at HH]]="no test"),"No Test","Tested")</f>
        <v>No Test</v>
      </c>
      <c r="BH234" s="559">
        <f>WWWW[[#This Row],['# Existing functional latrines]]+WWWW[[#This Row],['# Existing latrines dysfunctional]]</f>
        <v>8</v>
      </c>
      <c r="BI234" s="557">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0.17266187050359713</v>
      </c>
      <c r="BJ234" s="677">
        <f>WWWW[[#This Row],[% people access to functioning Latrine]]*WWWW[[#This Row],[Total PoP ]]</f>
        <v>48</v>
      </c>
      <c r="BK234" s="557">
        <f>IF(WWWW[[#This Row],[Location Type 1]]="camp",WWWW[[#This Row],['# potential required new latrines]]/(WWWW[[#This Row],[Total PoP ]]/20),WWWW[[#This Row],['# potential required new latrines]]/(WWWW[[#This Row],[Total PoP ]]/6))</f>
        <v>0.82014388489208634</v>
      </c>
      <c r="BL234" s="558">
        <f>IF(WWWW[[#This Row],[Total required Latrines]]-WWWW[[#This Row],[Total '# of latrine]]&lt;0,0,WWWW[[#This Row],[Total required Latrines]]-WWWW[[#This Row],[Total '# of latrine]])</f>
        <v>38</v>
      </c>
      <c r="BM234" s="559">
        <f>ROUND(IF(WWWW[[#This Row],[Location Type 1]]="camp",WWWW[[#This Row],[Total PoP ]]/20,WWWW[[#This Row],[Total PoP ]]/6),0)</f>
        <v>46</v>
      </c>
      <c r="BN234" s="562">
        <f>IF(OR(WWWW[[#This Row],['# Existing latrines dysfunctional]]="",WWWW[[#This Row],['# Existing latrines dysfunctional]]=0),0,WWWW[[#This Row],['# Existing latrines dysfunctional]]/WWWW[[#This Row],[Total '# of latrine]])</f>
        <v>0</v>
      </c>
      <c r="BO234" s="677"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P234" s="557">
        <f>WWWW[[#This Row],[People adopt basic personal and community hygiene practices]]/WWWW[[#This Row],[Total PoP ]]</f>
        <v>0</v>
      </c>
      <c r="BQ234" s="562">
        <f>1-WWWW[[#This Row],[Hygiene Coverage%]]</f>
        <v>1</v>
      </c>
      <c r="BR234" s="558">
        <f>IF(500*WWWW[[#This Row],['# Hygiene Promoters ]]&gt;WWWW[[#This Row],[Total PoP ]],WWWW[[#This Row],[Total PoP ]],500*WWWW[[#This Row],['# Hygiene Promoters ]])</f>
        <v>278</v>
      </c>
      <c r="BS234" s="558">
        <f>IF(WWWW[[#This Row],[% of HH with access to Sanitary Pad]]&gt;=100%,1,0)</f>
        <v>0</v>
      </c>
      <c r="BT234" s="558">
        <f>IF(WWWW[[#This Row],[Total PoP ]]=0,0,IF(WWWW[[#This Row],['# Hygiene Promoters ]]=0,0,IF(WWWW[[#This Row],[Location Type 1]]="Village",IF(WWWW[[#This Row],[Total PoP ]]/WWWW[[#This Row],['# Hygiene Promoters ]]&lt;1000,1,0),IF(WWWW[[#This Row],[Total PoP ]]/WWWW[[#This Row],['# Hygiene Promoters ]]&lt;600,1,0))))</f>
        <v>1</v>
      </c>
      <c r="BU234" s="558">
        <f>IF(WWWW[[#This Row],[%HH with access to soap]]&gt;=100%,1,0)</f>
        <v>0</v>
      </c>
      <c r="BV234" s="558">
        <f>IF(WWWW[[#This Row],[% of HHs with access to Sanitary pad more than '#%]]+WWWW[[#This Row],[Ratio of Hyiene promoters to people less than '#]]+WWWW[[#This Row],[% of HHs with access to soap more than '#%]]&gt;=2,WWWW[[#This Row],[Total PoP ]],0)</f>
        <v>0</v>
      </c>
      <c r="BW234" s="563">
        <f>WWWW[[#This Row],['# people reached by regular dedicated hygiene promotion_5]]/WWWW[[#This Row],[Total PoP ]]</f>
        <v>1</v>
      </c>
      <c r="BX234" s="563">
        <f>IF(WWWW[[#This Row],['# HH received soaps]]/WWWW[[#This Row],[Total HH]]&gt;1,1,WWWW[[#This Row],['# HH received soaps]]/WWWW[[#This Row],[Total HH]])</f>
        <v>0</v>
      </c>
      <c r="BY234" s="563">
        <f>IF(WWWW[[#This Row],['# HH received Sanitary Pads]]/WWWW[[#This Row],[Total HH]]&gt;1,1,WWWW[[#This Row],['# HH received Sanitary Pads]]/WWWW[[#This Row],[Total HH]])</f>
        <v>0</v>
      </c>
      <c r="BZ234" s="722">
        <f>WWWW[[#This Row],['# HH received soaps]]*5</f>
        <v>0</v>
      </c>
      <c r="CA234" s="722">
        <f>WWWW[[#This Row],['# HH received Sanitary Pads]]*5</f>
        <v>0</v>
      </c>
      <c r="CB234" s="559">
        <f>IF(WWWW[[#This Row],['# People with access to soap]]&gt;WWWW[[#This Row],['# People with access to Sanity Pads]],WWWW[[#This Row],['# People with access to soap]],WWWW[[#This Row],['# People with access to Sanity Pads]])</f>
        <v>0</v>
      </c>
      <c r="CC234" s="558">
        <f>WWWW[[#This Row],[Total HH]]*WWWW[[#This Row],[%HHs with access to functional hand washing stations]]</f>
        <v>0</v>
      </c>
      <c r="CD234" s="240">
        <f>VLOOKUP(WWWW[[#This Row],[Site Name]],SiteDB6[],8,FALSE)</f>
        <v>0</v>
      </c>
      <c r="CE234" s="240">
        <f>VLOOKUP(WWWW[[#This Row],[Site Name]],SiteDB6[],9,FALSE)</f>
        <v>0</v>
      </c>
      <c r="CF234" s="240" t="str">
        <f>VLOOKUP(WWWW[[#This Row],[Site Name]],SiteDB6[],10,FALSE)</f>
        <v>Village</v>
      </c>
      <c r="CG234" s="240" t="str">
        <f>VLOOKUP(WWWW[[#This Row],[Site Name]],SiteDB6[],11,FALSE)</f>
        <v>Village</v>
      </c>
      <c r="CH234" s="240" t="str">
        <f>VLOOKUP(WWWW[[#This Row],[Site Name]],SiteDB6[],12,FALSE)</f>
        <v>Village</v>
      </c>
      <c r="CI234" s="240" t="str">
        <f>VLOOKUP(WWWW[[#This Row],[Site Name]],SiteDB6[],13,FALSE)</f>
        <v>Rakhine</v>
      </c>
      <c r="CJ234" s="240">
        <f>VLOOKUP(WWWW[[#This Row],[Site Name]],SiteDB6[],14,FALSE)</f>
        <v>21.0094203948975</v>
      </c>
      <c r="CK234" s="240">
        <f>VLOOKUP(WWWW[[#This Row],[Site Name]],SiteDB6[],15,FALSE)</f>
        <v>92.318077087402301</v>
      </c>
      <c r="CL234" s="240">
        <f>VLOOKUP(WWWW[[#This Row],[Site Name]],SiteDB6[],4,FALSE)</f>
        <v>197893</v>
      </c>
      <c r="CM234" s="557" t="str">
        <f t="shared" si="3"/>
        <v>Covered</v>
      </c>
      <c r="CN234" s="557"/>
    </row>
    <row r="235" spans="1:92" ht="15.75" hidden="1" customHeight="1" x14ac:dyDescent="0.25">
      <c r="A235" s="554" t="s">
        <v>1409</v>
      </c>
      <c r="B235" s="565" t="s">
        <v>542</v>
      </c>
      <c r="C235" s="565" t="s">
        <v>464</v>
      </c>
      <c r="D235" s="565" t="s">
        <v>476</v>
      </c>
      <c r="E235" s="565" t="s">
        <v>656</v>
      </c>
      <c r="F235" s="555">
        <v>38</v>
      </c>
      <c r="G235" s="558">
        <v>216</v>
      </c>
      <c r="H235" s="555"/>
      <c r="I235" s="555" t="s">
        <v>398</v>
      </c>
      <c r="J235" s="556">
        <v>43343</v>
      </c>
      <c r="K235" s="555">
        <v>0</v>
      </c>
      <c r="L235" s="555" t="s">
        <v>48</v>
      </c>
      <c r="M235" s="404"/>
      <c r="N235" s="404"/>
      <c r="O235" s="624"/>
      <c r="P235" s="620"/>
      <c r="Q235" s="620"/>
      <c r="R235" s="621"/>
      <c r="S235" s="621"/>
      <c r="T235" s="621"/>
      <c r="U235" s="621"/>
      <c r="V235" s="621"/>
      <c r="W235" s="621"/>
      <c r="X235" s="621"/>
      <c r="Y235" s="621"/>
      <c r="Z235" s="637"/>
      <c r="AA235" s="637"/>
      <c r="AB235" s="638"/>
      <c r="AC235" s="637">
        <v>4</v>
      </c>
      <c r="AD235" s="637" t="s">
        <v>342</v>
      </c>
      <c r="AE235" s="639" t="s">
        <v>342</v>
      </c>
      <c r="AF235" s="639"/>
      <c r="AG235" s="637"/>
      <c r="AH235" s="637"/>
      <c r="AI235" s="649">
        <v>0</v>
      </c>
      <c r="AJ235" s="650" t="s">
        <v>294</v>
      </c>
      <c r="AK235" s="650">
        <v>0</v>
      </c>
      <c r="AL235" s="645">
        <v>0</v>
      </c>
      <c r="AM235" s="645">
        <v>7</v>
      </c>
      <c r="AN235" s="663"/>
      <c r="AO235" s="663"/>
      <c r="AP235" s="663"/>
      <c r="AQ235" s="664"/>
      <c r="AR235" s="557" t="str">
        <f>IFERROR(WWWW[[#This Row],['# of Water passed at source]]/WWWW[[#This Row],['# of Water tested at source]],"no test")</f>
        <v>no test</v>
      </c>
      <c r="AS235" s="560" t="str">
        <f>IFERROR(WWWW[[#This Row],['# of Water passed at HH]]/WWWW[[#This Row],['# of Water tested at HH]],"no test")</f>
        <v>no test</v>
      </c>
      <c r="AT235" s="560">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U235" s="560">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AV235" s="560">
        <f>IF(WWWW[[#This Row],[Location Type 1]]="Village",WWWW[[#This Row],[Access to safe drinking water for Village]],WWWW[[#This Row],[Access to safe drinking water for Camp]])</f>
        <v>0</v>
      </c>
      <c r="AW235" s="558">
        <f>WWWW[[#This Row],[%Equitable and continuous access to sufficient quantity of safe drinking water]]*WWWW[[#This Row],[Total PoP ]]</f>
        <v>0</v>
      </c>
      <c r="AX235" s="560">
        <f>IF((WWWW[[#This Row],['# Existing protected/fenced ponds ]]*250)/WWWW[[#This Row],[Total PoP ]]&gt;1,1,WWWW[[#This Row],['# Existing protected/fenced ponds ]]*250/WWWW[[#This Row],[Total PoP ]])</f>
        <v>0</v>
      </c>
      <c r="AY235" s="558">
        <f>WWWW[[#This Row],[Access to unimproved water points]]*WWWW[[#This Row],[Total PoP ]]</f>
        <v>0</v>
      </c>
      <c r="AZ235" s="560">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A235" s="558">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B235" s="414">
        <f>ROUND(WWWW[[#This Row],['#people Equitable and continuous access to sufficient quantity of domestic water borehole n ponds_2]]/500,0)</f>
        <v>0</v>
      </c>
      <c r="BC235" s="557">
        <f>1-WWWW[[#This Row],[%Equitable and continuous access to sufficient quantity of domestic water borehole n ponds]]</f>
        <v>1</v>
      </c>
      <c r="BD235" s="558">
        <f>WWWW[[#This Row],[%equitable and continuous access to sufficient quantity of safe drinking and domestic water''s GAP]]*WWWW[[#This Row],[Total PoP ]]</f>
        <v>216</v>
      </c>
      <c r="BE235" s="559">
        <f>IF(WWWW[[#This Row],[Total required water points]]-WWWW[[#This Row],['#Water points coverage]]&lt;0,0,WWWW[[#This Row],[Total required water points]]-WWWW[[#This Row],['#Water points coverage]])</f>
        <v>1</v>
      </c>
      <c r="BF235" s="559">
        <f>ROUND(IF(WWWW[[#This Row],[Total PoP ]]&lt;500,1,WWWW[[#This Row],[Total PoP ]]/500),0)</f>
        <v>1</v>
      </c>
      <c r="BG235" s="559" t="str">
        <f>IF(AND(WWWW[[#This Row],[%of Water samples which passed at water source]]="no test",WWWW[[#This Row],[%Water samples which passed at HH]]="no test"),"No Test","Tested")</f>
        <v>No Test</v>
      </c>
      <c r="BH235" s="559">
        <f>WWWW[[#This Row],['# Existing functional latrines]]+WWWW[[#This Row],['# Existing latrines dysfunctional]]</f>
        <v>0</v>
      </c>
      <c r="BI235" s="557">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J235" s="677">
        <f>WWWW[[#This Row],[% people access to functioning Latrine]]*WWWW[[#This Row],[Total PoP ]]</f>
        <v>0</v>
      </c>
      <c r="BK235" s="557">
        <f>IF(WWWW[[#This Row],[Location Type 1]]="camp",WWWW[[#This Row],['# potential required new latrines]]/(WWWW[[#This Row],[Total PoP ]]/20),WWWW[[#This Row],['# potential required new latrines]]/(WWWW[[#This Row],[Total PoP ]]/6))</f>
        <v>1</v>
      </c>
      <c r="BL235" s="558">
        <f>IF(WWWW[[#This Row],[Total required Latrines]]-WWWW[[#This Row],[Total '# of latrine]]&lt;0,0,WWWW[[#This Row],[Total required Latrines]]-WWWW[[#This Row],[Total '# of latrine]])</f>
        <v>36</v>
      </c>
      <c r="BM235" s="559">
        <f>ROUND(IF(WWWW[[#This Row],[Location Type 1]]="camp",WWWW[[#This Row],[Total PoP ]]/20,WWWW[[#This Row],[Total PoP ]]/6),0)</f>
        <v>36</v>
      </c>
      <c r="BN235" s="562">
        <f>IF(OR(WWWW[[#This Row],['# Existing latrines dysfunctional]]="",WWWW[[#This Row],['# Existing latrines dysfunctional]]=0),0,WWWW[[#This Row],['# Existing latrines dysfunctional]]/WWWW[[#This Row],[Total '# of latrine]])</f>
        <v>0</v>
      </c>
      <c r="BO235" s="677"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P235" s="557">
        <f>WWWW[[#This Row],[People adopt basic personal and community hygiene practices]]/WWWW[[#This Row],[Total PoP ]]</f>
        <v>0</v>
      </c>
      <c r="BQ235" s="562">
        <f>1-WWWW[[#This Row],[Hygiene Coverage%]]</f>
        <v>1</v>
      </c>
      <c r="BR235" s="558">
        <f>IF(500*WWWW[[#This Row],['# Hygiene Promoters ]]&gt;WWWW[[#This Row],[Total PoP ]],WWWW[[#This Row],[Total PoP ]],500*WWWW[[#This Row],['# Hygiene Promoters ]])</f>
        <v>216</v>
      </c>
      <c r="BS235" s="558">
        <f>IF(WWWW[[#This Row],[% of HH with access to Sanitary Pad]]&gt;=100%,1,0)</f>
        <v>0</v>
      </c>
      <c r="BT235" s="558">
        <f>IF(WWWW[[#This Row],[Total PoP ]]=0,0,IF(WWWW[[#This Row],['# Hygiene Promoters ]]=0,0,IF(WWWW[[#This Row],[Location Type 1]]="Village",IF(WWWW[[#This Row],[Total PoP ]]/WWWW[[#This Row],['# Hygiene Promoters ]]&lt;1000,1,0),IF(WWWW[[#This Row],[Total PoP ]]/WWWW[[#This Row],['# Hygiene Promoters ]]&lt;600,1,0))))</f>
        <v>1</v>
      </c>
      <c r="BU235" s="558">
        <f>IF(WWWW[[#This Row],[%HH with access to soap]]&gt;=100%,1,0)</f>
        <v>0</v>
      </c>
      <c r="BV235" s="558">
        <f>IF(WWWW[[#This Row],[% of HHs with access to Sanitary pad more than '#%]]+WWWW[[#This Row],[Ratio of Hyiene promoters to people less than '#]]+WWWW[[#This Row],[% of HHs with access to soap more than '#%]]&gt;=2,WWWW[[#This Row],[Total PoP ]],0)</f>
        <v>0</v>
      </c>
      <c r="BW235" s="563">
        <f>WWWW[[#This Row],['# people reached by regular dedicated hygiene promotion_5]]/WWWW[[#This Row],[Total PoP ]]</f>
        <v>1</v>
      </c>
      <c r="BX235" s="563">
        <f>IF(WWWW[[#This Row],['# HH received soaps]]/WWWW[[#This Row],[Total HH]]&gt;1,1,WWWW[[#This Row],['# HH received soaps]]/WWWW[[#This Row],[Total HH]])</f>
        <v>0</v>
      </c>
      <c r="BY235" s="563">
        <f>IF(WWWW[[#This Row],['# HH received Sanitary Pads]]/WWWW[[#This Row],[Total HH]]&gt;1,1,WWWW[[#This Row],['# HH received Sanitary Pads]]/WWWW[[#This Row],[Total HH]])</f>
        <v>0</v>
      </c>
      <c r="BZ235" s="722">
        <f>WWWW[[#This Row],['# HH received soaps]]*5</f>
        <v>0</v>
      </c>
      <c r="CA235" s="722">
        <f>WWWW[[#This Row],['# HH received Sanitary Pads]]*5</f>
        <v>0</v>
      </c>
      <c r="CB235" s="559">
        <f>IF(WWWW[[#This Row],['# People with access to soap]]&gt;WWWW[[#This Row],['# People with access to Sanity Pads]],WWWW[[#This Row],['# People with access to soap]],WWWW[[#This Row],['# People with access to Sanity Pads]])</f>
        <v>0</v>
      </c>
      <c r="CC235" s="558">
        <f>WWWW[[#This Row],[Total HH]]*WWWW[[#This Row],[%HHs with access to functional hand washing stations]]</f>
        <v>0</v>
      </c>
      <c r="CD235" s="240">
        <f>VLOOKUP(WWWW[[#This Row],[Site Name]],SiteDB6[],8,FALSE)</f>
        <v>0</v>
      </c>
      <c r="CE235" s="240">
        <f>VLOOKUP(WWWW[[#This Row],[Site Name]],SiteDB6[],9,FALSE)</f>
        <v>0</v>
      </c>
      <c r="CF235" s="240" t="str">
        <f>VLOOKUP(WWWW[[#This Row],[Site Name]],SiteDB6[],10,FALSE)</f>
        <v>Village</v>
      </c>
      <c r="CG235" s="240" t="str">
        <f>VLOOKUP(WWWW[[#This Row],[Site Name]],SiteDB6[],11,FALSE)</f>
        <v>Village</v>
      </c>
      <c r="CH235" s="240" t="str">
        <f>VLOOKUP(WWWW[[#This Row],[Site Name]],SiteDB6[],12,FALSE)</f>
        <v>Village</v>
      </c>
      <c r="CI235" s="240" t="str">
        <f>VLOOKUP(WWWW[[#This Row],[Site Name]],SiteDB6[],13,FALSE)</f>
        <v>Rakhine</v>
      </c>
      <c r="CJ235" s="240">
        <f>VLOOKUP(WWWW[[#This Row],[Site Name]],SiteDB6[],14,FALSE)</f>
        <v>20.473930358886701</v>
      </c>
      <c r="CK235" s="240">
        <f>VLOOKUP(WWWW[[#This Row],[Site Name]],SiteDB6[],15,FALSE)</f>
        <v>92.668853759765597</v>
      </c>
      <c r="CL235" s="240">
        <f>VLOOKUP(WWWW[[#This Row],[Site Name]],SiteDB6[],4,FALSE)</f>
        <v>197631</v>
      </c>
      <c r="CM235" s="557" t="str">
        <f t="shared" si="3"/>
        <v>Covered</v>
      </c>
      <c r="CN235" s="557"/>
    </row>
    <row r="236" spans="1:92" ht="15.75" hidden="1" customHeight="1" x14ac:dyDescent="0.25">
      <c r="A236" s="554" t="s">
        <v>1409</v>
      </c>
      <c r="B236" s="565" t="s">
        <v>542</v>
      </c>
      <c r="C236" s="565" t="s">
        <v>464</v>
      </c>
      <c r="D236" s="565" t="s">
        <v>476</v>
      </c>
      <c r="E236" s="565" t="s">
        <v>2643</v>
      </c>
      <c r="F236" s="555">
        <v>113</v>
      </c>
      <c r="G236" s="558">
        <v>700</v>
      </c>
      <c r="H236" s="555"/>
      <c r="I236" s="555" t="s">
        <v>398</v>
      </c>
      <c r="J236" s="556">
        <v>43343</v>
      </c>
      <c r="K236" s="555">
        <v>0</v>
      </c>
      <c r="L236" s="555" t="s">
        <v>48</v>
      </c>
      <c r="M236" s="404"/>
      <c r="N236" s="404"/>
      <c r="O236" s="624"/>
      <c r="P236" s="620"/>
      <c r="Q236" s="620"/>
      <c r="R236" s="621"/>
      <c r="S236" s="621"/>
      <c r="T236" s="621"/>
      <c r="U236" s="621"/>
      <c r="V236" s="621"/>
      <c r="W236" s="621"/>
      <c r="X236" s="621"/>
      <c r="Y236" s="621"/>
      <c r="Z236" s="637"/>
      <c r="AA236" s="637"/>
      <c r="AB236" s="638"/>
      <c r="AC236" s="637">
        <v>3</v>
      </c>
      <c r="AD236" s="637" t="s">
        <v>342</v>
      </c>
      <c r="AE236" s="639" t="s">
        <v>342</v>
      </c>
      <c r="AF236" s="639"/>
      <c r="AG236" s="637"/>
      <c r="AH236" s="637"/>
      <c r="AI236" s="649">
        <v>0</v>
      </c>
      <c r="AJ236" s="650" t="s">
        <v>294</v>
      </c>
      <c r="AK236" s="650">
        <v>0</v>
      </c>
      <c r="AL236" s="645">
        <v>0</v>
      </c>
      <c r="AM236" s="645">
        <v>7</v>
      </c>
      <c r="AN236" s="663"/>
      <c r="AO236" s="663"/>
      <c r="AP236" s="663"/>
      <c r="AQ236" s="664"/>
      <c r="AR236" s="557" t="str">
        <f>IFERROR(WWWW[[#This Row],['# of Water passed at source]]/WWWW[[#This Row],['# of Water tested at source]],"no test")</f>
        <v>no test</v>
      </c>
      <c r="AS236" s="560" t="str">
        <f>IFERROR(WWWW[[#This Row],['# of Water passed at HH]]/WWWW[[#This Row],['# of Water tested at HH]],"no test")</f>
        <v>no test</v>
      </c>
      <c r="AT236" s="560">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U236" s="560">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AV236" s="560">
        <f>IF(WWWW[[#This Row],[Location Type 1]]="Village",WWWW[[#This Row],[Access to safe drinking water for Village]],WWWW[[#This Row],[Access to safe drinking water for Camp]])</f>
        <v>0</v>
      </c>
      <c r="AW236" s="558">
        <f>WWWW[[#This Row],[%Equitable and continuous access to sufficient quantity of safe drinking water]]*WWWW[[#This Row],[Total PoP ]]</f>
        <v>0</v>
      </c>
      <c r="AX236" s="560">
        <f>IF((WWWW[[#This Row],['# Existing protected/fenced ponds ]]*250)/WWWW[[#This Row],[Total PoP ]]&gt;1,1,WWWW[[#This Row],['# Existing protected/fenced ponds ]]*250/WWWW[[#This Row],[Total PoP ]])</f>
        <v>0</v>
      </c>
      <c r="AY236" s="558">
        <f>WWWW[[#This Row],[Access to unimproved water points]]*WWWW[[#This Row],[Total PoP ]]</f>
        <v>0</v>
      </c>
      <c r="AZ236" s="560">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A236" s="558">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B236" s="414">
        <f>ROUND(WWWW[[#This Row],['#people Equitable and continuous access to sufficient quantity of domestic water borehole n ponds_2]]/500,0)</f>
        <v>0</v>
      </c>
      <c r="BC236" s="557">
        <f>1-WWWW[[#This Row],[%Equitable and continuous access to sufficient quantity of domestic water borehole n ponds]]</f>
        <v>1</v>
      </c>
      <c r="BD236" s="558">
        <f>WWWW[[#This Row],[%equitable and continuous access to sufficient quantity of safe drinking and domestic water''s GAP]]*WWWW[[#This Row],[Total PoP ]]</f>
        <v>700</v>
      </c>
      <c r="BE236" s="559">
        <f>IF(WWWW[[#This Row],[Total required water points]]-WWWW[[#This Row],['#Water points coverage]]&lt;0,0,WWWW[[#This Row],[Total required water points]]-WWWW[[#This Row],['#Water points coverage]])</f>
        <v>1</v>
      </c>
      <c r="BF236" s="559">
        <f>ROUND(IF(WWWW[[#This Row],[Total PoP ]]&lt;500,1,WWWW[[#This Row],[Total PoP ]]/500),0)</f>
        <v>1</v>
      </c>
      <c r="BG236" s="559" t="str">
        <f>IF(AND(WWWW[[#This Row],[%of Water samples which passed at water source]]="no test",WWWW[[#This Row],[%Water samples which passed at HH]]="no test"),"No Test","Tested")</f>
        <v>No Test</v>
      </c>
      <c r="BH236" s="559">
        <f>WWWW[[#This Row],['# Existing functional latrines]]+WWWW[[#This Row],['# Existing latrines dysfunctional]]</f>
        <v>0</v>
      </c>
      <c r="BI236" s="557">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J236" s="677">
        <f>WWWW[[#This Row],[% people access to functioning Latrine]]*WWWW[[#This Row],[Total PoP ]]</f>
        <v>0</v>
      </c>
      <c r="BK236" s="557">
        <f>IF(WWWW[[#This Row],[Location Type 1]]="camp",WWWW[[#This Row],['# potential required new latrines]]/(WWWW[[#This Row],[Total PoP ]]/20),WWWW[[#This Row],['# potential required new latrines]]/(WWWW[[#This Row],[Total PoP ]]/6))</f>
        <v>1.0028571428571429</v>
      </c>
      <c r="BL236" s="558">
        <f>IF(WWWW[[#This Row],[Total required Latrines]]-WWWW[[#This Row],[Total '# of latrine]]&lt;0,0,WWWW[[#This Row],[Total required Latrines]]-WWWW[[#This Row],[Total '# of latrine]])</f>
        <v>117</v>
      </c>
      <c r="BM236" s="559">
        <f>ROUND(IF(WWWW[[#This Row],[Location Type 1]]="camp",WWWW[[#This Row],[Total PoP ]]/20,WWWW[[#This Row],[Total PoP ]]/6),0)</f>
        <v>117</v>
      </c>
      <c r="BN236" s="562">
        <f>IF(OR(WWWW[[#This Row],['# Existing latrines dysfunctional]]="",WWWW[[#This Row],['# Existing latrines dysfunctional]]=0),0,WWWW[[#This Row],['# Existing latrines dysfunctional]]/WWWW[[#This Row],[Total '# of latrine]])</f>
        <v>0</v>
      </c>
      <c r="BO236" s="677"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P236" s="557">
        <f>WWWW[[#This Row],[People adopt basic personal and community hygiene practices]]/WWWW[[#This Row],[Total PoP ]]</f>
        <v>0</v>
      </c>
      <c r="BQ236" s="562">
        <f>1-WWWW[[#This Row],[Hygiene Coverage%]]</f>
        <v>1</v>
      </c>
      <c r="BR236" s="558">
        <f>IF(500*WWWW[[#This Row],['# Hygiene Promoters ]]&gt;WWWW[[#This Row],[Total PoP ]],WWWW[[#This Row],[Total PoP ]],500*WWWW[[#This Row],['# Hygiene Promoters ]])</f>
        <v>700</v>
      </c>
      <c r="BS236" s="558">
        <f>IF(WWWW[[#This Row],[% of HH with access to Sanitary Pad]]&gt;=100%,1,0)</f>
        <v>0</v>
      </c>
      <c r="BT236" s="558">
        <f>IF(WWWW[[#This Row],[Total PoP ]]=0,0,IF(WWWW[[#This Row],['# Hygiene Promoters ]]=0,0,IF(WWWW[[#This Row],[Location Type 1]]="Village",IF(WWWW[[#This Row],[Total PoP ]]/WWWW[[#This Row],['# Hygiene Promoters ]]&lt;1000,1,0),IF(WWWW[[#This Row],[Total PoP ]]/WWWW[[#This Row],['# Hygiene Promoters ]]&lt;600,1,0))))</f>
        <v>1</v>
      </c>
      <c r="BU236" s="558">
        <f>IF(WWWW[[#This Row],[%HH with access to soap]]&gt;=100%,1,0)</f>
        <v>0</v>
      </c>
      <c r="BV236" s="558">
        <f>IF(WWWW[[#This Row],[% of HHs with access to Sanitary pad more than '#%]]+WWWW[[#This Row],[Ratio of Hyiene promoters to people less than '#]]+WWWW[[#This Row],[% of HHs with access to soap more than '#%]]&gt;=2,WWWW[[#This Row],[Total PoP ]],0)</f>
        <v>0</v>
      </c>
      <c r="BW236" s="563">
        <f>WWWW[[#This Row],['# people reached by regular dedicated hygiene promotion_5]]/WWWW[[#This Row],[Total PoP ]]</f>
        <v>1</v>
      </c>
      <c r="BX236" s="563">
        <f>IF(WWWW[[#This Row],['# HH received soaps]]/WWWW[[#This Row],[Total HH]]&gt;1,1,WWWW[[#This Row],['# HH received soaps]]/WWWW[[#This Row],[Total HH]])</f>
        <v>0</v>
      </c>
      <c r="BY236" s="563">
        <f>IF(WWWW[[#This Row],['# HH received Sanitary Pads]]/WWWW[[#This Row],[Total HH]]&gt;1,1,WWWW[[#This Row],['# HH received Sanitary Pads]]/WWWW[[#This Row],[Total HH]])</f>
        <v>0</v>
      </c>
      <c r="BZ236" s="722">
        <f>WWWW[[#This Row],['# HH received soaps]]*5</f>
        <v>0</v>
      </c>
      <c r="CA236" s="722">
        <f>WWWW[[#This Row],['# HH received Sanitary Pads]]*5</f>
        <v>0</v>
      </c>
      <c r="CB236" s="559">
        <f>IF(WWWW[[#This Row],['# People with access to soap]]&gt;WWWW[[#This Row],['# People with access to Sanity Pads]],WWWW[[#This Row],['# People with access to soap]],WWWW[[#This Row],['# People with access to Sanity Pads]])</f>
        <v>0</v>
      </c>
      <c r="CC236" s="558">
        <f>WWWW[[#This Row],[Total HH]]*WWWW[[#This Row],[%HHs with access to functional hand washing stations]]</f>
        <v>0</v>
      </c>
      <c r="CD236" s="240">
        <f>VLOOKUP(WWWW[[#This Row],[Site Name]],SiteDB6[],8,FALSE)</f>
        <v>0</v>
      </c>
      <c r="CE236" s="240">
        <f>VLOOKUP(WWWW[[#This Row],[Site Name]],SiteDB6[],9,FALSE)</f>
        <v>0</v>
      </c>
      <c r="CF236" s="240" t="str">
        <f>VLOOKUP(WWWW[[#This Row],[Site Name]],SiteDB6[],10,FALSE)</f>
        <v>Village</v>
      </c>
      <c r="CG236" s="240" t="str">
        <f>VLOOKUP(WWWW[[#This Row],[Site Name]],SiteDB6[],11,FALSE)</f>
        <v>Village</v>
      </c>
      <c r="CH236" s="240" t="str">
        <f>VLOOKUP(WWWW[[#This Row],[Site Name]],SiteDB6[],12,FALSE)</f>
        <v>Village</v>
      </c>
      <c r="CI236" s="240">
        <f>VLOOKUP(WWWW[[#This Row],[Site Name]],SiteDB6[],13,FALSE)</f>
        <v>0</v>
      </c>
      <c r="CJ236" s="240">
        <f>VLOOKUP(WWWW[[#This Row],[Site Name]],SiteDB6[],14,FALSE)</f>
        <v>20.731571197509801</v>
      </c>
      <c r="CK236" s="240">
        <f>VLOOKUP(WWWW[[#This Row],[Site Name]],SiteDB6[],15,FALSE)</f>
        <v>92.428176879882798</v>
      </c>
      <c r="CL236" s="240">
        <f>VLOOKUP(WWWW[[#This Row],[Site Name]],SiteDB6[],4,FALSE)</f>
        <v>198016</v>
      </c>
      <c r="CM236" s="557" t="str">
        <f t="shared" si="3"/>
        <v>Covered</v>
      </c>
      <c r="CN236" s="557"/>
    </row>
    <row r="237" spans="1:92" ht="15.75" hidden="1" customHeight="1" x14ac:dyDescent="0.25">
      <c r="A237" s="554" t="s">
        <v>1409</v>
      </c>
      <c r="B237" s="565" t="s">
        <v>542</v>
      </c>
      <c r="C237" s="565" t="s">
        <v>464</v>
      </c>
      <c r="D237" s="565" t="s">
        <v>476</v>
      </c>
      <c r="E237" s="565" t="s">
        <v>2638</v>
      </c>
      <c r="F237" s="555">
        <v>190</v>
      </c>
      <c r="G237" s="558">
        <v>1193</v>
      </c>
      <c r="H237" s="555"/>
      <c r="I237" s="555" t="s">
        <v>398</v>
      </c>
      <c r="J237" s="556">
        <v>43343</v>
      </c>
      <c r="K237" s="555">
        <v>0</v>
      </c>
      <c r="L237" s="555" t="s">
        <v>48</v>
      </c>
      <c r="M237" s="404"/>
      <c r="N237" s="404"/>
      <c r="O237" s="624"/>
      <c r="P237" s="620"/>
      <c r="Q237" s="620"/>
      <c r="R237" s="621"/>
      <c r="S237" s="621"/>
      <c r="T237" s="621"/>
      <c r="U237" s="621"/>
      <c r="V237" s="621"/>
      <c r="W237" s="621"/>
      <c r="X237" s="621"/>
      <c r="Y237" s="621"/>
      <c r="Z237" s="637"/>
      <c r="AA237" s="637"/>
      <c r="AB237" s="638"/>
      <c r="AC237" s="637">
        <v>2</v>
      </c>
      <c r="AD237" s="637" t="s">
        <v>342</v>
      </c>
      <c r="AE237" s="639" t="s">
        <v>342</v>
      </c>
      <c r="AF237" s="639"/>
      <c r="AG237" s="637"/>
      <c r="AH237" s="637"/>
      <c r="AI237" s="649">
        <v>0</v>
      </c>
      <c r="AJ237" s="650" t="s">
        <v>294</v>
      </c>
      <c r="AK237" s="650">
        <v>0</v>
      </c>
      <c r="AL237" s="645">
        <v>0</v>
      </c>
      <c r="AM237" s="645">
        <v>7</v>
      </c>
      <c r="AN237" s="663"/>
      <c r="AO237" s="663"/>
      <c r="AP237" s="663"/>
      <c r="AQ237" s="664"/>
      <c r="AR237" s="557" t="str">
        <f>IFERROR(WWWW[[#This Row],['# of Water passed at source]]/WWWW[[#This Row],['# of Water tested at source]],"no test")</f>
        <v>no test</v>
      </c>
      <c r="AS237" s="560" t="str">
        <f>IFERROR(WWWW[[#This Row],['# of Water passed at HH]]/WWWW[[#This Row],['# of Water tested at HH]],"no test")</f>
        <v>no test</v>
      </c>
      <c r="AT237" s="560">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U237" s="560">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AV237" s="560">
        <f>IF(WWWW[[#This Row],[Location Type 1]]="Village",WWWW[[#This Row],[Access to safe drinking water for Village]],WWWW[[#This Row],[Access to safe drinking water for Camp]])</f>
        <v>0</v>
      </c>
      <c r="AW237" s="558">
        <f>WWWW[[#This Row],[%Equitable and continuous access to sufficient quantity of safe drinking water]]*WWWW[[#This Row],[Total PoP ]]</f>
        <v>0</v>
      </c>
      <c r="AX237" s="560">
        <f>IF((WWWW[[#This Row],['# Existing protected/fenced ponds ]]*250)/WWWW[[#This Row],[Total PoP ]]&gt;1,1,WWWW[[#This Row],['# Existing protected/fenced ponds ]]*250/WWWW[[#This Row],[Total PoP ]])</f>
        <v>0</v>
      </c>
      <c r="AY237" s="558">
        <f>WWWW[[#This Row],[Access to unimproved water points]]*WWWW[[#This Row],[Total PoP ]]</f>
        <v>0</v>
      </c>
      <c r="AZ237" s="560">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A237" s="558">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B237" s="414">
        <f>ROUND(WWWW[[#This Row],['#people Equitable and continuous access to sufficient quantity of domestic water borehole n ponds_2]]/500,0)</f>
        <v>0</v>
      </c>
      <c r="BC237" s="557">
        <f>1-WWWW[[#This Row],[%Equitable and continuous access to sufficient quantity of domestic water borehole n ponds]]</f>
        <v>1</v>
      </c>
      <c r="BD237" s="558">
        <f>WWWW[[#This Row],[%equitable and continuous access to sufficient quantity of safe drinking and domestic water''s GAP]]*WWWW[[#This Row],[Total PoP ]]</f>
        <v>1193</v>
      </c>
      <c r="BE237" s="559">
        <f>IF(WWWW[[#This Row],[Total required water points]]-WWWW[[#This Row],['#Water points coverage]]&lt;0,0,WWWW[[#This Row],[Total required water points]]-WWWW[[#This Row],['#Water points coverage]])</f>
        <v>2</v>
      </c>
      <c r="BF237" s="559">
        <f>ROUND(IF(WWWW[[#This Row],[Total PoP ]]&lt;500,1,WWWW[[#This Row],[Total PoP ]]/500),0)</f>
        <v>2</v>
      </c>
      <c r="BG237" s="559" t="str">
        <f>IF(AND(WWWW[[#This Row],[%of Water samples which passed at water source]]="no test",WWWW[[#This Row],[%Water samples which passed at HH]]="no test"),"No Test","Tested")</f>
        <v>No Test</v>
      </c>
      <c r="BH237" s="559">
        <f>WWWW[[#This Row],['# Existing functional latrines]]+WWWW[[#This Row],['# Existing latrines dysfunctional]]</f>
        <v>0</v>
      </c>
      <c r="BI237" s="557">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J237" s="677">
        <f>WWWW[[#This Row],[% people access to functioning Latrine]]*WWWW[[#This Row],[Total PoP ]]</f>
        <v>0</v>
      </c>
      <c r="BK237" s="557">
        <f>IF(WWWW[[#This Row],[Location Type 1]]="camp",WWWW[[#This Row],['# potential required new latrines]]/(WWWW[[#This Row],[Total PoP ]]/20),WWWW[[#This Row],['# potential required new latrines]]/(WWWW[[#This Row],[Total PoP ]]/6))</f>
        <v>1.0008382229673092</v>
      </c>
      <c r="BL237" s="558">
        <f>IF(WWWW[[#This Row],[Total required Latrines]]-WWWW[[#This Row],[Total '# of latrine]]&lt;0,0,WWWW[[#This Row],[Total required Latrines]]-WWWW[[#This Row],[Total '# of latrine]])</f>
        <v>199</v>
      </c>
      <c r="BM237" s="559">
        <f>ROUND(IF(WWWW[[#This Row],[Location Type 1]]="camp",WWWW[[#This Row],[Total PoP ]]/20,WWWW[[#This Row],[Total PoP ]]/6),0)</f>
        <v>199</v>
      </c>
      <c r="BN237" s="562">
        <f>IF(OR(WWWW[[#This Row],['# Existing latrines dysfunctional]]="",WWWW[[#This Row],['# Existing latrines dysfunctional]]=0),0,WWWW[[#This Row],['# Existing latrines dysfunctional]]/WWWW[[#This Row],[Total '# of latrine]])</f>
        <v>0</v>
      </c>
      <c r="BO237" s="677"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P237" s="557">
        <f>WWWW[[#This Row],[People adopt basic personal and community hygiene practices]]/WWWW[[#This Row],[Total PoP ]]</f>
        <v>0</v>
      </c>
      <c r="BQ237" s="562">
        <f>1-WWWW[[#This Row],[Hygiene Coverage%]]</f>
        <v>1</v>
      </c>
      <c r="BR237" s="558">
        <f>IF(500*WWWW[[#This Row],['# Hygiene Promoters ]]&gt;WWWW[[#This Row],[Total PoP ]],WWWW[[#This Row],[Total PoP ]],500*WWWW[[#This Row],['# Hygiene Promoters ]])</f>
        <v>1193</v>
      </c>
      <c r="BS237" s="558">
        <f>IF(WWWW[[#This Row],[% of HH with access to Sanitary Pad]]&gt;=100%,1,0)</f>
        <v>0</v>
      </c>
      <c r="BT237" s="558">
        <f>IF(WWWW[[#This Row],[Total PoP ]]=0,0,IF(WWWW[[#This Row],['# Hygiene Promoters ]]=0,0,IF(WWWW[[#This Row],[Location Type 1]]="Village",IF(WWWW[[#This Row],[Total PoP ]]/WWWW[[#This Row],['# Hygiene Promoters ]]&lt;1000,1,0),IF(WWWW[[#This Row],[Total PoP ]]/WWWW[[#This Row],['# Hygiene Promoters ]]&lt;600,1,0))))</f>
        <v>1</v>
      </c>
      <c r="BU237" s="558">
        <f>IF(WWWW[[#This Row],[%HH with access to soap]]&gt;=100%,1,0)</f>
        <v>0</v>
      </c>
      <c r="BV237" s="558">
        <f>IF(WWWW[[#This Row],[% of HHs with access to Sanitary pad more than '#%]]+WWWW[[#This Row],[Ratio of Hyiene promoters to people less than '#]]+WWWW[[#This Row],[% of HHs with access to soap more than '#%]]&gt;=2,WWWW[[#This Row],[Total PoP ]],0)</f>
        <v>0</v>
      </c>
      <c r="BW237" s="563">
        <f>WWWW[[#This Row],['# people reached by regular dedicated hygiene promotion_5]]/WWWW[[#This Row],[Total PoP ]]</f>
        <v>1</v>
      </c>
      <c r="BX237" s="563">
        <f>IF(WWWW[[#This Row],['# HH received soaps]]/WWWW[[#This Row],[Total HH]]&gt;1,1,WWWW[[#This Row],['# HH received soaps]]/WWWW[[#This Row],[Total HH]])</f>
        <v>0</v>
      </c>
      <c r="BY237" s="563">
        <f>IF(WWWW[[#This Row],['# HH received Sanitary Pads]]/WWWW[[#This Row],[Total HH]]&gt;1,1,WWWW[[#This Row],['# HH received Sanitary Pads]]/WWWW[[#This Row],[Total HH]])</f>
        <v>0</v>
      </c>
      <c r="BZ237" s="722">
        <f>WWWW[[#This Row],['# HH received soaps]]*5</f>
        <v>0</v>
      </c>
      <c r="CA237" s="722">
        <f>WWWW[[#This Row],['# HH received Sanitary Pads]]*5</f>
        <v>0</v>
      </c>
      <c r="CB237" s="559">
        <f>IF(WWWW[[#This Row],['# People with access to soap]]&gt;WWWW[[#This Row],['# People with access to Sanity Pads]],WWWW[[#This Row],['# People with access to soap]],WWWW[[#This Row],['# People with access to Sanity Pads]])</f>
        <v>0</v>
      </c>
      <c r="CC237" s="558">
        <f>WWWW[[#This Row],[Total HH]]*WWWW[[#This Row],[%HHs with access to functional hand washing stations]]</f>
        <v>0</v>
      </c>
      <c r="CD237" s="240">
        <f>VLOOKUP(WWWW[[#This Row],[Site Name]],SiteDB6[],8,FALSE)</f>
        <v>0</v>
      </c>
      <c r="CE237" s="240">
        <f>VLOOKUP(WWWW[[#This Row],[Site Name]],SiteDB6[],9,FALSE)</f>
        <v>0</v>
      </c>
      <c r="CF237" s="240" t="str">
        <f>VLOOKUP(WWWW[[#This Row],[Site Name]],SiteDB6[],10,FALSE)</f>
        <v>Village</v>
      </c>
      <c r="CG237" s="240" t="str">
        <f>VLOOKUP(WWWW[[#This Row],[Site Name]],SiteDB6[],11,FALSE)</f>
        <v>Village</v>
      </c>
      <c r="CH237" s="240" t="str">
        <f>VLOOKUP(WWWW[[#This Row],[Site Name]],SiteDB6[],12,FALSE)</f>
        <v>Village</v>
      </c>
      <c r="CI237" s="240">
        <f>VLOOKUP(WWWW[[#This Row],[Site Name]],SiteDB6[],13,FALSE)</f>
        <v>0</v>
      </c>
      <c r="CJ237" s="240">
        <f>VLOOKUP(WWWW[[#This Row],[Site Name]],SiteDB6[],14,FALSE)</f>
        <v>20.866529464721701</v>
      </c>
      <c r="CK237" s="240">
        <f>VLOOKUP(WWWW[[#This Row],[Site Name]],SiteDB6[],15,FALSE)</f>
        <v>92.364883422851605</v>
      </c>
      <c r="CL237" s="240">
        <f>VLOOKUP(WWWW[[#This Row],[Site Name]],SiteDB6[],4,FALSE)</f>
        <v>197969</v>
      </c>
      <c r="CM237" s="557" t="str">
        <f t="shared" si="3"/>
        <v>Covered</v>
      </c>
      <c r="CN237" s="557"/>
    </row>
    <row r="238" spans="1:92" ht="15.75" hidden="1" customHeight="1" x14ac:dyDescent="0.25">
      <c r="A238" s="554" t="s">
        <v>1409</v>
      </c>
      <c r="B238" s="565" t="s">
        <v>542</v>
      </c>
      <c r="C238" s="565" t="s">
        <v>464</v>
      </c>
      <c r="D238" s="565" t="s">
        <v>476</v>
      </c>
      <c r="E238" s="565" t="s">
        <v>2639</v>
      </c>
      <c r="F238" s="555">
        <v>270</v>
      </c>
      <c r="G238" s="558">
        <v>1644</v>
      </c>
      <c r="H238" s="555"/>
      <c r="I238" s="555" t="s">
        <v>398</v>
      </c>
      <c r="J238" s="556">
        <v>43343</v>
      </c>
      <c r="K238" s="555">
        <v>0</v>
      </c>
      <c r="L238" s="555" t="s">
        <v>48</v>
      </c>
      <c r="M238" s="404"/>
      <c r="N238" s="404"/>
      <c r="O238" s="624"/>
      <c r="P238" s="620"/>
      <c r="Q238" s="620"/>
      <c r="R238" s="621"/>
      <c r="S238" s="621"/>
      <c r="T238" s="621"/>
      <c r="U238" s="621"/>
      <c r="V238" s="621"/>
      <c r="W238" s="621"/>
      <c r="X238" s="621"/>
      <c r="Y238" s="621"/>
      <c r="Z238" s="637"/>
      <c r="AA238" s="637"/>
      <c r="AB238" s="638"/>
      <c r="AC238" s="637">
        <v>12</v>
      </c>
      <c r="AD238" s="637" t="s">
        <v>342</v>
      </c>
      <c r="AE238" s="639" t="s">
        <v>342</v>
      </c>
      <c r="AF238" s="639"/>
      <c r="AG238" s="637"/>
      <c r="AH238" s="637"/>
      <c r="AI238" s="649">
        <v>0</v>
      </c>
      <c r="AJ238" s="650" t="s">
        <v>294</v>
      </c>
      <c r="AK238" s="650">
        <v>0</v>
      </c>
      <c r="AL238" s="645">
        <v>0</v>
      </c>
      <c r="AM238" s="645">
        <v>7</v>
      </c>
      <c r="AN238" s="663"/>
      <c r="AO238" s="663"/>
      <c r="AP238" s="663"/>
      <c r="AQ238" s="664"/>
      <c r="AR238" s="557" t="str">
        <f>IFERROR(WWWW[[#This Row],['# of Water passed at source]]/WWWW[[#This Row],['# of Water tested at source]],"no test")</f>
        <v>no test</v>
      </c>
      <c r="AS238" s="560" t="str">
        <f>IFERROR(WWWW[[#This Row],['# of Water passed at HH]]/WWWW[[#This Row],['# of Water tested at HH]],"no test")</f>
        <v>no test</v>
      </c>
      <c r="AT238" s="560">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U238" s="560">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AV238" s="560">
        <f>IF(WWWW[[#This Row],[Location Type 1]]="Village",WWWW[[#This Row],[Access to safe drinking water for Village]],WWWW[[#This Row],[Access to safe drinking water for Camp]])</f>
        <v>0</v>
      </c>
      <c r="AW238" s="558">
        <f>WWWW[[#This Row],[%Equitable and continuous access to sufficient quantity of safe drinking water]]*WWWW[[#This Row],[Total PoP ]]</f>
        <v>0</v>
      </c>
      <c r="AX238" s="560">
        <f>IF((WWWW[[#This Row],['# Existing protected/fenced ponds ]]*250)/WWWW[[#This Row],[Total PoP ]]&gt;1,1,WWWW[[#This Row],['# Existing protected/fenced ponds ]]*250/WWWW[[#This Row],[Total PoP ]])</f>
        <v>0</v>
      </c>
      <c r="AY238" s="558">
        <f>WWWW[[#This Row],[Access to unimproved water points]]*WWWW[[#This Row],[Total PoP ]]</f>
        <v>0</v>
      </c>
      <c r="AZ238" s="560">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A238" s="558">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B238" s="414">
        <f>ROUND(WWWW[[#This Row],['#people Equitable and continuous access to sufficient quantity of domestic water borehole n ponds_2]]/500,0)</f>
        <v>0</v>
      </c>
      <c r="BC238" s="557">
        <f>1-WWWW[[#This Row],[%Equitable and continuous access to sufficient quantity of domestic water borehole n ponds]]</f>
        <v>1</v>
      </c>
      <c r="BD238" s="558">
        <f>WWWW[[#This Row],[%equitable and continuous access to sufficient quantity of safe drinking and domestic water''s GAP]]*WWWW[[#This Row],[Total PoP ]]</f>
        <v>1644</v>
      </c>
      <c r="BE238" s="559">
        <f>IF(WWWW[[#This Row],[Total required water points]]-WWWW[[#This Row],['#Water points coverage]]&lt;0,0,WWWW[[#This Row],[Total required water points]]-WWWW[[#This Row],['#Water points coverage]])</f>
        <v>3</v>
      </c>
      <c r="BF238" s="559">
        <f>ROUND(IF(WWWW[[#This Row],[Total PoP ]]&lt;500,1,WWWW[[#This Row],[Total PoP ]]/500),0)</f>
        <v>3</v>
      </c>
      <c r="BG238" s="559" t="str">
        <f>IF(AND(WWWW[[#This Row],[%of Water samples which passed at water source]]="no test",WWWW[[#This Row],[%Water samples which passed at HH]]="no test"),"No Test","Tested")</f>
        <v>No Test</v>
      </c>
      <c r="BH238" s="559">
        <f>WWWW[[#This Row],['# Existing functional latrines]]+WWWW[[#This Row],['# Existing latrines dysfunctional]]</f>
        <v>0</v>
      </c>
      <c r="BI238" s="557">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J238" s="677">
        <f>WWWW[[#This Row],[% people access to functioning Latrine]]*WWWW[[#This Row],[Total PoP ]]</f>
        <v>0</v>
      </c>
      <c r="BK238" s="557">
        <f>IF(WWWW[[#This Row],[Location Type 1]]="camp",WWWW[[#This Row],['# potential required new latrines]]/(WWWW[[#This Row],[Total PoP ]]/20),WWWW[[#This Row],['# potential required new latrines]]/(WWWW[[#This Row],[Total PoP ]]/6))</f>
        <v>1</v>
      </c>
      <c r="BL238" s="558">
        <f>IF(WWWW[[#This Row],[Total required Latrines]]-WWWW[[#This Row],[Total '# of latrine]]&lt;0,0,WWWW[[#This Row],[Total required Latrines]]-WWWW[[#This Row],[Total '# of latrine]])</f>
        <v>274</v>
      </c>
      <c r="BM238" s="559">
        <f>ROUND(IF(WWWW[[#This Row],[Location Type 1]]="camp",WWWW[[#This Row],[Total PoP ]]/20,WWWW[[#This Row],[Total PoP ]]/6),0)</f>
        <v>274</v>
      </c>
      <c r="BN238" s="562">
        <f>IF(OR(WWWW[[#This Row],['# Existing latrines dysfunctional]]="",WWWW[[#This Row],['# Existing latrines dysfunctional]]=0),0,WWWW[[#This Row],['# Existing latrines dysfunctional]]/WWWW[[#This Row],[Total '# of latrine]])</f>
        <v>0</v>
      </c>
      <c r="BO238" s="677"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P238" s="557">
        <f>WWWW[[#This Row],[People adopt basic personal and community hygiene practices]]/WWWW[[#This Row],[Total PoP ]]</f>
        <v>0</v>
      </c>
      <c r="BQ238" s="562">
        <f>1-WWWW[[#This Row],[Hygiene Coverage%]]</f>
        <v>1</v>
      </c>
      <c r="BR238" s="558">
        <f>IF(500*WWWW[[#This Row],['# Hygiene Promoters ]]&gt;WWWW[[#This Row],[Total PoP ]],WWWW[[#This Row],[Total PoP ]],500*WWWW[[#This Row],['# Hygiene Promoters ]])</f>
        <v>1644</v>
      </c>
      <c r="BS238" s="558">
        <f>IF(WWWW[[#This Row],[% of HH with access to Sanitary Pad]]&gt;=100%,1,0)</f>
        <v>0</v>
      </c>
      <c r="BT238" s="558">
        <f>IF(WWWW[[#This Row],[Total PoP ]]=0,0,IF(WWWW[[#This Row],['# Hygiene Promoters ]]=0,0,IF(WWWW[[#This Row],[Location Type 1]]="Village",IF(WWWW[[#This Row],[Total PoP ]]/WWWW[[#This Row],['# Hygiene Promoters ]]&lt;1000,1,0),IF(WWWW[[#This Row],[Total PoP ]]/WWWW[[#This Row],['# Hygiene Promoters ]]&lt;600,1,0))))</f>
        <v>1</v>
      </c>
      <c r="BU238" s="558">
        <f>IF(WWWW[[#This Row],[%HH with access to soap]]&gt;=100%,1,0)</f>
        <v>0</v>
      </c>
      <c r="BV238" s="558">
        <f>IF(WWWW[[#This Row],[% of HHs with access to Sanitary pad more than '#%]]+WWWW[[#This Row],[Ratio of Hyiene promoters to people less than '#]]+WWWW[[#This Row],[% of HHs with access to soap more than '#%]]&gt;=2,WWWW[[#This Row],[Total PoP ]],0)</f>
        <v>0</v>
      </c>
      <c r="BW238" s="563">
        <f>WWWW[[#This Row],['# people reached by regular dedicated hygiene promotion_5]]/WWWW[[#This Row],[Total PoP ]]</f>
        <v>1</v>
      </c>
      <c r="BX238" s="563">
        <f>IF(WWWW[[#This Row],['# HH received soaps]]/WWWW[[#This Row],[Total HH]]&gt;1,1,WWWW[[#This Row],['# HH received soaps]]/WWWW[[#This Row],[Total HH]])</f>
        <v>0</v>
      </c>
      <c r="BY238" s="563">
        <f>IF(WWWW[[#This Row],['# HH received Sanitary Pads]]/WWWW[[#This Row],[Total HH]]&gt;1,1,WWWW[[#This Row],['# HH received Sanitary Pads]]/WWWW[[#This Row],[Total HH]])</f>
        <v>0</v>
      </c>
      <c r="BZ238" s="722">
        <f>WWWW[[#This Row],['# HH received soaps]]*5</f>
        <v>0</v>
      </c>
      <c r="CA238" s="722">
        <f>WWWW[[#This Row],['# HH received Sanitary Pads]]*5</f>
        <v>0</v>
      </c>
      <c r="CB238" s="559">
        <f>IF(WWWW[[#This Row],['# People with access to soap]]&gt;WWWW[[#This Row],['# People with access to Sanity Pads]],WWWW[[#This Row],['# People with access to soap]],WWWW[[#This Row],['# People with access to Sanity Pads]])</f>
        <v>0</v>
      </c>
      <c r="CC238" s="558">
        <f>WWWW[[#This Row],[Total HH]]*WWWW[[#This Row],[%HHs with access to functional hand washing stations]]</f>
        <v>0</v>
      </c>
      <c r="CD238" s="240">
        <f>VLOOKUP(WWWW[[#This Row],[Site Name]],SiteDB6[],8,FALSE)</f>
        <v>0</v>
      </c>
      <c r="CE238" s="240">
        <f>VLOOKUP(WWWW[[#This Row],[Site Name]],SiteDB6[],9,FALSE)</f>
        <v>0</v>
      </c>
      <c r="CF238" s="240" t="str">
        <f>VLOOKUP(WWWW[[#This Row],[Site Name]],SiteDB6[],10,FALSE)</f>
        <v>Village</v>
      </c>
      <c r="CG238" s="240" t="str">
        <f>VLOOKUP(WWWW[[#This Row],[Site Name]],SiteDB6[],11,FALSE)</f>
        <v>Village</v>
      </c>
      <c r="CH238" s="240" t="str">
        <f>VLOOKUP(WWWW[[#This Row],[Site Name]],SiteDB6[],12,FALSE)</f>
        <v>Village</v>
      </c>
      <c r="CI238" s="240">
        <f>VLOOKUP(WWWW[[#This Row],[Site Name]],SiteDB6[],13,FALSE)</f>
        <v>0</v>
      </c>
      <c r="CJ238" s="240">
        <f>VLOOKUP(WWWW[[#This Row],[Site Name]],SiteDB6[],14,FALSE)</f>
        <v>20.903369903564499</v>
      </c>
      <c r="CK238" s="240">
        <f>VLOOKUP(WWWW[[#This Row],[Site Name]],SiteDB6[],15,FALSE)</f>
        <v>92.332237243652301</v>
      </c>
      <c r="CL238" s="240">
        <f>VLOOKUP(WWWW[[#This Row],[Site Name]],SiteDB6[],4,FALSE)</f>
        <v>197961</v>
      </c>
      <c r="CM238" s="557" t="str">
        <f t="shared" si="3"/>
        <v>Covered</v>
      </c>
      <c r="CN238" s="557"/>
    </row>
    <row r="239" spans="1:92" ht="15.75" hidden="1" customHeight="1" x14ac:dyDescent="0.25">
      <c r="A239" s="554" t="s">
        <v>1409</v>
      </c>
      <c r="B239" s="565" t="s">
        <v>542</v>
      </c>
      <c r="C239" s="565" t="s">
        <v>464</v>
      </c>
      <c r="D239" s="565" t="s">
        <v>476</v>
      </c>
      <c r="E239" s="565" t="s">
        <v>2640</v>
      </c>
      <c r="F239" s="555">
        <v>250</v>
      </c>
      <c r="G239" s="558">
        <v>2289</v>
      </c>
      <c r="H239" s="555"/>
      <c r="I239" s="555" t="s">
        <v>398</v>
      </c>
      <c r="J239" s="556">
        <v>43343</v>
      </c>
      <c r="K239" s="555">
        <v>0</v>
      </c>
      <c r="L239" s="555" t="s">
        <v>48</v>
      </c>
      <c r="M239" s="404"/>
      <c r="N239" s="404"/>
      <c r="O239" s="624"/>
      <c r="P239" s="620"/>
      <c r="Q239" s="620"/>
      <c r="R239" s="621"/>
      <c r="S239" s="621"/>
      <c r="T239" s="621"/>
      <c r="U239" s="621"/>
      <c r="V239" s="621"/>
      <c r="W239" s="621"/>
      <c r="X239" s="621"/>
      <c r="Y239" s="621"/>
      <c r="Z239" s="637"/>
      <c r="AA239" s="637"/>
      <c r="AB239" s="638"/>
      <c r="AC239" s="637">
        <v>18</v>
      </c>
      <c r="AD239" s="637" t="s">
        <v>342</v>
      </c>
      <c r="AE239" s="639" t="s">
        <v>342</v>
      </c>
      <c r="AF239" s="639"/>
      <c r="AG239" s="637"/>
      <c r="AH239" s="637"/>
      <c r="AI239" s="649">
        <v>0</v>
      </c>
      <c r="AJ239" s="650" t="s">
        <v>294</v>
      </c>
      <c r="AK239" s="650">
        <v>0</v>
      </c>
      <c r="AL239" s="645">
        <v>0</v>
      </c>
      <c r="AM239" s="645">
        <v>7</v>
      </c>
      <c r="AN239" s="663"/>
      <c r="AO239" s="663"/>
      <c r="AP239" s="663"/>
      <c r="AQ239" s="664"/>
      <c r="AR239" s="557" t="str">
        <f>IFERROR(WWWW[[#This Row],['# of Water passed at source]]/WWWW[[#This Row],['# of Water tested at source]],"no test")</f>
        <v>no test</v>
      </c>
      <c r="AS239" s="560" t="str">
        <f>IFERROR(WWWW[[#This Row],['# of Water passed at HH]]/WWWW[[#This Row],['# of Water tested at HH]],"no test")</f>
        <v>no test</v>
      </c>
      <c r="AT239" s="560">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U239" s="560">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AV239" s="560">
        <f>IF(WWWW[[#This Row],[Location Type 1]]="Village",WWWW[[#This Row],[Access to safe drinking water for Village]],WWWW[[#This Row],[Access to safe drinking water for Camp]])</f>
        <v>0</v>
      </c>
      <c r="AW239" s="558">
        <f>WWWW[[#This Row],[%Equitable and continuous access to sufficient quantity of safe drinking water]]*WWWW[[#This Row],[Total PoP ]]</f>
        <v>0</v>
      </c>
      <c r="AX239" s="560">
        <f>IF((WWWW[[#This Row],['# Existing protected/fenced ponds ]]*250)/WWWW[[#This Row],[Total PoP ]]&gt;1,1,WWWW[[#This Row],['# Existing protected/fenced ponds ]]*250/WWWW[[#This Row],[Total PoP ]])</f>
        <v>0</v>
      </c>
      <c r="AY239" s="558">
        <f>WWWW[[#This Row],[Access to unimproved water points]]*WWWW[[#This Row],[Total PoP ]]</f>
        <v>0</v>
      </c>
      <c r="AZ239" s="560">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A239" s="558">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B239" s="414">
        <f>ROUND(WWWW[[#This Row],['#people Equitable and continuous access to sufficient quantity of domestic water borehole n ponds_2]]/500,0)</f>
        <v>0</v>
      </c>
      <c r="BC239" s="557">
        <f>1-WWWW[[#This Row],[%Equitable and continuous access to sufficient quantity of domestic water borehole n ponds]]</f>
        <v>1</v>
      </c>
      <c r="BD239" s="558">
        <f>WWWW[[#This Row],[%equitable and continuous access to sufficient quantity of safe drinking and domestic water''s GAP]]*WWWW[[#This Row],[Total PoP ]]</f>
        <v>2289</v>
      </c>
      <c r="BE239" s="559">
        <f>IF(WWWW[[#This Row],[Total required water points]]-WWWW[[#This Row],['#Water points coverage]]&lt;0,0,WWWW[[#This Row],[Total required water points]]-WWWW[[#This Row],['#Water points coverage]])</f>
        <v>5</v>
      </c>
      <c r="BF239" s="559">
        <f>ROUND(IF(WWWW[[#This Row],[Total PoP ]]&lt;500,1,WWWW[[#This Row],[Total PoP ]]/500),0)</f>
        <v>5</v>
      </c>
      <c r="BG239" s="559" t="str">
        <f>IF(AND(WWWW[[#This Row],[%of Water samples which passed at water source]]="no test",WWWW[[#This Row],[%Water samples which passed at HH]]="no test"),"No Test","Tested")</f>
        <v>No Test</v>
      </c>
      <c r="BH239" s="559">
        <f>WWWW[[#This Row],['# Existing functional latrines]]+WWWW[[#This Row],['# Existing latrines dysfunctional]]</f>
        <v>0</v>
      </c>
      <c r="BI239" s="557">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J239" s="677">
        <f>WWWW[[#This Row],[% people access to functioning Latrine]]*WWWW[[#This Row],[Total PoP ]]</f>
        <v>0</v>
      </c>
      <c r="BK239" s="557">
        <f>IF(WWWW[[#This Row],[Location Type 1]]="camp",WWWW[[#This Row],['# potential required new latrines]]/(WWWW[[#This Row],[Total PoP ]]/20),WWWW[[#This Row],['# potential required new latrines]]/(WWWW[[#This Row],[Total PoP ]]/6))</f>
        <v>1.0013106159895151</v>
      </c>
      <c r="BL239" s="558">
        <f>IF(WWWW[[#This Row],[Total required Latrines]]-WWWW[[#This Row],[Total '# of latrine]]&lt;0,0,WWWW[[#This Row],[Total required Latrines]]-WWWW[[#This Row],[Total '# of latrine]])</f>
        <v>382</v>
      </c>
      <c r="BM239" s="559">
        <f>ROUND(IF(WWWW[[#This Row],[Location Type 1]]="camp",WWWW[[#This Row],[Total PoP ]]/20,WWWW[[#This Row],[Total PoP ]]/6),0)</f>
        <v>382</v>
      </c>
      <c r="BN239" s="562">
        <f>IF(OR(WWWW[[#This Row],['# Existing latrines dysfunctional]]="",WWWW[[#This Row],['# Existing latrines dysfunctional]]=0),0,WWWW[[#This Row],['# Existing latrines dysfunctional]]/WWWW[[#This Row],[Total '# of latrine]])</f>
        <v>0</v>
      </c>
      <c r="BO239" s="677"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P239" s="557">
        <f>WWWW[[#This Row],[People adopt basic personal and community hygiene practices]]/WWWW[[#This Row],[Total PoP ]]</f>
        <v>0</v>
      </c>
      <c r="BQ239" s="562">
        <f>1-WWWW[[#This Row],[Hygiene Coverage%]]</f>
        <v>1</v>
      </c>
      <c r="BR239" s="558">
        <f>IF(500*WWWW[[#This Row],['# Hygiene Promoters ]]&gt;WWWW[[#This Row],[Total PoP ]],WWWW[[#This Row],[Total PoP ]],500*WWWW[[#This Row],['# Hygiene Promoters ]])</f>
        <v>2289</v>
      </c>
      <c r="BS239" s="558">
        <f>IF(WWWW[[#This Row],[% of HH with access to Sanitary Pad]]&gt;=100%,1,0)</f>
        <v>0</v>
      </c>
      <c r="BT239" s="558">
        <f>IF(WWWW[[#This Row],[Total PoP ]]=0,0,IF(WWWW[[#This Row],['# Hygiene Promoters ]]=0,0,IF(WWWW[[#This Row],[Location Type 1]]="Village",IF(WWWW[[#This Row],[Total PoP ]]/WWWW[[#This Row],['# Hygiene Promoters ]]&lt;1000,1,0),IF(WWWW[[#This Row],[Total PoP ]]/WWWW[[#This Row],['# Hygiene Promoters ]]&lt;600,1,0))))</f>
        <v>1</v>
      </c>
      <c r="BU239" s="558">
        <f>IF(WWWW[[#This Row],[%HH with access to soap]]&gt;=100%,1,0)</f>
        <v>0</v>
      </c>
      <c r="BV239" s="558">
        <f>IF(WWWW[[#This Row],[% of HHs with access to Sanitary pad more than '#%]]+WWWW[[#This Row],[Ratio of Hyiene promoters to people less than '#]]+WWWW[[#This Row],[% of HHs with access to soap more than '#%]]&gt;=2,WWWW[[#This Row],[Total PoP ]],0)</f>
        <v>0</v>
      </c>
      <c r="BW239" s="563">
        <f>WWWW[[#This Row],['# people reached by regular dedicated hygiene promotion_5]]/WWWW[[#This Row],[Total PoP ]]</f>
        <v>1</v>
      </c>
      <c r="BX239" s="563">
        <f>IF(WWWW[[#This Row],['# HH received soaps]]/WWWW[[#This Row],[Total HH]]&gt;1,1,WWWW[[#This Row],['# HH received soaps]]/WWWW[[#This Row],[Total HH]])</f>
        <v>0</v>
      </c>
      <c r="BY239" s="563">
        <f>IF(WWWW[[#This Row],['# HH received Sanitary Pads]]/WWWW[[#This Row],[Total HH]]&gt;1,1,WWWW[[#This Row],['# HH received Sanitary Pads]]/WWWW[[#This Row],[Total HH]])</f>
        <v>0</v>
      </c>
      <c r="BZ239" s="722">
        <f>WWWW[[#This Row],['# HH received soaps]]*5</f>
        <v>0</v>
      </c>
      <c r="CA239" s="722">
        <f>WWWW[[#This Row],['# HH received Sanitary Pads]]*5</f>
        <v>0</v>
      </c>
      <c r="CB239" s="559">
        <f>IF(WWWW[[#This Row],['# People with access to soap]]&gt;WWWW[[#This Row],['# People with access to Sanity Pads]],WWWW[[#This Row],['# People with access to soap]],WWWW[[#This Row],['# People with access to Sanity Pads]])</f>
        <v>0</v>
      </c>
      <c r="CC239" s="558">
        <f>WWWW[[#This Row],[Total HH]]*WWWW[[#This Row],[%HHs with access to functional hand washing stations]]</f>
        <v>0</v>
      </c>
      <c r="CD239" s="240">
        <f>VLOOKUP(WWWW[[#This Row],[Site Name]],SiteDB6[],8,FALSE)</f>
        <v>0</v>
      </c>
      <c r="CE239" s="240">
        <f>VLOOKUP(WWWW[[#This Row],[Site Name]],SiteDB6[],9,FALSE)</f>
        <v>0</v>
      </c>
      <c r="CF239" s="240" t="str">
        <f>VLOOKUP(WWWW[[#This Row],[Site Name]],SiteDB6[],10,FALSE)</f>
        <v>Village</v>
      </c>
      <c r="CG239" s="240" t="str">
        <f>VLOOKUP(WWWW[[#This Row],[Site Name]],SiteDB6[],11,FALSE)</f>
        <v>Village</v>
      </c>
      <c r="CH239" s="240" t="str">
        <f>VLOOKUP(WWWW[[#This Row],[Site Name]],SiteDB6[],12,FALSE)</f>
        <v>Village</v>
      </c>
      <c r="CI239" s="240">
        <f>VLOOKUP(WWWW[[#This Row],[Site Name]],SiteDB6[],13,FALSE)</f>
        <v>0</v>
      </c>
      <c r="CJ239" s="240">
        <f>VLOOKUP(WWWW[[#This Row],[Site Name]],SiteDB6[],14,FALSE)</f>
        <v>20.872400283813501</v>
      </c>
      <c r="CK239" s="240">
        <f>VLOOKUP(WWWW[[#This Row],[Site Name]],SiteDB6[],15,FALSE)</f>
        <v>92.337608337402301</v>
      </c>
      <c r="CL239" s="240">
        <f>VLOOKUP(WWWW[[#This Row],[Site Name]],SiteDB6[],4,FALSE)</f>
        <v>197971</v>
      </c>
      <c r="CM239" s="557" t="str">
        <f t="shared" si="3"/>
        <v>Covered</v>
      </c>
      <c r="CN239" s="557"/>
    </row>
    <row r="240" spans="1:92" ht="15.75" hidden="1" customHeight="1" x14ac:dyDescent="0.25">
      <c r="A240" s="554" t="s">
        <v>1409</v>
      </c>
      <c r="B240" s="565" t="s">
        <v>542</v>
      </c>
      <c r="C240" s="565" t="s">
        <v>464</v>
      </c>
      <c r="D240" s="565" t="s">
        <v>476</v>
      </c>
      <c r="E240" s="565" t="s">
        <v>2641</v>
      </c>
      <c r="F240" s="555">
        <v>46</v>
      </c>
      <c r="G240" s="558">
        <v>259</v>
      </c>
      <c r="H240" s="555"/>
      <c r="I240" s="555" t="s">
        <v>398</v>
      </c>
      <c r="J240" s="556">
        <v>43343</v>
      </c>
      <c r="K240" s="555">
        <v>0</v>
      </c>
      <c r="L240" s="555" t="s">
        <v>48</v>
      </c>
      <c r="M240" s="404"/>
      <c r="N240" s="404"/>
      <c r="O240" s="624"/>
      <c r="P240" s="620"/>
      <c r="Q240" s="620"/>
      <c r="R240" s="621"/>
      <c r="S240" s="621"/>
      <c r="T240" s="621"/>
      <c r="U240" s="621"/>
      <c r="V240" s="621"/>
      <c r="W240" s="621"/>
      <c r="X240" s="621"/>
      <c r="Y240" s="621"/>
      <c r="Z240" s="637"/>
      <c r="AA240" s="637"/>
      <c r="AB240" s="638"/>
      <c r="AC240" s="637">
        <v>2</v>
      </c>
      <c r="AD240" s="637" t="s">
        <v>342</v>
      </c>
      <c r="AE240" s="639" t="s">
        <v>342</v>
      </c>
      <c r="AF240" s="639"/>
      <c r="AG240" s="637"/>
      <c r="AH240" s="637"/>
      <c r="AI240" s="649">
        <v>0</v>
      </c>
      <c r="AJ240" s="650" t="s">
        <v>294</v>
      </c>
      <c r="AK240" s="650">
        <v>0</v>
      </c>
      <c r="AL240" s="645">
        <v>0</v>
      </c>
      <c r="AM240" s="645">
        <v>7</v>
      </c>
      <c r="AN240" s="663"/>
      <c r="AO240" s="663"/>
      <c r="AP240" s="663"/>
      <c r="AQ240" s="664"/>
      <c r="AR240" s="557" t="str">
        <f>IFERROR(WWWW[[#This Row],['# of Water passed at source]]/WWWW[[#This Row],['# of Water tested at source]],"no test")</f>
        <v>no test</v>
      </c>
      <c r="AS240" s="560" t="str">
        <f>IFERROR(WWWW[[#This Row],['# of Water passed at HH]]/WWWW[[#This Row],['# of Water tested at HH]],"no test")</f>
        <v>no test</v>
      </c>
      <c r="AT240" s="560">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U240" s="560">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AV240" s="560">
        <f>IF(WWWW[[#This Row],[Location Type 1]]="Village",WWWW[[#This Row],[Access to safe drinking water for Village]],WWWW[[#This Row],[Access to safe drinking water for Camp]])</f>
        <v>0</v>
      </c>
      <c r="AW240" s="558">
        <f>WWWW[[#This Row],[%Equitable and continuous access to sufficient quantity of safe drinking water]]*WWWW[[#This Row],[Total PoP ]]</f>
        <v>0</v>
      </c>
      <c r="AX240" s="560">
        <f>IF((WWWW[[#This Row],['# Existing protected/fenced ponds ]]*250)/WWWW[[#This Row],[Total PoP ]]&gt;1,1,WWWW[[#This Row],['# Existing protected/fenced ponds ]]*250/WWWW[[#This Row],[Total PoP ]])</f>
        <v>0</v>
      </c>
      <c r="AY240" s="558">
        <f>WWWW[[#This Row],[Access to unimproved water points]]*WWWW[[#This Row],[Total PoP ]]</f>
        <v>0</v>
      </c>
      <c r="AZ240" s="560">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A240" s="558">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B240" s="414">
        <f>ROUND(WWWW[[#This Row],['#people Equitable and continuous access to sufficient quantity of domestic water borehole n ponds_2]]/500,0)</f>
        <v>0</v>
      </c>
      <c r="BC240" s="557">
        <f>1-WWWW[[#This Row],[%Equitable and continuous access to sufficient quantity of domestic water borehole n ponds]]</f>
        <v>1</v>
      </c>
      <c r="BD240" s="558">
        <f>WWWW[[#This Row],[%equitable and continuous access to sufficient quantity of safe drinking and domestic water''s GAP]]*WWWW[[#This Row],[Total PoP ]]</f>
        <v>259</v>
      </c>
      <c r="BE240" s="559">
        <f>IF(WWWW[[#This Row],[Total required water points]]-WWWW[[#This Row],['#Water points coverage]]&lt;0,0,WWWW[[#This Row],[Total required water points]]-WWWW[[#This Row],['#Water points coverage]])</f>
        <v>1</v>
      </c>
      <c r="BF240" s="559">
        <f>ROUND(IF(WWWW[[#This Row],[Total PoP ]]&lt;500,1,WWWW[[#This Row],[Total PoP ]]/500),0)</f>
        <v>1</v>
      </c>
      <c r="BG240" s="559" t="str">
        <f>IF(AND(WWWW[[#This Row],[%of Water samples which passed at water source]]="no test",WWWW[[#This Row],[%Water samples which passed at HH]]="no test"),"No Test","Tested")</f>
        <v>No Test</v>
      </c>
      <c r="BH240" s="559">
        <f>WWWW[[#This Row],['# Existing functional latrines]]+WWWW[[#This Row],['# Existing latrines dysfunctional]]</f>
        <v>0</v>
      </c>
      <c r="BI240" s="557">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J240" s="677">
        <f>WWWW[[#This Row],[% people access to functioning Latrine]]*WWWW[[#This Row],[Total PoP ]]</f>
        <v>0</v>
      </c>
      <c r="BK240" s="557">
        <f>IF(WWWW[[#This Row],[Location Type 1]]="camp",WWWW[[#This Row],['# potential required new latrines]]/(WWWW[[#This Row],[Total PoP ]]/20),WWWW[[#This Row],['# potential required new latrines]]/(WWWW[[#This Row],[Total PoP ]]/6))</f>
        <v>0.99613899613899615</v>
      </c>
      <c r="BL240" s="558">
        <f>IF(WWWW[[#This Row],[Total required Latrines]]-WWWW[[#This Row],[Total '# of latrine]]&lt;0,0,WWWW[[#This Row],[Total required Latrines]]-WWWW[[#This Row],[Total '# of latrine]])</f>
        <v>43</v>
      </c>
      <c r="BM240" s="559">
        <f>ROUND(IF(WWWW[[#This Row],[Location Type 1]]="camp",WWWW[[#This Row],[Total PoP ]]/20,WWWW[[#This Row],[Total PoP ]]/6),0)</f>
        <v>43</v>
      </c>
      <c r="BN240" s="562">
        <f>IF(OR(WWWW[[#This Row],['# Existing latrines dysfunctional]]="",WWWW[[#This Row],['# Existing latrines dysfunctional]]=0),0,WWWW[[#This Row],['# Existing latrines dysfunctional]]/WWWW[[#This Row],[Total '# of latrine]])</f>
        <v>0</v>
      </c>
      <c r="BO240" s="677"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P240" s="557">
        <f>WWWW[[#This Row],[People adopt basic personal and community hygiene practices]]/WWWW[[#This Row],[Total PoP ]]</f>
        <v>0</v>
      </c>
      <c r="BQ240" s="562">
        <f>1-WWWW[[#This Row],[Hygiene Coverage%]]</f>
        <v>1</v>
      </c>
      <c r="BR240" s="558">
        <f>IF(500*WWWW[[#This Row],['# Hygiene Promoters ]]&gt;WWWW[[#This Row],[Total PoP ]],WWWW[[#This Row],[Total PoP ]],500*WWWW[[#This Row],['# Hygiene Promoters ]])</f>
        <v>259</v>
      </c>
      <c r="BS240" s="558">
        <f>IF(WWWW[[#This Row],[% of HH with access to Sanitary Pad]]&gt;=100%,1,0)</f>
        <v>0</v>
      </c>
      <c r="BT240" s="558">
        <f>IF(WWWW[[#This Row],[Total PoP ]]=0,0,IF(WWWW[[#This Row],['# Hygiene Promoters ]]=0,0,IF(WWWW[[#This Row],[Location Type 1]]="Village",IF(WWWW[[#This Row],[Total PoP ]]/WWWW[[#This Row],['# Hygiene Promoters ]]&lt;1000,1,0),IF(WWWW[[#This Row],[Total PoP ]]/WWWW[[#This Row],['# Hygiene Promoters ]]&lt;600,1,0))))</f>
        <v>1</v>
      </c>
      <c r="BU240" s="558">
        <f>IF(WWWW[[#This Row],[%HH with access to soap]]&gt;=100%,1,0)</f>
        <v>0</v>
      </c>
      <c r="BV240" s="558">
        <f>IF(WWWW[[#This Row],[% of HHs with access to Sanitary pad more than '#%]]+WWWW[[#This Row],[Ratio of Hyiene promoters to people less than '#]]+WWWW[[#This Row],[% of HHs with access to soap more than '#%]]&gt;=2,WWWW[[#This Row],[Total PoP ]],0)</f>
        <v>0</v>
      </c>
      <c r="BW240" s="563">
        <f>WWWW[[#This Row],['# people reached by regular dedicated hygiene promotion_5]]/WWWW[[#This Row],[Total PoP ]]</f>
        <v>1</v>
      </c>
      <c r="BX240" s="563">
        <f>IF(WWWW[[#This Row],['# HH received soaps]]/WWWW[[#This Row],[Total HH]]&gt;1,1,WWWW[[#This Row],['# HH received soaps]]/WWWW[[#This Row],[Total HH]])</f>
        <v>0</v>
      </c>
      <c r="BY240" s="563">
        <f>IF(WWWW[[#This Row],['# HH received Sanitary Pads]]/WWWW[[#This Row],[Total HH]]&gt;1,1,WWWW[[#This Row],['# HH received Sanitary Pads]]/WWWW[[#This Row],[Total HH]])</f>
        <v>0</v>
      </c>
      <c r="BZ240" s="722">
        <f>WWWW[[#This Row],['# HH received soaps]]*5</f>
        <v>0</v>
      </c>
      <c r="CA240" s="722">
        <f>WWWW[[#This Row],['# HH received Sanitary Pads]]*5</f>
        <v>0</v>
      </c>
      <c r="CB240" s="559">
        <f>IF(WWWW[[#This Row],['# People with access to soap]]&gt;WWWW[[#This Row],['# People with access to Sanity Pads]],WWWW[[#This Row],['# People with access to soap]],WWWW[[#This Row],['# People with access to Sanity Pads]])</f>
        <v>0</v>
      </c>
      <c r="CC240" s="558">
        <f>WWWW[[#This Row],[Total HH]]*WWWW[[#This Row],[%HHs with access to functional hand washing stations]]</f>
        <v>0</v>
      </c>
      <c r="CD240" s="240">
        <f>VLOOKUP(WWWW[[#This Row],[Site Name]],SiteDB6[],8,FALSE)</f>
        <v>0</v>
      </c>
      <c r="CE240" s="240">
        <f>VLOOKUP(WWWW[[#This Row],[Site Name]],SiteDB6[],9,FALSE)</f>
        <v>0</v>
      </c>
      <c r="CF240" s="240" t="str">
        <f>VLOOKUP(WWWW[[#This Row],[Site Name]],SiteDB6[],10,FALSE)</f>
        <v>Village</v>
      </c>
      <c r="CG240" s="240" t="str">
        <f>VLOOKUP(WWWW[[#This Row],[Site Name]],SiteDB6[],11,FALSE)</f>
        <v>Village</v>
      </c>
      <c r="CH240" s="240" t="str">
        <f>VLOOKUP(WWWW[[#This Row],[Site Name]],SiteDB6[],12,FALSE)</f>
        <v>Village</v>
      </c>
      <c r="CI240" s="240" t="str">
        <f>VLOOKUP(WWWW[[#This Row],[Site Name]],SiteDB6[],13,FALSE)</f>
        <v>rakhine</v>
      </c>
      <c r="CJ240" s="240">
        <f>VLOOKUP(WWWW[[#This Row],[Site Name]],SiteDB6[],14,FALSE)</f>
        <v>20.946010589599599</v>
      </c>
      <c r="CK240" s="240">
        <f>VLOOKUP(WWWW[[#This Row],[Site Name]],SiteDB6[],15,FALSE)</f>
        <v>92.301872253417997</v>
      </c>
      <c r="CL240" s="240">
        <f>VLOOKUP(WWWW[[#This Row],[Site Name]],SiteDB6[],4,FALSE)</f>
        <v>197899</v>
      </c>
      <c r="CM240" s="557" t="str">
        <f t="shared" si="3"/>
        <v>Covered</v>
      </c>
      <c r="CN240" s="557"/>
    </row>
    <row r="241" spans="1:92" ht="15.75" hidden="1" customHeight="1" x14ac:dyDescent="0.25">
      <c r="A241" s="548" t="s">
        <v>1409</v>
      </c>
      <c r="B241" s="541" t="s">
        <v>470</v>
      </c>
      <c r="C241" s="541" t="s">
        <v>464</v>
      </c>
      <c r="D241" s="541" t="s">
        <v>483</v>
      </c>
      <c r="E241" s="541" t="s">
        <v>484</v>
      </c>
      <c r="F241" s="233">
        <v>178</v>
      </c>
      <c r="G241" s="414">
        <v>763</v>
      </c>
      <c r="H241" s="233"/>
      <c r="I241" s="169"/>
      <c r="J241" s="234"/>
      <c r="K241" s="169"/>
      <c r="L241" s="402" t="s">
        <v>292</v>
      </c>
      <c r="M241" s="404">
        <v>0</v>
      </c>
      <c r="N241" s="404">
        <v>0</v>
      </c>
      <c r="O241" s="609">
        <v>0</v>
      </c>
      <c r="P241" s="609">
        <v>0</v>
      </c>
      <c r="Q241" s="610"/>
      <c r="R241" s="611"/>
      <c r="S241" s="611">
        <v>0</v>
      </c>
      <c r="T241" s="606"/>
      <c r="U241" s="606"/>
      <c r="V241" s="606"/>
      <c r="W241" s="606"/>
      <c r="X241" s="606"/>
      <c r="Y241" s="604"/>
      <c r="Z241" s="598">
        <v>5</v>
      </c>
      <c r="AA241" s="599"/>
      <c r="AB241" s="629"/>
      <c r="AC241" s="632">
        <v>5</v>
      </c>
      <c r="AD241" s="628" t="s">
        <v>296</v>
      </c>
      <c r="AE241" s="80" t="s">
        <v>296</v>
      </c>
      <c r="AF241" s="629"/>
      <c r="AG241" s="629"/>
      <c r="AH241" s="633"/>
      <c r="AI241" s="652">
        <v>0</v>
      </c>
      <c r="AJ241" s="653"/>
      <c r="AK241" s="651">
        <v>0</v>
      </c>
      <c r="AL241" s="645"/>
      <c r="AM241" s="645"/>
      <c r="AN241" s="600"/>
      <c r="AO241" s="600"/>
      <c r="AP241" s="600"/>
      <c r="AQ241" s="658"/>
      <c r="AR241" s="235" t="str">
        <f>IFERROR(WWWW[[#This Row],['# of Water passed at source]]/WWWW[[#This Row],['# of Water tested at source]],"no test")</f>
        <v>no test</v>
      </c>
      <c r="AS241" s="237" t="str">
        <f>IFERROR(WWWW[[#This Row],['# of Water passed at HH]]/WWWW[[#This Row],['# of Water tested at HH]],"no test")</f>
        <v>no test</v>
      </c>
      <c r="AT241" s="237">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U241" s="237">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AV241" s="237">
        <f>IF(WWWW[[#This Row],[Location Type 1]]="Village",WWWW[[#This Row],[Access to safe drinking water for Village]],WWWW[[#This Row],[Access to safe drinking water for Camp]])</f>
        <v>0</v>
      </c>
      <c r="AW241" s="414">
        <f>WWWW[[#This Row],[%Equitable and continuous access to sufficient quantity of safe drinking water]]*WWWW[[#This Row],[Total PoP ]]</f>
        <v>0</v>
      </c>
      <c r="AX241" s="237">
        <f>IF((WWWW[[#This Row],['# Existing protected/fenced ponds ]]*250)/WWWW[[#This Row],[Total PoP ]]&gt;1,1,WWWW[[#This Row],['# Existing protected/fenced ponds ]]*250/WWWW[[#This Row],[Total PoP ]])</f>
        <v>0</v>
      </c>
      <c r="AY241" s="414">
        <f>WWWW[[#This Row],[Access to unimproved water points]]*WWWW[[#This Row],[Total PoP ]]</f>
        <v>0</v>
      </c>
      <c r="AZ241" s="237">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A241" s="414">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B241" s="414">
        <f>ROUND(WWWW[[#This Row],['#people Equitable and continuous access to sufficient quantity of domestic water borehole n ponds_2]]/500,0)</f>
        <v>0</v>
      </c>
      <c r="BC241" s="235">
        <f>1-WWWW[[#This Row],[%Equitable and continuous access to sufficient quantity of domestic water borehole n ponds]]</f>
        <v>1</v>
      </c>
      <c r="BD241" s="414">
        <f>WWWW[[#This Row],[%equitable and continuous access to sufficient quantity of safe drinking and domestic water''s GAP]]*WWWW[[#This Row],[Total PoP ]]</f>
        <v>763</v>
      </c>
      <c r="BE241" s="238">
        <f>IF(WWWW[[#This Row],[Total required water points]]-WWWW[[#This Row],['#Water points coverage]]&lt;0,0,WWWW[[#This Row],[Total required water points]]-WWWW[[#This Row],['#Water points coverage]])</f>
        <v>2</v>
      </c>
      <c r="BF241" s="238">
        <f>ROUND(IF(WWWW[[#This Row],[Total PoP ]]&lt;500,1,WWWW[[#This Row],[Total PoP ]]/500),0)</f>
        <v>2</v>
      </c>
      <c r="BG241" s="238" t="str">
        <f>IF(AND(WWWW[[#This Row],[%of Water samples which passed at water source]]="no test",WWWW[[#This Row],[%Water samples which passed at HH]]="no test"),"No Test","Tested")</f>
        <v>No Test</v>
      </c>
      <c r="BH241" s="238">
        <f>WWWW[[#This Row],['# Existing functional latrines]]+WWWW[[#This Row],['# Existing latrines dysfunctional]]</f>
        <v>5</v>
      </c>
      <c r="BI241" s="235">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3.9318479685452164E-2</v>
      </c>
      <c r="BJ241" s="675">
        <f>WWWW[[#This Row],[% people access to functioning Latrine]]*WWWW[[#This Row],[Total PoP ]]</f>
        <v>30</v>
      </c>
      <c r="BK241" s="235">
        <f>IF(WWWW[[#This Row],[Location Type 1]]="camp",WWWW[[#This Row],['# potential required new latrines]]/(WWWW[[#This Row],[Total PoP ]]/20),WWWW[[#This Row],['# potential required new latrines]]/(WWWW[[#This Row],[Total PoP ]]/6))</f>
        <v>0.95937090432503269</v>
      </c>
      <c r="BL241" s="414">
        <f>IF(WWWW[[#This Row],[Total required Latrines]]-WWWW[[#This Row],[Total '# of latrine]]&lt;0,0,WWWW[[#This Row],[Total required Latrines]]-WWWW[[#This Row],[Total '# of latrine]])</f>
        <v>122</v>
      </c>
      <c r="BM241" s="238">
        <f>ROUND(IF(WWWW[[#This Row],[Location Type 1]]="camp",WWWW[[#This Row],[Total PoP ]]/20,WWWW[[#This Row],[Total PoP ]]/6),0)</f>
        <v>127</v>
      </c>
      <c r="BN241" s="239">
        <f>IF(OR(WWWW[[#This Row],['# Existing latrines dysfunctional]]="",WWWW[[#This Row],['# Existing latrines dysfunctional]]=0),0,WWWW[[#This Row],['# Existing latrines dysfunctional]]/WWWW[[#This Row],[Total '# of latrine]])</f>
        <v>0</v>
      </c>
      <c r="BO241" s="675"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P241" s="235">
        <f>WWWW[[#This Row],[People adopt basic personal and community hygiene practices]]/WWWW[[#This Row],[Total PoP ]]</f>
        <v>0</v>
      </c>
      <c r="BQ241" s="239">
        <f>1-WWWW[[#This Row],[Hygiene Coverage%]]</f>
        <v>1</v>
      </c>
      <c r="BR241" s="405">
        <f>IF(500*WWWW[[#This Row],['# Hygiene Promoters ]]&gt;WWWW[[#This Row],[Total PoP ]],WWWW[[#This Row],[Total PoP ]],500*WWWW[[#This Row],['# Hygiene Promoters ]])</f>
        <v>0</v>
      </c>
      <c r="BS241" s="405">
        <f>IF(WWWW[[#This Row],[% of HH with access to Sanitary Pad]]&gt;=100%,1,0)</f>
        <v>0</v>
      </c>
      <c r="BT241" s="405">
        <f>IF(WWWW[[#This Row],[Total PoP ]]=0,0,IF(WWWW[[#This Row],['# Hygiene Promoters ]]=0,0,IF(WWWW[[#This Row],[Location Type 1]]="Village",IF(WWWW[[#This Row],[Total PoP ]]/WWWW[[#This Row],['# Hygiene Promoters ]]&lt;1000,1,0),IF(WWWW[[#This Row],[Total PoP ]]/WWWW[[#This Row],['# Hygiene Promoters ]]&lt;600,1,0))))</f>
        <v>0</v>
      </c>
      <c r="BU241" s="405">
        <f>IF(WWWW[[#This Row],[%HH with access to soap]]&gt;=100%,1,0)</f>
        <v>0</v>
      </c>
      <c r="BV241" s="405">
        <f>IF(WWWW[[#This Row],[% of HHs with access to Sanitary pad more than '#%]]+WWWW[[#This Row],[Ratio of Hyiene promoters to people less than '#]]+WWWW[[#This Row],[% of HHs with access to soap more than '#%]]&gt;=2,WWWW[[#This Row],[Total PoP ]],0)</f>
        <v>0</v>
      </c>
      <c r="BW241" s="346">
        <f>WWWW[[#This Row],['# people reached by regular dedicated hygiene promotion_5]]/WWWW[[#This Row],[Total PoP ]]</f>
        <v>0</v>
      </c>
      <c r="BX241" s="346">
        <f>IF(WWWW[[#This Row],['# HH received soaps]]/WWWW[[#This Row],[Total HH]]&gt;1,1,WWWW[[#This Row],['# HH received soaps]]/WWWW[[#This Row],[Total HH]])</f>
        <v>0</v>
      </c>
      <c r="BY241" s="346">
        <f>IF(WWWW[[#This Row],['# HH received Sanitary Pads]]/WWWW[[#This Row],[Total HH]]&gt;1,1,WWWW[[#This Row],['# HH received Sanitary Pads]]/WWWW[[#This Row],[Total HH]])</f>
        <v>0</v>
      </c>
      <c r="BZ241" s="720">
        <f>WWWW[[#This Row],['# HH received soaps]]*5</f>
        <v>0</v>
      </c>
      <c r="CA241" s="720">
        <f>WWWW[[#This Row],['# HH received Sanitary Pads]]*5</f>
        <v>0</v>
      </c>
      <c r="CB241" s="675">
        <f>IF(WWWW[[#This Row],['# People with access to soap]]&gt;WWWW[[#This Row],['# People with access to Sanity Pads]],WWWW[[#This Row],['# People with access to soap]],WWWW[[#This Row],['# People with access to Sanity Pads]])</f>
        <v>0</v>
      </c>
      <c r="CC241" s="414">
        <f>WWWW[[#This Row],[Total HH]]*WWWW[[#This Row],[%HHs with access to functional hand washing stations]]</f>
        <v>0</v>
      </c>
      <c r="CD241" s="240">
        <f>VLOOKUP(WWWW[[#This Row],[Site Name]],SiteDB6[],8,FALSE)</f>
        <v>0</v>
      </c>
      <c r="CE241" s="240">
        <f>VLOOKUP(WWWW[[#This Row],[Site Name]],SiteDB6[],9,FALSE)</f>
        <v>0</v>
      </c>
      <c r="CF241" s="240" t="str">
        <f>VLOOKUP(WWWW[[#This Row],[Site Name]],SiteDB6[],10,FALSE)</f>
        <v>Village</v>
      </c>
      <c r="CG241" s="240" t="str">
        <f>VLOOKUP(WWWW[[#This Row],[Site Name]],SiteDB6[],11,FALSE)</f>
        <v>Village</v>
      </c>
      <c r="CH241" s="240" t="str">
        <f>VLOOKUP(WWWW[[#This Row],[Site Name]],SiteDB6[],12,FALSE)</f>
        <v>Village</v>
      </c>
      <c r="CI241" s="240" t="str">
        <f>VLOOKUP(WWWW[[#This Row],[Site Name]],SiteDB6[],13,FALSE)</f>
        <v>Rakhine</v>
      </c>
      <c r="CJ241" s="240">
        <f>VLOOKUP(WWWW[[#This Row],[Site Name]],SiteDB6[],14,FALSE)</f>
        <v>0</v>
      </c>
      <c r="CK241" s="240">
        <f>VLOOKUP(WWWW[[#This Row],[Site Name]],SiteDB6[],15,FALSE)</f>
        <v>0</v>
      </c>
      <c r="CL241" s="240" t="str">
        <f>VLOOKUP(WWWW[[#This Row],[Site Name]],SiteDB6[],4,FALSE)</f>
        <v>197174</v>
      </c>
      <c r="CM241" s="235" t="str">
        <f t="shared" si="3"/>
        <v>Notcovered</v>
      </c>
      <c r="CN241" s="240"/>
    </row>
    <row r="242" spans="1:92" ht="15.75" hidden="1" customHeight="1" x14ac:dyDescent="0.25">
      <c r="A242" s="548" t="s">
        <v>1409</v>
      </c>
      <c r="B242" s="530" t="s">
        <v>470</v>
      </c>
      <c r="C242" s="531" t="s">
        <v>464</v>
      </c>
      <c r="D242" s="531" t="s">
        <v>483</v>
      </c>
      <c r="E242" s="531" t="s">
        <v>622</v>
      </c>
      <c r="F242" s="402">
        <v>415</v>
      </c>
      <c r="G242" s="405">
        <v>1628</v>
      </c>
      <c r="H242" s="402"/>
      <c r="I242" s="402"/>
      <c r="J242" s="403"/>
      <c r="K242" s="402"/>
      <c r="L242" s="402" t="s">
        <v>292</v>
      </c>
      <c r="M242" s="404">
        <v>0</v>
      </c>
      <c r="N242" s="404">
        <v>0</v>
      </c>
      <c r="O242" s="605">
        <v>0</v>
      </c>
      <c r="P242" s="606">
        <v>0</v>
      </c>
      <c r="Q242" s="606"/>
      <c r="R242" s="607"/>
      <c r="S242" s="607">
        <v>0</v>
      </c>
      <c r="T242" s="607"/>
      <c r="U242" s="607"/>
      <c r="V242" s="607"/>
      <c r="W242" s="607"/>
      <c r="X242" s="607"/>
      <c r="Y242" s="607"/>
      <c r="Z242" s="598">
        <v>45</v>
      </c>
      <c r="AA242" s="598"/>
      <c r="AB242" s="80"/>
      <c r="AC242" s="598">
        <v>45</v>
      </c>
      <c r="AD242" s="598" t="s">
        <v>296</v>
      </c>
      <c r="AE242" s="599" t="s">
        <v>296</v>
      </c>
      <c r="AF242" s="599"/>
      <c r="AG242" s="598"/>
      <c r="AH242" s="598"/>
      <c r="AI242" s="649">
        <v>0</v>
      </c>
      <c r="AJ242" s="650"/>
      <c r="AK242" s="650">
        <v>0</v>
      </c>
      <c r="AL242" s="645"/>
      <c r="AM242" s="645"/>
      <c r="AN242" s="600"/>
      <c r="AO242" s="600"/>
      <c r="AP242" s="600"/>
      <c r="AQ242" s="651"/>
      <c r="AR242" s="404" t="str">
        <f>IFERROR(WWWW[[#This Row],['# of Water passed at source]]/WWWW[[#This Row],['# of Water tested at source]],"no test")</f>
        <v>no test</v>
      </c>
      <c r="AS242" s="407" t="str">
        <f>IFERROR(WWWW[[#This Row],['# of Water passed at HH]]/WWWW[[#This Row],['# of Water tested at HH]],"no test")</f>
        <v>no test</v>
      </c>
      <c r="AT242" s="407">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U242" s="407">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AV242" s="407">
        <f>IF(WWWW[[#This Row],[Location Type 1]]="Village",WWWW[[#This Row],[Access to safe drinking water for Village]],WWWW[[#This Row],[Access to safe drinking water for Camp]])</f>
        <v>0</v>
      </c>
      <c r="AW242" s="405">
        <f>WWWW[[#This Row],[%Equitable and continuous access to sufficient quantity of safe drinking water]]*WWWW[[#This Row],[Total PoP ]]</f>
        <v>0</v>
      </c>
      <c r="AX242" s="407">
        <f>IF((WWWW[[#This Row],['# Existing protected/fenced ponds ]]*250)/WWWW[[#This Row],[Total PoP ]]&gt;1,1,WWWW[[#This Row],['# Existing protected/fenced ponds ]]*250/WWWW[[#This Row],[Total PoP ]])</f>
        <v>0</v>
      </c>
      <c r="AY242" s="405">
        <f>WWWW[[#This Row],[Access to unimproved water points]]*WWWW[[#This Row],[Total PoP ]]</f>
        <v>0</v>
      </c>
      <c r="AZ242" s="407">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A242" s="405">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B242" s="414">
        <f>ROUND(WWWW[[#This Row],['#people Equitable and continuous access to sufficient quantity of domestic water borehole n ponds_2]]/500,0)</f>
        <v>0</v>
      </c>
      <c r="BC242" s="404">
        <f>1-WWWW[[#This Row],[%Equitable and continuous access to sufficient quantity of domestic water borehole n ponds]]</f>
        <v>1</v>
      </c>
      <c r="BD242" s="405">
        <f>WWWW[[#This Row],[%equitable and continuous access to sufficient quantity of safe drinking and domestic water''s GAP]]*WWWW[[#This Row],[Total PoP ]]</f>
        <v>1628</v>
      </c>
      <c r="BE242" s="406">
        <f>IF(WWWW[[#This Row],[Total required water points]]-WWWW[[#This Row],['#Water points coverage]]&lt;0,0,WWWW[[#This Row],[Total required water points]]-WWWW[[#This Row],['#Water points coverage]])</f>
        <v>3</v>
      </c>
      <c r="BF242" s="406">
        <f>ROUND(IF(WWWW[[#This Row],[Total PoP ]]&lt;500,1,WWWW[[#This Row],[Total PoP ]]/500),0)</f>
        <v>3</v>
      </c>
      <c r="BG242" s="406" t="str">
        <f>IF(AND(WWWW[[#This Row],[%of Water samples which passed at water source]]="no test",WWWW[[#This Row],[%Water samples which passed at HH]]="no test"),"No Test","Tested")</f>
        <v>No Test</v>
      </c>
      <c r="BH242" s="406">
        <f>WWWW[[#This Row],['# Existing functional latrines]]+WWWW[[#This Row],['# Existing latrines dysfunctional]]</f>
        <v>45</v>
      </c>
      <c r="BI242" s="404">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0.16584766584766586</v>
      </c>
      <c r="BJ242" s="676">
        <f>WWWW[[#This Row],[% people access to functioning Latrine]]*WWWW[[#This Row],[Total PoP ]]</f>
        <v>270</v>
      </c>
      <c r="BK242" s="404">
        <f>IF(WWWW[[#This Row],[Location Type 1]]="camp",WWWW[[#This Row],['# potential required new latrines]]/(WWWW[[#This Row],[Total PoP ]]/20),WWWW[[#This Row],['# potential required new latrines]]/(WWWW[[#This Row],[Total PoP ]]/6))</f>
        <v>0.83292383292383299</v>
      </c>
      <c r="BL242" s="405">
        <f>IF(WWWW[[#This Row],[Total required Latrines]]-WWWW[[#This Row],[Total '# of latrine]]&lt;0,0,WWWW[[#This Row],[Total required Latrines]]-WWWW[[#This Row],[Total '# of latrine]])</f>
        <v>226</v>
      </c>
      <c r="BM242" s="406">
        <f>ROUND(IF(WWWW[[#This Row],[Location Type 1]]="camp",WWWW[[#This Row],[Total PoP ]]/20,WWWW[[#This Row],[Total PoP ]]/6),0)</f>
        <v>271</v>
      </c>
      <c r="BN242" s="408">
        <f>IF(OR(WWWW[[#This Row],['# Existing latrines dysfunctional]]="",WWWW[[#This Row],['# Existing latrines dysfunctional]]=0),0,WWWW[[#This Row],['# Existing latrines dysfunctional]]/WWWW[[#This Row],[Total '# of latrine]])</f>
        <v>0</v>
      </c>
      <c r="BO242" s="676"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P242" s="404">
        <f>WWWW[[#This Row],[People adopt basic personal and community hygiene practices]]/WWWW[[#This Row],[Total PoP ]]</f>
        <v>0</v>
      </c>
      <c r="BQ242" s="408">
        <f>1-WWWW[[#This Row],[Hygiene Coverage%]]</f>
        <v>1</v>
      </c>
      <c r="BR242" s="405">
        <f>IF(500*WWWW[[#This Row],['# Hygiene Promoters ]]&gt;WWWW[[#This Row],[Total PoP ]],WWWW[[#This Row],[Total PoP ]],500*WWWW[[#This Row],['# Hygiene Promoters ]])</f>
        <v>0</v>
      </c>
      <c r="BS242" s="405">
        <f>IF(WWWW[[#This Row],[% of HH with access to Sanitary Pad]]&gt;=100%,1,0)</f>
        <v>0</v>
      </c>
      <c r="BT242" s="405">
        <f>IF(WWWW[[#This Row],[Total PoP ]]=0,0,IF(WWWW[[#This Row],['# Hygiene Promoters ]]=0,0,IF(WWWW[[#This Row],[Location Type 1]]="Village",IF(WWWW[[#This Row],[Total PoP ]]/WWWW[[#This Row],['# Hygiene Promoters ]]&lt;1000,1,0),IF(WWWW[[#This Row],[Total PoP ]]/WWWW[[#This Row],['# Hygiene Promoters ]]&lt;600,1,0))))</f>
        <v>0</v>
      </c>
      <c r="BU242" s="405">
        <f>IF(WWWW[[#This Row],[%HH with access to soap]]&gt;=100%,1,0)</f>
        <v>0</v>
      </c>
      <c r="BV242" s="405">
        <f>IF(WWWW[[#This Row],[% of HHs with access to Sanitary pad more than '#%]]+WWWW[[#This Row],[Ratio of Hyiene promoters to people less than '#]]+WWWW[[#This Row],[% of HHs with access to soap more than '#%]]&gt;=2,WWWW[[#This Row],[Total PoP ]],0)</f>
        <v>0</v>
      </c>
      <c r="BW242" s="391">
        <f>WWWW[[#This Row],['# people reached by regular dedicated hygiene promotion_5]]/WWWW[[#This Row],[Total PoP ]]</f>
        <v>0</v>
      </c>
      <c r="BX242" s="391">
        <f>IF(WWWW[[#This Row],['# HH received soaps]]/WWWW[[#This Row],[Total HH]]&gt;1,1,WWWW[[#This Row],['# HH received soaps]]/WWWW[[#This Row],[Total HH]])</f>
        <v>0</v>
      </c>
      <c r="BY242" s="391">
        <f>IF(WWWW[[#This Row],['# HH received Sanitary Pads]]/WWWW[[#This Row],[Total HH]]&gt;1,1,WWWW[[#This Row],['# HH received Sanitary Pads]]/WWWW[[#This Row],[Total HH]])</f>
        <v>0</v>
      </c>
      <c r="BZ242" s="721">
        <f>WWWW[[#This Row],['# HH received soaps]]*5</f>
        <v>0</v>
      </c>
      <c r="CA242" s="721">
        <f>WWWW[[#This Row],['# HH received Sanitary Pads]]*5</f>
        <v>0</v>
      </c>
      <c r="CB242" s="406">
        <f>IF(WWWW[[#This Row],['# People with access to soap]]&gt;WWWW[[#This Row],['# People with access to Sanity Pads]],WWWW[[#This Row],['# People with access to soap]],WWWW[[#This Row],['# People with access to Sanity Pads]])</f>
        <v>0</v>
      </c>
      <c r="CC242" s="405">
        <f>WWWW[[#This Row],[Total HH]]*WWWW[[#This Row],[%HHs with access to functional hand washing stations]]</f>
        <v>0</v>
      </c>
      <c r="CD242" s="240">
        <f>VLOOKUP(WWWW[[#This Row],[Site Name]],SiteDB6[],8,FALSE)</f>
        <v>0</v>
      </c>
      <c r="CE242" s="240">
        <f>VLOOKUP(WWWW[[#This Row],[Site Name]],SiteDB6[],9,FALSE)</f>
        <v>0</v>
      </c>
      <c r="CF242" s="240" t="str">
        <f>VLOOKUP(WWWW[[#This Row],[Site Name]],SiteDB6[],10,FALSE)</f>
        <v>Village</v>
      </c>
      <c r="CG242" s="240" t="str">
        <f>VLOOKUP(WWWW[[#This Row],[Site Name]],SiteDB6[],11,FALSE)</f>
        <v>Village</v>
      </c>
      <c r="CH242" s="240" t="str">
        <f>VLOOKUP(WWWW[[#This Row],[Site Name]],SiteDB6[],12,FALSE)</f>
        <v>Village</v>
      </c>
      <c r="CI242" s="240" t="str">
        <f>VLOOKUP(WWWW[[#This Row],[Site Name]],SiteDB6[],13,FALSE)</f>
        <v>Rakhine</v>
      </c>
      <c r="CJ242" s="240">
        <f>VLOOKUP(WWWW[[#This Row],[Site Name]],SiteDB6[],14,FALSE)</f>
        <v>20.218471527099599</v>
      </c>
      <c r="CK242" s="240">
        <f>VLOOKUP(WWWW[[#This Row],[Site Name]],SiteDB6[],15,FALSE)</f>
        <v>93.424331665039105</v>
      </c>
      <c r="CL242" s="240" t="str">
        <f>VLOOKUP(WWWW[[#This Row],[Site Name]],SiteDB6[],4,FALSE)</f>
        <v>220671</v>
      </c>
      <c r="CM242" s="404" t="str">
        <f t="shared" si="3"/>
        <v>Notcovered</v>
      </c>
      <c r="CN242" s="404"/>
    </row>
    <row r="243" spans="1:92" ht="15.75" hidden="1" customHeight="1" x14ac:dyDescent="0.25">
      <c r="A243" s="548" t="s">
        <v>1409</v>
      </c>
      <c r="B243" s="530" t="s">
        <v>470</v>
      </c>
      <c r="C243" s="531" t="s">
        <v>464</v>
      </c>
      <c r="D243" s="531" t="s">
        <v>483</v>
      </c>
      <c r="E243" s="531" t="s">
        <v>638</v>
      </c>
      <c r="F243" s="402">
        <v>280</v>
      </c>
      <c r="G243" s="405">
        <v>1423</v>
      </c>
      <c r="H243" s="402"/>
      <c r="I243" s="402"/>
      <c r="J243" s="403"/>
      <c r="K243" s="402"/>
      <c r="L243" s="402" t="s">
        <v>292</v>
      </c>
      <c r="M243" s="404">
        <v>0</v>
      </c>
      <c r="N243" s="404">
        <v>0</v>
      </c>
      <c r="O243" s="605">
        <v>2</v>
      </c>
      <c r="P243" s="606">
        <v>0</v>
      </c>
      <c r="Q243" s="606"/>
      <c r="R243" s="607"/>
      <c r="S243" s="607">
        <v>3</v>
      </c>
      <c r="T243" s="607"/>
      <c r="U243" s="607"/>
      <c r="V243" s="607"/>
      <c r="W243" s="607"/>
      <c r="X243" s="607"/>
      <c r="Y243" s="607"/>
      <c r="Z243" s="598">
        <v>60</v>
      </c>
      <c r="AA243" s="598"/>
      <c r="AB243" s="80"/>
      <c r="AC243" s="598">
        <v>60</v>
      </c>
      <c r="AD243" s="598" t="s">
        <v>296</v>
      </c>
      <c r="AE243" s="599" t="s">
        <v>296</v>
      </c>
      <c r="AF243" s="599"/>
      <c r="AG243" s="598"/>
      <c r="AH243" s="598"/>
      <c r="AI243" s="649">
        <v>1</v>
      </c>
      <c r="AJ243" s="650"/>
      <c r="AK243" s="650">
        <v>0</v>
      </c>
      <c r="AL243" s="645"/>
      <c r="AM243" s="645">
        <v>6</v>
      </c>
      <c r="AN243" s="600"/>
      <c r="AO243" s="600"/>
      <c r="AP243" s="600"/>
      <c r="AQ243" s="651"/>
      <c r="AR243" s="404" t="str">
        <f>IFERROR(WWWW[[#This Row],['# of Water passed at source]]/WWWW[[#This Row],['# of Water tested at source]],"no test")</f>
        <v>no test</v>
      </c>
      <c r="AS243" s="407" t="str">
        <f>IFERROR(WWWW[[#This Row],['# of Water passed at HH]]/WWWW[[#This Row],['# of Water tested at HH]],"no test")</f>
        <v>no test</v>
      </c>
      <c r="AT243" s="407">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U243" s="407">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0.35137034434293746</v>
      </c>
      <c r="AV243" s="407">
        <f>IF(WWWW[[#This Row],[Location Type 1]]="Village",WWWW[[#This Row],[Access to safe drinking water for Village]],WWWW[[#This Row],[Access to safe drinking water for Camp]])</f>
        <v>0.35137034434293746</v>
      </c>
      <c r="AW243" s="405">
        <f>WWWW[[#This Row],[%Equitable and continuous access to sufficient quantity of safe drinking water]]*WWWW[[#This Row],[Total PoP ]]</f>
        <v>500</v>
      </c>
      <c r="AX243" s="407">
        <f>IF((WWWW[[#This Row],['# Existing protected/fenced ponds ]]*250)/WWWW[[#This Row],[Total PoP ]]&gt;1,1,WWWW[[#This Row],['# Existing protected/fenced ponds ]]*250/WWWW[[#This Row],[Total PoP ]])</f>
        <v>0</v>
      </c>
      <c r="AY243" s="405">
        <f>WWWW[[#This Row],[Access to unimproved water points]]*WWWW[[#This Row],[Total PoP ]]</f>
        <v>0</v>
      </c>
      <c r="AZ243" s="407">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0.35137034434293746</v>
      </c>
      <c r="BA243" s="405">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500</v>
      </c>
      <c r="BB243" s="414">
        <f>ROUND(WWWW[[#This Row],['#people Equitable and continuous access to sufficient quantity of domestic water borehole n ponds_2]]/500,0)</f>
        <v>1</v>
      </c>
      <c r="BC243" s="404">
        <f>1-WWWW[[#This Row],[%Equitable and continuous access to sufficient quantity of domestic water borehole n ponds]]</f>
        <v>0.64862965565706254</v>
      </c>
      <c r="BD243" s="405">
        <f>WWWW[[#This Row],[%equitable and continuous access to sufficient quantity of safe drinking and domestic water''s GAP]]*WWWW[[#This Row],[Total PoP ]]</f>
        <v>923</v>
      </c>
      <c r="BE243" s="406">
        <f>IF(WWWW[[#This Row],[Total required water points]]-WWWW[[#This Row],['#Water points coverage]]&lt;0,0,WWWW[[#This Row],[Total required water points]]-WWWW[[#This Row],['#Water points coverage]])</f>
        <v>2</v>
      </c>
      <c r="BF243" s="406">
        <f>ROUND(IF(WWWW[[#This Row],[Total PoP ]]&lt;500,1,WWWW[[#This Row],[Total PoP ]]/500),0)</f>
        <v>3</v>
      </c>
      <c r="BG243" s="406" t="str">
        <f>IF(AND(WWWW[[#This Row],[%of Water samples which passed at water source]]="no test",WWWW[[#This Row],[%Water samples which passed at HH]]="no test"),"No Test","Tested")</f>
        <v>No Test</v>
      </c>
      <c r="BH243" s="406">
        <f>WWWW[[#This Row],['# Existing functional latrines]]+WWWW[[#This Row],['# Existing latrines dysfunctional]]</f>
        <v>60</v>
      </c>
      <c r="BI243" s="404">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0.25298664792691494</v>
      </c>
      <c r="BJ243" s="676">
        <f>WWWW[[#This Row],[% people access to functioning Latrine]]*WWWW[[#This Row],[Total PoP ]]</f>
        <v>359.99999999999994</v>
      </c>
      <c r="BK243" s="404">
        <f>IF(WWWW[[#This Row],[Location Type 1]]="camp",WWWW[[#This Row],['# potential required new latrines]]/(WWWW[[#This Row],[Total PoP ]]/20),WWWW[[#This Row],['# potential required new latrines]]/(WWWW[[#This Row],[Total PoP ]]/6))</f>
        <v>0.74631061138439914</v>
      </c>
      <c r="BL243" s="405">
        <f>IF(WWWW[[#This Row],[Total required Latrines]]-WWWW[[#This Row],[Total '# of latrine]]&lt;0,0,WWWW[[#This Row],[Total required Latrines]]-WWWW[[#This Row],[Total '# of latrine]])</f>
        <v>177</v>
      </c>
      <c r="BM243" s="406">
        <f>ROUND(IF(WWWW[[#This Row],[Location Type 1]]="camp",WWWW[[#This Row],[Total PoP ]]/20,WWWW[[#This Row],[Total PoP ]]/6),0)</f>
        <v>237</v>
      </c>
      <c r="BN243" s="408">
        <f>IF(OR(WWWW[[#This Row],['# Existing latrines dysfunctional]]="",WWWW[[#This Row],['# Existing latrines dysfunctional]]=0),0,WWWW[[#This Row],['# Existing latrines dysfunctional]]/WWWW[[#This Row],[Total '# of latrine]])</f>
        <v>0</v>
      </c>
      <c r="BO243" s="676"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P243" s="404">
        <f>WWWW[[#This Row],[People adopt basic personal and community hygiene practices]]/WWWW[[#This Row],[Total PoP ]]</f>
        <v>0</v>
      </c>
      <c r="BQ243" s="408">
        <f>1-WWWW[[#This Row],[Hygiene Coverage%]]</f>
        <v>1</v>
      </c>
      <c r="BR243" s="405">
        <f>IF(500*WWWW[[#This Row],['# Hygiene Promoters ]]&gt;WWWW[[#This Row],[Total PoP ]],WWWW[[#This Row],[Total PoP ]],500*WWWW[[#This Row],['# Hygiene Promoters ]])</f>
        <v>1423</v>
      </c>
      <c r="BS243" s="405">
        <f>IF(WWWW[[#This Row],[% of HH with access to Sanitary Pad]]&gt;=100%,1,0)</f>
        <v>0</v>
      </c>
      <c r="BT243" s="405">
        <f>IF(WWWW[[#This Row],[Total PoP ]]=0,0,IF(WWWW[[#This Row],['# Hygiene Promoters ]]=0,0,IF(WWWW[[#This Row],[Location Type 1]]="Village",IF(WWWW[[#This Row],[Total PoP ]]/WWWW[[#This Row],['# Hygiene Promoters ]]&lt;1000,1,0),IF(WWWW[[#This Row],[Total PoP ]]/WWWW[[#This Row],['# Hygiene Promoters ]]&lt;600,1,0))))</f>
        <v>1</v>
      </c>
      <c r="BU243" s="405">
        <f>IF(WWWW[[#This Row],[%HH with access to soap]]&gt;=100%,1,0)</f>
        <v>0</v>
      </c>
      <c r="BV243" s="405">
        <f>IF(WWWW[[#This Row],[% of HHs with access to Sanitary pad more than '#%]]+WWWW[[#This Row],[Ratio of Hyiene promoters to people less than '#]]+WWWW[[#This Row],[% of HHs with access to soap more than '#%]]&gt;=2,WWWW[[#This Row],[Total PoP ]],0)</f>
        <v>0</v>
      </c>
      <c r="BW243" s="391">
        <f>WWWW[[#This Row],['# people reached by regular dedicated hygiene promotion_5]]/WWWW[[#This Row],[Total PoP ]]</f>
        <v>1</v>
      </c>
      <c r="BX243" s="391">
        <f>IF(WWWW[[#This Row],['# HH received soaps]]/WWWW[[#This Row],[Total HH]]&gt;1,1,WWWW[[#This Row],['# HH received soaps]]/WWWW[[#This Row],[Total HH]])</f>
        <v>0</v>
      </c>
      <c r="BY243" s="391">
        <f>IF(WWWW[[#This Row],['# HH received Sanitary Pads]]/WWWW[[#This Row],[Total HH]]&gt;1,1,WWWW[[#This Row],['# HH received Sanitary Pads]]/WWWW[[#This Row],[Total HH]])</f>
        <v>0</v>
      </c>
      <c r="BZ243" s="721">
        <f>WWWW[[#This Row],['# HH received soaps]]*5</f>
        <v>0</v>
      </c>
      <c r="CA243" s="721">
        <f>WWWW[[#This Row],['# HH received Sanitary Pads]]*5</f>
        <v>0</v>
      </c>
      <c r="CB243" s="406">
        <f>IF(WWWW[[#This Row],['# People with access to soap]]&gt;WWWW[[#This Row],['# People with access to Sanity Pads]],WWWW[[#This Row],['# People with access to soap]],WWWW[[#This Row],['# People with access to Sanity Pads]])</f>
        <v>0</v>
      </c>
      <c r="CC243" s="405">
        <f>WWWW[[#This Row],[Total HH]]*WWWW[[#This Row],[%HHs with access to functional hand washing stations]]</f>
        <v>280</v>
      </c>
      <c r="CD243" s="240">
        <f>VLOOKUP(WWWW[[#This Row],[Site Name]],SiteDB6[],8,FALSE)</f>
        <v>0</v>
      </c>
      <c r="CE243" s="240">
        <f>VLOOKUP(WWWW[[#This Row],[Site Name]],SiteDB6[],9,FALSE)</f>
        <v>0</v>
      </c>
      <c r="CF243" s="240" t="str">
        <f>VLOOKUP(WWWW[[#This Row],[Site Name]],SiteDB6[],10,FALSE)</f>
        <v>Village</v>
      </c>
      <c r="CG243" s="240" t="str">
        <f>VLOOKUP(WWWW[[#This Row],[Site Name]],SiteDB6[],11,FALSE)</f>
        <v>Village</v>
      </c>
      <c r="CH243" s="240" t="str">
        <f>VLOOKUP(WWWW[[#This Row],[Site Name]],SiteDB6[],12,FALSE)</f>
        <v>Returned</v>
      </c>
      <c r="CI243" s="240" t="str">
        <f>VLOOKUP(WWWW[[#This Row],[Site Name]],SiteDB6[],13,FALSE)</f>
        <v>Muslim</v>
      </c>
      <c r="CJ243" s="240">
        <f>VLOOKUP(WWWW[[#This Row],[Site Name]],SiteDB6[],14,FALSE)</f>
        <v>20.392137999999999</v>
      </c>
      <c r="CK243" s="240">
        <f>VLOOKUP(WWWW[[#This Row],[Site Name]],SiteDB6[],15,FALSE)</f>
        <v>93.257272</v>
      </c>
      <c r="CL243" s="240" t="str">
        <f>VLOOKUP(WWWW[[#This Row],[Site Name]],SiteDB6[],4,FALSE)</f>
        <v>MMR012CMP002</v>
      </c>
      <c r="CM243" s="404" t="str">
        <f t="shared" si="3"/>
        <v>Notcovered</v>
      </c>
      <c r="CN243" s="404"/>
    </row>
    <row r="244" spans="1:92" ht="15.75" hidden="1" customHeight="1" x14ac:dyDescent="0.25">
      <c r="A244" s="548" t="s">
        <v>1409</v>
      </c>
      <c r="B244" s="530" t="s">
        <v>470</v>
      </c>
      <c r="C244" s="531" t="s">
        <v>464</v>
      </c>
      <c r="D244" s="531" t="s">
        <v>483</v>
      </c>
      <c r="E244" s="531" t="s">
        <v>640</v>
      </c>
      <c r="F244" s="402">
        <v>124</v>
      </c>
      <c r="G244" s="405">
        <v>479</v>
      </c>
      <c r="H244" s="402"/>
      <c r="I244" s="402"/>
      <c r="J244" s="403"/>
      <c r="K244" s="402"/>
      <c r="L244" s="402" t="s">
        <v>292</v>
      </c>
      <c r="M244" s="404">
        <v>0</v>
      </c>
      <c r="N244" s="404">
        <v>0</v>
      </c>
      <c r="O244" s="605">
        <v>0</v>
      </c>
      <c r="P244" s="606">
        <v>0</v>
      </c>
      <c r="Q244" s="606"/>
      <c r="R244" s="607"/>
      <c r="S244" s="607">
        <v>0</v>
      </c>
      <c r="T244" s="607"/>
      <c r="U244" s="607"/>
      <c r="V244" s="607"/>
      <c r="W244" s="607"/>
      <c r="X244" s="607"/>
      <c r="Y244" s="607"/>
      <c r="Z244" s="598">
        <v>8</v>
      </c>
      <c r="AA244" s="598"/>
      <c r="AB244" s="80"/>
      <c r="AC244" s="598">
        <v>8</v>
      </c>
      <c r="AD244" s="598" t="s">
        <v>296</v>
      </c>
      <c r="AE244" s="599" t="s">
        <v>296</v>
      </c>
      <c r="AF244" s="599"/>
      <c r="AG244" s="598"/>
      <c r="AH244" s="598"/>
      <c r="AI244" s="649">
        <v>0</v>
      </c>
      <c r="AJ244" s="650"/>
      <c r="AK244" s="650">
        <v>0</v>
      </c>
      <c r="AL244" s="645"/>
      <c r="AM244" s="645"/>
      <c r="AN244" s="600"/>
      <c r="AO244" s="600"/>
      <c r="AP244" s="600"/>
      <c r="AQ244" s="651"/>
      <c r="AR244" s="404" t="str">
        <f>IFERROR(WWWW[[#This Row],['# of Water passed at source]]/WWWW[[#This Row],['# of Water tested at source]],"no test")</f>
        <v>no test</v>
      </c>
      <c r="AS244" s="407" t="str">
        <f>IFERROR(WWWW[[#This Row],['# of Water passed at HH]]/WWWW[[#This Row],['# of Water tested at HH]],"no test")</f>
        <v>no test</v>
      </c>
      <c r="AT244" s="407">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U244" s="407">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AV244" s="407">
        <f>IF(WWWW[[#This Row],[Location Type 1]]="Village",WWWW[[#This Row],[Access to safe drinking water for Village]],WWWW[[#This Row],[Access to safe drinking water for Camp]])</f>
        <v>0</v>
      </c>
      <c r="AW244" s="405">
        <f>WWWW[[#This Row],[%Equitable and continuous access to sufficient quantity of safe drinking water]]*WWWW[[#This Row],[Total PoP ]]</f>
        <v>0</v>
      </c>
      <c r="AX244" s="407">
        <f>IF((WWWW[[#This Row],['# Existing protected/fenced ponds ]]*250)/WWWW[[#This Row],[Total PoP ]]&gt;1,1,WWWW[[#This Row],['# Existing protected/fenced ponds ]]*250/WWWW[[#This Row],[Total PoP ]])</f>
        <v>0</v>
      </c>
      <c r="AY244" s="405">
        <f>WWWW[[#This Row],[Access to unimproved water points]]*WWWW[[#This Row],[Total PoP ]]</f>
        <v>0</v>
      </c>
      <c r="AZ244" s="407">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A244" s="405">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B244" s="414">
        <f>ROUND(WWWW[[#This Row],['#people Equitable and continuous access to sufficient quantity of domestic water borehole n ponds_2]]/500,0)</f>
        <v>0</v>
      </c>
      <c r="BC244" s="404">
        <f>1-WWWW[[#This Row],[%Equitable and continuous access to sufficient quantity of domestic water borehole n ponds]]</f>
        <v>1</v>
      </c>
      <c r="BD244" s="405">
        <f>WWWW[[#This Row],[%equitable and continuous access to sufficient quantity of safe drinking and domestic water''s GAP]]*WWWW[[#This Row],[Total PoP ]]</f>
        <v>479</v>
      </c>
      <c r="BE244" s="406">
        <f>IF(WWWW[[#This Row],[Total required water points]]-WWWW[[#This Row],['#Water points coverage]]&lt;0,0,WWWW[[#This Row],[Total required water points]]-WWWW[[#This Row],['#Water points coverage]])</f>
        <v>1</v>
      </c>
      <c r="BF244" s="406">
        <f>ROUND(IF(WWWW[[#This Row],[Total PoP ]]&lt;500,1,WWWW[[#This Row],[Total PoP ]]/500),0)</f>
        <v>1</v>
      </c>
      <c r="BG244" s="406" t="str">
        <f>IF(AND(WWWW[[#This Row],[%of Water samples which passed at water source]]="no test",WWWW[[#This Row],[%Water samples which passed at HH]]="no test"),"No Test","Tested")</f>
        <v>No Test</v>
      </c>
      <c r="BH244" s="406">
        <f>WWWW[[#This Row],['# Existing functional latrines]]+WWWW[[#This Row],['# Existing latrines dysfunctional]]</f>
        <v>8</v>
      </c>
      <c r="BI244" s="404">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0.10020876826722339</v>
      </c>
      <c r="BJ244" s="676">
        <f>WWWW[[#This Row],[% people access to functioning Latrine]]*WWWW[[#This Row],[Total PoP ]]</f>
        <v>48</v>
      </c>
      <c r="BK244" s="404">
        <f>IF(WWWW[[#This Row],[Location Type 1]]="camp",WWWW[[#This Row],['# potential required new latrines]]/(WWWW[[#This Row],[Total PoP ]]/20),WWWW[[#This Row],['# potential required new latrines]]/(WWWW[[#This Row],[Total PoP ]]/6))</f>
        <v>0.90187891440501045</v>
      </c>
      <c r="BL244" s="405">
        <f>IF(WWWW[[#This Row],[Total required Latrines]]-WWWW[[#This Row],[Total '# of latrine]]&lt;0,0,WWWW[[#This Row],[Total required Latrines]]-WWWW[[#This Row],[Total '# of latrine]])</f>
        <v>72</v>
      </c>
      <c r="BM244" s="406">
        <f>ROUND(IF(WWWW[[#This Row],[Location Type 1]]="camp",WWWW[[#This Row],[Total PoP ]]/20,WWWW[[#This Row],[Total PoP ]]/6),0)</f>
        <v>80</v>
      </c>
      <c r="BN244" s="408">
        <f>IF(OR(WWWW[[#This Row],['# Existing latrines dysfunctional]]="",WWWW[[#This Row],['# Existing latrines dysfunctional]]=0),0,WWWW[[#This Row],['# Existing latrines dysfunctional]]/WWWW[[#This Row],[Total '# of latrine]])</f>
        <v>0</v>
      </c>
      <c r="BO244" s="676"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P244" s="404">
        <f>WWWW[[#This Row],[People adopt basic personal and community hygiene practices]]/WWWW[[#This Row],[Total PoP ]]</f>
        <v>0</v>
      </c>
      <c r="BQ244" s="408">
        <f>1-WWWW[[#This Row],[Hygiene Coverage%]]</f>
        <v>1</v>
      </c>
      <c r="BR244" s="405">
        <f>IF(500*WWWW[[#This Row],['# Hygiene Promoters ]]&gt;WWWW[[#This Row],[Total PoP ]],WWWW[[#This Row],[Total PoP ]],500*WWWW[[#This Row],['# Hygiene Promoters ]])</f>
        <v>0</v>
      </c>
      <c r="BS244" s="405">
        <f>IF(WWWW[[#This Row],[% of HH with access to Sanitary Pad]]&gt;=100%,1,0)</f>
        <v>0</v>
      </c>
      <c r="BT244" s="405">
        <f>IF(WWWW[[#This Row],[Total PoP ]]=0,0,IF(WWWW[[#This Row],['# Hygiene Promoters ]]=0,0,IF(WWWW[[#This Row],[Location Type 1]]="Village",IF(WWWW[[#This Row],[Total PoP ]]/WWWW[[#This Row],['# Hygiene Promoters ]]&lt;1000,1,0),IF(WWWW[[#This Row],[Total PoP ]]/WWWW[[#This Row],['# Hygiene Promoters ]]&lt;600,1,0))))</f>
        <v>0</v>
      </c>
      <c r="BU244" s="405">
        <f>IF(WWWW[[#This Row],[%HH with access to soap]]&gt;=100%,1,0)</f>
        <v>0</v>
      </c>
      <c r="BV244" s="405">
        <f>IF(WWWW[[#This Row],[% of HHs with access to Sanitary pad more than '#%]]+WWWW[[#This Row],[Ratio of Hyiene promoters to people less than '#]]+WWWW[[#This Row],[% of HHs with access to soap more than '#%]]&gt;=2,WWWW[[#This Row],[Total PoP ]],0)</f>
        <v>0</v>
      </c>
      <c r="BW244" s="391">
        <f>WWWW[[#This Row],['# people reached by regular dedicated hygiene promotion_5]]/WWWW[[#This Row],[Total PoP ]]</f>
        <v>0</v>
      </c>
      <c r="BX244" s="391">
        <f>IF(WWWW[[#This Row],['# HH received soaps]]/WWWW[[#This Row],[Total HH]]&gt;1,1,WWWW[[#This Row],['# HH received soaps]]/WWWW[[#This Row],[Total HH]])</f>
        <v>0</v>
      </c>
      <c r="BY244" s="391">
        <f>IF(WWWW[[#This Row],['# HH received Sanitary Pads]]/WWWW[[#This Row],[Total HH]]&gt;1,1,WWWW[[#This Row],['# HH received Sanitary Pads]]/WWWW[[#This Row],[Total HH]])</f>
        <v>0</v>
      </c>
      <c r="BZ244" s="721">
        <f>WWWW[[#This Row],['# HH received soaps]]*5</f>
        <v>0</v>
      </c>
      <c r="CA244" s="721">
        <f>WWWW[[#This Row],['# HH received Sanitary Pads]]*5</f>
        <v>0</v>
      </c>
      <c r="CB244" s="406">
        <f>IF(WWWW[[#This Row],['# People with access to soap]]&gt;WWWW[[#This Row],['# People with access to Sanity Pads]],WWWW[[#This Row],['# People with access to soap]],WWWW[[#This Row],['# People with access to Sanity Pads]])</f>
        <v>0</v>
      </c>
      <c r="CC244" s="405">
        <f>WWWW[[#This Row],[Total HH]]*WWWW[[#This Row],[%HHs with access to functional hand washing stations]]</f>
        <v>0</v>
      </c>
      <c r="CD244" s="240">
        <f>VLOOKUP(WWWW[[#This Row],[Site Name]],SiteDB6[],8,FALSE)</f>
        <v>0</v>
      </c>
      <c r="CE244" s="240">
        <f>VLOOKUP(WWWW[[#This Row],[Site Name]],SiteDB6[],9,FALSE)</f>
        <v>0</v>
      </c>
      <c r="CF244" s="240" t="str">
        <f>VLOOKUP(WWWW[[#This Row],[Site Name]],SiteDB6[],10,FALSE)</f>
        <v>Village</v>
      </c>
      <c r="CG244" s="240" t="str">
        <f>VLOOKUP(WWWW[[#This Row],[Site Name]],SiteDB6[],11,FALSE)</f>
        <v>Village</v>
      </c>
      <c r="CH244" s="240" t="str">
        <f>VLOOKUP(WWWW[[#This Row],[Site Name]],SiteDB6[],12,FALSE)</f>
        <v>Village</v>
      </c>
      <c r="CI244" s="240" t="str">
        <f>VLOOKUP(WWWW[[#This Row],[Site Name]],SiteDB6[],13,FALSE)</f>
        <v>Mixed</v>
      </c>
      <c r="CJ244" s="240">
        <f>VLOOKUP(WWWW[[#This Row],[Site Name]],SiteDB6[],14,FALSE)</f>
        <v>20.394809723000002</v>
      </c>
      <c r="CK244" s="240">
        <f>VLOOKUP(WWWW[[#This Row],[Site Name]],SiteDB6[],15,FALSE)</f>
        <v>93.251609802000004</v>
      </c>
      <c r="CL244" s="240" t="str">
        <f>VLOOKUP(WWWW[[#This Row],[Site Name]],SiteDB6[],4,FALSE)</f>
        <v>196994</v>
      </c>
      <c r="CM244" s="404" t="str">
        <f t="shared" si="3"/>
        <v>Notcovered</v>
      </c>
      <c r="CN244" s="404"/>
    </row>
    <row r="245" spans="1:92" ht="15.75" hidden="1" customHeight="1" x14ac:dyDescent="0.25">
      <c r="A245" s="548" t="s">
        <v>1409</v>
      </c>
      <c r="B245" s="530" t="s">
        <v>470</v>
      </c>
      <c r="C245" s="531" t="s">
        <v>464</v>
      </c>
      <c r="D245" s="531" t="s">
        <v>483</v>
      </c>
      <c r="E245" s="531" t="s">
        <v>641</v>
      </c>
      <c r="F245" s="402">
        <v>41</v>
      </c>
      <c r="G245" s="405">
        <v>146</v>
      </c>
      <c r="H245" s="402"/>
      <c r="I245" s="402"/>
      <c r="J245" s="403"/>
      <c r="K245" s="402"/>
      <c r="L245" s="402" t="s">
        <v>292</v>
      </c>
      <c r="M245" s="404">
        <v>0</v>
      </c>
      <c r="N245" s="404">
        <v>0</v>
      </c>
      <c r="O245" s="605">
        <v>2</v>
      </c>
      <c r="P245" s="606">
        <v>0</v>
      </c>
      <c r="Q245" s="606"/>
      <c r="R245" s="607"/>
      <c r="S245" s="607">
        <v>2</v>
      </c>
      <c r="T245" s="607"/>
      <c r="U245" s="607"/>
      <c r="V245" s="607"/>
      <c r="W245" s="607"/>
      <c r="X245" s="607"/>
      <c r="Y245" s="607"/>
      <c r="Z245" s="598">
        <v>2</v>
      </c>
      <c r="AA245" s="598"/>
      <c r="AB245" s="80"/>
      <c r="AC245" s="598">
        <v>2</v>
      </c>
      <c r="AD245" s="598" t="s">
        <v>296</v>
      </c>
      <c r="AE245" s="599" t="s">
        <v>296</v>
      </c>
      <c r="AF245" s="599"/>
      <c r="AG245" s="598"/>
      <c r="AH245" s="598"/>
      <c r="AI245" s="649">
        <v>0</v>
      </c>
      <c r="AJ245" s="650"/>
      <c r="AK245" s="650">
        <v>0</v>
      </c>
      <c r="AL245" s="645"/>
      <c r="AM245" s="645"/>
      <c r="AN245" s="600"/>
      <c r="AO245" s="600"/>
      <c r="AP245" s="600"/>
      <c r="AQ245" s="651"/>
      <c r="AR245" s="404" t="str">
        <f>IFERROR(WWWW[[#This Row],['# of Water passed at source]]/WWWW[[#This Row],['# of Water tested at source]],"no test")</f>
        <v>no test</v>
      </c>
      <c r="AS245" s="407" t="str">
        <f>IFERROR(WWWW[[#This Row],['# of Water passed at HH]]/WWWW[[#This Row],['# of Water tested at HH]],"no test")</f>
        <v>no test</v>
      </c>
      <c r="AT245" s="407">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U245" s="407">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AV245" s="407">
        <f>IF(WWWW[[#This Row],[Location Type 1]]="Village",WWWW[[#This Row],[Access to safe drinking water for Village]],WWWW[[#This Row],[Access to safe drinking water for Camp]])</f>
        <v>1</v>
      </c>
      <c r="AW245" s="405">
        <f>WWWW[[#This Row],[%Equitable and continuous access to sufficient quantity of safe drinking water]]*WWWW[[#This Row],[Total PoP ]]</f>
        <v>146</v>
      </c>
      <c r="AX245" s="407">
        <f>IF((WWWW[[#This Row],['# Existing protected/fenced ponds ]]*250)/WWWW[[#This Row],[Total PoP ]]&gt;1,1,WWWW[[#This Row],['# Existing protected/fenced ponds ]]*250/WWWW[[#This Row],[Total PoP ]])</f>
        <v>0</v>
      </c>
      <c r="AY245" s="405">
        <f>WWWW[[#This Row],[Access to unimproved water points]]*WWWW[[#This Row],[Total PoP ]]</f>
        <v>0</v>
      </c>
      <c r="AZ245" s="407">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A245" s="405">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146</v>
      </c>
      <c r="BB245" s="414">
        <f>ROUND(WWWW[[#This Row],['#people Equitable and continuous access to sufficient quantity of domestic water borehole n ponds_2]]/500,0)</f>
        <v>0</v>
      </c>
      <c r="BC245" s="404">
        <f>1-WWWW[[#This Row],[%Equitable and continuous access to sufficient quantity of domestic water borehole n ponds]]</f>
        <v>0</v>
      </c>
      <c r="BD245" s="405">
        <f>WWWW[[#This Row],[%equitable and continuous access to sufficient quantity of safe drinking and domestic water''s GAP]]*WWWW[[#This Row],[Total PoP ]]</f>
        <v>0</v>
      </c>
      <c r="BE245" s="406">
        <f>IF(WWWW[[#This Row],[Total required water points]]-WWWW[[#This Row],['#Water points coverage]]&lt;0,0,WWWW[[#This Row],[Total required water points]]-WWWW[[#This Row],['#Water points coverage]])</f>
        <v>1</v>
      </c>
      <c r="BF245" s="406">
        <f>ROUND(IF(WWWW[[#This Row],[Total PoP ]]&lt;500,1,WWWW[[#This Row],[Total PoP ]]/500),0)</f>
        <v>1</v>
      </c>
      <c r="BG245" s="406" t="str">
        <f>IF(AND(WWWW[[#This Row],[%of Water samples which passed at water source]]="no test",WWWW[[#This Row],[%Water samples which passed at HH]]="no test"),"No Test","Tested")</f>
        <v>No Test</v>
      </c>
      <c r="BH245" s="406">
        <f>WWWW[[#This Row],['# Existing functional latrines]]+WWWW[[#This Row],['# Existing latrines dysfunctional]]</f>
        <v>2</v>
      </c>
      <c r="BI245" s="404">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8.2191780821917804E-2</v>
      </c>
      <c r="BJ245" s="676">
        <f>WWWW[[#This Row],[% people access to functioning Latrine]]*WWWW[[#This Row],[Total PoP ]]</f>
        <v>12</v>
      </c>
      <c r="BK245" s="404">
        <f>IF(WWWW[[#This Row],[Location Type 1]]="camp",WWWW[[#This Row],['# potential required new latrines]]/(WWWW[[#This Row],[Total PoP ]]/20),WWWW[[#This Row],['# potential required new latrines]]/(WWWW[[#This Row],[Total PoP ]]/6))</f>
        <v>0.90410958904109595</v>
      </c>
      <c r="BL245" s="405">
        <f>IF(WWWW[[#This Row],[Total required Latrines]]-WWWW[[#This Row],[Total '# of latrine]]&lt;0,0,WWWW[[#This Row],[Total required Latrines]]-WWWW[[#This Row],[Total '# of latrine]])</f>
        <v>22</v>
      </c>
      <c r="BM245" s="406">
        <f>ROUND(IF(WWWW[[#This Row],[Location Type 1]]="camp",WWWW[[#This Row],[Total PoP ]]/20,WWWW[[#This Row],[Total PoP ]]/6),0)</f>
        <v>24</v>
      </c>
      <c r="BN245" s="408">
        <f>IF(OR(WWWW[[#This Row],['# Existing latrines dysfunctional]]="",WWWW[[#This Row],['# Existing latrines dysfunctional]]=0),0,WWWW[[#This Row],['# Existing latrines dysfunctional]]/WWWW[[#This Row],[Total '# of latrine]])</f>
        <v>0</v>
      </c>
      <c r="BO245" s="676"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P245" s="404">
        <f>WWWW[[#This Row],[People adopt basic personal and community hygiene practices]]/WWWW[[#This Row],[Total PoP ]]</f>
        <v>0</v>
      </c>
      <c r="BQ245" s="408">
        <f>1-WWWW[[#This Row],[Hygiene Coverage%]]</f>
        <v>1</v>
      </c>
      <c r="BR245" s="405">
        <f>IF(500*WWWW[[#This Row],['# Hygiene Promoters ]]&gt;WWWW[[#This Row],[Total PoP ]],WWWW[[#This Row],[Total PoP ]],500*WWWW[[#This Row],['# Hygiene Promoters ]])</f>
        <v>0</v>
      </c>
      <c r="BS245" s="405">
        <f>IF(WWWW[[#This Row],[% of HH with access to Sanitary Pad]]&gt;=100%,1,0)</f>
        <v>0</v>
      </c>
      <c r="BT245" s="405">
        <f>IF(WWWW[[#This Row],[Total PoP ]]=0,0,IF(WWWW[[#This Row],['# Hygiene Promoters ]]=0,0,IF(WWWW[[#This Row],[Location Type 1]]="Village",IF(WWWW[[#This Row],[Total PoP ]]/WWWW[[#This Row],['# Hygiene Promoters ]]&lt;1000,1,0),IF(WWWW[[#This Row],[Total PoP ]]/WWWW[[#This Row],['# Hygiene Promoters ]]&lt;600,1,0))))</f>
        <v>0</v>
      </c>
      <c r="BU245" s="405">
        <f>IF(WWWW[[#This Row],[%HH with access to soap]]&gt;=100%,1,0)</f>
        <v>0</v>
      </c>
      <c r="BV245" s="405">
        <f>IF(WWWW[[#This Row],[% of HHs with access to Sanitary pad more than '#%]]+WWWW[[#This Row],[Ratio of Hyiene promoters to people less than '#]]+WWWW[[#This Row],[% of HHs with access to soap more than '#%]]&gt;=2,WWWW[[#This Row],[Total PoP ]],0)</f>
        <v>0</v>
      </c>
      <c r="BW245" s="391">
        <f>WWWW[[#This Row],['# people reached by regular dedicated hygiene promotion_5]]/WWWW[[#This Row],[Total PoP ]]</f>
        <v>0</v>
      </c>
      <c r="BX245" s="391">
        <f>IF(WWWW[[#This Row],['# HH received soaps]]/WWWW[[#This Row],[Total HH]]&gt;1,1,WWWW[[#This Row],['# HH received soaps]]/WWWW[[#This Row],[Total HH]])</f>
        <v>0</v>
      </c>
      <c r="BY245" s="391">
        <f>IF(WWWW[[#This Row],['# HH received Sanitary Pads]]/WWWW[[#This Row],[Total HH]]&gt;1,1,WWWW[[#This Row],['# HH received Sanitary Pads]]/WWWW[[#This Row],[Total HH]])</f>
        <v>0</v>
      </c>
      <c r="BZ245" s="721">
        <f>WWWW[[#This Row],['# HH received soaps]]*5</f>
        <v>0</v>
      </c>
      <c r="CA245" s="721">
        <f>WWWW[[#This Row],['# HH received Sanitary Pads]]*5</f>
        <v>0</v>
      </c>
      <c r="CB245" s="406">
        <f>IF(WWWW[[#This Row],['# People with access to soap]]&gt;WWWW[[#This Row],['# People with access to Sanity Pads]],WWWW[[#This Row],['# People with access to soap]],WWWW[[#This Row],['# People with access to Sanity Pads]])</f>
        <v>0</v>
      </c>
      <c r="CC245" s="405">
        <f>WWWW[[#This Row],[Total HH]]*WWWW[[#This Row],[%HHs with access to functional hand washing stations]]</f>
        <v>0</v>
      </c>
      <c r="CD245" s="240">
        <f>VLOOKUP(WWWW[[#This Row],[Site Name]],SiteDB6[],8,FALSE)</f>
        <v>0</v>
      </c>
      <c r="CE245" s="240">
        <f>VLOOKUP(WWWW[[#This Row],[Site Name]],SiteDB6[],9,FALSE)</f>
        <v>0</v>
      </c>
      <c r="CF245" s="240" t="str">
        <f>VLOOKUP(WWWW[[#This Row],[Site Name]],SiteDB6[],10,FALSE)</f>
        <v>Village</v>
      </c>
      <c r="CG245" s="240" t="str">
        <f>VLOOKUP(WWWW[[#This Row],[Site Name]],SiteDB6[],11,FALSE)</f>
        <v>Village</v>
      </c>
      <c r="CH245" s="240" t="str">
        <f>VLOOKUP(WWWW[[#This Row],[Site Name]],SiteDB6[],12,FALSE)</f>
        <v>Village</v>
      </c>
      <c r="CI245" s="240" t="str">
        <f>VLOOKUP(WWWW[[#This Row],[Site Name]],SiteDB6[],13,FALSE)</f>
        <v>Rakhine</v>
      </c>
      <c r="CJ245" s="240">
        <f>VLOOKUP(WWWW[[#This Row],[Site Name]],SiteDB6[],14,FALSE)</f>
        <v>20.396680832000001</v>
      </c>
      <c r="CK245" s="240">
        <f>VLOOKUP(WWWW[[#This Row],[Site Name]],SiteDB6[],15,FALSE)</f>
        <v>93.252868652000004</v>
      </c>
      <c r="CL245" s="240" t="str">
        <f>VLOOKUP(WWWW[[#This Row],[Site Name]],SiteDB6[],4,FALSE)</f>
        <v>196998</v>
      </c>
      <c r="CM245" s="404" t="str">
        <f t="shared" si="3"/>
        <v>Notcovered</v>
      </c>
      <c r="CN245" s="404"/>
    </row>
    <row r="246" spans="1:92" ht="15.75" hidden="1" customHeight="1" x14ac:dyDescent="0.25">
      <c r="A246" s="548" t="s">
        <v>1409</v>
      </c>
      <c r="B246" s="530" t="s">
        <v>470</v>
      </c>
      <c r="C246" s="531" t="s">
        <v>464</v>
      </c>
      <c r="D246" s="531" t="s">
        <v>483</v>
      </c>
      <c r="E246" s="531" t="s">
        <v>642</v>
      </c>
      <c r="F246" s="402">
        <v>42</v>
      </c>
      <c r="G246" s="405">
        <v>183</v>
      </c>
      <c r="H246" s="402"/>
      <c r="I246" s="402"/>
      <c r="J246" s="403"/>
      <c r="K246" s="402"/>
      <c r="L246" s="402" t="s">
        <v>292</v>
      </c>
      <c r="M246" s="404">
        <v>0</v>
      </c>
      <c r="N246" s="404">
        <v>0</v>
      </c>
      <c r="O246" s="605">
        <v>2</v>
      </c>
      <c r="P246" s="606">
        <v>0</v>
      </c>
      <c r="Q246" s="606"/>
      <c r="R246" s="607"/>
      <c r="S246" s="607">
        <v>2</v>
      </c>
      <c r="T246" s="607"/>
      <c r="U246" s="607"/>
      <c r="V246" s="607"/>
      <c r="W246" s="607"/>
      <c r="X246" s="607"/>
      <c r="Y246" s="607"/>
      <c r="Z246" s="598">
        <v>0</v>
      </c>
      <c r="AA246" s="598"/>
      <c r="AB246" s="80"/>
      <c r="AC246" s="598">
        <v>0</v>
      </c>
      <c r="AD246" s="598" t="s">
        <v>296</v>
      </c>
      <c r="AE246" s="599" t="s">
        <v>296</v>
      </c>
      <c r="AF246" s="599"/>
      <c r="AG246" s="598"/>
      <c r="AH246" s="598"/>
      <c r="AI246" s="649">
        <v>0</v>
      </c>
      <c r="AJ246" s="650"/>
      <c r="AK246" s="650">
        <v>0</v>
      </c>
      <c r="AL246" s="645"/>
      <c r="AM246" s="645"/>
      <c r="AN246" s="600"/>
      <c r="AO246" s="600"/>
      <c r="AP246" s="600"/>
      <c r="AQ246" s="651"/>
      <c r="AR246" s="404" t="str">
        <f>IFERROR(WWWW[[#This Row],['# of Water passed at source]]/WWWW[[#This Row],['# of Water tested at source]],"no test")</f>
        <v>no test</v>
      </c>
      <c r="AS246" s="407" t="str">
        <f>IFERROR(WWWW[[#This Row],['# of Water passed at HH]]/WWWW[[#This Row],['# of Water tested at HH]],"no test")</f>
        <v>no test</v>
      </c>
      <c r="AT246" s="407">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U246" s="407">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AV246" s="407">
        <f>IF(WWWW[[#This Row],[Location Type 1]]="Village",WWWW[[#This Row],[Access to safe drinking water for Village]],WWWW[[#This Row],[Access to safe drinking water for Camp]])</f>
        <v>1</v>
      </c>
      <c r="AW246" s="405">
        <f>WWWW[[#This Row],[%Equitable and continuous access to sufficient quantity of safe drinking water]]*WWWW[[#This Row],[Total PoP ]]</f>
        <v>183</v>
      </c>
      <c r="AX246" s="407">
        <f>IF((WWWW[[#This Row],['# Existing protected/fenced ponds ]]*250)/WWWW[[#This Row],[Total PoP ]]&gt;1,1,WWWW[[#This Row],['# Existing protected/fenced ponds ]]*250/WWWW[[#This Row],[Total PoP ]])</f>
        <v>0</v>
      </c>
      <c r="AY246" s="405">
        <f>WWWW[[#This Row],[Access to unimproved water points]]*WWWW[[#This Row],[Total PoP ]]</f>
        <v>0</v>
      </c>
      <c r="AZ246" s="407">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A246" s="405">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183</v>
      </c>
      <c r="BB246" s="414">
        <f>ROUND(WWWW[[#This Row],['#people Equitable and continuous access to sufficient quantity of domestic water borehole n ponds_2]]/500,0)</f>
        <v>0</v>
      </c>
      <c r="BC246" s="404">
        <f>1-WWWW[[#This Row],[%Equitable and continuous access to sufficient quantity of domestic water borehole n ponds]]</f>
        <v>0</v>
      </c>
      <c r="BD246" s="405">
        <f>WWWW[[#This Row],[%equitable and continuous access to sufficient quantity of safe drinking and domestic water''s GAP]]*WWWW[[#This Row],[Total PoP ]]</f>
        <v>0</v>
      </c>
      <c r="BE246" s="406">
        <f>IF(WWWW[[#This Row],[Total required water points]]-WWWW[[#This Row],['#Water points coverage]]&lt;0,0,WWWW[[#This Row],[Total required water points]]-WWWW[[#This Row],['#Water points coverage]])</f>
        <v>1</v>
      </c>
      <c r="BF246" s="406">
        <f>ROUND(IF(WWWW[[#This Row],[Total PoP ]]&lt;500,1,WWWW[[#This Row],[Total PoP ]]/500),0)</f>
        <v>1</v>
      </c>
      <c r="BG246" s="406" t="str">
        <f>IF(AND(WWWW[[#This Row],[%of Water samples which passed at water source]]="no test",WWWW[[#This Row],[%Water samples which passed at HH]]="no test"),"No Test","Tested")</f>
        <v>No Test</v>
      </c>
      <c r="BH246" s="406">
        <f>WWWW[[#This Row],['# Existing functional latrines]]+WWWW[[#This Row],['# Existing latrines dysfunctional]]</f>
        <v>0</v>
      </c>
      <c r="BI246" s="404">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J246" s="676">
        <f>WWWW[[#This Row],[% people access to functioning Latrine]]*WWWW[[#This Row],[Total PoP ]]</f>
        <v>0</v>
      </c>
      <c r="BK246" s="404">
        <f>IF(WWWW[[#This Row],[Location Type 1]]="camp",WWWW[[#This Row],['# potential required new latrines]]/(WWWW[[#This Row],[Total PoP ]]/20),WWWW[[#This Row],['# potential required new latrines]]/(WWWW[[#This Row],[Total PoP ]]/6))</f>
        <v>1.0163934426229508</v>
      </c>
      <c r="BL246" s="405">
        <f>IF(WWWW[[#This Row],[Total required Latrines]]-WWWW[[#This Row],[Total '# of latrine]]&lt;0,0,WWWW[[#This Row],[Total required Latrines]]-WWWW[[#This Row],[Total '# of latrine]])</f>
        <v>31</v>
      </c>
      <c r="BM246" s="406">
        <f>ROUND(IF(WWWW[[#This Row],[Location Type 1]]="camp",WWWW[[#This Row],[Total PoP ]]/20,WWWW[[#This Row],[Total PoP ]]/6),0)</f>
        <v>31</v>
      </c>
      <c r="BN246" s="408">
        <f>IF(OR(WWWW[[#This Row],['# Existing latrines dysfunctional]]="",WWWW[[#This Row],['# Existing latrines dysfunctional]]=0),0,WWWW[[#This Row],['# Existing latrines dysfunctional]]/WWWW[[#This Row],[Total '# of latrine]])</f>
        <v>0</v>
      </c>
      <c r="BO246" s="676"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P246" s="404">
        <f>WWWW[[#This Row],[People adopt basic personal and community hygiene practices]]/WWWW[[#This Row],[Total PoP ]]</f>
        <v>0</v>
      </c>
      <c r="BQ246" s="408">
        <f>1-WWWW[[#This Row],[Hygiene Coverage%]]</f>
        <v>1</v>
      </c>
      <c r="BR246" s="405">
        <f>IF(500*WWWW[[#This Row],['# Hygiene Promoters ]]&gt;WWWW[[#This Row],[Total PoP ]],WWWW[[#This Row],[Total PoP ]],500*WWWW[[#This Row],['# Hygiene Promoters ]])</f>
        <v>0</v>
      </c>
      <c r="BS246" s="405">
        <f>IF(WWWW[[#This Row],[% of HH with access to Sanitary Pad]]&gt;=100%,1,0)</f>
        <v>0</v>
      </c>
      <c r="BT246" s="405">
        <f>IF(WWWW[[#This Row],[Total PoP ]]=0,0,IF(WWWW[[#This Row],['# Hygiene Promoters ]]=0,0,IF(WWWW[[#This Row],[Location Type 1]]="Village",IF(WWWW[[#This Row],[Total PoP ]]/WWWW[[#This Row],['# Hygiene Promoters ]]&lt;1000,1,0),IF(WWWW[[#This Row],[Total PoP ]]/WWWW[[#This Row],['# Hygiene Promoters ]]&lt;600,1,0))))</f>
        <v>0</v>
      </c>
      <c r="BU246" s="405">
        <f>IF(WWWW[[#This Row],[%HH with access to soap]]&gt;=100%,1,0)</f>
        <v>0</v>
      </c>
      <c r="BV246" s="405">
        <f>IF(WWWW[[#This Row],[% of HHs with access to Sanitary pad more than '#%]]+WWWW[[#This Row],[Ratio of Hyiene promoters to people less than '#]]+WWWW[[#This Row],[% of HHs with access to soap more than '#%]]&gt;=2,WWWW[[#This Row],[Total PoP ]],0)</f>
        <v>0</v>
      </c>
      <c r="BW246" s="391">
        <f>WWWW[[#This Row],['# people reached by regular dedicated hygiene promotion_5]]/WWWW[[#This Row],[Total PoP ]]</f>
        <v>0</v>
      </c>
      <c r="BX246" s="391">
        <f>IF(WWWW[[#This Row],['# HH received soaps]]/WWWW[[#This Row],[Total HH]]&gt;1,1,WWWW[[#This Row],['# HH received soaps]]/WWWW[[#This Row],[Total HH]])</f>
        <v>0</v>
      </c>
      <c r="BY246" s="391">
        <f>IF(WWWW[[#This Row],['# HH received Sanitary Pads]]/WWWW[[#This Row],[Total HH]]&gt;1,1,WWWW[[#This Row],['# HH received Sanitary Pads]]/WWWW[[#This Row],[Total HH]])</f>
        <v>0</v>
      </c>
      <c r="BZ246" s="721">
        <f>WWWW[[#This Row],['# HH received soaps]]*5</f>
        <v>0</v>
      </c>
      <c r="CA246" s="721">
        <f>WWWW[[#This Row],['# HH received Sanitary Pads]]*5</f>
        <v>0</v>
      </c>
      <c r="CB246" s="406">
        <f>IF(WWWW[[#This Row],['# People with access to soap]]&gt;WWWW[[#This Row],['# People with access to Sanity Pads]],WWWW[[#This Row],['# People with access to soap]],WWWW[[#This Row],['# People with access to Sanity Pads]])</f>
        <v>0</v>
      </c>
      <c r="CC246" s="405">
        <f>WWWW[[#This Row],[Total HH]]*WWWW[[#This Row],[%HHs with access to functional hand washing stations]]</f>
        <v>0</v>
      </c>
      <c r="CD246" s="240">
        <f>VLOOKUP(WWWW[[#This Row],[Site Name]],SiteDB6[],8,FALSE)</f>
        <v>0</v>
      </c>
      <c r="CE246" s="240">
        <f>VLOOKUP(WWWW[[#This Row],[Site Name]],SiteDB6[],9,FALSE)</f>
        <v>0</v>
      </c>
      <c r="CF246" s="240" t="str">
        <f>VLOOKUP(WWWW[[#This Row],[Site Name]],SiteDB6[],10,FALSE)</f>
        <v>Village</v>
      </c>
      <c r="CG246" s="240" t="str">
        <f>VLOOKUP(WWWW[[#This Row],[Site Name]],SiteDB6[],11,FALSE)</f>
        <v>Village</v>
      </c>
      <c r="CH246" s="240" t="str">
        <f>VLOOKUP(WWWW[[#This Row],[Site Name]],SiteDB6[],12,FALSE)</f>
        <v>Village</v>
      </c>
      <c r="CI246" s="240" t="str">
        <f>VLOOKUP(WWWW[[#This Row],[Site Name]],SiteDB6[],13,FALSE)</f>
        <v>Rakhine</v>
      </c>
      <c r="CJ246" s="240">
        <f>VLOOKUP(WWWW[[#This Row],[Site Name]],SiteDB6[],14,FALSE)</f>
        <v>20.398889541999999</v>
      </c>
      <c r="CK246" s="240">
        <f>VLOOKUP(WWWW[[#This Row],[Site Name]],SiteDB6[],15,FALSE)</f>
        <v>93.254051208000007</v>
      </c>
      <c r="CL246" s="240" t="str">
        <f>VLOOKUP(WWWW[[#This Row],[Site Name]],SiteDB6[],4,FALSE)</f>
        <v>196996</v>
      </c>
      <c r="CM246" s="404" t="str">
        <f t="shared" si="3"/>
        <v>Notcovered</v>
      </c>
      <c r="CN246" s="404"/>
    </row>
    <row r="247" spans="1:92" ht="15.75" hidden="1" customHeight="1" x14ac:dyDescent="0.25">
      <c r="A247" s="548" t="s">
        <v>1409</v>
      </c>
      <c r="B247" s="530" t="s">
        <v>470</v>
      </c>
      <c r="C247" s="531" t="s">
        <v>464</v>
      </c>
      <c r="D247" s="531" t="s">
        <v>483</v>
      </c>
      <c r="E247" s="531" t="s">
        <v>643</v>
      </c>
      <c r="F247" s="402">
        <v>150</v>
      </c>
      <c r="G247" s="405">
        <v>730</v>
      </c>
      <c r="H247" s="402"/>
      <c r="I247" s="402"/>
      <c r="J247" s="403"/>
      <c r="K247" s="402"/>
      <c r="L247" s="402" t="s">
        <v>292</v>
      </c>
      <c r="M247" s="404">
        <v>0</v>
      </c>
      <c r="N247" s="404">
        <v>0</v>
      </c>
      <c r="O247" s="605">
        <v>2</v>
      </c>
      <c r="P247" s="606">
        <v>0</v>
      </c>
      <c r="Q247" s="606"/>
      <c r="R247" s="607"/>
      <c r="S247" s="607">
        <v>3</v>
      </c>
      <c r="T247" s="607"/>
      <c r="U247" s="607"/>
      <c r="V247" s="607"/>
      <c r="W247" s="607"/>
      <c r="X247" s="607"/>
      <c r="Y247" s="607"/>
      <c r="Z247" s="598">
        <v>55</v>
      </c>
      <c r="AA247" s="598"/>
      <c r="AB247" s="80"/>
      <c r="AC247" s="598">
        <v>55</v>
      </c>
      <c r="AD247" s="598" t="s">
        <v>296</v>
      </c>
      <c r="AE247" s="599" t="s">
        <v>296</v>
      </c>
      <c r="AF247" s="599"/>
      <c r="AG247" s="598"/>
      <c r="AH247" s="598"/>
      <c r="AI247" s="649">
        <v>1</v>
      </c>
      <c r="AJ247" s="650"/>
      <c r="AK247" s="650">
        <v>15</v>
      </c>
      <c r="AL247" s="645"/>
      <c r="AM247" s="645">
        <v>4</v>
      </c>
      <c r="AN247" s="600"/>
      <c r="AO247" s="600"/>
      <c r="AP247" s="600"/>
      <c r="AQ247" s="651"/>
      <c r="AR247" s="404" t="str">
        <f>IFERROR(WWWW[[#This Row],['# of Water passed at source]]/WWWW[[#This Row],['# of Water tested at source]],"no test")</f>
        <v>no test</v>
      </c>
      <c r="AS247" s="407" t="str">
        <f>IFERROR(WWWW[[#This Row],['# of Water passed at HH]]/WWWW[[#This Row],['# of Water tested at HH]],"no test")</f>
        <v>no test</v>
      </c>
      <c r="AT247" s="407">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U247" s="407">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0.68493150684931503</v>
      </c>
      <c r="AV247" s="407">
        <f>IF(WWWW[[#This Row],[Location Type 1]]="Village",WWWW[[#This Row],[Access to safe drinking water for Village]],WWWW[[#This Row],[Access to safe drinking water for Camp]])</f>
        <v>0.68493150684931503</v>
      </c>
      <c r="AW247" s="405">
        <f>WWWW[[#This Row],[%Equitable and continuous access to sufficient quantity of safe drinking water]]*WWWW[[#This Row],[Total PoP ]]</f>
        <v>500</v>
      </c>
      <c r="AX247" s="407">
        <f>IF((WWWW[[#This Row],['# Existing protected/fenced ponds ]]*250)/WWWW[[#This Row],[Total PoP ]]&gt;1,1,WWWW[[#This Row],['# Existing protected/fenced ponds ]]*250/WWWW[[#This Row],[Total PoP ]])</f>
        <v>0</v>
      </c>
      <c r="AY247" s="405">
        <f>WWWW[[#This Row],[Access to unimproved water points]]*WWWW[[#This Row],[Total PoP ]]</f>
        <v>0</v>
      </c>
      <c r="AZ247" s="407">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0.68493150684931503</v>
      </c>
      <c r="BA247" s="405">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500</v>
      </c>
      <c r="BB247" s="414">
        <f>ROUND(WWWW[[#This Row],['#people Equitable and continuous access to sufficient quantity of domestic water borehole n ponds_2]]/500,0)</f>
        <v>1</v>
      </c>
      <c r="BC247" s="404">
        <f>1-WWWW[[#This Row],[%Equitable and continuous access to sufficient quantity of domestic water borehole n ponds]]</f>
        <v>0.31506849315068497</v>
      </c>
      <c r="BD247" s="405">
        <f>WWWW[[#This Row],[%equitable and continuous access to sufficient quantity of safe drinking and domestic water''s GAP]]*WWWW[[#This Row],[Total PoP ]]</f>
        <v>230.00000000000003</v>
      </c>
      <c r="BE247" s="406">
        <f>IF(WWWW[[#This Row],[Total required water points]]-WWWW[[#This Row],['#Water points coverage]]&lt;0,0,WWWW[[#This Row],[Total required water points]]-WWWW[[#This Row],['#Water points coverage]])</f>
        <v>0</v>
      </c>
      <c r="BF247" s="406">
        <f>ROUND(IF(WWWW[[#This Row],[Total PoP ]]&lt;500,1,WWWW[[#This Row],[Total PoP ]]/500),0)</f>
        <v>1</v>
      </c>
      <c r="BG247" s="406" t="str">
        <f>IF(AND(WWWW[[#This Row],[%of Water samples which passed at water source]]="no test",WWWW[[#This Row],[%Water samples which passed at HH]]="no test"),"No Test","Tested")</f>
        <v>No Test</v>
      </c>
      <c r="BH247" s="406">
        <f>WWWW[[#This Row],['# Existing functional latrines]]+WWWW[[#This Row],['# Existing latrines dysfunctional]]</f>
        <v>55</v>
      </c>
      <c r="BI247" s="404">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0.45205479452054792</v>
      </c>
      <c r="BJ247" s="676">
        <f>WWWW[[#This Row],[% people access to functioning Latrine]]*WWWW[[#This Row],[Total PoP ]]</f>
        <v>330</v>
      </c>
      <c r="BK247" s="404">
        <f>IF(WWWW[[#This Row],[Location Type 1]]="camp",WWWW[[#This Row],['# potential required new latrines]]/(WWWW[[#This Row],[Total PoP ]]/20),WWWW[[#This Row],['# potential required new latrines]]/(WWWW[[#This Row],[Total PoP ]]/6))</f>
        <v>0.55068493150684927</v>
      </c>
      <c r="BL247" s="405">
        <f>IF(WWWW[[#This Row],[Total required Latrines]]-WWWW[[#This Row],[Total '# of latrine]]&lt;0,0,WWWW[[#This Row],[Total required Latrines]]-WWWW[[#This Row],[Total '# of latrine]])</f>
        <v>67</v>
      </c>
      <c r="BM247" s="406">
        <f>ROUND(IF(WWWW[[#This Row],[Location Type 1]]="camp",WWWW[[#This Row],[Total PoP ]]/20,WWWW[[#This Row],[Total PoP ]]/6),0)</f>
        <v>122</v>
      </c>
      <c r="BN247" s="408">
        <f>IF(OR(WWWW[[#This Row],['# Existing latrines dysfunctional]]="",WWWW[[#This Row],['# Existing latrines dysfunctional]]=0),0,WWWW[[#This Row],['# Existing latrines dysfunctional]]/WWWW[[#This Row],[Total '# of latrine]])</f>
        <v>0</v>
      </c>
      <c r="BO247" s="676"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P247" s="404">
        <f>WWWW[[#This Row],[People adopt basic personal and community hygiene practices]]/WWWW[[#This Row],[Total PoP ]]</f>
        <v>0</v>
      </c>
      <c r="BQ247" s="408">
        <f>1-WWWW[[#This Row],[Hygiene Coverage%]]</f>
        <v>1</v>
      </c>
      <c r="BR247" s="405">
        <f>IF(500*WWWW[[#This Row],['# Hygiene Promoters ]]&gt;WWWW[[#This Row],[Total PoP ]],WWWW[[#This Row],[Total PoP ]],500*WWWW[[#This Row],['# Hygiene Promoters ]])</f>
        <v>730</v>
      </c>
      <c r="BS247" s="405">
        <f>IF(WWWW[[#This Row],[% of HH with access to Sanitary Pad]]&gt;=100%,1,0)</f>
        <v>0</v>
      </c>
      <c r="BT247" s="405">
        <f>IF(WWWW[[#This Row],[Total PoP ]]=0,0,IF(WWWW[[#This Row],['# Hygiene Promoters ]]=0,0,IF(WWWW[[#This Row],[Location Type 1]]="Village",IF(WWWW[[#This Row],[Total PoP ]]/WWWW[[#This Row],['# Hygiene Promoters ]]&lt;1000,1,0),IF(WWWW[[#This Row],[Total PoP ]]/WWWW[[#This Row],['# Hygiene Promoters ]]&lt;600,1,0))))</f>
        <v>1</v>
      </c>
      <c r="BU247" s="405">
        <f>IF(WWWW[[#This Row],[%HH with access to soap]]&gt;=100%,1,0)</f>
        <v>0</v>
      </c>
      <c r="BV247" s="405">
        <f>IF(WWWW[[#This Row],[% of HHs with access to Sanitary pad more than '#%]]+WWWW[[#This Row],[Ratio of Hyiene promoters to people less than '#]]+WWWW[[#This Row],[% of HHs with access to soap more than '#%]]&gt;=2,WWWW[[#This Row],[Total PoP ]],0)</f>
        <v>0</v>
      </c>
      <c r="BW247" s="391">
        <f>WWWW[[#This Row],['# people reached by regular dedicated hygiene promotion_5]]/WWWW[[#This Row],[Total PoP ]]</f>
        <v>1</v>
      </c>
      <c r="BX247" s="391">
        <f>IF(WWWW[[#This Row],['# HH received soaps]]/WWWW[[#This Row],[Total HH]]&gt;1,1,WWWW[[#This Row],['# HH received soaps]]/WWWW[[#This Row],[Total HH]])</f>
        <v>0</v>
      </c>
      <c r="BY247" s="391">
        <f>IF(WWWW[[#This Row],['# HH received Sanitary Pads]]/WWWW[[#This Row],[Total HH]]&gt;1,1,WWWW[[#This Row],['# HH received Sanitary Pads]]/WWWW[[#This Row],[Total HH]])</f>
        <v>0</v>
      </c>
      <c r="BZ247" s="721">
        <f>WWWW[[#This Row],['# HH received soaps]]*5</f>
        <v>0</v>
      </c>
      <c r="CA247" s="721">
        <f>WWWW[[#This Row],['# HH received Sanitary Pads]]*5</f>
        <v>0</v>
      </c>
      <c r="CB247" s="406">
        <f>IF(WWWW[[#This Row],['# People with access to soap]]&gt;WWWW[[#This Row],['# People with access to Sanity Pads]],WWWW[[#This Row],['# People with access to soap]],WWWW[[#This Row],['# People with access to Sanity Pads]])</f>
        <v>0</v>
      </c>
      <c r="CC247" s="405">
        <f>WWWW[[#This Row],[Total HH]]*WWWW[[#This Row],[%HHs with access to functional hand washing stations]]</f>
        <v>150</v>
      </c>
      <c r="CD247" s="240">
        <f>VLOOKUP(WWWW[[#This Row],[Site Name]],SiteDB6[],8,FALSE)</f>
        <v>0</v>
      </c>
      <c r="CE247" s="240">
        <f>VLOOKUP(WWWW[[#This Row],[Site Name]],SiteDB6[],9,FALSE)</f>
        <v>0</v>
      </c>
      <c r="CF247" s="240" t="str">
        <f>VLOOKUP(WWWW[[#This Row],[Site Name]],SiteDB6[],10,FALSE)</f>
        <v>Village</v>
      </c>
      <c r="CG247" s="240" t="str">
        <f>VLOOKUP(WWWW[[#This Row],[Site Name]],SiteDB6[],11,FALSE)</f>
        <v>Village</v>
      </c>
      <c r="CH247" s="240" t="str">
        <f>VLOOKUP(WWWW[[#This Row],[Site Name]],SiteDB6[],12,FALSE)</f>
        <v>Returned</v>
      </c>
      <c r="CI247" s="240" t="str">
        <f>VLOOKUP(WWWW[[#This Row],[Site Name]],SiteDB6[],13,FALSE)</f>
        <v>Muslim</v>
      </c>
      <c r="CJ247" s="240">
        <f>VLOOKUP(WWWW[[#This Row],[Site Name]],SiteDB6[],14,FALSE)</f>
        <v>20.39902</v>
      </c>
      <c r="CK247" s="240">
        <f>VLOOKUP(WWWW[[#This Row],[Site Name]],SiteDB6[],15,FALSE)</f>
        <v>93.249669999999995</v>
      </c>
      <c r="CL247" s="240" t="str">
        <f>VLOOKUP(WWWW[[#This Row],[Site Name]],SiteDB6[],4,FALSE)</f>
        <v>MMR012CMP003</v>
      </c>
      <c r="CM247" s="404" t="str">
        <f t="shared" si="3"/>
        <v>Notcovered</v>
      </c>
      <c r="CN247" s="404"/>
    </row>
    <row r="248" spans="1:92" ht="15.75" hidden="1" customHeight="1" x14ac:dyDescent="0.25">
      <c r="A248" s="548" t="s">
        <v>1409</v>
      </c>
      <c r="B248" s="541" t="s">
        <v>470</v>
      </c>
      <c r="C248" s="541" t="s">
        <v>464</v>
      </c>
      <c r="D248" s="541" t="s">
        <v>483</v>
      </c>
      <c r="E248" s="541" t="s">
        <v>668</v>
      </c>
      <c r="F248" s="169">
        <v>175</v>
      </c>
      <c r="G248" s="732">
        <v>659</v>
      </c>
      <c r="H248" s="169"/>
      <c r="I248" s="169"/>
      <c r="J248" s="170"/>
      <c r="K248" s="169"/>
      <c r="L248" s="402" t="s">
        <v>292</v>
      </c>
      <c r="M248" s="404">
        <v>0</v>
      </c>
      <c r="N248" s="404">
        <v>0</v>
      </c>
      <c r="O248" s="608">
        <v>2</v>
      </c>
      <c r="P248" s="609">
        <v>0</v>
      </c>
      <c r="Q248" s="610"/>
      <c r="R248" s="611"/>
      <c r="S248" s="611">
        <v>0</v>
      </c>
      <c r="T248" s="611"/>
      <c r="U248" s="611"/>
      <c r="V248" s="606"/>
      <c r="W248" s="606"/>
      <c r="X248" s="604"/>
      <c r="Y248" s="607"/>
      <c r="Z248" s="598">
        <v>12</v>
      </c>
      <c r="AA248" s="599"/>
      <c r="AB248" s="629"/>
      <c r="AC248" s="632">
        <v>12</v>
      </c>
      <c r="AD248" s="80" t="s">
        <v>296</v>
      </c>
      <c r="AE248" s="80" t="s">
        <v>296</v>
      </c>
      <c r="AF248" s="80"/>
      <c r="AG248" s="80"/>
      <c r="AH248" s="633"/>
      <c r="AI248" s="652">
        <v>0</v>
      </c>
      <c r="AJ248" s="653"/>
      <c r="AK248" s="651">
        <v>0</v>
      </c>
      <c r="AL248" s="645"/>
      <c r="AM248" s="645"/>
      <c r="AN248" s="600"/>
      <c r="AO248" s="600"/>
      <c r="AP248" s="600"/>
      <c r="AQ248" s="654"/>
      <c r="AR248" s="235" t="str">
        <f>IFERROR(WWWW[[#This Row],['# of Water passed at source]]/WWWW[[#This Row],['# of Water tested at source]],"no test")</f>
        <v>no test</v>
      </c>
      <c r="AS248" s="237" t="str">
        <f>IFERROR(WWWW[[#This Row],['# of Water passed at HH]]/WWWW[[#This Row],['# of Water tested at HH]],"no test")</f>
        <v>no test</v>
      </c>
      <c r="AT248" s="237">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U248" s="237">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0.75872534142640369</v>
      </c>
      <c r="AV248" s="237">
        <f>IF(WWWW[[#This Row],[Location Type 1]]="Village",WWWW[[#This Row],[Access to safe drinking water for Village]],WWWW[[#This Row],[Access to safe drinking water for Camp]])</f>
        <v>0.75872534142640369</v>
      </c>
      <c r="AW248" s="414">
        <f>WWWW[[#This Row],[%Equitable and continuous access to sufficient quantity of safe drinking water]]*WWWW[[#This Row],[Total PoP ]]</f>
        <v>500.00000000000006</v>
      </c>
      <c r="AX248" s="237">
        <f>IF((WWWW[[#This Row],['# Existing protected/fenced ponds ]]*250)/WWWW[[#This Row],[Total PoP ]]&gt;1,1,WWWW[[#This Row],['# Existing protected/fenced ponds ]]*250/WWWW[[#This Row],[Total PoP ]])</f>
        <v>0</v>
      </c>
      <c r="AY248" s="414">
        <f>WWWW[[#This Row],[Access to unimproved water points]]*WWWW[[#This Row],[Total PoP ]]</f>
        <v>0</v>
      </c>
      <c r="AZ248" s="237">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0.75872534142640369</v>
      </c>
      <c r="BA248" s="414">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500.00000000000006</v>
      </c>
      <c r="BB248" s="414">
        <f>ROUND(WWWW[[#This Row],['#people Equitable and continuous access to sufficient quantity of domestic water borehole n ponds_2]]/500,0)</f>
        <v>1</v>
      </c>
      <c r="BC248" s="235">
        <f>1-WWWW[[#This Row],[%Equitable and continuous access to sufficient quantity of domestic water borehole n ponds]]</f>
        <v>0.24127465857359631</v>
      </c>
      <c r="BD248" s="414">
        <f>WWWW[[#This Row],[%equitable and continuous access to sufficient quantity of safe drinking and domestic water''s GAP]]*WWWW[[#This Row],[Total PoP ]]</f>
        <v>158.99999999999997</v>
      </c>
      <c r="BE248" s="238">
        <f>IF(WWWW[[#This Row],[Total required water points]]-WWWW[[#This Row],['#Water points coverage]]&lt;0,0,WWWW[[#This Row],[Total required water points]]-WWWW[[#This Row],['#Water points coverage]])</f>
        <v>0</v>
      </c>
      <c r="BF248" s="238">
        <f>ROUND(IF(WWWW[[#This Row],[Total PoP ]]&lt;500,1,WWWW[[#This Row],[Total PoP ]]/500),0)</f>
        <v>1</v>
      </c>
      <c r="BG248" s="238" t="str">
        <f>IF(AND(WWWW[[#This Row],[%of Water samples which passed at water source]]="no test",WWWW[[#This Row],[%Water samples which passed at HH]]="no test"),"No Test","Tested")</f>
        <v>No Test</v>
      </c>
      <c r="BH248" s="238">
        <f>WWWW[[#This Row],['# Existing functional latrines]]+WWWW[[#This Row],['# Existing latrines dysfunctional]]</f>
        <v>12</v>
      </c>
      <c r="BI248" s="235">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0.10925644916540213</v>
      </c>
      <c r="BJ248" s="675">
        <f>WWWW[[#This Row],[% people access to functioning Latrine]]*WWWW[[#This Row],[Total PoP ]]</f>
        <v>72</v>
      </c>
      <c r="BK248" s="235">
        <f>IF(WWWW[[#This Row],[Location Type 1]]="camp",WWWW[[#This Row],['# potential required new latrines]]/(WWWW[[#This Row],[Total PoP ]]/20),WWWW[[#This Row],['# potential required new latrines]]/(WWWW[[#This Row],[Total PoP ]]/6))</f>
        <v>0.89226100151745069</v>
      </c>
      <c r="BL248" s="414">
        <f>IF(WWWW[[#This Row],[Total required Latrines]]-WWWW[[#This Row],[Total '# of latrine]]&lt;0,0,WWWW[[#This Row],[Total required Latrines]]-WWWW[[#This Row],[Total '# of latrine]])</f>
        <v>98</v>
      </c>
      <c r="BM248" s="238">
        <f>ROUND(IF(WWWW[[#This Row],[Location Type 1]]="camp",WWWW[[#This Row],[Total PoP ]]/20,WWWW[[#This Row],[Total PoP ]]/6),0)</f>
        <v>110</v>
      </c>
      <c r="BN248" s="239">
        <f>IF(OR(WWWW[[#This Row],['# Existing latrines dysfunctional]]="",WWWW[[#This Row],['# Existing latrines dysfunctional]]=0),0,WWWW[[#This Row],['# Existing latrines dysfunctional]]/WWWW[[#This Row],[Total '# of latrine]])</f>
        <v>0</v>
      </c>
      <c r="BO248" s="675"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P248" s="235">
        <f>WWWW[[#This Row],[People adopt basic personal and community hygiene practices]]/WWWW[[#This Row],[Total PoP ]]</f>
        <v>0</v>
      </c>
      <c r="BQ248" s="239">
        <f>1-WWWW[[#This Row],[Hygiene Coverage%]]</f>
        <v>1</v>
      </c>
      <c r="BR248" s="405">
        <f>IF(500*WWWW[[#This Row],['# Hygiene Promoters ]]&gt;WWWW[[#This Row],[Total PoP ]],WWWW[[#This Row],[Total PoP ]],500*WWWW[[#This Row],['# Hygiene Promoters ]])</f>
        <v>0</v>
      </c>
      <c r="BS248" s="405">
        <f>IF(WWWW[[#This Row],[% of HH with access to Sanitary Pad]]&gt;=100%,1,0)</f>
        <v>0</v>
      </c>
      <c r="BT248" s="405">
        <f>IF(WWWW[[#This Row],[Total PoP ]]=0,0,IF(WWWW[[#This Row],['# Hygiene Promoters ]]=0,0,IF(WWWW[[#This Row],[Location Type 1]]="Village",IF(WWWW[[#This Row],[Total PoP ]]/WWWW[[#This Row],['# Hygiene Promoters ]]&lt;1000,1,0),IF(WWWW[[#This Row],[Total PoP ]]/WWWW[[#This Row],['# Hygiene Promoters ]]&lt;600,1,0))))</f>
        <v>0</v>
      </c>
      <c r="BU248" s="405">
        <f>IF(WWWW[[#This Row],[%HH with access to soap]]&gt;=100%,1,0)</f>
        <v>0</v>
      </c>
      <c r="BV248" s="405">
        <f>IF(WWWW[[#This Row],[% of HHs with access to Sanitary pad more than '#%]]+WWWW[[#This Row],[Ratio of Hyiene promoters to people less than '#]]+WWWW[[#This Row],[% of HHs with access to soap more than '#%]]&gt;=2,WWWW[[#This Row],[Total PoP ]],0)</f>
        <v>0</v>
      </c>
      <c r="BW248" s="346">
        <f>WWWW[[#This Row],['# people reached by regular dedicated hygiene promotion_5]]/WWWW[[#This Row],[Total PoP ]]</f>
        <v>0</v>
      </c>
      <c r="BX248" s="346">
        <f>IF(WWWW[[#This Row],['# HH received soaps]]/WWWW[[#This Row],[Total HH]]&gt;1,1,WWWW[[#This Row],['# HH received soaps]]/WWWW[[#This Row],[Total HH]])</f>
        <v>0</v>
      </c>
      <c r="BY248" s="346">
        <f>IF(WWWW[[#This Row],['# HH received Sanitary Pads]]/WWWW[[#This Row],[Total HH]]&gt;1,1,WWWW[[#This Row],['# HH received Sanitary Pads]]/WWWW[[#This Row],[Total HH]])</f>
        <v>0</v>
      </c>
      <c r="BZ248" s="720">
        <f>WWWW[[#This Row],['# HH received soaps]]*5</f>
        <v>0</v>
      </c>
      <c r="CA248" s="720">
        <f>WWWW[[#This Row],['# HH received Sanitary Pads]]*5</f>
        <v>0</v>
      </c>
      <c r="CB248" s="675">
        <f>IF(WWWW[[#This Row],['# People with access to soap]]&gt;WWWW[[#This Row],['# People with access to Sanity Pads]],WWWW[[#This Row],['# People with access to soap]],WWWW[[#This Row],['# People with access to Sanity Pads]])</f>
        <v>0</v>
      </c>
      <c r="CC248" s="414">
        <f>WWWW[[#This Row],[Total HH]]*WWWW[[#This Row],[%HHs with access to functional hand washing stations]]</f>
        <v>0</v>
      </c>
      <c r="CD248" s="240">
        <f>VLOOKUP(WWWW[[#This Row],[Site Name]],SiteDB6[],8,FALSE)</f>
        <v>0</v>
      </c>
      <c r="CE248" s="240">
        <f>VLOOKUP(WWWW[[#This Row],[Site Name]],SiteDB6[],9,FALSE)</f>
        <v>0</v>
      </c>
      <c r="CF248" s="240" t="str">
        <f>VLOOKUP(WWWW[[#This Row],[Site Name]],SiteDB6[],10,FALSE)</f>
        <v>Village</v>
      </c>
      <c r="CG248" s="240" t="str">
        <f>VLOOKUP(WWWW[[#This Row],[Site Name]],SiteDB6[],11,FALSE)</f>
        <v>Village</v>
      </c>
      <c r="CH248" s="240" t="str">
        <f>VLOOKUP(WWWW[[#This Row],[Site Name]],SiteDB6[],12,FALSE)</f>
        <v>Village</v>
      </c>
      <c r="CI248" s="240" t="str">
        <f>VLOOKUP(WWWW[[#This Row],[Site Name]],SiteDB6[],13,FALSE)</f>
        <v>Rakhine</v>
      </c>
      <c r="CJ248" s="240">
        <f>VLOOKUP(WWWW[[#This Row],[Site Name]],SiteDB6[],14,FALSE)</f>
        <v>20.5199794769287</v>
      </c>
      <c r="CK248" s="240">
        <f>VLOOKUP(WWWW[[#This Row],[Site Name]],SiteDB6[],15,FALSE)</f>
        <v>93.277252197265597</v>
      </c>
      <c r="CL248" s="240" t="str">
        <f>VLOOKUP(WWWW[[#This Row],[Site Name]],SiteDB6[],4,FALSE)</f>
        <v>197067</v>
      </c>
      <c r="CM248" s="235" t="str">
        <f t="shared" si="3"/>
        <v>Notcovered</v>
      </c>
      <c r="CN248" s="240"/>
    </row>
    <row r="249" spans="1:92" ht="15.75" hidden="1" customHeight="1" x14ac:dyDescent="0.25">
      <c r="A249" s="554" t="s">
        <v>1409</v>
      </c>
      <c r="B249" s="530" t="s">
        <v>470</v>
      </c>
      <c r="C249" s="531" t="s">
        <v>464</v>
      </c>
      <c r="D249" s="531" t="s">
        <v>649</v>
      </c>
      <c r="E249" s="531" t="s">
        <v>650</v>
      </c>
      <c r="F249" s="402">
        <f>ROUND(WWWW[[#This Row],[Total PoP ]]/5,0)</f>
        <v>161</v>
      </c>
      <c r="G249" s="405">
        <v>807</v>
      </c>
      <c r="H249" s="402"/>
      <c r="I249" s="402"/>
      <c r="J249" s="403"/>
      <c r="K249" s="402"/>
      <c r="L249" s="402" t="s">
        <v>292</v>
      </c>
      <c r="M249" s="404">
        <v>0</v>
      </c>
      <c r="N249" s="404">
        <v>0</v>
      </c>
      <c r="O249" s="605">
        <v>1</v>
      </c>
      <c r="P249" s="606"/>
      <c r="Q249" s="606"/>
      <c r="R249" s="607"/>
      <c r="S249" s="607">
        <v>0</v>
      </c>
      <c r="T249" s="607"/>
      <c r="U249" s="607"/>
      <c r="V249" s="607"/>
      <c r="W249" s="607"/>
      <c r="X249" s="607"/>
      <c r="Y249" s="607"/>
      <c r="Z249" s="598">
        <v>4</v>
      </c>
      <c r="AA249" s="598"/>
      <c r="AB249" s="80"/>
      <c r="AC249" s="598">
        <v>0</v>
      </c>
      <c r="AD249" s="598" t="s">
        <v>296</v>
      </c>
      <c r="AE249" s="599" t="s">
        <v>296</v>
      </c>
      <c r="AF249" s="599"/>
      <c r="AG249" s="598"/>
      <c r="AH249" s="598"/>
      <c r="AI249" s="649">
        <v>0</v>
      </c>
      <c r="AJ249" s="650"/>
      <c r="AK249" s="650">
        <v>0</v>
      </c>
      <c r="AL249" s="645"/>
      <c r="AM249" s="645">
        <v>0</v>
      </c>
      <c r="AN249" s="600"/>
      <c r="AO249" s="600"/>
      <c r="AP249" s="600"/>
      <c r="AQ249" s="651"/>
      <c r="AR249" s="404" t="str">
        <f>IFERROR(WWWW[[#This Row],['# of Water passed at source]]/WWWW[[#This Row],['# of Water tested at source]],"no test")</f>
        <v>no test</v>
      </c>
      <c r="AS249" s="407" t="str">
        <f>IFERROR(WWWW[[#This Row],['# of Water passed at HH]]/WWWW[[#This Row],['# of Water tested at HH]],"no test")</f>
        <v>no test</v>
      </c>
      <c r="AT249" s="407">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U249" s="407">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0.3097893432465923</v>
      </c>
      <c r="AV249" s="407">
        <f>IF(WWWW[[#This Row],[Location Type 1]]="Village",WWWW[[#This Row],[Access to safe drinking water for Village]],WWWW[[#This Row],[Access to safe drinking water for Camp]])</f>
        <v>0.3097893432465923</v>
      </c>
      <c r="AW249" s="405">
        <f>WWWW[[#This Row],[%Equitable and continuous access to sufficient quantity of safe drinking water]]*WWWW[[#This Row],[Total PoP ]]</f>
        <v>249.99999999999997</v>
      </c>
      <c r="AX249" s="407">
        <f>IF((WWWW[[#This Row],['# Existing protected/fenced ponds ]]*250)/WWWW[[#This Row],[Total PoP ]]&gt;1,1,WWWW[[#This Row],['# Existing protected/fenced ponds ]]*250/WWWW[[#This Row],[Total PoP ]])</f>
        <v>0</v>
      </c>
      <c r="AY249" s="405">
        <f>WWWW[[#This Row],[Access to unimproved water points]]*WWWW[[#This Row],[Total PoP ]]</f>
        <v>0</v>
      </c>
      <c r="AZ249" s="407">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0.3097893432465923</v>
      </c>
      <c r="BA249" s="405">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249.99999999999997</v>
      </c>
      <c r="BB249" s="414">
        <f>ROUND(WWWW[[#This Row],['#people Equitable and continuous access to sufficient quantity of domestic water borehole n ponds_2]]/500,0)</f>
        <v>1</v>
      </c>
      <c r="BC249" s="404">
        <f>1-WWWW[[#This Row],[%Equitable and continuous access to sufficient quantity of domestic water borehole n ponds]]</f>
        <v>0.69021065675340765</v>
      </c>
      <c r="BD249" s="405">
        <f>WWWW[[#This Row],[%equitable and continuous access to sufficient quantity of safe drinking and domestic water''s GAP]]*WWWW[[#This Row],[Total PoP ]]</f>
        <v>557</v>
      </c>
      <c r="BE249" s="406">
        <f>IF(WWWW[[#This Row],[Total required water points]]-WWWW[[#This Row],['#Water points coverage]]&lt;0,0,WWWW[[#This Row],[Total required water points]]-WWWW[[#This Row],['#Water points coverage]])</f>
        <v>1</v>
      </c>
      <c r="BF249" s="406">
        <f>ROUND(IF(WWWW[[#This Row],[Total PoP ]]&lt;500,1,WWWW[[#This Row],[Total PoP ]]/500),0)</f>
        <v>2</v>
      </c>
      <c r="BG249" s="406" t="str">
        <f>IF(AND(WWWW[[#This Row],[%of Water samples which passed at water source]]="no test",WWWW[[#This Row],[%Water samples which passed at HH]]="no test"),"No Test","Tested")</f>
        <v>No Test</v>
      </c>
      <c r="BH249" s="406">
        <f>WWWW[[#This Row],['# Existing functional latrines]]+WWWW[[#This Row],['# Existing latrines dysfunctional]]</f>
        <v>4</v>
      </c>
      <c r="BI249" s="404">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2.9739776951672861E-2</v>
      </c>
      <c r="BJ249" s="676">
        <f>WWWW[[#This Row],[% people access to functioning Latrine]]*WWWW[[#This Row],[Total PoP ]]</f>
        <v>24</v>
      </c>
      <c r="BK249" s="404">
        <f>IF(WWWW[[#This Row],[Location Type 1]]="camp",WWWW[[#This Row],['# potential required new latrines]]/(WWWW[[#This Row],[Total PoP ]]/20),WWWW[[#This Row],['# potential required new latrines]]/(WWWW[[#This Row],[Total PoP ]]/6))</f>
        <v>0.97397769516728627</v>
      </c>
      <c r="BL249" s="405">
        <f>IF(WWWW[[#This Row],[Total required Latrines]]-WWWW[[#This Row],[Total '# of latrine]]&lt;0,0,WWWW[[#This Row],[Total required Latrines]]-WWWW[[#This Row],[Total '# of latrine]])</f>
        <v>131</v>
      </c>
      <c r="BM249" s="406">
        <f>ROUND(IF(WWWW[[#This Row],[Location Type 1]]="camp",WWWW[[#This Row],[Total PoP ]]/20,WWWW[[#This Row],[Total PoP ]]/6),0)</f>
        <v>135</v>
      </c>
      <c r="BN249" s="408">
        <f>IF(OR(WWWW[[#This Row],['# Existing latrines dysfunctional]]="",WWWW[[#This Row],['# Existing latrines dysfunctional]]=0),0,WWWW[[#This Row],['# Existing latrines dysfunctional]]/WWWW[[#This Row],[Total '# of latrine]])</f>
        <v>0</v>
      </c>
      <c r="BO249" s="676"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P249" s="404">
        <f>WWWW[[#This Row],[People adopt basic personal and community hygiene practices]]/WWWW[[#This Row],[Total PoP ]]</f>
        <v>0</v>
      </c>
      <c r="BQ249" s="408">
        <f>1-WWWW[[#This Row],[Hygiene Coverage%]]</f>
        <v>1</v>
      </c>
      <c r="BR249" s="405">
        <f>IF(500*WWWW[[#This Row],['# Hygiene Promoters ]]&gt;WWWW[[#This Row],[Total PoP ]],WWWW[[#This Row],[Total PoP ]],500*WWWW[[#This Row],['# Hygiene Promoters ]])</f>
        <v>0</v>
      </c>
      <c r="BS249" s="405">
        <f>IF(WWWW[[#This Row],[% of HH with access to Sanitary Pad]]&gt;=100%,1,0)</f>
        <v>0</v>
      </c>
      <c r="BT249" s="405">
        <f>IF(WWWW[[#This Row],[Total PoP ]]=0,0,IF(WWWW[[#This Row],['# Hygiene Promoters ]]=0,0,IF(WWWW[[#This Row],[Location Type 1]]="Village",IF(WWWW[[#This Row],[Total PoP ]]/WWWW[[#This Row],['# Hygiene Promoters ]]&lt;1000,1,0),IF(WWWW[[#This Row],[Total PoP ]]/WWWW[[#This Row],['# Hygiene Promoters ]]&lt;600,1,0))))</f>
        <v>0</v>
      </c>
      <c r="BU249" s="405">
        <f>IF(WWWW[[#This Row],[%HH with access to soap]]&gt;=100%,1,0)</f>
        <v>0</v>
      </c>
      <c r="BV249" s="405">
        <f>IF(WWWW[[#This Row],[% of HHs with access to Sanitary pad more than '#%]]+WWWW[[#This Row],[Ratio of Hyiene promoters to people less than '#]]+WWWW[[#This Row],[% of HHs with access to soap more than '#%]]&gt;=2,WWWW[[#This Row],[Total PoP ]],0)</f>
        <v>0</v>
      </c>
      <c r="BW249" s="391">
        <f>WWWW[[#This Row],['# people reached by regular dedicated hygiene promotion_5]]/WWWW[[#This Row],[Total PoP ]]</f>
        <v>0</v>
      </c>
      <c r="BX249" s="391">
        <f>IF(WWWW[[#This Row],['# HH received soaps]]/WWWW[[#This Row],[Total HH]]&gt;1,1,WWWW[[#This Row],['# HH received soaps]]/WWWW[[#This Row],[Total HH]])</f>
        <v>0</v>
      </c>
      <c r="BY249" s="391">
        <f>IF(WWWW[[#This Row],['# HH received Sanitary Pads]]/WWWW[[#This Row],[Total HH]]&gt;1,1,WWWW[[#This Row],['# HH received Sanitary Pads]]/WWWW[[#This Row],[Total HH]])</f>
        <v>0</v>
      </c>
      <c r="BZ249" s="721">
        <f>WWWW[[#This Row],['# HH received soaps]]*5</f>
        <v>0</v>
      </c>
      <c r="CA249" s="721">
        <f>WWWW[[#This Row],['# HH received Sanitary Pads]]*5</f>
        <v>0</v>
      </c>
      <c r="CB249" s="406">
        <f>IF(WWWW[[#This Row],['# People with access to soap]]&gt;WWWW[[#This Row],['# People with access to Sanity Pads]],WWWW[[#This Row],['# People with access to soap]],WWWW[[#This Row],['# People with access to Sanity Pads]])</f>
        <v>0</v>
      </c>
      <c r="CC249" s="405">
        <f>WWWW[[#This Row],[Total HH]]*WWWW[[#This Row],[%HHs with access to functional hand washing stations]]</f>
        <v>0</v>
      </c>
      <c r="CD249" s="240">
        <f>VLOOKUP(WWWW[[#This Row],[Site Name]],SiteDB6[],8,FALSE)</f>
        <v>0</v>
      </c>
      <c r="CE249" s="240">
        <f>VLOOKUP(WWWW[[#This Row],[Site Name]],SiteDB6[],9,FALSE)</f>
        <v>0</v>
      </c>
      <c r="CF249" s="240" t="str">
        <f>VLOOKUP(WWWW[[#This Row],[Site Name]],SiteDB6[],10,FALSE)</f>
        <v>Village</v>
      </c>
      <c r="CG249" s="240" t="str">
        <f>VLOOKUP(WWWW[[#This Row],[Site Name]],SiteDB6[],11,FALSE)</f>
        <v>Village</v>
      </c>
      <c r="CH249" s="240" t="str">
        <f>VLOOKUP(WWWW[[#This Row],[Site Name]],SiteDB6[],12,FALSE)</f>
        <v>Village</v>
      </c>
      <c r="CI249" s="240" t="str">
        <f>VLOOKUP(WWWW[[#This Row],[Site Name]],SiteDB6[],13,FALSE)</f>
        <v>Rakhine</v>
      </c>
      <c r="CJ249" s="240">
        <f>VLOOKUP(WWWW[[#This Row],[Site Name]],SiteDB6[],14,FALSE)</f>
        <v>20.4625244140625</v>
      </c>
      <c r="CK249" s="240">
        <f>VLOOKUP(WWWW[[#This Row],[Site Name]],SiteDB6[],15,FALSE)</f>
        <v>93.257278442382798</v>
      </c>
      <c r="CL249" s="240" t="str">
        <f>VLOOKUP(WWWW[[#This Row],[Site Name]],SiteDB6[],4,FALSE)</f>
        <v>220626</v>
      </c>
      <c r="CM249" s="404" t="str">
        <f t="shared" si="3"/>
        <v>Notcovered</v>
      </c>
      <c r="CN249" s="404"/>
    </row>
    <row r="250" spans="1:92" ht="15.75" hidden="1" customHeight="1" x14ac:dyDescent="0.25">
      <c r="A250" s="554" t="s">
        <v>1409</v>
      </c>
      <c r="B250" s="530" t="s">
        <v>470</v>
      </c>
      <c r="C250" s="531" t="s">
        <v>464</v>
      </c>
      <c r="D250" s="531" t="s">
        <v>649</v>
      </c>
      <c r="E250" s="531" t="s">
        <v>652</v>
      </c>
      <c r="F250" s="402">
        <f>ROUND(WWWW[[#This Row],[Total PoP ]]/5,0)</f>
        <v>44</v>
      </c>
      <c r="G250" s="405">
        <v>221</v>
      </c>
      <c r="H250" s="402"/>
      <c r="I250" s="402"/>
      <c r="J250" s="403"/>
      <c r="K250" s="402"/>
      <c r="L250" s="402" t="s">
        <v>292</v>
      </c>
      <c r="M250" s="404">
        <v>0</v>
      </c>
      <c r="N250" s="404">
        <v>0</v>
      </c>
      <c r="O250" s="605">
        <v>2</v>
      </c>
      <c r="P250" s="606"/>
      <c r="Q250" s="606"/>
      <c r="R250" s="607"/>
      <c r="S250" s="607">
        <v>0</v>
      </c>
      <c r="T250" s="607"/>
      <c r="U250" s="607"/>
      <c r="V250" s="607"/>
      <c r="W250" s="607"/>
      <c r="X250" s="607"/>
      <c r="Y250" s="607"/>
      <c r="Z250" s="598">
        <v>3</v>
      </c>
      <c r="AA250" s="598"/>
      <c r="AB250" s="80"/>
      <c r="AC250" s="598">
        <v>0</v>
      </c>
      <c r="AD250" s="598" t="s">
        <v>296</v>
      </c>
      <c r="AE250" s="599" t="s">
        <v>296</v>
      </c>
      <c r="AF250" s="599"/>
      <c r="AG250" s="598"/>
      <c r="AH250" s="598"/>
      <c r="AI250" s="649">
        <v>0</v>
      </c>
      <c r="AJ250" s="650"/>
      <c r="AK250" s="650">
        <v>0</v>
      </c>
      <c r="AL250" s="645"/>
      <c r="AM250" s="645">
        <v>0</v>
      </c>
      <c r="AN250" s="600"/>
      <c r="AO250" s="600"/>
      <c r="AP250" s="600"/>
      <c r="AQ250" s="651"/>
      <c r="AR250" s="404" t="str">
        <f>IFERROR(WWWW[[#This Row],['# of Water passed at source]]/WWWW[[#This Row],['# of Water tested at source]],"no test")</f>
        <v>no test</v>
      </c>
      <c r="AS250" s="407" t="str">
        <f>IFERROR(WWWW[[#This Row],['# of Water passed at HH]]/WWWW[[#This Row],['# of Water tested at HH]],"no test")</f>
        <v>no test</v>
      </c>
      <c r="AT250" s="407">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U250" s="407">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AV250" s="407">
        <f>IF(WWWW[[#This Row],[Location Type 1]]="Village",WWWW[[#This Row],[Access to safe drinking water for Village]],WWWW[[#This Row],[Access to safe drinking water for Camp]])</f>
        <v>1</v>
      </c>
      <c r="AW250" s="405">
        <f>WWWW[[#This Row],[%Equitable and continuous access to sufficient quantity of safe drinking water]]*WWWW[[#This Row],[Total PoP ]]</f>
        <v>221</v>
      </c>
      <c r="AX250" s="407">
        <f>IF((WWWW[[#This Row],['# Existing protected/fenced ponds ]]*250)/WWWW[[#This Row],[Total PoP ]]&gt;1,1,WWWW[[#This Row],['# Existing protected/fenced ponds ]]*250/WWWW[[#This Row],[Total PoP ]])</f>
        <v>0</v>
      </c>
      <c r="AY250" s="405">
        <f>WWWW[[#This Row],[Access to unimproved water points]]*WWWW[[#This Row],[Total PoP ]]</f>
        <v>0</v>
      </c>
      <c r="AZ250" s="407">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A250" s="405">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221</v>
      </c>
      <c r="BB250" s="414">
        <f>ROUND(WWWW[[#This Row],['#people Equitable and continuous access to sufficient quantity of domestic water borehole n ponds_2]]/500,0)</f>
        <v>0</v>
      </c>
      <c r="BC250" s="404">
        <f>1-WWWW[[#This Row],[%Equitable and continuous access to sufficient quantity of domestic water borehole n ponds]]</f>
        <v>0</v>
      </c>
      <c r="BD250" s="405">
        <f>WWWW[[#This Row],[%equitable and continuous access to sufficient quantity of safe drinking and domestic water''s GAP]]*WWWW[[#This Row],[Total PoP ]]</f>
        <v>0</v>
      </c>
      <c r="BE250" s="406">
        <f>IF(WWWW[[#This Row],[Total required water points]]-WWWW[[#This Row],['#Water points coverage]]&lt;0,0,WWWW[[#This Row],[Total required water points]]-WWWW[[#This Row],['#Water points coverage]])</f>
        <v>1</v>
      </c>
      <c r="BF250" s="406">
        <f>ROUND(IF(WWWW[[#This Row],[Total PoP ]]&lt;500,1,WWWW[[#This Row],[Total PoP ]]/500),0)</f>
        <v>1</v>
      </c>
      <c r="BG250" s="406" t="str">
        <f>IF(AND(WWWW[[#This Row],[%of Water samples which passed at water source]]="no test",WWWW[[#This Row],[%Water samples which passed at HH]]="no test"),"No Test","Tested")</f>
        <v>No Test</v>
      </c>
      <c r="BH250" s="406">
        <f>WWWW[[#This Row],['# Existing functional latrines]]+WWWW[[#This Row],['# Existing latrines dysfunctional]]</f>
        <v>3</v>
      </c>
      <c r="BI250" s="404">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8.1447963800904979E-2</v>
      </c>
      <c r="BJ250" s="676">
        <f>WWWW[[#This Row],[% people access to functioning Latrine]]*WWWW[[#This Row],[Total PoP ]]</f>
        <v>18</v>
      </c>
      <c r="BK250" s="404">
        <f>IF(WWWW[[#This Row],[Location Type 1]]="camp",WWWW[[#This Row],['# potential required new latrines]]/(WWWW[[#This Row],[Total PoP ]]/20),WWWW[[#This Row],['# potential required new latrines]]/(WWWW[[#This Row],[Total PoP ]]/6))</f>
        <v>0.92307692307692302</v>
      </c>
      <c r="BL250" s="405">
        <f>IF(WWWW[[#This Row],[Total required Latrines]]-WWWW[[#This Row],[Total '# of latrine]]&lt;0,0,WWWW[[#This Row],[Total required Latrines]]-WWWW[[#This Row],[Total '# of latrine]])</f>
        <v>34</v>
      </c>
      <c r="BM250" s="406">
        <f>ROUND(IF(WWWW[[#This Row],[Location Type 1]]="camp",WWWW[[#This Row],[Total PoP ]]/20,WWWW[[#This Row],[Total PoP ]]/6),0)</f>
        <v>37</v>
      </c>
      <c r="BN250" s="408">
        <f>IF(OR(WWWW[[#This Row],['# Existing latrines dysfunctional]]="",WWWW[[#This Row],['# Existing latrines dysfunctional]]=0),0,WWWW[[#This Row],['# Existing latrines dysfunctional]]/WWWW[[#This Row],[Total '# of latrine]])</f>
        <v>0</v>
      </c>
      <c r="BO250" s="676"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P250" s="404">
        <f>WWWW[[#This Row],[People adopt basic personal and community hygiene practices]]/WWWW[[#This Row],[Total PoP ]]</f>
        <v>0</v>
      </c>
      <c r="BQ250" s="408">
        <f>1-WWWW[[#This Row],[Hygiene Coverage%]]</f>
        <v>1</v>
      </c>
      <c r="BR250" s="405">
        <f>IF(500*WWWW[[#This Row],['# Hygiene Promoters ]]&gt;WWWW[[#This Row],[Total PoP ]],WWWW[[#This Row],[Total PoP ]],500*WWWW[[#This Row],['# Hygiene Promoters ]])</f>
        <v>0</v>
      </c>
      <c r="BS250" s="405">
        <f>IF(WWWW[[#This Row],[% of HH with access to Sanitary Pad]]&gt;=100%,1,0)</f>
        <v>0</v>
      </c>
      <c r="BT250" s="405">
        <f>IF(WWWW[[#This Row],[Total PoP ]]=0,0,IF(WWWW[[#This Row],['# Hygiene Promoters ]]=0,0,IF(WWWW[[#This Row],[Location Type 1]]="Village",IF(WWWW[[#This Row],[Total PoP ]]/WWWW[[#This Row],['# Hygiene Promoters ]]&lt;1000,1,0),IF(WWWW[[#This Row],[Total PoP ]]/WWWW[[#This Row],['# Hygiene Promoters ]]&lt;600,1,0))))</f>
        <v>0</v>
      </c>
      <c r="BU250" s="405">
        <f>IF(WWWW[[#This Row],[%HH with access to soap]]&gt;=100%,1,0)</f>
        <v>0</v>
      </c>
      <c r="BV250" s="405">
        <f>IF(WWWW[[#This Row],[% of HHs with access to Sanitary pad more than '#%]]+WWWW[[#This Row],[Ratio of Hyiene promoters to people less than '#]]+WWWW[[#This Row],[% of HHs with access to soap more than '#%]]&gt;=2,WWWW[[#This Row],[Total PoP ]],0)</f>
        <v>0</v>
      </c>
      <c r="BW250" s="391">
        <f>WWWW[[#This Row],['# people reached by regular dedicated hygiene promotion_5]]/WWWW[[#This Row],[Total PoP ]]</f>
        <v>0</v>
      </c>
      <c r="BX250" s="391">
        <f>IF(WWWW[[#This Row],['# HH received soaps]]/WWWW[[#This Row],[Total HH]]&gt;1,1,WWWW[[#This Row],['# HH received soaps]]/WWWW[[#This Row],[Total HH]])</f>
        <v>0</v>
      </c>
      <c r="BY250" s="391">
        <f>IF(WWWW[[#This Row],['# HH received Sanitary Pads]]/WWWW[[#This Row],[Total HH]]&gt;1,1,WWWW[[#This Row],['# HH received Sanitary Pads]]/WWWW[[#This Row],[Total HH]])</f>
        <v>0</v>
      </c>
      <c r="BZ250" s="721">
        <f>WWWW[[#This Row],['# HH received soaps]]*5</f>
        <v>0</v>
      </c>
      <c r="CA250" s="721">
        <f>WWWW[[#This Row],['# HH received Sanitary Pads]]*5</f>
        <v>0</v>
      </c>
      <c r="CB250" s="406">
        <f>IF(WWWW[[#This Row],['# People with access to soap]]&gt;WWWW[[#This Row],['# People with access to Sanity Pads]],WWWW[[#This Row],['# People with access to soap]],WWWW[[#This Row],['# People with access to Sanity Pads]])</f>
        <v>0</v>
      </c>
      <c r="CC250" s="405">
        <f>WWWW[[#This Row],[Total HH]]*WWWW[[#This Row],[%HHs with access to functional hand washing stations]]</f>
        <v>0</v>
      </c>
      <c r="CD250" s="240">
        <f>VLOOKUP(WWWW[[#This Row],[Site Name]],SiteDB6[],8,FALSE)</f>
        <v>0</v>
      </c>
      <c r="CE250" s="240">
        <f>VLOOKUP(WWWW[[#This Row],[Site Name]],SiteDB6[],9,FALSE)</f>
        <v>0</v>
      </c>
      <c r="CF250" s="240" t="str">
        <f>VLOOKUP(WWWW[[#This Row],[Site Name]],SiteDB6[],10,FALSE)</f>
        <v>Village</v>
      </c>
      <c r="CG250" s="240" t="str">
        <f>VLOOKUP(WWWW[[#This Row],[Site Name]],SiteDB6[],11,FALSE)</f>
        <v>Village</v>
      </c>
      <c r="CH250" s="240" t="str">
        <f>VLOOKUP(WWWW[[#This Row],[Site Name]],SiteDB6[],12,FALSE)</f>
        <v>Village</v>
      </c>
      <c r="CI250" s="240" t="str">
        <f>VLOOKUP(WWWW[[#This Row],[Site Name]],SiteDB6[],13,FALSE)</f>
        <v>Rakhine</v>
      </c>
      <c r="CJ250" s="240">
        <f>VLOOKUP(WWWW[[#This Row],[Site Name]],SiteDB6[],14,FALSE)</f>
        <v>20.464775085449201</v>
      </c>
      <c r="CK250" s="240">
        <f>VLOOKUP(WWWW[[#This Row],[Site Name]],SiteDB6[],15,FALSE)</f>
        <v>93.269363403320298</v>
      </c>
      <c r="CL250" s="240" t="str">
        <f>VLOOKUP(WWWW[[#This Row],[Site Name]],SiteDB6[],4,FALSE)</f>
        <v>196496</v>
      </c>
      <c r="CM250" s="404" t="str">
        <f t="shared" si="3"/>
        <v>Notcovered</v>
      </c>
      <c r="CN250" s="404"/>
    </row>
    <row r="251" spans="1:92" ht="15.75" hidden="1" customHeight="1" x14ac:dyDescent="0.25">
      <c r="A251" s="554" t="s">
        <v>1409</v>
      </c>
      <c r="B251" s="531" t="s">
        <v>470</v>
      </c>
      <c r="C251" s="531" t="s">
        <v>464</v>
      </c>
      <c r="D251" s="531" t="s">
        <v>649</v>
      </c>
      <c r="E251" s="531" t="s">
        <v>661</v>
      </c>
      <c r="F251" s="402">
        <f>ROUND(WWWW[[#This Row],[Total PoP ]]/5,0)</f>
        <v>23</v>
      </c>
      <c r="G251" s="731">
        <v>117</v>
      </c>
      <c r="H251" s="314"/>
      <c r="I251" s="314"/>
      <c r="J251" s="315"/>
      <c r="K251" s="314"/>
      <c r="L251" s="402" t="s">
        <v>292</v>
      </c>
      <c r="M251" s="404">
        <v>0</v>
      </c>
      <c r="N251" s="404">
        <v>0</v>
      </c>
      <c r="O251" s="608">
        <v>2</v>
      </c>
      <c r="P251" s="609"/>
      <c r="Q251" s="613"/>
      <c r="R251" s="614"/>
      <c r="S251" s="614">
        <v>0</v>
      </c>
      <c r="T251" s="604"/>
      <c r="U251" s="604"/>
      <c r="V251" s="604"/>
      <c r="W251" s="604"/>
      <c r="X251" s="604"/>
      <c r="Y251" s="604"/>
      <c r="Z251" s="628">
        <v>0</v>
      </c>
      <c r="AA251" s="628"/>
      <c r="AB251" s="629"/>
      <c r="AC251" s="634">
        <v>0</v>
      </c>
      <c r="AD251" s="634" t="s">
        <v>296</v>
      </c>
      <c r="AE251" s="631" t="s">
        <v>296</v>
      </c>
      <c r="AF251" s="629"/>
      <c r="AG251" s="629"/>
      <c r="AH251" s="634"/>
      <c r="AI251" s="655">
        <v>0</v>
      </c>
      <c r="AJ251" s="656"/>
      <c r="AK251" s="644">
        <v>0</v>
      </c>
      <c r="AL251" s="645"/>
      <c r="AM251" s="645">
        <v>0</v>
      </c>
      <c r="AN251" s="600"/>
      <c r="AO251" s="647"/>
      <c r="AP251" s="647"/>
      <c r="AQ251" s="657"/>
      <c r="AR251" s="235" t="str">
        <f>IFERROR(WWWW[[#This Row],['# of Water passed at source]]/WWWW[[#This Row],['# of Water tested at source]],"no test")</f>
        <v>no test</v>
      </c>
      <c r="AS251" s="237" t="str">
        <f>IFERROR(WWWW[[#This Row],['# of Water passed at HH]]/WWWW[[#This Row],['# of Water tested at HH]],"no test")</f>
        <v>no test</v>
      </c>
      <c r="AT251" s="237">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U251" s="237">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AV251" s="237">
        <f>IF(WWWW[[#This Row],[Location Type 1]]="Village",WWWW[[#This Row],[Access to safe drinking water for Village]],WWWW[[#This Row],[Access to safe drinking water for Camp]])</f>
        <v>1</v>
      </c>
      <c r="AW251" s="414">
        <f>WWWW[[#This Row],[%Equitable and continuous access to sufficient quantity of safe drinking water]]*WWWW[[#This Row],[Total PoP ]]</f>
        <v>117</v>
      </c>
      <c r="AX251" s="237">
        <f>IF((WWWW[[#This Row],['# Existing protected/fenced ponds ]]*250)/WWWW[[#This Row],[Total PoP ]]&gt;1,1,WWWW[[#This Row],['# Existing protected/fenced ponds ]]*250/WWWW[[#This Row],[Total PoP ]])</f>
        <v>0</v>
      </c>
      <c r="AY251" s="414">
        <f>WWWW[[#This Row],[Access to unimproved water points]]*WWWW[[#This Row],[Total PoP ]]</f>
        <v>0</v>
      </c>
      <c r="AZ251" s="237">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A251" s="414">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117</v>
      </c>
      <c r="BB251" s="414">
        <f>ROUND(WWWW[[#This Row],['#people Equitable and continuous access to sufficient quantity of domestic water borehole n ponds_2]]/500,0)</f>
        <v>0</v>
      </c>
      <c r="BC251" s="235">
        <f>1-WWWW[[#This Row],[%Equitable and continuous access to sufficient quantity of domestic water borehole n ponds]]</f>
        <v>0</v>
      </c>
      <c r="BD251" s="414">
        <f>WWWW[[#This Row],[%equitable and continuous access to sufficient quantity of safe drinking and domestic water''s GAP]]*WWWW[[#This Row],[Total PoP ]]</f>
        <v>0</v>
      </c>
      <c r="BE251" s="238">
        <f>IF(WWWW[[#This Row],[Total required water points]]-WWWW[[#This Row],['#Water points coverage]]&lt;0,0,WWWW[[#This Row],[Total required water points]]-WWWW[[#This Row],['#Water points coverage]])</f>
        <v>1</v>
      </c>
      <c r="BF251" s="238">
        <f>ROUND(IF(WWWW[[#This Row],[Total PoP ]]&lt;500,1,WWWW[[#This Row],[Total PoP ]]/500),0)</f>
        <v>1</v>
      </c>
      <c r="BG251" s="238" t="str">
        <f>IF(AND(WWWW[[#This Row],[%of Water samples which passed at water source]]="no test",WWWW[[#This Row],[%Water samples which passed at HH]]="no test"),"No Test","Tested")</f>
        <v>No Test</v>
      </c>
      <c r="BH251" s="238">
        <f>WWWW[[#This Row],['# Existing functional latrines]]+WWWW[[#This Row],['# Existing latrines dysfunctional]]</f>
        <v>0</v>
      </c>
      <c r="BI251" s="235">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J251" s="675">
        <f>WWWW[[#This Row],[% people access to functioning Latrine]]*WWWW[[#This Row],[Total PoP ]]</f>
        <v>0</v>
      </c>
      <c r="BK251" s="235">
        <f>IF(WWWW[[#This Row],[Location Type 1]]="camp",WWWW[[#This Row],['# potential required new latrines]]/(WWWW[[#This Row],[Total PoP ]]/20),WWWW[[#This Row],['# potential required new latrines]]/(WWWW[[#This Row],[Total PoP ]]/6))</f>
        <v>1.0256410256410255</v>
      </c>
      <c r="BL251" s="414">
        <f>IF(WWWW[[#This Row],[Total required Latrines]]-WWWW[[#This Row],[Total '# of latrine]]&lt;0,0,WWWW[[#This Row],[Total required Latrines]]-WWWW[[#This Row],[Total '# of latrine]])</f>
        <v>20</v>
      </c>
      <c r="BM251" s="238">
        <f>ROUND(IF(WWWW[[#This Row],[Location Type 1]]="camp",WWWW[[#This Row],[Total PoP ]]/20,WWWW[[#This Row],[Total PoP ]]/6),0)</f>
        <v>20</v>
      </c>
      <c r="BN251" s="239">
        <f>IF(OR(WWWW[[#This Row],['# Existing latrines dysfunctional]]="",WWWW[[#This Row],['# Existing latrines dysfunctional]]=0),0,WWWW[[#This Row],['# Existing latrines dysfunctional]]/WWWW[[#This Row],[Total '# of latrine]])</f>
        <v>0</v>
      </c>
      <c r="BO251" s="675"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P251" s="235">
        <f>WWWW[[#This Row],[People adopt basic personal and community hygiene practices]]/WWWW[[#This Row],[Total PoP ]]</f>
        <v>0</v>
      </c>
      <c r="BQ251" s="239">
        <f>1-WWWW[[#This Row],[Hygiene Coverage%]]</f>
        <v>1</v>
      </c>
      <c r="BR251" s="405">
        <f>IF(500*WWWW[[#This Row],['# Hygiene Promoters ]]&gt;WWWW[[#This Row],[Total PoP ]],WWWW[[#This Row],[Total PoP ]],500*WWWW[[#This Row],['# Hygiene Promoters ]])</f>
        <v>0</v>
      </c>
      <c r="BS251" s="405">
        <f>IF(WWWW[[#This Row],[% of HH with access to Sanitary Pad]]&gt;=100%,1,0)</f>
        <v>0</v>
      </c>
      <c r="BT251" s="405">
        <f>IF(WWWW[[#This Row],[Total PoP ]]=0,0,IF(WWWW[[#This Row],['# Hygiene Promoters ]]=0,0,IF(WWWW[[#This Row],[Location Type 1]]="Village",IF(WWWW[[#This Row],[Total PoP ]]/WWWW[[#This Row],['# Hygiene Promoters ]]&lt;1000,1,0),IF(WWWW[[#This Row],[Total PoP ]]/WWWW[[#This Row],['# Hygiene Promoters ]]&lt;600,1,0))))</f>
        <v>0</v>
      </c>
      <c r="BU251" s="405">
        <f>IF(WWWW[[#This Row],[%HH with access to soap]]&gt;=100%,1,0)</f>
        <v>0</v>
      </c>
      <c r="BV251" s="405">
        <f>IF(WWWW[[#This Row],[% of HHs with access to Sanitary pad more than '#%]]+WWWW[[#This Row],[Ratio of Hyiene promoters to people less than '#]]+WWWW[[#This Row],[% of HHs with access to soap more than '#%]]&gt;=2,WWWW[[#This Row],[Total PoP ]],0)</f>
        <v>0</v>
      </c>
      <c r="BW251" s="346">
        <f>WWWW[[#This Row],['# people reached by regular dedicated hygiene promotion_5]]/WWWW[[#This Row],[Total PoP ]]</f>
        <v>0</v>
      </c>
      <c r="BX251" s="346">
        <f>IF(WWWW[[#This Row],['# HH received soaps]]/WWWW[[#This Row],[Total HH]]&gt;1,1,WWWW[[#This Row],['# HH received soaps]]/WWWW[[#This Row],[Total HH]])</f>
        <v>0</v>
      </c>
      <c r="BY251" s="346">
        <f>IF(WWWW[[#This Row],['# HH received Sanitary Pads]]/WWWW[[#This Row],[Total HH]]&gt;1,1,WWWW[[#This Row],['# HH received Sanitary Pads]]/WWWW[[#This Row],[Total HH]])</f>
        <v>0</v>
      </c>
      <c r="BZ251" s="720">
        <f>WWWW[[#This Row],['# HH received soaps]]*5</f>
        <v>0</v>
      </c>
      <c r="CA251" s="720">
        <f>WWWW[[#This Row],['# HH received Sanitary Pads]]*5</f>
        <v>0</v>
      </c>
      <c r="CB251" s="675">
        <f>IF(WWWW[[#This Row],['# People with access to soap]]&gt;WWWW[[#This Row],['# People with access to Sanity Pads]],WWWW[[#This Row],['# People with access to soap]],WWWW[[#This Row],['# People with access to Sanity Pads]])</f>
        <v>0</v>
      </c>
      <c r="CC251" s="414">
        <f>WWWW[[#This Row],[Total HH]]*WWWW[[#This Row],[%HHs with access to functional hand washing stations]]</f>
        <v>0</v>
      </c>
      <c r="CD251" s="240">
        <f>VLOOKUP(WWWW[[#This Row],[Site Name]],SiteDB6[],8,FALSE)</f>
        <v>0</v>
      </c>
      <c r="CE251" s="240">
        <f>VLOOKUP(WWWW[[#This Row],[Site Name]],SiteDB6[],9,FALSE)</f>
        <v>0</v>
      </c>
      <c r="CF251" s="240" t="str">
        <f>VLOOKUP(WWWW[[#This Row],[Site Name]],SiteDB6[],10,FALSE)</f>
        <v>Village</v>
      </c>
      <c r="CG251" s="240" t="str">
        <f>VLOOKUP(WWWW[[#This Row],[Site Name]],SiteDB6[],11,FALSE)</f>
        <v>Village</v>
      </c>
      <c r="CH251" s="240" t="str">
        <f>VLOOKUP(WWWW[[#This Row],[Site Name]],SiteDB6[],12,FALSE)</f>
        <v>Village</v>
      </c>
      <c r="CI251" s="240" t="str">
        <f>VLOOKUP(WWWW[[#This Row],[Site Name]],SiteDB6[],13,FALSE)</f>
        <v>Rakhine</v>
      </c>
      <c r="CJ251" s="240">
        <f>VLOOKUP(WWWW[[#This Row],[Site Name]],SiteDB6[],14,FALSE)</f>
        <v>20.489089965820298</v>
      </c>
      <c r="CK251" s="240">
        <f>VLOOKUP(WWWW[[#This Row],[Site Name]],SiteDB6[],15,FALSE)</f>
        <v>93.211738586425795</v>
      </c>
      <c r="CL251" s="240" t="str">
        <f>VLOOKUP(WWWW[[#This Row],[Site Name]],SiteDB6[],4,FALSE)</f>
        <v>196508</v>
      </c>
      <c r="CM251" s="235" t="str">
        <f t="shared" si="3"/>
        <v>Notcovered</v>
      </c>
      <c r="CN251" s="240"/>
    </row>
    <row r="252" spans="1:92" ht="15.75" hidden="1" customHeight="1" x14ac:dyDescent="0.25">
      <c r="A252" s="554" t="s">
        <v>1409</v>
      </c>
      <c r="B252" s="530" t="s">
        <v>470</v>
      </c>
      <c r="C252" s="531" t="s">
        <v>464</v>
      </c>
      <c r="D252" s="531" t="s">
        <v>649</v>
      </c>
      <c r="E252" s="531" t="s">
        <v>726</v>
      </c>
      <c r="F252" s="402">
        <f>ROUND(WWWW[[#This Row],[Total PoP ]]/5,0)</f>
        <v>146</v>
      </c>
      <c r="G252" s="405">
        <v>731</v>
      </c>
      <c r="H252" s="402"/>
      <c r="I252" s="402"/>
      <c r="J252" s="403"/>
      <c r="K252" s="402"/>
      <c r="L252" s="402" t="s">
        <v>292</v>
      </c>
      <c r="M252" s="404">
        <v>0</v>
      </c>
      <c r="N252" s="404">
        <v>0</v>
      </c>
      <c r="O252" s="605">
        <v>1</v>
      </c>
      <c r="P252" s="606"/>
      <c r="Q252" s="606"/>
      <c r="R252" s="607"/>
      <c r="S252" s="607">
        <v>0</v>
      </c>
      <c r="T252" s="607"/>
      <c r="U252" s="607"/>
      <c r="V252" s="607"/>
      <c r="W252" s="607"/>
      <c r="X252" s="607"/>
      <c r="Y252" s="607"/>
      <c r="Z252" s="598">
        <v>5</v>
      </c>
      <c r="AA252" s="598"/>
      <c r="AB252" s="80"/>
      <c r="AC252" s="598">
        <v>0</v>
      </c>
      <c r="AD252" s="598" t="s">
        <v>296</v>
      </c>
      <c r="AE252" s="599" t="s">
        <v>296</v>
      </c>
      <c r="AF252" s="599"/>
      <c r="AG252" s="598"/>
      <c r="AH252" s="598"/>
      <c r="AI252" s="649">
        <v>0</v>
      </c>
      <c r="AJ252" s="650"/>
      <c r="AK252" s="650">
        <v>0</v>
      </c>
      <c r="AL252" s="645"/>
      <c r="AM252" s="645">
        <v>0</v>
      </c>
      <c r="AN252" s="600"/>
      <c r="AO252" s="600"/>
      <c r="AP252" s="600"/>
      <c r="AQ252" s="651"/>
      <c r="AR252" s="404" t="str">
        <f>IFERROR(WWWW[[#This Row],['# of Water passed at source]]/WWWW[[#This Row],['# of Water tested at source]],"no test")</f>
        <v>no test</v>
      </c>
      <c r="AS252" s="407" t="str">
        <f>IFERROR(WWWW[[#This Row],['# of Water passed at HH]]/WWWW[[#This Row],['# of Water tested at HH]],"no test")</f>
        <v>no test</v>
      </c>
      <c r="AT252" s="407">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U252" s="407">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0.34199726402188785</v>
      </c>
      <c r="AV252" s="407">
        <f>IF(WWWW[[#This Row],[Location Type 1]]="Village",WWWW[[#This Row],[Access to safe drinking water for Village]],WWWW[[#This Row],[Access to safe drinking water for Camp]])</f>
        <v>0.34199726402188785</v>
      </c>
      <c r="AW252" s="405">
        <f>WWWW[[#This Row],[%Equitable and continuous access to sufficient quantity of safe drinking water]]*WWWW[[#This Row],[Total PoP ]]</f>
        <v>250.00000000000003</v>
      </c>
      <c r="AX252" s="407">
        <f>IF((WWWW[[#This Row],['# Existing protected/fenced ponds ]]*250)/WWWW[[#This Row],[Total PoP ]]&gt;1,1,WWWW[[#This Row],['# Existing protected/fenced ponds ]]*250/WWWW[[#This Row],[Total PoP ]])</f>
        <v>0</v>
      </c>
      <c r="AY252" s="405">
        <f>WWWW[[#This Row],[Access to unimproved water points]]*WWWW[[#This Row],[Total PoP ]]</f>
        <v>0</v>
      </c>
      <c r="AZ252" s="407">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0.34199726402188785</v>
      </c>
      <c r="BA252" s="405">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250.00000000000003</v>
      </c>
      <c r="BB252" s="414">
        <f>ROUND(WWWW[[#This Row],['#people Equitable and continuous access to sufficient quantity of domestic water borehole n ponds_2]]/500,0)</f>
        <v>1</v>
      </c>
      <c r="BC252" s="404">
        <f>1-WWWW[[#This Row],[%Equitable and continuous access to sufficient quantity of domestic water borehole n ponds]]</f>
        <v>0.65800273597811221</v>
      </c>
      <c r="BD252" s="405">
        <f>WWWW[[#This Row],[%equitable and continuous access to sufficient quantity of safe drinking and domestic water''s GAP]]*WWWW[[#This Row],[Total PoP ]]</f>
        <v>481</v>
      </c>
      <c r="BE252" s="406">
        <f>IF(WWWW[[#This Row],[Total required water points]]-WWWW[[#This Row],['#Water points coverage]]&lt;0,0,WWWW[[#This Row],[Total required water points]]-WWWW[[#This Row],['#Water points coverage]])</f>
        <v>0</v>
      </c>
      <c r="BF252" s="406">
        <f>ROUND(IF(WWWW[[#This Row],[Total PoP ]]&lt;500,1,WWWW[[#This Row],[Total PoP ]]/500),0)</f>
        <v>1</v>
      </c>
      <c r="BG252" s="406" t="str">
        <f>IF(AND(WWWW[[#This Row],[%of Water samples which passed at water source]]="no test",WWWW[[#This Row],[%Water samples which passed at HH]]="no test"),"No Test","Tested")</f>
        <v>No Test</v>
      </c>
      <c r="BH252" s="406">
        <f>WWWW[[#This Row],['# Existing functional latrines]]+WWWW[[#This Row],['# Existing latrines dysfunctional]]</f>
        <v>5</v>
      </c>
      <c r="BI252" s="404">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4.1039671682626538E-2</v>
      </c>
      <c r="BJ252" s="676">
        <f>WWWW[[#This Row],[% people access to functioning Latrine]]*WWWW[[#This Row],[Total PoP ]]</f>
        <v>30</v>
      </c>
      <c r="BK252" s="404">
        <f>IF(WWWW[[#This Row],[Location Type 1]]="camp",WWWW[[#This Row],['# potential required new latrines]]/(WWWW[[#This Row],[Total PoP ]]/20),WWWW[[#This Row],['# potential required new latrines]]/(WWWW[[#This Row],[Total PoP ]]/6))</f>
        <v>0.96032831737346103</v>
      </c>
      <c r="BL252" s="405">
        <f>IF(WWWW[[#This Row],[Total required Latrines]]-WWWW[[#This Row],[Total '# of latrine]]&lt;0,0,WWWW[[#This Row],[Total required Latrines]]-WWWW[[#This Row],[Total '# of latrine]])</f>
        <v>117</v>
      </c>
      <c r="BM252" s="406">
        <f>ROUND(IF(WWWW[[#This Row],[Location Type 1]]="camp",WWWW[[#This Row],[Total PoP ]]/20,WWWW[[#This Row],[Total PoP ]]/6),0)</f>
        <v>122</v>
      </c>
      <c r="BN252" s="408">
        <f>IF(OR(WWWW[[#This Row],['# Existing latrines dysfunctional]]="",WWWW[[#This Row],['# Existing latrines dysfunctional]]=0),0,WWWW[[#This Row],['# Existing latrines dysfunctional]]/WWWW[[#This Row],[Total '# of latrine]])</f>
        <v>0</v>
      </c>
      <c r="BO252" s="676"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P252" s="404">
        <f>WWWW[[#This Row],[People adopt basic personal and community hygiene practices]]/WWWW[[#This Row],[Total PoP ]]</f>
        <v>0</v>
      </c>
      <c r="BQ252" s="408">
        <f>1-WWWW[[#This Row],[Hygiene Coverage%]]</f>
        <v>1</v>
      </c>
      <c r="BR252" s="405">
        <f>IF(500*WWWW[[#This Row],['# Hygiene Promoters ]]&gt;WWWW[[#This Row],[Total PoP ]],WWWW[[#This Row],[Total PoP ]],500*WWWW[[#This Row],['# Hygiene Promoters ]])</f>
        <v>0</v>
      </c>
      <c r="BS252" s="405">
        <f>IF(WWWW[[#This Row],[% of HH with access to Sanitary Pad]]&gt;=100%,1,0)</f>
        <v>0</v>
      </c>
      <c r="BT252" s="405">
        <f>IF(WWWW[[#This Row],[Total PoP ]]=0,0,IF(WWWW[[#This Row],['# Hygiene Promoters ]]=0,0,IF(WWWW[[#This Row],[Location Type 1]]="Village",IF(WWWW[[#This Row],[Total PoP ]]/WWWW[[#This Row],['# Hygiene Promoters ]]&lt;1000,1,0),IF(WWWW[[#This Row],[Total PoP ]]/WWWW[[#This Row],['# Hygiene Promoters ]]&lt;600,1,0))))</f>
        <v>0</v>
      </c>
      <c r="BU252" s="405">
        <f>IF(WWWW[[#This Row],[%HH with access to soap]]&gt;=100%,1,0)</f>
        <v>0</v>
      </c>
      <c r="BV252" s="405">
        <f>IF(WWWW[[#This Row],[% of HHs with access to Sanitary pad more than '#%]]+WWWW[[#This Row],[Ratio of Hyiene promoters to people less than '#]]+WWWW[[#This Row],[% of HHs with access to soap more than '#%]]&gt;=2,WWWW[[#This Row],[Total PoP ]],0)</f>
        <v>0</v>
      </c>
      <c r="BW252" s="391">
        <f>WWWW[[#This Row],['# people reached by regular dedicated hygiene promotion_5]]/WWWW[[#This Row],[Total PoP ]]</f>
        <v>0</v>
      </c>
      <c r="BX252" s="391">
        <f>IF(WWWW[[#This Row],['# HH received soaps]]/WWWW[[#This Row],[Total HH]]&gt;1,1,WWWW[[#This Row],['# HH received soaps]]/WWWW[[#This Row],[Total HH]])</f>
        <v>0</v>
      </c>
      <c r="BY252" s="391">
        <f>IF(WWWW[[#This Row],['# HH received Sanitary Pads]]/WWWW[[#This Row],[Total HH]]&gt;1,1,WWWW[[#This Row],['# HH received Sanitary Pads]]/WWWW[[#This Row],[Total HH]])</f>
        <v>0</v>
      </c>
      <c r="BZ252" s="721">
        <f>WWWW[[#This Row],['# HH received soaps]]*5</f>
        <v>0</v>
      </c>
      <c r="CA252" s="721">
        <f>WWWW[[#This Row],['# HH received Sanitary Pads]]*5</f>
        <v>0</v>
      </c>
      <c r="CB252" s="406">
        <f>IF(WWWW[[#This Row],['# People with access to soap]]&gt;WWWW[[#This Row],['# People with access to Sanity Pads]],WWWW[[#This Row],['# People with access to soap]],WWWW[[#This Row],['# People with access to Sanity Pads]])</f>
        <v>0</v>
      </c>
      <c r="CC252" s="405">
        <f>WWWW[[#This Row],[Total HH]]*WWWW[[#This Row],[%HHs with access to functional hand washing stations]]</f>
        <v>0</v>
      </c>
      <c r="CD252" s="240">
        <f>VLOOKUP(WWWW[[#This Row],[Site Name]],SiteDB6[],8,FALSE)</f>
        <v>0</v>
      </c>
      <c r="CE252" s="240">
        <f>VLOOKUP(WWWW[[#This Row],[Site Name]],SiteDB6[],9,FALSE)</f>
        <v>0</v>
      </c>
      <c r="CF252" s="240" t="str">
        <f>VLOOKUP(WWWW[[#This Row],[Site Name]],SiteDB6[],10,FALSE)</f>
        <v>Village</v>
      </c>
      <c r="CG252" s="240" t="str">
        <f>VLOOKUP(WWWW[[#This Row],[Site Name]],SiteDB6[],11,FALSE)</f>
        <v>Village</v>
      </c>
      <c r="CH252" s="240" t="str">
        <f>VLOOKUP(WWWW[[#This Row],[Site Name]],SiteDB6[],12,FALSE)</f>
        <v>Village</v>
      </c>
      <c r="CI252" s="240" t="str">
        <f>VLOOKUP(WWWW[[#This Row],[Site Name]],SiteDB6[],13,FALSE)</f>
        <v>Muslim</v>
      </c>
      <c r="CJ252" s="240">
        <f>VLOOKUP(WWWW[[#This Row],[Site Name]],SiteDB6[],14,FALSE)</f>
        <v>20.697229385376001</v>
      </c>
      <c r="CK252" s="240">
        <f>VLOOKUP(WWWW[[#This Row],[Site Name]],SiteDB6[],15,FALSE)</f>
        <v>93.044059753417997</v>
      </c>
      <c r="CL252" s="240" t="str">
        <f>VLOOKUP(WWWW[[#This Row],[Site Name]],SiteDB6[],4,FALSE)</f>
        <v>196643</v>
      </c>
      <c r="CM252" s="404" t="str">
        <f t="shared" si="3"/>
        <v>Notcovered</v>
      </c>
      <c r="CN252" s="404"/>
    </row>
    <row r="253" spans="1:92" ht="15.75" hidden="1" customHeight="1" x14ac:dyDescent="0.25">
      <c r="A253" s="554" t="s">
        <v>1409</v>
      </c>
      <c r="B253" s="530" t="s">
        <v>470</v>
      </c>
      <c r="C253" s="531" t="s">
        <v>464</v>
      </c>
      <c r="D253" s="531" t="s">
        <v>649</v>
      </c>
      <c r="E253" s="531" t="s">
        <v>727</v>
      </c>
      <c r="F253" s="402">
        <f>ROUND(WWWW[[#This Row],[Total PoP ]]/5,0)</f>
        <v>211</v>
      </c>
      <c r="G253" s="405">
        <v>1055</v>
      </c>
      <c r="H253" s="402"/>
      <c r="I253" s="402"/>
      <c r="J253" s="403"/>
      <c r="K253" s="402"/>
      <c r="L253" s="402" t="s">
        <v>292</v>
      </c>
      <c r="M253" s="404">
        <v>0</v>
      </c>
      <c r="N253" s="404">
        <v>0</v>
      </c>
      <c r="O253" s="605">
        <v>1</v>
      </c>
      <c r="P253" s="606"/>
      <c r="Q253" s="606"/>
      <c r="R253" s="607"/>
      <c r="S253" s="607">
        <v>0</v>
      </c>
      <c r="T253" s="607"/>
      <c r="U253" s="607"/>
      <c r="V253" s="607"/>
      <c r="W253" s="607"/>
      <c r="X253" s="607"/>
      <c r="Y253" s="607"/>
      <c r="Z253" s="598">
        <v>5</v>
      </c>
      <c r="AA253" s="598"/>
      <c r="AB253" s="80"/>
      <c r="AC253" s="598">
        <v>0</v>
      </c>
      <c r="AD253" s="598" t="s">
        <v>296</v>
      </c>
      <c r="AE253" s="599" t="s">
        <v>296</v>
      </c>
      <c r="AF253" s="599"/>
      <c r="AG253" s="598"/>
      <c r="AH253" s="598"/>
      <c r="AI253" s="649">
        <v>0</v>
      </c>
      <c r="AJ253" s="650"/>
      <c r="AK253" s="650">
        <v>0</v>
      </c>
      <c r="AL253" s="645"/>
      <c r="AM253" s="645">
        <v>0</v>
      </c>
      <c r="AN253" s="600"/>
      <c r="AO253" s="600"/>
      <c r="AP253" s="600"/>
      <c r="AQ253" s="651"/>
      <c r="AR253" s="404" t="str">
        <f>IFERROR(WWWW[[#This Row],['# of Water passed at source]]/WWWW[[#This Row],['# of Water tested at source]],"no test")</f>
        <v>no test</v>
      </c>
      <c r="AS253" s="407" t="str">
        <f>IFERROR(WWWW[[#This Row],['# of Water passed at HH]]/WWWW[[#This Row],['# of Water tested at HH]],"no test")</f>
        <v>no test</v>
      </c>
      <c r="AT253" s="407">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U253" s="407">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0.23696682464454977</v>
      </c>
      <c r="AV253" s="407">
        <f>IF(WWWW[[#This Row],[Location Type 1]]="Village",WWWW[[#This Row],[Access to safe drinking water for Village]],WWWW[[#This Row],[Access to safe drinking water for Camp]])</f>
        <v>0.23696682464454977</v>
      </c>
      <c r="AW253" s="405">
        <f>WWWW[[#This Row],[%Equitable and continuous access to sufficient quantity of safe drinking water]]*WWWW[[#This Row],[Total PoP ]]</f>
        <v>250</v>
      </c>
      <c r="AX253" s="407">
        <f>IF((WWWW[[#This Row],['# Existing protected/fenced ponds ]]*250)/WWWW[[#This Row],[Total PoP ]]&gt;1,1,WWWW[[#This Row],['# Existing protected/fenced ponds ]]*250/WWWW[[#This Row],[Total PoP ]])</f>
        <v>0</v>
      </c>
      <c r="AY253" s="405">
        <f>WWWW[[#This Row],[Access to unimproved water points]]*WWWW[[#This Row],[Total PoP ]]</f>
        <v>0</v>
      </c>
      <c r="AZ253" s="407">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0.23696682464454977</v>
      </c>
      <c r="BA253" s="405">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250</v>
      </c>
      <c r="BB253" s="414">
        <f>ROUND(WWWW[[#This Row],['#people Equitable and continuous access to sufficient quantity of domestic water borehole n ponds_2]]/500,0)</f>
        <v>1</v>
      </c>
      <c r="BC253" s="404">
        <f>1-WWWW[[#This Row],[%Equitable and continuous access to sufficient quantity of domestic water borehole n ponds]]</f>
        <v>0.76303317535545023</v>
      </c>
      <c r="BD253" s="405">
        <f>WWWW[[#This Row],[%equitable and continuous access to sufficient quantity of safe drinking and domestic water''s GAP]]*WWWW[[#This Row],[Total PoP ]]</f>
        <v>805</v>
      </c>
      <c r="BE253" s="406">
        <f>IF(WWWW[[#This Row],[Total required water points]]-WWWW[[#This Row],['#Water points coverage]]&lt;0,0,WWWW[[#This Row],[Total required water points]]-WWWW[[#This Row],['#Water points coverage]])</f>
        <v>1</v>
      </c>
      <c r="BF253" s="406">
        <f>ROUND(IF(WWWW[[#This Row],[Total PoP ]]&lt;500,1,WWWW[[#This Row],[Total PoP ]]/500),0)</f>
        <v>2</v>
      </c>
      <c r="BG253" s="406" t="str">
        <f>IF(AND(WWWW[[#This Row],[%of Water samples which passed at water source]]="no test",WWWW[[#This Row],[%Water samples which passed at HH]]="no test"),"No Test","Tested")</f>
        <v>No Test</v>
      </c>
      <c r="BH253" s="406">
        <f>WWWW[[#This Row],['# Existing functional latrines]]+WWWW[[#This Row],['# Existing latrines dysfunctional]]</f>
        <v>5</v>
      </c>
      <c r="BI253" s="404">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2.843601895734597E-2</v>
      </c>
      <c r="BJ253" s="676">
        <f>WWWW[[#This Row],[% people access to functioning Latrine]]*WWWW[[#This Row],[Total PoP ]]</f>
        <v>30</v>
      </c>
      <c r="BK253" s="404">
        <f>IF(WWWW[[#This Row],[Location Type 1]]="camp",WWWW[[#This Row],['# potential required new latrines]]/(WWWW[[#This Row],[Total PoP ]]/20),WWWW[[#This Row],['# potential required new latrines]]/(WWWW[[#This Row],[Total PoP ]]/6))</f>
        <v>0.97251184834123217</v>
      </c>
      <c r="BL253" s="405">
        <f>IF(WWWW[[#This Row],[Total required Latrines]]-WWWW[[#This Row],[Total '# of latrine]]&lt;0,0,WWWW[[#This Row],[Total required Latrines]]-WWWW[[#This Row],[Total '# of latrine]])</f>
        <v>171</v>
      </c>
      <c r="BM253" s="406">
        <f>ROUND(IF(WWWW[[#This Row],[Location Type 1]]="camp",WWWW[[#This Row],[Total PoP ]]/20,WWWW[[#This Row],[Total PoP ]]/6),0)</f>
        <v>176</v>
      </c>
      <c r="BN253" s="408">
        <f>IF(OR(WWWW[[#This Row],['# Existing latrines dysfunctional]]="",WWWW[[#This Row],['# Existing latrines dysfunctional]]=0),0,WWWW[[#This Row],['# Existing latrines dysfunctional]]/WWWW[[#This Row],[Total '# of latrine]])</f>
        <v>0</v>
      </c>
      <c r="BO253" s="676"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P253" s="404">
        <f>WWWW[[#This Row],[People adopt basic personal and community hygiene practices]]/WWWW[[#This Row],[Total PoP ]]</f>
        <v>0</v>
      </c>
      <c r="BQ253" s="408">
        <f>1-WWWW[[#This Row],[Hygiene Coverage%]]</f>
        <v>1</v>
      </c>
      <c r="BR253" s="405">
        <f>IF(500*WWWW[[#This Row],['# Hygiene Promoters ]]&gt;WWWW[[#This Row],[Total PoP ]],WWWW[[#This Row],[Total PoP ]],500*WWWW[[#This Row],['# Hygiene Promoters ]])</f>
        <v>0</v>
      </c>
      <c r="BS253" s="405">
        <f>IF(WWWW[[#This Row],[% of HH with access to Sanitary Pad]]&gt;=100%,1,0)</f>
        <v>0</v>
      </c>
      <c r="BT253" s="405">
        <f>IF(WWWW[[#This Row],[Total PoP ]]=0,0,IF(WWWW[[#This Row],['# Hygiene Promoters ]]=0,0,IF(WWWW[[#This Row],[Location Type 1]]="Village",IF(WWWW[[#This Row],[Total PoP ]]/WWWW[[#This Row],['# Hygiene Promoters ]]&lt;1000,1,0),IF(WWWW[[#This Row],[Total PoP ]]/WWWW[[#This Row],['# Hygiene Promoters ]]&lt;600,1,0))))</f>
        <v>0</v>
      </c>
      <c r="BU253" s="405">
        <f>IF(WWWW[[#This Row],[%HH with access to soap]]&gt;=100%,1,0)</f>
        <v>0</v>
      </c>
      <c r="BV253" s="405">
        <f>IF(WWWW[[#This Row],[% of HHs with access to Sanitary pad more than '#%]]+WWWW[[#This Row],[Ratio of Hyiene promoters to people less than '#]]+WWWW[[#This Row],[% of HHs with access to soap more than '#%]]&gt;=2,WWWW[[#This Row],[Total PoP ]],0)</f>
        <v>0</v>
      </c>
      <c r="BW253" s="391">
        <f>WWWW[[#This Row],['# people reached by regular dedicated hygiene promotion_5]]/WWWW[[#This Row],[Total PoP ]]</f>
        <v>0</v>
      </c>
      <c r="BX253" s="391">
        <f>IF(WWWW[[#This Row],['# HH received soaps]]/WWWW[[#This Row],[Total HH]]&gt;1,1,WWWW[[#This Row],['# HH received soaps]]/WWWW[[#This Row],[Total HH]])</f>
        <v>0</v>
      </c>
      <c r="BY253" s="391">
        <f>IF(WWWW[[#This Row],['# HH received Sanitary Pads]]/WWWW[[#This Row],[Total HH]]&gt;1,1,WWWW[[#This Row],['# HH received Sanitary Pads]]/WWWW[[#This Row],[Total HH]])</f>
        <v>0</v>
      </c>
      <c r="BZ253" s="721">
        <f>WWWW[[#This Row],['# HH received soaps]]*5</f>
        <v>0</v>
      </c>
      <c r="CA253" s="721">
        <f>WWWW[[#This Row],['# HH received Sanitary Pads]]*5</f>
        <v>0</v>
      </c>
      <c r="CB253" s="406">
        <f>IF(WWWW[[#This Row],['# People with access to soap]]&gt;WWWW[[#This Row],['# People with access to Sanity Pads]],WWWW[[#This Row],['# People with access to soap]],WWWW[[#This Row],['# People with access to Sanity Pads]])</f>
        <v>0</v>
      </c>
      <c r="CC253" s="405">
        <f>WWWW[[#This Row],[Total HH]]*WWWW[[#This Row],[%HHs with access to functional hand washing stations]]</f>
        <v>0</v>
      </c>
      <c r="CD253" s="240">
        <f>VLOOKUP(WWWW[[#This Row],[Site Name]],SiteDB6[],8,FALSE)</f>
        <v>0</v>
      </c>
      <c r="CE253" s="240">
        <f>VLOOKUP(WWWW[[#This Row],[Site Name]],SiteDB6[],9,FALSE)</f>
        <v>0</v>
      </c>
      <c r="CF253" s="240" t="str">
        <f>VLOOKUP(WWWW[[#This Row],[Site Name]],SiteDB6[],10,FALSE)</f>
        <v>Village</v>
      </c>
      <c r="CG253" s="240" t="str">
        <f>VLOOKUP(WWWW[[#This Row],[Site Name]],SiteDB6[],11,FALSE)</f>
        <v>Village</v>
      </c>
      <c r="CH253" s="240" t="str">
        <f>VLOOKUP(WWWW[[#This Row],[Site Name]],SiteDB6[],12,FALSE)</f>
        <v>Village</v>
      </c>
      <c r="CI253" s="240" t="str">
        <f>VLOOKUP(WWWW[[#This Row],[Site Name]],SiteDB6[],13,FALSE)</f>
        <v>Rakhine</v>
      </c>
      <c r="CJ253" s="240">
        <f>VLOOKUP(WWWW[[#This Row],[Site Name]],SiteDB6[],14,FALSE)</f>
        <v>20.703550338745099</v>
      </c>
      <c r="CK253" s="240">
        <f>VLOOKUP(WWWW[[#This Row],[Site Name]],SiteDB6[],15,FALSE)</f>
        <v>93.060462951660199</v>
      </c>
      <c r="CL253" s="240" t="str">
        <f>VLOOKUP(WWWW[[#This Row],[Site Name]],SiteDB6[],4,FALSE)</f>
        <v>196642</v>
      </c>
      <c r="CM253" s="404" t="str">
        <f t="shared" si="3"/>
        <v>Notcovered</v>
      </c>
      <c r="CN253" s="404"/>
    </row>
    <row r="254" spans="1:92" ht="15.75" customHeight="1" x14ac:dyDescent="0.25">
      <c r="A254" s="532" t="s">
        <v>1409</v>
      </c>
      <c r="B254" s="530" t="s">
        <v>571</v>
      </c>
      <c r="C254" s="531" t="s">
        <v>464</v>
      </c>
      <c r="D254" s="531" t="s">
        <v>572</v>
      </c>
      <c r="E254" s="531" t="s">
        <v>573</v>
      </c>
      <c r="F254" s="402">
        <v>713</v>
      </c>
      <c r="G254" s="405">
        <v>2835</v>
      </c>
      <c r="H254" s="402"/>
      <c r="I254" s="402" t="s">
        <v>398</v>
      </c>
      <c r="J254" s="403">
        <v>43281</v>
      </c>
      <c r="K254" s="402">
        <v>0</v>
      </c>
      <c r="L254" s="402" t="s">
        <v>48</v>
      </c>
      <c r="M254" s="404">
        <v>0</v>
      </c>
      <c r="N254" s="404">
        <v>0</v>
      </c>
      <c r="O254" s="605">
        <v>0</v>
      </c>
      <c r="P254" s="606">
        <v>0</v>
      </c>
      <c r="Q254" s="606">
        <v>0</v>
      </c>
      <c r="R254" s="607">
        <v>5</v>
      </c>
      <c r="S254" s="607">
        <v>0</v>
      </c>
      <c r="T254" s="607"/>
      <c r="U254" s="607"/>
      <c r="V254" s="607"/>
      <c r="W254" s="607"/>
      <c r="X254" s="607"/>
      <c r="Y254" s="607"/>
      <c r="Z254" s="598">
        <v>150</v>
      </c>
      <c r="AA254" s="598">
        <v>197</v>
      </c>
      <c r="AB254" s="80"/>
      <c r="AC254" s="598">
        <v>0</v>
      </c>
      <c r="AD254" s="598" t="s">
        <v>293</v>
      </c>
      <c r="AE254" s="599" t="s">
        <v>293</v>
      </c>
      <c r="AF254" s="599"/>
      <c r="AG254" s="598"/>
      <c r="AH254" s="598" t="s">
        <v>293</v>
      </c>
      <c r="AI254" s="649">
        <v>1</v>
      </c>
      <c r="AJ254" s="650" t="s">
        <v>386</v>
      </c>
      <c r="AK254" s="650">
        <v>0</v>
      </c>
      <c r="AL254" s="645">
        <v>1</v>
      </c>
      <c r="AM254" s="645">
        <v>8</v>
      </c>
      <c r="AN254" s="600"/>
      <c r="AO254" s="600"/>
      <c r="AP254" s="600"/>
      <c r="AQ254" s="651" t="s">
        <v>2594</v>
      </c>
      <c r="AR254" s="404" t="str">
        <f>IFERROR(WWWW[[#This Row],['# of Water passed at source]]/WWWW[[#This Row],['# of Water tested at source]],"no test")</f>
        <v>no test</v>
      </c>
      <c r="AS254" s="407" t="str">
        <f>IFERROR(WWWW[[#This Row],['# of Water passed at HH]]/WWWW[[#This Row],['# of Water tested at HH]],"no test")</f>
        <v>no test</v>
      </c>
      <c r="AT254" s="407">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U254" s="407">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AV254" s="407">
        <f>IF(WWWW[[#This Row],[Location Type 1]]="Village",WWWW[[#This Row],[Access to safe drinking water for Village]],WWWW[[#This Row],[Access to safe drinking water for Camp]])</f>
        <v>0</v>
      </c>
      <c r="AW254" s="405">
        <f>WWWW[[#This Row],[%Equitable and continuous access to sufficient quantity of safe drinking water]]*WWWW[[#This Row],[Total PoP ]]</f>
        <v>0</v>
      </c>
      <c r="AX254" s="407">
        <f>IF((WWWW[[#This Row],['# Existing protected/fenced ponds ]]*250)/WWWW[[#This Row],[Total PoP ]]&gt;1,1,WWWW[[#This Row],['# Existing protected/fenced ponds ]]*250/WWWW[[#This Row],[Total PoP ]])</f>
        <v>0.44091710758377423</v>
      </c>
      <c r="AY254" s="405">
        <f>WWWW[[#This Row],[Access to unimproved water points]]*WWWW[[#This Row],[Total PoP ]]</f>
        <v>1250</v>
      </c>
      <c r="AZ254" s="407">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0.44091710758377423</v>
      </c>
      <c r="BA254" s="405">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1250</v>
      </c>
      <c r="BB254" s="414">
        <f>ROUND(WWWW[[#This Row],['#people Equitable and continuous access to sufficient quantity of domestic water borehole n ponds_2]]/500,0)</f>
        <v>3</v>
      </c>
      <c r="BC254" s="404">
        <f>1-WWWW[[#This Row],[%Equitable and continuous access to sufficient quantity of domestic water borehole n ponds]]</f>
        <v>0.55908289241622577</v>
      </c>
      <c r="BD254" s="405">
        <f>WWWW[[#This Row],[%equitable and continuous access to sufficient quantity of safe drinking and domestic water''s GAP]]*WWWW[[#This Row],[Total PoP ]]</f>
        <v>1585</v>
      </c>
      <c r="BE254" s="406">
        <f>IF(WWWW[[#This Row],[Total required water points]]-WWWW[[#This Row],['#Water points coverage]]&lt;0,0,WWWW[[#This Row],[Total required water points]]-WWWW[[#This Row],['#Water points coverage]])</f>
        <v>3</v>
      </c>
      <c r="BF254" s="406">
        <f>ROUND(IF(WWWW[[#This Row],[Total PoP ]]&lt;500,1,WWWW[[#This Row],[Total PoP ]]/500),0)</f>
        <v>6</v>
      </c>
      <c r="BG254" s="406" t="str">
        <f>IF(AND(WWWW[[#This Row],[%of Water samples which passed at water source]]="no test",WWWW[[#This Row],[%Water samples which passed at HH]]="no test"),"No Test","Tested")</f>
        <v>No Test</v>
      </c>
      <c r="BH254" s="406">
        <f>WWWW[[#This Row],['# Existing functional latrines]]+WWWW[[#This Row],['# Existing latrines dysfunctional]]</f>
        <v>347</v>
      </c>
      <c r="BI254" s="404">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1</v>
      </c>
      <c r="BJ254" s="676">
        <f>WWWW[[#This Row],[% people access to functioning Latrine]]*WWWW[[#This Row],[Total PoP ]]</f>
        <v>2835</v>
      </c>
      <c r="BK254" s="404">
        <f>IF(WWWW[[#This Row],[Location Type 1]]="camp",WWWW[[#This Row],['# potential required new latrines]]/(WWWW[[#This Row],[Total PoP ]]/20),WWWW[[#This Row],['# potential required new latrines]]/(WWWW[[#This Row],[Total PoP ]]/6))</f>
        <v>0</v>
      </c>
      <c r="BL254" s="405">
        <f>IF(WWWW[[#This Row],[Total required Latrines]]-WWWW[[#This Row],[Total '# of latrine]]&lt;0,0,WWWW[[#This Row],[Total required Latrines]]-WWWW[[#This Row],[Total '# of latrine]])</f>
        <v>0</v>
      </c>
      <c r="BM254" s="406">
        <f>ROUND(IF(WWWW[[#This Row],[Location Type 1]]="camp",WWWW[[#This Row],[Total PoP ]]/20,WWWW[[#This Row],[Total PoP ]]/6),0)</f>
        <v>142</v>
      </c>
      <c r="BN254" s="408">
        <f>IF(OR(WWWW[[#This Row],['# Existing latrines dysfunctional]]="",WWWW[[#This Row],['# Existing latrines dysfunctional]]=0),0,WWWW[[#This Row],['# Existing latrines dysfunctional]]/WWWW[[#This Row],[Total '# of latrine]])</f>
        <v>0.56772334293948123</v>
      </c>
      <c r="BO254" s="676">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P254" s="404">
        <f>WWWW[[#This Row],[People adopt basic personal and community hygiene practices]]/WWWW[[#This Row],[Total PoP ]]</f>
        <v>0</v>
      </c>
      <c r="BQ254" s="408">
        <f>1-WWWW[[#This Row],[Hygiene Coverage%]]</f>
        <v>1</v>
      </c>
      <c r="BR254" s="405">
        <f>IF(500*WWWW[[#This Row],['# Hygiene Promoters ]]&gt;WWWW[[#This Row],[Total PoP ]],WWWW[[#This Row],[Total PoP ]],500*WWWW[[#This Row],['# Hygiene Promoters ]])</f>
        <v>2835</v>
      </c>
      <c r="BS254" s="405">
        <f>IF(WWWW[[#This Row],[% of HH with access to Sanitary Pad]]&gt;=100%,1,0)</f>
        <v>0</v>
      </c>
      <c r="BT254" s="405">
        <f>IF(WWWW[[#This Row],[Total PoP ]]=0,0,IF(WWWW[[#This Row],['# Hygiene Promoters ]]=0,0,IF(WWWW[[#This Row],[Location Type 1]]="Village",IF(WWWW[[#This Row],[Total PoP ]]/WWWW[[#This Row],['# Hygiene Promoters ]]&lt;1000,1,0),IF(WWWW[[#This Row],[Total PoP ]]/WWWW[[#This Row],['# Hygiene Promoters ]]&lt;600,1,0))))</f>
        <v>1</v>
      </c>
      <c r="BU254" s="405">
        <f>IF(WWWW[[#This Row],[%HH with access to soap]]&gt;=100%,1,0)</f>
        <v>0</v>
      </c>
      <c r="BV254" s="405">
        <f>IF(WWWW[[#This Row],[% of HHs with access to Sanitary pad more than '#%]]+WWWW[[#This Row],[Ratio of Hyiene promoters to people less than '#]]+WWWW[[#This Row],[% of HHs with access to soap more than '#%]]&gt;=2,WWWW[[#This Row],[Total PoP ]],0)</f>
        <v>0</v>
      </c>
      <c r="BW254" s="391">
        <f>WWWW[[#This Row],['# people reached by regular dedicated hygiene promotion_5]]/WWWW[[#This Row],[Total PoP ]]</f>
        <v>1</v>
      </c>
      <c r="BX254" s="391">
        <f>IF(WWWW[[#This Row],['# HH received soaps]]/WWWW[[#This Row],[Total HH]]&gt;1,1,WWWW[[#This Row],['# HH received soaps]]/WWWW[[#This Row],[Total HH]])</f>
        <v>0</v>
      </c>
      <c r="BY254" s="391">
        <f>IF(WWWW[[#This Row],['# HH received Sanitary Pads]]/WWWW[[#This Row],[Total HH]]&gt;1,1,WWWW[[#This Row],['# HH received Sanitary Pads]]/WWWW[[#This Row],[Total HH]])</f>
        <v>0</v>
      </c>
      <c r="BZ254" s="721">
        <f>WWWW[[#This Row],['# HH received soaps]]*5</f>
        <v>0</v>
      </c>
      <c r="CA254" s="721">
        <f>WWWW[[#This Row],['# HH received Sanitary Pads]]*5</f>
        <v>0</v>
      </c>
      <c r="CB254" s="406">
        <f>IF(WWWW[[#This Row],['# People with access to soap]]&gt;WWWW[[#This Row],['# People with access to Sanity Pads]],WWWW[[#This Row],['# People with access to soap]],WWWW[[#This Row],['# People with access to Sanity Pads]])</f>
        <v>0</v>
      </c>
      <c r="CC254" s="405">
        <f>WWWW[[#This Row],[Total HH]]*WWWW[[#This Row],[%HHs with access to functional hand washing stations]]</f>
        <v>713</v>
      </c>
      <c r="CD254" s="240" t="str">
        <f>VLOOKUP(WWWW[[#This Row],[Site Name]],SiteDB6[],8,FALSE)</f>
        <v>Yes</v>
      </c>
      <c r="CE254" s="240" t="str">
        <f>VLOOKUP(WWWW[[#This Row],[Site Name]],SiteDB6[],9,FALSE)</f>
        <v>RI</v>
      </c>
      <c r="CF254" s="240" t="str">
        <f>VLOOKUP(WWWW[[#This Row],[Site Name]],SiteDB6[],10,FALSE)</f>
        <v>Camp</v>
      </c>
      <c r="CG254" s="240" t="str">
        <f>VLOOKUP(WWWW[[#This Row],[Site Name]],SiteDB6[],11,FALSE)</f>
        <v>Camp</v>
      </c>
      <c r="CH254" s="240" t="str">
        <f>VLOOKUP(WWWW[[#This Row],[Site Name]],SiteDB6[],12,FALSE)</f>
        <v>Planned Camp</v>
      </c>
      <c r="CI254" s="240" t="str">
        <f>VLOOKUP(WWWW[[#This Row],[Site Name]],SiteDB6[],13,FALSE)</f>
        <v>Muslim</v>
      </c>
      <c r="CJ254" s="240">
        <f>VLOOKUP(WWWW[[#This Row],[Site Name]],SiteDB6[],14,FALSE)</f>
        <v>20.037655000000001</v>
      </c>
      <c r="CK254" s="240">
        <f>VLOOKUP(WWWW[[#This Row],[Site Name]],SiteDB6[],15,FALSE)</f>
        <v>93.370037999999994</v>
      </c>
      <c r="CL254" s="240" t="str">
        <f>VLOOKUP(WWWW[[#This Row],[Site Name]],SiteDB6[],4,FALSE)</f>
        <v>MMR012CMP014</v>
      </c>
      <c r="CM254" s="404" t="str">
        <f t="shared" si="3"/>
        <v>Covered</v>
      </c>
      <c r="CN254" s="404"/>
    </row>
    <row r="255" spans="1:92" ht="15.75" hidden="1" customHeight="1" x14ac:dyDescent="0.25">
      <c r="A255" s="532" t="s">
        <v>1409</v>
      </c>
      <c r="B255" s="530" t="s">
        <v>571</v>
      </c>
      <c r="C255" s="531" t="s">
        <v>464</v>
      </c>
      <c r="D255" s="531" t="s">
        <v>572</v>
      </c>
      <c r="E255" s="531" t="s">
        <v>574</v>
      </c>
      <c r="F255" s="402">
        <v>40</v>
      </c>
      <c r="G255" s="405">
        <v>217</v>
      </c>
      <c r="H255" s="402"/>
      <c r="I255" s="402" t="s">
        <v>398</v>
      </c>
      <c r="J255" s="403">
        <v>43281</v>
      </c>
      <c r="K255" s="402">
        <v>0</v>
      </c>
      <c r="L255" s="402" t="s">
        <v>292</v>
      </c>
      <c r="M255" s="404">
        <v>0</v>
      </c>
      <c r="N255" s="404">
        <v>0</v>
      </c>
      <c r="O255" s="605">
        <v>0</v>
      </c>
      <c r="P255" s="606">
        <v>0</v>
      </c>
      <c r="Q255" s="606">
        <v>37500</v>
      </c>
      <c r="R255" s="607">
        <v>0</v>
      </c>
      <c r="S255" s="607">
        <v>0</v>
      </c>
      <c r="T255" s="607"/>
      <c r="U255" s="607"/>
      <c r="V255" s="607"/>
      <c r="W255" s="607"/>
      <c r="X255" s="607"/>
      <c r="Y255" s="607"/>
      <c r="Z255" s="598">
        <v>40</v>
      </c>
      <c r="AA255" s="598">
        <v>0</v>
      </c>
      <c r="AB255" s="80"/>
      <c r="AC255" s="598">
        <v>40</v>
      </c>
      <c r="AD255" s="598" t="s">
        <v>342</v>
      </c>
      <c r="AE255" s="599" t="s">
        <v>293</v>
      </c>
      <c r="AF255" s="599"/>
      <c r="AG255" s="598"/>
      <c r="AH255" s="598"/>
      <c r="AI255" s="649">
        <v>0</v>
      </c>
      <c r="AJ255" s="650"/>
      <c r="AK255" s="650">
        <v>0</v>
      </c>
      <c r="AL255" s="645">
        <v>0</v>
      </c>
      <c r="AM255" s="645">
        <v>2</v>
      </c>
      <c r="AN255" s="600"/>
      <c r="AO255" s="600"/>
      <c r="AP255" s="600"/>
      <c r="AQ255" s="651"/>
      <c r="AR255" s="404" t="str">
        <f>IFERROR(WWWW[[#This Row],['# of Water passed at source]]/WWWW[[#This Row],['# of Water tested at source]],"no test")</f>
        <v>no test</v>
      </c>
      <c r="AS255" s="407" t="str">
        <f>IFERROR(WWWW[[#This Row],['# of Water passed at HH]]/WWWW[[#This Row],['# of Water tested at HH]],"no test")</f>
        <v>no test</v>
      </c>
      <c r="AT255" s="407">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U255" s="407">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AV255" s="407">
        <f>IF(WWWW[[#This Row],[Location Type 1]]="Village",WWWW[[#This Row],[Access to safe drinking water for Village]],WWWW[[#This Row],[Access to safe drinking water for Camp]])</f>
        <v>1</v>
      </c>
      <c r="AW255" s="405">
        <f>WWWW[[#This Row],[%Equitable and continuous access to sufficient quantity of safe drinking water]]*WWWW[[#This Row],[Total PoP ]]</f>
        <v>217</v>
      </c>
      <c r="AX255" s="407">
        <f>IF((WWWW[[#This Row],['# Existing protected/fenced ponds ]]*250)/WWWW[[#This Row],[Total PoP ]]&gt;1,1,WWWW[[#This Row],['# Existing protected/fenced ponds ]]*250/WWWW[[#This Row],[Total PoP ]])</f>
        <v>0</v>
      </c>
      <c r="AY255" s="405">
        <f>WWWW[[#This Row],[Access to unimproved water points]]*WWWW[[#This Row],[Total PoP ]]</f>
        <v>0</v>
      </c>
      <c r="AZ255" s="407">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A255" s="405">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217</v>
      </c>
      <c r="BB255" s="414">
        <f>ROUND(WWWW[[#This Row],['#people Equitable and continuous access to sufficient quantity of domestic water borehole n ponds_2]]/500,0)</f>
        <v>0</v>
      </c>
      <c r="BC255" s="404">
        <f>1-WWWW[[#This Row],[%Equitable and continuous access to sufficient quantity of domestic water borehole n ponds]]</f>
        <v>0</v>
      </c>
      <c r="BD255" s="405">
        <f>WWWW[[#This Row],[%equitable and continuous access to sufficient quantity of safe drinking and domestic water''s GAP]]*WWWW[[#This Row],[Total PoP ]]</f>
        <v>0</v>
      </c>
      <c r="BE255" s="406">
        <f>IF(WWWW[[#This Row],[Total required water points]]-WWWW[[#This Row],['#Water points coverage]]&lt;0,0,WWWW[[#This Row],[Total required water points]]-WWWW[[#This Row],['#Water points coverage]])</f>
        <v>1</v>
      </c>
      <c r="BF255" s="406">
        <f>ROUND(IF(WWWW[[#This Row],[Total PoP ]]&lt;500,1,WWWW[[#This Row],[Total PoP ]]/500),0)</f>
        <v>1</v>
      </c>
      <c r="BG255" s="406" t="str">
        <f>IF(AND(WWWW[[#This Row],[%of Water samples which passed at water source]]="no test",WWWW[[#This Row],[%Water samples which passed at HH]]="no test"),"No Test","Tested")</f>
        <v>No Test</v>
      </c>
      <c r="BH255" s="406">
        <f>WWWW[[#This Row],['# Existing functional latrines]]+WWWW[[#This Row],['# Existing latrines dysfunctional]]</f>
        <v>40</v>
      </c>
      <c r="BI255" s="404">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1</v>
      </c>
      <c r="BJ255" s="676">
        <f>WWWW[[#This Row],[% people access to functioning Latrine]]*WWWW[[#This Row],[Total PoP ]]</f>
        <v>217</v>
      </c>
      <c r="BK255" s="404">
        <f>IF(WWWW[[#This Row],[Location Type 1]]="camp",WWWW[[#This Row],['# potential required new latrines]]/(WWWW[[#This Row],[Total PoP ]]/20),WWWW[[#This Row],['# potential required new latrines]]/(WWWW[[#This Row],[Total PoP ]]/6))</f>
        <v>0</v>
      </c>
      <c r="BL255" s="405">
        <f>IF(WWWW[[#This Row],[Total required Latrines]]-WWWW[[#This Row],[Total '# of latrine]]&lt;0,0,WWWW[[#This Row],[Total required Latrines]]-WWWW[[#This Row],[Total '# of latrine]])</f>
        <v>0</v>
      </c>
      <c r="BM255" s="406">
        <f>ROUND(IF(WWWW[[#This Row],[Location Type 1]]="camp",WWWW[[#This Row],[Total PoP ]]/20,WWWW[[#This Row],[Total PoP ]]/6),0)</f>
        <v>36</v>
      </c>
      <c r="BN255" s="408">
        <f>IF(OR(WWWW[[#This Row],['# Existing latrines dysfunctional]]="",WWWW[[#This Row],['# Existing latrines dysfunctional]]=0),0,WWWW[[#This Row],['# Existing latrines dysfunctional]]/WWWW[[#This Row],[Total '# of latrine]])</f>
        <v>0</v>
      </c>
      <c r="BO255" s="676"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P255" s="404">
        <f>WWWW[[#This Row],[People adopt basic personal and community hygiene practices]]/WWWW[[#This Row],[Total PoP ]]</f>
        <v>0</v>
      </c>
      <c r="BQ255" s="408">
        <f>1-WWWW[[#This Row],[Hygiene Coverage%]]</f>
        <v>1</v>
      </c>
      <c r="BR255" s="405">
        <f>IF(500*WWWW[[#This Row],['# Hygiene Promoters ]]&gt;WWWW[[#This Row],[Total PoP ]],WWWW[[#This Row],[Total PoP ]],500*WWWW[[#This Row],['# Hygiene Promoters ]])</f>
        <v>217</v>
      </c>
      <c r="BS255" s="405">
        <f>IF(WWWW[[#This Row],[% of HH with access to Sanitary Pad]]&gt;=100%,1,0)</f>
        <v>0</v>
      </c>
      <c r="BT255" s="405">
        <f>IF(WWWW[[#This Row],[Total PoP ]]=0,0,IF(WWWW[[#This Row],['# Hygiene Promoters ]]=0,0,IF(WWWW[[#This Row],[Location Type 1]]="Village",IF(WWWW[[#This Row],[Total PoP ]]/WWWW[[#This Row],['# Hygiene Promoters ]]&lt;1000,1,0),IF(WWWW[[#This Row],[Total PoP ]]/WWWW[[#This Row],['# Hygiene Promoters ]]&lt;600,1,0))))</f>
        <v>1</v>
      </c>
      <c r="BU255" s="405">
        <f>IF(WWWW[[#This Row],[%HH with access to soap]]&gt;=100%,1,0)</f>
        <v>0</v>
      </c>
      <c r="BV255" s="405">
        <f>IF(WWWW[[#This Row],[% of HHs with access to Sanitary pad more than '#%]]+WWWW[[#This Row],[Ratio of Hyiene promoters to people less than '#]]+WWWW[[#This Row],[% of HHs with access to soap more than '#%]]&gt;=2,WWWW[[#This Row],[Total PoP ]],0)</f>
        <v>0</v>
      </c>
      <c r="BW255" s="391">
        <f>WWWW[[#This Row],['# people reached by regular dedicated hygiene promotion_5]]/WWWW[[#This Row],[Total PoP ]]</f>
        <v>1</v>
      </c>
      <c r="BX255" s="391">
        <f>IF(WWWW[[#This Row],['# HH received soaps]]/WWWW[[#This Row],[Total HH]]&gt;1,1,WWWW[[#This Row],['# HH received soaps]]/WWWW[[#This Row],[Total HH]])</f>
        <v>0</v>
      </c>
      <c r="BY255" s="391">
        <f>IF(WWWW[[#This Row],['# HH received Sanitary Pads]]/WWWW[[#This Row],[Total HH]]&gt;1,1,WWWW[[#This Row],['# HH received Sanitary Pads]]/WWWW[[#This Row],[Total HH]])</f>
        <v>0</v>
      </c>
      <c r="BZ255" s="721">
        <f>WWWW[[#This Row],['# HH received soaps]]*5</f>
        <v>0</v>
      </c>
      <c r="CA255" s="721">
        <f>WWWW[[#This Row],['# HH received Sanitary Pads]]*5</f>
        <v>0</v>
      </c>
      <c r="CB255" s="406">
        <f>IF(WWWW[[#This Row],['# People with access to soap]]&gt;WWWW[[#This Row],['# People with access to Sanity Pads]],WWWW[[#This Row],['# People with access to soap]],WWWW[[#This Row],['# People with access to Sanity Pads]])</f>
        <v>0</v>
      </c>
      <c r="CC255" s="405">
        <f>WWWW[[#This Row],[Total HH]]*WWWW[[#This Row],[%HHs with access to functional hand washing stations]]</f>
        <v>0</v>
      </c>
      <c r="CD255" s="240">
        <f>VLOOKUP(WWWW[[#This Row],[Site Name]],SiteDB6[],8,FALSE)</f>
        <v>0</v>
      </c>
      <c r="CE255" s="240">
        <f>VLOOKUP(WWWW[[#This Row],[Site Name]],SiteDB6[],9,FALSE)</f>
        <v>0</v>
      </c>
      <c r="CF255" s="240" t="str">
        <f>VLOOKUP(WWWW[[#This Row],[Site Name]],SiteDB6[],10,FALSE)</f>
        <v>Village</v>
      </c>
      <c r="CG255" s="240" t="str">
        <f>VLOOKUP(WWWW[[#This Row],[Site Name]],SiteDB6[],11,FALSE)</f>
        <v>Village</v>
      </c>
      <c r="CH255" s="240" t="str">
        <f>VLOOKUP(WWWW[[#This Row],[Site Name]],SiteDB6[],12,FALSE)</f>
        <v>Relocated</v>
      </c>
      <c r="CI255" s="240" t="str">
        <f>VLOOKUP(WWWW[[#This Row],[Site Name]],SiteDB6[],13,FALSE)</f>
        <v>Rakhine</v>
      </c>
      <c r="CJ255" s="240">
        <f>VLOOKUP(WWWW[[#This Row],[Site Name]],SiteDB6[],14,FALSE)</f>
        <v>20.041981</v>
      </c>
      <c r="CK255" s="240">
        <f>VLOOKUP(WWWW[[#This Row],[Site Name]],SiteDB6[],15,FALSE)</f>
        <v>93.373951000000005</v>
      </c>
      <c r="CL255" s="240" t="str">
        <f>VLOOKUP(WWWW[[#This Row],[Site Name]],SiteDB6[],4,FALSE)</f>
        <v>MMR012CMP013</v>
      </c>
      <c r="CM255" s="404" t="str">
        <f t="shared" si="3"/>
        <v>Covered</v>
      </c>
      <c r="CN255" s="404"/>
    </row>
    <row r="256" spans="1:92" ht="15.75" customHeight="1" x14ac:dyDescent="0.25">
      <c r="A256" s="532" t="s">
        <v>1409</v>
      </c>
      <c r="B256" s="595" t="s">
        <v>436</v>
      </c>
      <c r="C256" s="596" t="s">
        <v>464</v>
      </c>
      <c r="D256" s="596" t="s">
        <v>575</v>
      </c>
      <c r="E256" s="596" t="s">
        <v>580</v>
      </c>
      <c r="F256" s="402">
        <v>708</v>
      </c>
      <c r="G256" s="405">
        <v>4380</v>
      </c>
      <c r="H256" s="402"/>
      <c r="I256" s="402" t="s">
        <v>438</v>
      </c>
      <c r="J256" s="403">
        <v>43220</v>
      </c>
      <c r="K256" s="402"/>
      <c r="L256" s="402" t="s">
        <v>292</v>
      </c>
      <c r="M256" s="404">
        <v>0</v>
      </c>
      <c r="N256" s="404">
        <v>0</v>
      </c>
      <c r="O256" s="605">
        <v>0</v>
      </c>
      <c r="P256" s="606">
        <v>0</v>
      </c>
      <c r="Q256" s="606">
        <v>65000</v>
      </c>
      <c r="R256" s="607">
        <v>0</v>
      </c>
      <c r="S256" s="607">
        <v>0</v>
      </c>
      <c r="T256" s="607"/>
      <c r="U256" s="607"/>
      <c r="V256" s="607"/>
      <c r="W256" s="607"/>
      <c r="X256" s="607"/>
      <c r="Y256" s="607"/>
      <c r="Z256" s="598">
        <v>147</v>
      </c>
      <c r="AA256" s="598">
        <v>12</v>
      </c>
      <c r="AB256" s="80"/>
      <c r="AC256" s="598">
        <v>0</v>
      </c>
      <c r="AD256" s="598" t="s">
        <v>1379</v>
      </c>
      <c r="AE256" s="599" t="s">
        <v>1379</v>
      </c>
      <c r="AF256" s="599"/>
      <c r="AG256" s="598"/>
      <c r="AH256" s="598"/>
      <c r="AI256" s="649">
        <v>0</v>
      </c>
      <c r="AJ256" s="650" t="s">
        <v>294</v>
      </c>
      <c r="AK256" s="650">
        <v>0</v>
      </c>
      <c r="AL256" s="645">
        <v>0</v>
      </c>
      <c r="AM256" s="645">
        <v>9</v>
      </c>
      <c r="AN256" s="600"/>
      <c r="AO256" s="600"/>
      <c r="AP256" s="600"/>
      <c r="AQ256" s="651" t="s">
        <v>2595</v>
      </c>
      <c r="AR256" s="404" t="str">
        <f>IFERROR(WWWW[[#This Row],['# of Water passed at source]]/WWWW[[#This Row],['# of Water tested at source]],"no test")</f>
        <v>no test</v>
      </c>
      <c r="AS256" s="407" t="str">
        <f>IFERROR(WWWW[[#This Row],['# of Water passed at HH]]/WWWW[[#This Row],['# of Water tested at HH]],"no test")</f>
        <v>no test</v>
      </c>
      <c r="AT256" s="407">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0.98934550989345504</v>
      </c>
      <c r="AU256" s="407">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0.98934550989345504</v>
      </c>
      <c r="AV256" s="407">
        <f>IF(WWWW[[#This Row],[Location Type 1]]="Village",WWWW[[#This Row],[Access to safe drinking water for Village]],WWWW[[#This Row],[Access to safe drinking water for Camp]])</f>
        <v>0.98934550989345504</v>
      </c>
      <c r="AW256" s="405">
        <f>WWWW[[#This Row],[%Equitable and continuous access to sufficient quantity of safe drinking water]]*WWWW[[#This Row],[Total PoP ]]</f>
        <v>4333.333333333333</v>
      </c>
      <c r="AX256" s="407">
        <f>IF((WWWW[[#This Row],['# Existing protected/fenced ponds ]]*250)/WWWW[[#This Row],[Total PoP ]]&gt;1,1,WWWW[[#This Row],['# Existing protected/fenced ponds ]]*250/WWWW[[#This Row],[Total PoP ]])</f>
        <v>0</v>
      </c>
      <c r="AY256" s="405">
        <f>WWWW[[#This Row],[Access to unimproved water points]]*WWWW[[#This Row],[Total PoP ]]</f>
        <v>0</v>
      </c>
      <c r="AZ256" s="407">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0.98934550989345504</v>
      </c>
      <c r="BA256" s="405">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4333.333333333333</v>
      </c>
      <c r="BB256" s="414">
        <f>ROUND(WWWW[[#This Row],['#people Equitable and continuous access to sufficient quantity of domestic water borehole n ponds_2]]/500,0)</f>
        <v>9</v>
      </c>
      <c r="BC256" s="404">
        <f>1-WWWW[[#This Row],[%Equitable and continuous access to sufficient quantity of domestic water borehole n ponds]]</f>
        <v>1.0654490106544956E-2</v>
      </c>
      <c r="BD256" s="405">
        <f>WWWW[[#This Row],[%equitable and continuous access to sufficient quantity of safe drinking and domestic water''s GAP]]*WWWW[[#This Row],[Total PoP ]]</f>
        <v>46.666666666666906</v>
      </c>
      <c r="BE256" s="406">
        <f>IF(WWWW[[#This Row],[Total required water points]]-WWWW[[#This Row],['#Water points coverage]]&lt;0,0,WWWW[[#This Row],[Total required water points]]-WWWW[[#This Row],['#Water points coverage]])</f>
        <v>0</v>
      </c>
      <c r="BF256" s="406">
        <f>ROUND(IF(WWWW[[#This Row],[Total PoP ]]&lt;500,1,WWWW[[#This Row],[Total PoP ]]/500),0)</f>
        <v>9</v>
      </c>
      <c r="BG256" s="406" t="str">
        <f>IF(AND(WWWW[[#This Row],[%of Water samples which passed at water source]]="no test",WWWW[[#This Row],[%Water samples which passed at HH]]="no test"),"No Test","Tested")</f>
        <v>No Test</v>
      </c>
      <c r="BH256" s="406">
        <f>WWWW[[#This Row],['# Existing functional latrines]]+WWWW[[#This Row],['# Existing latrines dysfunctional]]</f>
        <v>159</v>
      </c>
      <c r="BI256" s="404">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0.67123287671232879</v>
      </c>
      <c r="BJ256" s="676">
        <f>WWWW[[#This Row],[% people access to functioning Latrine]]*WWWW[[#This Row],[Total PoP ]]</f>
        <v>2940</v>
      </c>
      <c r="BK256" s="404">
        <f>IF(WWWW[[#This Row],[Location Type 1]]="camp",WWWW[[#This Row],['# potential required new latrines]]/(WWWW[[#This Row],[Total PoP ]]/20),WWWW[[#This Row],['# potential required new latrines]]/(WWWW[[#This Row],[Total PoP ]]/6))</f>
        <v>0.27397260273972601</v>
      </c>
      <c r="BL256" s="405">
        <f>IF(WWWW[[#This Row],[Total required Latrines]]-WWWW[[#This Row],[Total '# of latrine]]&lt;0,0,WWWW[[#This Row],[Total required Latrines]]-WWWW[[#This Row],[Total '# of latrine]])</f>
        <v>60</v>
      </c>
      <c r="BM256" s="406">
        <f>ROUND(IF(WWWW[[#This Row],[Location Type 1]]="camp",WWWW[[#This Row],[Total PoP ]]/20,WWWW[[#This Row],[Total PoP ]]/6),0)</f>
        <v>219</v>
      </c>
      <c r="BN256" s="408">
        <f>IF(OR(WWWW[[#This Row],['# Existing latrines dysfunctional]]="",WWWW[[#This Row],['# Existing latrines dysfunctional]]=0),0,WWWW[[#This Row],['# Existing latrines dysfunctional]]/WWWW[[#This Row],[Total '# of latrine]])</f>
        <v>7.5471698113207544E-2</v>
      </c>
      <c r="BO256" s="676">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P256" s="404">
        <f>WWWW[[#This Row],[People adopt basic personal and community hygiene practices]]/WWWW[[#This Row],[Total PoP ]]</f>
        <v>0</v>
      </c>
      <c r="BQ256" s="408">
        <f>1-WWWW[[#This Row],[Hygiene Coverage%]]</f>
        <v>1</v>
      </c>
      <c r="BR256" s="405">
        <f>IF(500*WWWW[[#This Row],['# Hygiene Promoters ]]&gt;WWWW[[#This Row],[Total PoP ]],WWWW[[#This Row],[Total PoP ]],500*WWWW[[#This Row],['# Hygiene Promoters ]])</f>
        <v>4380</v>
      </c>
      <c r="BS256" s="405">
        <f>IF(WWWW[[#This Row],[% of HH with access to Sanitary Pad]]&gt;=100%,1,0)</f>
        <v>0</v>
      </c>
      <c r="BT256" s="405">
        <f>IF(WWWW[[#This Row],[Total PoP ]]=0,0,IF(WWWW[[#This Row],['# Hygiene Promoters ]]=0,0,IF(WWWW[[#This Row],[Location Type 1]]="Village",IF(WWWW[[#This Row],[Total PoP ]]/WWWW[[#This Row],['# Hygiene Promoters ]]&lt;1000,1,0),IF(WWWW[[#This Row],[Total PoP ]]/WWWW[[#This Row],['# Hygiene Promoters ]]&lt;600,1,0))))</f>
        <v>1</v>
      </c>
      <c r="BU256" s="405">
        <f>IF(WWWW[[#This Row],[%HH with access to soap]]&gt;=100%,1,0)</f>
        <v>0</v>
      </c>
      <c r="BV256" s="405">
        <f>IF(WWWW[[#This Row],[% of HHs with access to Sanitary pad more than '#%]]+WWWW[[#This Row],[Ratio of Hyiene promoters to people less than '#]]+WWWW[[#This Row],[% of HHs with access to soap more than '#%]]&gt;=2,WWWW[[#This Row],[Total PoP ]],0)</f>
        <v>0</v>
      </c>
      <c r="BW256" s="391">
        <f>WWWW[[#This Row],['# people reached by regular dedicated hygiene promotion_5]]/WWWW[[#This Row],[Total PoP ]]</f>
        <v>1</v>
      </c>
      <c r="BX256" s="391">
        <f>IF(WWWW[[#This Row],['# HH received soaps]]/WWWW[[#This Row],[Total HH]]&gt;1,1,WWWW[[#This Row],['# HH received soaps]]/WWWW[[#This Row],[Total HH]])</f>
        <v>0</v>
      </c>
      <c r="BY256" s="391">
        <f>IF(WWWW[[#This Row],['# HH received Sanitary Pads]]/WWWW[[#This Row],[Total HH]]&gt;1,1,WWWW[[#This Row],['# HH received Sanitary Pads]]/WWWW[[#This Row],[Total HH]])</f>
        <v>0</v>
      </c>
      <c r="BZ256" s="721">
        <f>WWWW[[#This Row],['# HH received soaps]]*5</f>
        <v>0</v>
      </c>
      <c r="CA256" s="721">
        <f>WWWW[[#This Row],['# HH received Sanitary Pads]]*5</f>
        <v>0</v>
      </c>
      <c r="CB256" s="406">
        <f>IF(WWWW[[#This Row],['# People with access to soap]]&gt;WWWW[[#This Row],['# People with access to Sanity Pads]],WWWW[[#This Row],['# People with access to soap]],WWWW[[#This Row],['# People with access to Sanity Pads]])</f>
        <v>0</v>
      </c>
      <c r="CC256" s="405">
        <f>WWWW[[#This Row],[Total HH]]*WWWW[[#This Row],[%HHs with access to functional hand washing stations]]</f>
        <v>0</v>
      </c>
      <c r="CD256" s="240">
        <f>VLOOKUP(WWWW[[#This Row],[Site Name]],SiteDB6[],8,FALSE)</f>
        <v>0</v>
      </c>
      <c r="CE256" s="240">
        <f>VLOOKUP(WWWW[[#This Row],[Site Name]],SiteDB6[],9,FALSE)</f>
        <v>0</v>
      </c>
      <c r="CF256" s="240" t="str">
        <f>VLOOKUP(WWWW[[#This Row],[Site Name]],SiteDB6[],10,FALSE)</f>
        <v>Camp</v>
      </c>
      <c r="CG256" s="240" t="str">
        <f>VLOOKUP(WWWW[[#This Row],[Site Name]],SiteDB6[],11,FALSE)</f>
        <v>Camp</v>
      </c>
      <c r="CH256" s="240" t="str">
        <f>VLOOKUP(WWWW[[#This Row],[Site Name]],SiteDB6[],12,FALSE)</f>
        <v>Individual House</v>
      </c>
      <c r="CI256" s="240" t="str">
        <f>VLOOKUP(WWWW[[#This Row],[Site Name]],SiteDB6[],13,FALSE)</f>
        <v>Muslim</v>
      </c>
      <c r="CJ256" s="240">
        <f>VLOOKUP(WWWW[[#This Row],[Site Name]],SiteDB6[],14,FALSE)</f>
        <v>20.073437999999999</v>
      </c>
      <c r="CK256" s="240">
        <f>VLOOKUP(WWWW[[#This Row],[Site Name]],SiteDB6[],15,FALSE)</f>
        <v>93.154551999999995</v>
      </c>
      <c r="CL256" s="240" t="str">
        <f>VLOOKUP(WWWW[[#This Row],[Site Name]],SiteDB6[],4,FALSE)</f>
        <v>MMR012CMP017</v>
      </c>
      <c r="CM256" s="404" t="str">
        <f t="shared" si="3"/>
        <v>Covered</v>
      </c>
      <c r="CN256" s="404"/>
    </row>
    <row r="257" spans="1:92" ht="15.75" customHeight="1" x14ac:dyDescent="0.25">
      <c r="A257" s="532" t="s">
        <v>1409</v>
      </c>
      <c r="B257" s="595" t="s">
        <v>436</v>
      </c>
      <c r="C257" s="596" t="s">
        <v>464</v>
      </c>
      <c r="D257" s="596" t="s">
        <v>575</v>
      </c>
      <c r="E257" s="596" t="s">
        <v>581</v>
      </c>
      <c r="F257" s="402">
        <v>544</v>
      </c>
      <c r="G257" s="405">
        <v>3951</v>
      </c>
      <c r="H257" s="402"/>
      <c r="I257" s="402" t="s">
        <v>438</v>
      </c>
      <c r="J257" s="403">
        <v>43220</v>
      </c>
      <c r="K257" s="402"/>
      <c r="L257" s="402" t="s">
        <v>292</v>
      </c>
      <c r="M257" s="404">
        <v>0</v>
      </c>
      <c r="N257" s="404">
        <v>0</v>
      </c>
      <c r="O257" s="605">
        <v>0</v>
      </c>
      <c r="P257" s="606">
        <v>0</v>
      </c>
      <c r="Q257" s="606">
        <v>60000</v>
      </c>
      <c r="R257" s="607">
        <v>0</v>
      </c>
      <c r="S257" s="607">
        <v>0</v>
      </c>
      <c r="T257" s="607"/>
      <c r="U257" s="607"/>
      <c r="V257" s="607"/>
      <c r="W257" s="607"/>
      <c r="X257" s="607"/>
      <c r="Y257" s="607"/>
      <c r="Z257" s="598">
        <v>132</v>
      </c>
      <c r="AA257" s="598">
        <v>14</v>
      </c>
      <c r="AB257" s="80"/>
      <c r="AC257" s="598">
        <v>0</v>
      </c>
      <c r="AD257" s="598" t="s">
        <v>1379</v>
      </c>
      <c r="AE257" s="599" t="s">
        <v>1379</v>
      </c>
      <c r="AF257" s="599"/>
      <c r="AG257" s="598"/>
      <c r="AH257" s="598"/>
      <c r="AI257" s="649">
        <v>0</v>
      </c>
      <c r="AJ257" s="650" t="s">
        <v>294</v>
      </c>
      <c r="AK257" s="650">
        <v>0</v>
      </c>
      <c r="AL257" s="645">
        <v>0</v>
      </c>
      <c r="AM257" s="645">
        <v>8</v>
      </c>
      <c r="AN257" s="600"/>
      <c r="AO257" s="600"/>
      <c r="AP257" s="600"/>
      <c r="AQ257" s="651" t="s">
        <v>2595</v>
      </c>
      <c r="AR257" s="404" t="str">
        <f>IFERROR(WWWW[[#This Row],['# of Water passed at source]]/WWWW[[#This Row],['# of Water tested at source]],"no test")</f>
        <v>no test</v>
      </c>
      <c r="AS257" s="407" t="str">
        <f>IFERROR(WWWW[[#This Row],['# of Water passed at HH]]/WWWW[[#This Row],['# of Water tested at HH]],"no test")</f>
        <v>no test</v>
      </c>
      <c r="AT257" s="407">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U257" s="407">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AV257" s="407">
        <f>IF(WWWW[[#This Row],[Location Type 1]]="Village",WWWW[[#This Row],[Access to safe drinking water for Village]],WWWW[[#This Row],[Access to safe drinking water for Camp]])</f>
        <v>1</v>
      </c>
      <c r="AW257" s="405">
        <f>WWWW[[#This Row],[%Equitable and continuous access to sufficient quantity of safe drinking water]]*WWWW[[#This Row],[Total PoP ]]</f>
        <v>3951</v>
      </c>
      <c r="AX257" s="407">
        <f>IF((WWWW[[#This Row],['# Existing protected/fenced ponds ]]*250)/WWWW[[#This Row],[Total PoP ]]&gt;1,1,WWWW[[#This Row],['# Existing protected/fenced ponds ]]*250/WWWW[[#This Row],[Total PoP ]])</f>
        <v>0</v>
      </c>
      <c r="AY257" s="405">
        <f>WWWW[[#This Row],[Access to unimproved water points]]*WWWW[[#This Row],[Total PoP ]]</f>
        <v>0</v>
      </c>
      <c r="AZ257" s="407">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A257" s="405">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3951</v>
      </c>
      <c r="BB257" s="414">
        <f>ROUND(WWWW[[#This Row],['#people Equitable and continuous access to sufficient quantity of domestic water borehole n ponds_2]]/500,0)</f>
        <v>8</v>
      </c>
      <c r="BC257" s="404">
        <f>1-WWWW[[#This Row],[%Equitable and continuous access to sufficient quantity of domestic water borehole n ponds]]</f>
        <v>0</v>
      </c>
      <c r="BD257" s="405">
        <f>WWWW[[#This Row],[%equitable and continuous access to sufficient quantity of safe drinking and domestic water''s GAP]]*WWWW[[#This Row],[Total PoP ]]</f>
        <v>0</v>
      </c>
      <c r="BE257" s="406">
        <f>IF(WWWW[[#This Row],[Total required water points]]-WWWW[[#This Row],['#Water points coverage]]&lt;0,0,WWWW[[#This Row],[Total required water points]]-WWWW[[#This Row],['#Water points coverage]])</f>
        <v>0</v>
      </c>
      <c r="BF257" s="406">
        <f>ROUND(IF(WWWW[[#This Row],[Total PoP ]]&lt;500,1,WWWW[[#This Row],[Total PoP ]]/500),0)</f>
        <v>8</v>
      </c>
      <c r="BG257" s="406" t="str">
        <f>IF(AND(WWWW[[#This Row],[%of Water samples which passed at water source]]="no test",WWWW[[#This Row],[%Water samples which passed at HH]]="no test"),"No Test","Tested")</f>
        <v>No Test</v>
      </c>
      <c r="BH257" s="406">
        <f>WWWW[[#This Row],['# Existing functional latrines]]+WWWW[[#This Row],['# Existing latrines dysfunctional]]</f>
        <v>146</v>
      </c>
      <c r="BI257" s="404">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0.66818526955201218</v>
      </c>
      <c r="BJ257" s="676">
        <f>WWWW[[#This Row],[% people access to functioning Latrine]]*WWWW[[#This Row],[Total PoP ]]</f>
        <v>2640</v>
      </c>
      <c r="BK257" s="404">
        <f>IF(WWWW[[#This Row],[Location Type 1]]="camp",WWWW[[#This Row],['# potential required new latrines]]/(WWWW[[#This Row],[Total PoP ]]/20),WWWW[[#This Row],['# potential required new latrines]]/(WWWW[[#This Row],[Total PoP ]]/6))</f>
        <v>0.26322450012655024</v>
      </c>
      <c r="BL257" s="405">
        <f>IF(WWWW[[#This Row],[Total required Latrines]]-WWWW[[#This Row],[Total '# of latrine]]&lt;0,0,WWWW[[#This Row],[Total required Latrines]]-WWWW[[#This Row],[Total '# of latrine]])</f>
        <v>52</v>
      </c>
      <c r="BM257" s="406">
        <f>ROUND(IF(WWWW[[#This Row],[Location Type 1]]="camp",WWWW[[#This Row],[Total PoP ]]/20,WWWW[[#This Row],[Total PoP ]]/6),0)</f>
        <v>198</v>
      </c>
      <c r="BN257" s="408">
        <f>IF(OR(WWWW[[#This Row],['# Existing latrines dysfunctional]]="",WWWW[[#This Row],['# Existing latrines dysfunctional]]=0),0,WWWW[[#This Row],['# Existing latrines dysfunctional]]/WWWW[[#This Row],[Total '# of latrine]])</f>
        <v>9.5890410958904104E-2</v>
      </c>
      <c r="BO257" s="676">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P257" s="404">
        <f>WWWW[[#This Row],[People adopt basic personal and community hygiene practices]]/WWWW[[#This Row],[Total PoP ]]</f>
        <v>0</v>
      </c>
      <c r="BQ257" s="408">
        <f>1-WWWW[[#This Row],[Hygiene Coverage%]]</f>
        <v>1</v>
      </c>
      <c r="BR257" s="405">
        <f>IF(500*WWWW[[#This Row],['# Hygiene Promoters ]]&gt;WWWW[[#This Row],[Total PoP ]],WWWW[[#This Row],[Total PoP ]],500*WWWW[[#This Row],['# Hygiene Promoters ]])</f>
        <v>3951</v>
      </c>
      <c r="BS257" s="405">
        <f>IF(WWWW[[#This Row],[% of HH with access to Sanitary Pad]]&gt;=100%,1,0)</f>
        <v>0</v>
      </c>
      <c r="BT257" s="405">
        <f>IF(WWWW[[#This Row],[Total PoP ]]=0,0,IF(WWWW[[#This Row],['# Hygiene Promoters ]]=0,0,IF(WWWW[[#This Row],[Location Type 1]]="Village",IF(WWWW[[#This Row],[Total PoP ]]/WWWW[[#This Row],['# Hygiene Promoters ]]&lt;1000,1,0),IF(WWWW[[#This Row],[Total PoP ]]/WWWW[[#This Row],['# Hygiene Promoters ]]&lt;600,1,0))))</f>
        <v>1</v>
      </c>
      <c r="BU257" s="405">
        <f>IF(WWWW[[#This Row],[%HH with access to soap]]&gt;=100%,1,0)</f>
        <v>0</v>
      </c>
      <c r="BV257" s="405">
        <f>IF(WWWW[[#This Row],[% of HHs with access to Sanitary pad more than '#%]]+WWWW[[#This Row],[Ratio of Hyiene promoters to people less than '#]]+WWWW[[#This Row],[% of HHs with access to soap more than '#%]]&gt;=2,WWWW[[#This Row],[Total PoP ]],0)</f>
        <v>0</v>
      </c>
      <c r="BW257" s="391">
        <f>WWWW[[#This Row],['# people reached by regular dedicated hygiene promotion_5]]/WWWW[[#This Row],[Total PoP ]]</f>
        <v>1</v>
      </c>
      <c r="BX257" s="391">
        <f>IF(WWWW[[#This Row],['# HH received soaps]]/WWWW[[#This Row],[Total HH]]&gt;1,1,WWWW[[#This Row],['# HH received soaps]]/WWWW[[#This Row],[Total HH]])</f>
        <v>0</v>
      </c>
      <c r="BY257" s="391">
        <f>IF(WWWW[[#This Row],['# HH received Sanitary Pads]]/WWWW[[#This Row],[Total HH]]&gt;1,1,WWWW[[#This Row],['# HH received Sanitary Pads]]/WWWW[[#This Row],[Total HH]])</f>
        <v>0</v>
      </c>
      <c r="BZ257" s="721">
        <f>WWWW[[#This Row],['# HH received soaps]]*5</f>
        <v>0</v>
      </c>
      <c r="CA257" s="721">
        <f>WWWW[[#This Row],['# HH received Sanitary Pads]]*5</f>
        <v>0</v>
      </c>
      <c r="CB257" s="406">
        <f>IF(WWWW[[#This Row],['# People with access to soap]]&gt;WWWW[[#This Row],['# People with access to Sanity Pads]],WWWW[[#This Row],['# People with access to soap]],WWWW[[#This Row],['# People with access to Sanity Pads]])</f>
        <v>0</v>
      </c>
      <c r="CC257" s="405">
        <f>WWWW[[#This Row],[Total HH]]*WWWW[[#This Row],[%HHs with access to functional hand washing stations]]</f>
        <v>0</v>
      </c>
      <c r="CD257" s="240" t="str">
        <f>VLOOKUP(WWWW[[#This Row],[Site Name]],SiteDB6[],8,FALSE)</f>
        <v>Yes</v>
      </c>
      <c r="CE257" s="240" t="str">
        <f>VLOOKUP(WWWW[[#This Row],[Site Name]],SiteDB6[],9,FALSE)</f>
        <v>LWF</v>
      </c>
      <c r="CF257" s="240" t="str">
        <f>VLOOKUP(WWWW[[#This Row],[Site Name]],SiteDB6[],10,FALSE)</f>
        <v>Camp</v>
      </c>
      <c r="CG257" s="240" t="str">
        <f>VLOOKUP(WWWW[[#This Row],[Site Name]],SiteDB6[],11,FALSE)</f>
        <v>Camp</v>
      </c>
      <c r="CH257" s="240" t="str">
        <f>VLOOKUP(WWWW[[#This Row],[Site Name]],SiteDB6[],12,FALSE)</f>
        <v>Planned Camp</v>
      </c>
      <c r="CI257" s="240" t="str">
        <f>VLOOKUP(WWWW[[#This Row],[Site Name]],SiteDB6[],13,FALSE)</f>
        <v>Muslim</v>
      </c>
      <c r="CJ257" s="240">
        <f>VLOOKUP(WWWW[[#This Row],[Site Name]],SiteDB6[],14,FALSE)</f>
        <v>20.073437999999999</v>
      </c>
      <c r="CK257" s="240">
        <f>VLOOKUP(WWWW[[#This Row],[Site Name]],SiteDB6[],15,FALSE)</f>
        <v>93.154551999999995</v>
      </c>
      <c r="CL257" s="240" t="str">
        <f>VLOOKUP(WWWW[[#This Row],[Site Name]],SiteDB6[],4,FALSE)</f>
        <v>MMR012CMP017</v>
      </c>
      <c r="CM257" s="404" t="str">
        <f t="shared" si="3"/>
        <v>Covered</v>
      </c>
      <c r="CN257" s="404"/>
    </row>
    <row r="258" spans="1:92" ht="15.75" customHeight="1" x14ac:dyDescent="0.25">
      <c r="A258" s="532" t="s">
        <v>1409</v>
      </c>
      <c r="B258" s="595" t="s">
        <v>436</v>
      </c>
      <c r="C258" s="596" t="s">
        <v>464</v>
      </c>
      <c r="D258" s="596" t="s">
        <v>575</v>
      </c>
      <c r="E258" s="596" t="s">
        <v>586</v>
      </c>
      <c r="F258" s="402">
        <v>712</v>
      </c>
      <c r="G258" s="405">
        <v>4302</v>
      </c>
      <c r="H258" s="402"/>
      <c r="I258" s="402" t="s">
        <v>438</v>
      </c>
      <c r="J258" s="403">
        <v>43220</v>
      </c>
      <c r="K258" s="402"/>
      <c r="L258" s="402" t="s">
        <v>292</v>
      </c>
      <c r="M258" s="404">
        <v>0</v>
      </c>
      <c r="N258" s="404">
        <v>0</v>
      </c>
      <c r="O258" s="605">
        <v>0</v>
      </c>
      <c r="P258" s="606">
        <v>0</v>
      </c>
      <c r="Q258" s="606">
        <v>65000</v>
      </c>
      <c r="R258" s="607">
        <v>2</v>
      </c>
      <c r="S258" s="607">
        <v>0</v>
      </c>
      <c r="T258" s="607"/>
      <c r="U258" s="607"/>
      <c r="V258" s="607"/>
      <c r="W258" s="607"/>
      <c r="X258" s="607"/>
      <c r="Y258" s="607"/>
      <c r="Z258" s="598">
        <v>130</v>
      </c>
      <c r="AA258" s="598">
        <v>2</v>
      </c>
      <c r="AB258" s="80"/>
      <c r="AC258" s="598">
        <v>0</v>
      </c>
      <c r="AD258" s="598" t="s">
        <v>1379</v>
      </c>
      <c r="AE258" s="599" t="s">
        <v>293</v>
      </c>
      <c r="AF258" s="599"/>
      <c r="AG258" s="598"/>
      <c r="AH258" s="598" t="s">
        <v>2590</v>
      </c>
      <c r="AI258" s="649">
        <v>0</v>
      </c>
      <c r="AJ258" s="650" t="s">
        <v>294</v>
      </c>
      <c r="AK258" s="650">
        <v>0</v>
      </c>
      <c r="AL258" s="645">
        <v>0</v>
      </c>
      <c r="AM258" s="645">
        <v>10</v>
      </c>
      <c r="AN258" s="600"/>
      <c r="AO258" s="600"/>
      <c r="AP258" s="600"/>
      <c r="AQ258" s="651" t="s">
        <v>2595</v>
      </c>
      <c r="AR258" s="404" t="str">
        <f>IFERROR(WWWW[[#This Row],['# of Water passed at source]]/WWWW[[#This Row],['# of Water tested at source]],"no test")</f>
        <v>no test</v>
      </c>
      <c r="AS258" s="407" t="str">
        <f>IFERROR(WWWW[[#This Row],['# of Water passed at HH]]/WWWW[[#This Row],['# of Water tested at HH]],"no test")</f>
        <v>no test</v>
      </c>
      <c r="AT258" s="407">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U258" s="407">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AV258" s="407">
        <f>IF(WWWW[[#This Row],[Location Type 1]]="Village",WWWW[[#This Row],[Access to safe drinking water for Village]],WWWW[[#This Row],[Access to safe drinking water for Camp]])</f>
        <v>1</v>
      </c>
      <c r="AW258" s="405">
        <f>WWWW[[#This Row],[%Equitable and continuous access to sufficient quantity of safe drinking water]]*WWWW[[#This Row],[Total PoP ]]</f>
        <v>4302</v>
      </c>
      <c r="AX258" s="407">
        <f>IF((WWWW[[#This Row],['# Existing protected/fenced ponds ]]*250)/WWWW[[#This Row],[Total PoP ]]&gt;1,1,WWWW[[#This Row],['# Existing protected/fenced ponds ]]*250/WWWW[[#This Row],[Total PoP ]])</f>
        <v>0.11622501162250116</v>
      </c>
      <c r="AY258" s="405">
        <f>WWWW[[#This Row],[Access to unimproved water points]]*WWWW[[#This Row],[Total PoP ]]</f>
        <v>500</v>
      </c>
      <c r="AZ258" s="407">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A258" s="405">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4302</v>
      </c>
      <c r="BB258" s="414">
        <f>ROUND(WWWW[[#This Row],['#people Equitable and continuous access to sufficient quantity of domestic water borehole n ponds_2]]/500,0)</f>
        <v>9</v>
      </c>
      <c r="BC258" s="404">
        <f>1-WWWW[[#This Row],[%Equitable and continuous access to sufficient quantity of domestic water borehole n ponds]]</f>
        <v>0</v>
      </c>
      <c r="BD258" s="405">
        <f>WWWW[[#This Row],[%equitable and continuous access to sufficient quantity of safe drinking and domestic water''s GAP]]*WWWW[[#This Row],[Total PoP ]]</f>
        <v>0</v>
      </c>
      <c r="BE258" s="406">
        <f>IF(WWWW[[#This Row],[Total required water points]]-WWWW[[#This Row],['#Water points coverage]]&lt;0,0,WWWW[[#This Row],[Total required water points]]-WWWW[[#This Row],['#Water points coverage]])</f>
        <v>0</v>
      </c>
      <c r="BF258" s="406">
        <f>ROUND(IF(WWWW[[#This Row],[Total PoP ]]&lt;500,1,WWWW[[#This Row],[Total PoP ]]/500),0)</f>
        <v>9</v>
      </c>
      <c r="BG258" s="406" t="str">
        <f>IF(AND(WWWW[[#This Row],[%of Water samples which passed at water source]]="no test",WWWW[[#This Row],[%Water samples which passed at HH]]="no test"),"No Test","Tested")</f>
        <v>No Test</v>
      </c>
      <c r="BH258" s="406">
        <f>WWWW[[#This Row],['# Existing functional latrines]]+WWWW[[#This Row],['# Existing latrines dysfunctional]]</f>
        <v>132</v>
      </c>
      <c r="BI258" s="404">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0.60437006043700603</v>
      </c>
      <c r="BJ258" s="676">
        <f>WWWW[[#This Row],[% people access to functioning Latrine]]*WWWW[[#This Row],[Total PoP ]]</f>
        <v>2600</v>
      </c>
      <c r="BK258" s="404">
        <f>IF(WWWW[[#This Row],[Location Type 1]]="camp",WWWW[[#This Row],['# potential required new latrines]]/(WWWW[[#This Row],[Total PoP ]]/20),WWWW[[#This Row],['# potential required new latrines]]/(WWWW[[#This Row],[Total PoP ]]/6))</f>
        <v>0.38586703858670385</v>
      </c>
      <c r="BL258" s="405">
        <f>IF(WWWW[[#This Row],[Total required Latrines]]-WWWW[[#This Row],[Total '# of latrine]]&lt;0,0,WWWW[[#This Row],[Total required Latrines]]-WWWW[[#This Row],[Total '# of latrine]])</f>
        <v>83</v>
      </c>
      <c r="BM258" s="406">
        <f>ROUND(IF(WWWW[[#This Row],[Location Type 1]]="camp",WWWW[[#This Row],[Total PoP ]]/20,WWWW[[#This Row],[Total PoP ]]/6),0)</f>
        <v>215</v>
      </c>
      <c r="BN258" s="408">
        <f>IF(OR(WWWW[[#This Row],['# Existing latrines dysfunctional]]="",WWWW[[#This Row],['# Existing latrines dysfunctional]]=0),0,WWWW[[#This Row],['# Existing latrines dysfunctional]]/WWWW[[#This Row],[Total '# of latrine]])</f>
        <v>1.5151515151515152E-2</v>
      </c>
      <c r="BO258" s="676">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P258" s="404">
        <f>WWWW[[#This Row],[People adopt basic personal and community hygiene practices]]/WWWW[[#This Row],[Total PoP ]]</f>
        <v>0</v>
      </c>
      <c r="BQ258" s="408">
        <f>1-WWWW[[#This Row],[Hygiene Coverage%]]</f>
        <v>1</v>
      </c>
      <c r="BR258" s="405">
        <f>IF(500*WWWW[[#This Row],['# Hygiene Promoters ]]&gt;WWWW[[#This Row],[Total PoP ]],WWWW[[#This Row],[Total PoP ]],500*WWWW[[#This Row],['# Hygiene Promoters ]])</f>
        <v>4302</v>
      </c>
      <c r="BS258" s="405">
        <f>IF(WWWW[[#This Row],[% of HH with access to Sanitary Pad]]&gt;=100%,1,0)</f>
        <v>0</v>
      </c>
      <c r="BT258" s="405">
        <f>IF(WWWW[[#This Row],[Total PoP ]]=0,0,IF(WWWW[[#This Row],['# Hygiene Promoters ]]=0,0,IF(WWWW[[#This Row],[Location Type 1]]="Village",IF(WWWW[[#This Row],[Total PoP ]]/WWWW[[#This Row],['# Hygiene Promoters ]]&lt;1000,1,0),IF(WWWW[[#This Row],[Total PoP ]]/WWWW[[#This Row],['# Hygiene Promoters ]]&lt;600,1,0))))</f>
        <v>1</v>
      </c>
      <c r="BU258" s="405">
        <f>IF(WWWW[[#This Row],[%HH with access to soap]]&gt;=100%,1,0)</f>
        <v>0</v>
      </c>
      <c r="BV258" s="405">
        <f>IF(WWWW[[#This Row],[% of HHs with access to Sanitary pad more than '#%]]+WWWW[[#This Row],[Ratio of Hyiene promoters to people less than '#]]+WWWW[[#This Row],[% of HHs with access to soap more than '#%]]&gt;=2,WWWW[[#This Row],[Total PoP ]],0)</f>
        <v>0</v>
      </c>
      <c r="BW258" s="391">
        <f>WWWW[[#This Row],['# people reached by regular dedicated hygiene promotion_5]]/WWWW[[#This Row],[Total PoP ]]</f>
        <v>1</v>
      </c>
      <c r="BX258" s="391">
        <f>IF(WWWW[[#This Row],['# HH received soaps]]/WWWW[[#This Row],[Total HH]]&gt;1,1,WWWW[[#This Row],['# HH received soaps]]/WWWW[[#This Row],[Total HH]])</f>
        <v>0</v>
      </c>
      <c r="BY258" s="391">
        <f>IF(WWWW[[#This Row],['# HH received Sanitary Pads]]/WWWW[[#This Row],[Total HH]]&gt;1,1,WWWW[[#This Row],['# HH received Sanitary Pads]]/WWWW[[#This Row],[Total HH]])</f>
        <v>0</v>
      </c>
      <c r="BZ258" s="721">
        <f>WWWW[[#This Row],['# HH received soaps]]*5</f>
        <v>0</v>
      </c>
      <c r="CA258" s="721">
        <f>WWWW[[#This Row],['# HH received Sanitary Pads]]*5</f>
        <v>0</v>
      </c>
      <c r="CB258" s="406">
        <f>IF(WWWW[[#This Row],['# People with access to soap]]&gt;WWWW[[#This Row],['# People with access to Sanity Pads]],WWWW[[#This Row],['# People with access to soap]],WWWW[[#This Row],['# People with access to Sanity Pads]])</f>
        <v>0</v>
      </c>
      <c r="CC258" s="405">
        <f>WWWW[[#This Row],[Total HH]]*WWWW[[#This Row],[%HHs with access to functional hand washing stations]]</f>
        <v>0</v>
      </c>
      <c r="CD258" s="240" t="str">
        <f>VLOOKUP(WWWW[[#This Row],[Site Name]],SiteDB6[],8,FALSE)</f>
        <v>Yes</v>
      </c>
      <c r="CE258" s="240" t="str">
        <f>VLOOKUP(WWWW[[#This Row],[Site Name]],SiteDB6[],9,FALSE)</f>
        <v>LWF</v>
      </c>
      <c r="CF258" s="240" t="str">
        <f>VLOOKUP(WWWW[[#This Row],[Site Name]],SiteDB6[],10,FALSE)</f>
        <v>Camp</v>
      </c>
      <c r="CG258" s="240" t="str">
        <f>VLOOKUP(WWWW[[#This Row],[Site Name]],SiteDB6[],11,FALSE)</f>
        <v>Camp</v>
      </c>
      <c r="CH258" s="240" t="str">
        <f>VLOOKUP(WWWW[[#This Row],[Site Name]],SiteDB6[],12,FALSE)</f>
        <v>Planned Camp</v>
      </c>
      <c r="CI258" s="240" t="str">
        <f>VLOOKUP(WWWW[[#This Row],[Site Name]],SiteDB6[],13,FALSE)</f>
        <v>Muslim</v>
      </c>
      <c r="CJ258" s="240">
        <f>VLOOKUP(WWWW[[#This Row],[Site Name]],SiteDB6[],14,FALSE)</f>
        <v>20.108101999999999</v>
      </c>
      <c r="CK258" s="240">
        <f>VLOOKUP(WWWW[[#This Row],[Site Name]],SiteDB6[],15,FALSE)</f>
        <v>92.985095000000001</v>
      </c>
      <c r="CL258" s="240" t="str">
        <f>VLOOKUP(WWWW[[#This Row],[Site Name]],SiteDB6[],4,FALSE)</f>
        <v>MMR012CMP016</v>
      </c>
      <c r="CM258" s="404" t="str">
        <f t="shared" si="3"/>
        <v>Covered</v>
      </c>
      <c r="CN258" s="404"/>
    </row>
    <row r="259" spans="1:92" ht="15.75" hidden="1" customHeight="1" x14ac:dyDescent="0.25">
      <c r="A259" s="548" t="s">
        <v>1409</v>
      </c>
      <c r="B259" s="541" t="s">
        <v>470</v>
      </c>
      <c r="C259" s="541" t="s">
        <v>464</v>
      </c>
      <c r="D259" s="541" t="s">
        <v>630</v>
      </c>
      <c r="E259" s="541" t="s">
        <v>631</v>
      </c>
      <c r="F259" s="402">
        <f>ROUND(WWWW[[#This Row],[Total PoP ]]/5,0)</f>
        <v>362</v>
      </c>
      <c r="G259" s="732">
        <v>1811</v>
      </c>
      <c r="H259" s="169"/>
      <c r="I259" s="169"/>
      <c r="J259" s="170"/>
      <c r="K259" s="169"/>
      <c r="L259" s="402" t="s">
        <v>292</v>
      </c>
      <c r="M259" s="404">
        <v>0</v>
      </c>
      <c r="N259" s="404">
        <v>0</v>
      </c>
      <c r="O259" s="609">
        <v>0</v>
      </c>
      <c r="P259" s="609">
        <v>4</v>
      </c>
      <c r="Q259" s="610"/>
      <c r="R259" s="611"/>
      <c r="S259" s="611">
        <v>0</v>
      </c>
      <c r="T259" s="611"/>
      <c r="U259" s="611"/>
      <c r="V259" s="611"/>
      <c r="W259" s="611"/>
      <c r="X259" s="604"/>
      <c r="Y259" s="607"/>
      <c r="Z259" s="598">
        <v>141</v>
      </c>
      <c r="AA259" s="599"/>
      <c r="AB259" s="629"/>
      <c r="AC259" s="632">
        <v>141</v>
      </c>
      <c r="AD259" s="80" t="s">
        <v>296</v>
      </c>
      <c r="AE259" s="80" t="s">
        <v>296</v>
      </c>
      <c r="AF259" s="80"/>
      <c r="AG259" s="80"/>
      <c r="AH259" s="633"/>
      <c r="AI259" s="652">
        <v>0</v>
      </c>
      <c r="AJ259" s="653"/>
      <c r="AK259" s="651">
        <v>0</v>
      </c>
      <c r="AL259" s="645"/>
      <c r="AM259" s="645">
        <v>0</v>
      </c>
      <c r="AN259" s="600"/>
      <c r="AO259" s="600"/>
      <c r="AP259" s="600"/>
      <c r="AQ259" s="654"/>
      <c r="AR259" s="235" t="str">
        <f>IFERROR(WWWW[[#This Row],['# of Water passed at source]]/WWWW[[#This Row],['# of Water tested at source]],"no test")</f>
        <v>no test</v>
      </c>
      <c r="AS259" s="237" t="str">
        <f>IFERROR(WWWW[[#This Row],['# of Water passed at HH]]/WWWW[[#This Row],['# of Water tested at HH]],"no test")</f>
        <v>no test</v>
      </c>
      <c r="AT259" s="237">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U259" s="237">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0.55218111540585313</v>
      </c>
      <c r="AV259" s="237">
        <f>IF(WWWW[[#This Row],[Location Type 1]]="Village",WWWW[[#This Row],[Access to safe drinking water for Village]],WWWW[[#This Row],[Access to safe drinking water for Camp]])</f>
        <v>0.55218111540585313</v>
      </c>
      <c r="AW259" s="414">
        <f>WWWW[[#This Row],[%Equitable and continuous access to sufficient quantity of safe drinking water]]*WWWW[[#This Row],[Total PoP ]]</f>
        <v>1000</v>
      </c>
      <c r="AX259" s="237">
        <f>IF((WWWW[[#This Row],['# Existing protected/fenced ponds ]]*250)/WWWW[[#This Row],[Total PoP ]]&gt;1,1,WWWW[[#This Row],['# Existing protected/fenced ponds ]]*250/WWWW[[#This Row],[Total PoP ]])</f>
        <v>0</v>
      </c>
      <c r="AY259" s="414">
        <f>WWWW[[#This Row],[Access to unimproved water points]]*WWWW[[#This Row],[Total PoP ]]</f>
        <v>0</v>
      </c>
      <c r="AZ259" s="237">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0.55218111540585313</v>
      </c>
      <c r="BA259" s="414">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1000</v>
      </c>
      <c r="BB259" s="414">
        <f>ROUND(WWWW[[#This Row],['#people Equitable and continuous access to sufficient quantity of domestic water borehole n ponds_2]]/500,0)</f>
        <v>2</v>
      </c>
      <c r="BC259" s="235">
        <f>1-WWWW[[#This Row],[%Equitable and continuous access to sufficient quantity of domestic water borehole n ponds]]</f>
        <v>0.44781888459414687</v>
      </c>
      <c r="BD259" s="414">
        <f>WWWW[[#This Row],[%equitable and continuous access to sufficient quantity of safe drinking and domestic water''s GAP]]*WWWW[[#This Row],[Total PoP ]]</f>
        <v>811</v>
      </c>
      <c r="BE259" s="238">
        <f>IF(WWWW[[#This Row],[Total required water points]]-WWWW[[#This Row],['#Water points coverage]]&lt;0,0,WWWW[[#This Row],[Total required water points]]-WWWW[[#This Row],['#Water points coverage]])</f>
        <v>2</v>
      </c>
      <c r="BF259" s="238">
        <f>ROUND(IF(WWWW[[#This Row],[Total PoP ]]&lt;500,1,WWWW[[#This Row],[Total PoP ]]/500),0)</f>
        <v>4</v>
      </c>
      <c r="BG259" s="238" t="str">
        <f>IF(AND(WWWW[[#This Row],[%of Water samples which passed at water source]]="no test",WWWW[[#This Row],[%Water samples which passed at HH]]="no test"),"No Test","Tested")</f>
        <v>No Test</v>
      </c>
      <c r="BH259" s="238">
        <f>WWWW[[#This Row],['# Existing functional latrines]]+WWWW[[#This Row],['# Existing latrines dysfunctional]]</f>
        <v>141</v>
      </c>
      <c r="BI259" s="235">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0.46714522363335176</v>
      </c>
      <c r="BJ259" s="675">
        <f>WWWW[[#This Row],[% people access to functioning Latrine]]*WWWW[[#This Row],[Total PoP ]]</f>
        <v>846</v>
      </c>
      <c r="BK259" s="235">
        <f>IF(WWWW[[#This Row],[Location Type 1]]="camp",WWWW[[#This Row],['# potential required new latrines]]/(WWWW[[#This Row],[Total PoP ]]/20),WWWW[[#This Row],['# potential required new latrines]]/(WWWW[[#This Row],[Total PoP ]]/6))</f>
        <v>0.53340695748205413</v>
      </c>
      <c r="BL259" s="414">
        <f>IF(WWWW[[#This Row],[Total required Latrines]]-WWWW[[#This Row],[Total '# of latrine]]&lt;0,0,WWWW[[#This Row],[Total required Latrines]]-WWWW[[#This Row],[Total '# of latrine]])</f>
        <v>161</v>
      </c>
      <c r="BM259" s="238">
        <f>ROUND(IF(WWWW[[#This Row],[Location Type 1]]="camp",WWWW[[#This Row],[Total PoP ]]/20,WWWW[[#This Row],[Total PoP ]]/6),0)</f>
        <v>302</v>
      </c>
      <c r="BN259" s="239">
        <f>IF(OR(WWWW[[#This Row],['# Existing latrines dysfunctional]]="",WWWW[[#This Row],['# Existing latrines dysfunctional]]=0),0,WWWW[[#This Row],['# Existing latrines dysfunctional]]/WWWW[[#This Row],[Total '# of latrine]])</f>
        <v>0</v>
      </c>
      <c r="BO259" s="675"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P259" s="235">
        <f>WWWW[[#This Row],[People adopt basic personal and community hygiene practices]]/WWWW[[#This Row],[Total PoP ]]</f>
        <v>0</v>
      </c>
      <c r="BQ259" s="239">
        <f>1-WWWW[[#This Row],[Hygiene Coverage%]]</f>
        <v>1</v>
      </c>
      <c r="BR259" s="405">
        <f>IF(500*WWWW[[#This Row],['# Hygiene Promoters ]]&gt;WWWW[[#This Row],[Total PoP ]],WWWW[[#This Row],[Total PoP ]],500*WWWW[[#This Row],['# Hygiene Promoters ]])</f>
        <v>0</v>
      </c>
      <c r="BS259" s="405">
        <f>IF(WWWW[[#This Row],[% of HH with access to Sanitary Pad]]&gt;=100%,1,0)</f>
        <v>0</v>
      </c>
      <c r="BT259" s="405">
        <f>IF(WWWW[[#This Row],[Total PoP ]]=0,0,IF(WWWW[[#This Row],['# Hygiene Promoters ]]=0,0,IF(WWWW[[#This Row],[Location Type 1]]="Village",IF(WWWW[[#This Row],[Total PoP ]]/WWWW[[#This Row],['# Hygiene Promoters ]]&lt;1000,1,0),IF(WWWW[[#This Row],[Total PoP ]]/WWWW[[#This Row],['# Hygiene Promoters ]]&lt;600,1,0))))</f>
        <v>0</v>
      </c>
      <c r="BU259" s="405">
        <f>IF(WWWW[[#This Row],[%HH with access to soap]]&gt;=100%,1,0)</f>
        <v>0</v>
      </c>
      <c r="BV259" s="405">
        <f>IF(WWWW[[#This Row],[% of HHs with access to Sanitary pad more than '#%]]+WWWW[[#This Row],[Ratio of Hyiene promoters to people less than '#]]+WWWW[[#This Row],[% of HHs with access to soap more than '#%]]&gt;=2,WWWW[[#This Row],[Total PoP ]],0)</f>
        <v>0</v>
      </c>
      <c r="BW259" s="346">
        <f>WWWW[[#This Row],['# people reached by regular dedicated hygiene promotion_5]]/WWWW[[#This Row],[Total PoP ]]</f>
        <v>0</v>
      </c>
      <c r="BX259" s="346">
        <f>IF(WWWW[[#This Row],['# HH received soaps]]/WWWW[[#This Row],[Total HH]]&gt;1,1,WWWW[[#This Row],['# HH received soaps]]/WWWW[[#This Row],[Total HH]])</f>
        <v>0</v>
      </c>
      <c r="BY259" s="346">
        <f>IF(WWWW[[#This Row],['# HH received Sanitary Pads]]/WWWW[[#This Row],[Total HH]]&gt;1,1,WWWW[[#This Row],['# HH received Sanitary Pads]]/WWWW[[#This Row],[Total HH]])</f>
        <v>0</v>
      </c>
      <c r="BZ259" s="720">
        <f>WWWW[[#This Row],['# HH received soaps]]*5</f>
        <v>0</v>
      </c>
      <c r="CA259" s="720">
        <f>WWWW[[#This Row],['# HH received Sanitary Pads]]*5</f>
        <v>0</v>
      </c>
      <c r="CB259" s="675">
        <f>IF(WWWW[[#This Row],['# People with access to soap]]&gt;WWWW[[#This Row],['# People with access to Sanity Pads]],WWWW[[#This Row],['# People with access to soap]],WWWW[[#This Row],['# People with access to Sanity Pads]])</f>
        <v>0</v>
      </c>
      <c r="CC259" s="414">
        <f>WWWW[[#This Row],[Total HH]]*WWWW[[#This Row],[%HHs with access to functional hand washing stations]]</f>
        <v>0</v>
      </c>
      <c r="CD259" s="240">
        <f>VLOOKUP(WWWW[[#This Row],[Site Name]],SiteDB6[],8,FALSE)</f>
        <v>0</v>
      </c>
      <c r="CE259" s="240">
        <f>VLOOKUP(WWWW[[#This Row],[Site Name]],SiteDB6[],9,FALSE)</f>
        <v>0</v>
      </c>
      <c r="CF259" s="240" t="str">
        <f>VLOOKUP(WWWW[[#This Row],[Site Name]],SiteDB6[],10,FALSE)</f>
        <v>Village</v>
      </c>
      <c r="CG259" s="240" t="str">
        <f>VLOOKUP(WWWW[[#This Row],[Site Name]],SiteDB6[],11,FALSE)</f>
        <v>Village</v>
      </c>
      <c r="CH259" s="240" t="str">
        <f>VLOOKUP(WWWW[[#This Row],[Site Name]],SiteDB6[],12,FALSE)</f>
        <v>Village</v>
      </c>
      <c r="CI259" s="240" t="str">
        <f>VLOOKUP(WWWW[[#This Row],[Site Name]],SiteDB6[],13,FALSE)</f>
        <v>Rakhine</v>
      </c>
      <c r="CJ259" s="240">
        <f>VLOOKUP(WWWW[[#This Row],[Site Name]],SiteDB6[],14,FALSE)</f>
        <v>20.268000000000001</v>
      </c>
      <c r="CK259" s="240">
        <f>VLOOKUP(WWWW[[#This Row],[Site Name]],SiteDB6[],15,FALSE)</f>
        <v>92.977999999999994</v>
      </c>
      <c r="CL259" s="240" t="str">
        <f>VLOOKUP(WWWW[[#This Row],[Site Name]],SiteDB6[],4,FALSE)</f>
        <v>196408</v>
      </c>
      <c r="CM259" s="235" t="str">
        <f t="shared" si="3"/>
        <v>Notcovered</v>
      </c>
      <c r="CN259" s="240"/>
    </row>
    <row r="260" spans="1:92" ht="15.75" hidden="1" customHeight="1" x14ac:dyDescent="0.25">
      <c r="A260" s="548" t="s">
        <v>1409</v>
      </c>
      <c r="B260" s="541" t="s">
        <v>470</v>
      </c>
      <c r="C260" s="541" t="s">
        <v>464</v>
      </c>
      <c r="D260" s="541" t="s">
        <v>630</v>
      </c>
      <c r="E260" s="541" t="s">
        <v>634</v>
      </c>
      <c r="F260" s="402">
        <f>ROUND(WWWW[[#This Row],[Total PoP ]]/5,0)</f>
        <v>139</v>
      </c>
      <c r="G260" s="732">
        <v>695</v>
      </c>
      <c r="H260" s="169"/>
      <c r="I260" s="169"/>
      <c r="J260" s="170"/>
      <c r="K260" s="169"/>
      <c r="L260" s="402" t="s">
        <v>292</v>
      </c>
      <c r="M260" s="404">
        <v>0</v>
      </c>
      <c r="N260" s="404">
        <v>0</v>
      </c>
      <c r="O260" s="609">
        <v>0</v>
      </c>
      <c r="P260" s="609">
        <v>0</v>
      </c>
      <c r="Q260" s="615"/>
      <c r="R260" s="604"/>
      <c r="S260" s="604">
        <v>0</v>
      </c>
      <c r="T260" s="604"/>
      <c r="U260" s="604"/>
      <c r="V260" s="604"/>
      <c r="W260" s="604"/>
      <c r="X260" s="604"/>
      <c r="Y260" s="604"/>
      <c r="Z260" s="628">
        <v>44</v>
      </c>
      <c r="AA260" s="628"/>
      <c r="AB260" s="629"/>
      <c r="AC260" s="628">
        <v>44</v>
      </c>
      <c r="AD260" s="628" t="s">
        <v>296</v>
      </c>
      <c r="AE260" s="631" t="s">
        <v>296</v>
      </c>
      <c r="AF260" s="629"/>
      <c r="AG260" s="629"/>
      <c r="AH260" s="628"/>
      <c r="AI260" s="659">
        <v>0</v>
      </c>
      <c r="AJ260" s="644"/>
      <c r="AK260" s="644">
        <v>0</v>
      </c>
      <c r="AL260" s="645"/>
      <c r="AM260" s="645">
        <v>0</v>
      </c>
      <c r="AN260" s="600"/>
      <c r="AO260" s="647"/>
      <c r="AP260" s="647"/>
      <c r="AQ260" s="658"/>
      <c r="AR260" s="235" t="str">
        <f>IFERROR(WWWW[[#This Row],['# of Water passed at source]]/WWWW[[#This Row],['# of Water tested at source]],"no test")</f>
        <v>no test</v>
      </c>
      <c r="AS260" s="237" t="str">
        <f>IFERROR(WWWW[[#This Row],['# of Water passed at HH]]/WWWW[[#This Row],['# of Water tested at HH]],"no test")</f>
        <v>no test</v>
      </c>
      <c r="AT260" s="237">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U260" s="237">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AV260" s="237">
        <f>IF(WWWW[[#This Row],[Location Type 1]]="Village",WWWW[[#This Row],[Access to safe drinking water for Village]],WWWW[[#This Row],[Access to safe drinking water for Camp]])</f>
        <v>0</v>
      </c>
      <c r="AW260" s="414">
        <f>WWWW[[#This Row],[%Equitable and continuous access to sufficient quantity of safe drinking water]]*WWWW[[#This Row],[Total PoP ]]</f>
        <v>0</v>
      </c>
      <c r="AX260" s="237">
        <f>IF((WWWW[[#This Row],['# Existing protected/fenced ponds ]]*250)/WWWW[[#This Row],[Total PoP ]]&gt;1,1,WWWW[[#This Row],['# Existing protected/fenced ponds ]]*250/WWWW[[#This Row],[Total PoP ]])</f>
        <v>0</v>
      </c>
      <c r="AY260" s="414">
        <f>WWWW[[#This Row],[Access to unimproved water points]]*WWWW[[#This Row],[Total PoP ]]</f>
        <v>0</v>
      </c>
      <c r="AZ260" s="237">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A260" s="414">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B260" s="414"/>
      <c r="BC260" s="235">
        <f>1-WWWW[[#This Row],[%Equitable and continuous access to sufficient quantity of domestic water borehole n ponds]]</f>
        <v>1</v>
      </c>
      <c r="BD260" s="414">
        <f>WWWW[[#This Row],[%equitable and continuous access to sufficient quantity of safe drinking and domestic water''s GAP]]*WWWW[[#This Row],[Total PoP ]]</f>
        <v>695</v>
      </c>
      <c r="BE260" s="238">
        <f>IF(WWWW[[#This Row],[Total required water points]]-WWWW[[#This Row],['#Water points coverage]]&lt;0,0,WWWW[[#This Row],[Total required water points]]-WWWW[[#This Row],['#Water points coverage]])</f>
        <v>1</v>
      </c>
      <c r="BF260" s="238">
        <f>ROUND(IF(WWWW[[#This Row],[Total PoP ]]&lt;500,1,WWWW[[#This Row],[Total PoP ]]/500),0)</f>
        <v>1</v>
      </c>
      <c r="BG260" s="238" t="str">
        <f>IF(AND(WWWW[[#This Row],[%of Water samples which passed at water source]]="no test",WWWW[[#This Row],[%Water samples which passed at HH]]="no test"),"No Test","Tested")</f>
        <v>No Test</v>
      </c>
      <c r="BH260" s="238">
        <f>WWWW[[#This Row],['# Existing functional latrines]]+WWWW[[#This Row],['# Existing latrines dysfunctional]]</f>
        <v>44</v>
      </c>
      <c r="BI260" s="235">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0.37985611510791367</v>
      </c>
      <c r="BJ260" s="675">
        <f>WWWW[[#This Row],[% people access to functioning Latrine]]*WWWW[[#This Row],[Total PoP ]]</f>
        <v>264</v>
      </c>
      <c r="BK260" s="235">
        <f>IF(WWWW[[#This Row],[Location Type 1]]="camp",WWWW[[#This Row],['# potential required new latrines]]/(WWWW[[#This Row],[Total PoP ]]/20),WWWW[[#This Row],['# potential required new latrines]]/(WWWW[[#This Row],[Total PoP ]]/6))</f>
        <v>0.62158273381294971</v>
      </c>
      <c r="BL260" s="414">
        <f>IF(WWWW[[#This Row],[Total required Latrines]]-WWWW[[#This Row],[Total '# of latrine]]&lt;0,0,WWWW[[#This Row],[Total required Latrines]]-WWWW[[#This Row],[Total '# of latrine]])</f>
        <v>72</v>
      </c>
      <c r="BM260" s="238">
        <f>ROUND(IF(WWWW[[#This Row],[Location Type 1]]="camp",WWWW[[#This Row],[Total PoP ]]/20,WWWW[[#This Row],[Total PoP ]]/6),0)</f>
        <v>116</v>
      </c>
      <c r="BN260" s="239">
        <f>IF(OR(WWWW[[#This Row],['# Existing latrines dysfunctional]]="",WWWW[[#This Row],['# Existing latrines dysfunctional]]=0),0,WWWW[[#This Row],['# Existing latrines dysfunctional]]/WWWW[[#This Row],[Total '# of latrine]])</f>
        <v>0</v>
      </c>
      <c r="BO260" s="675"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P260" s="235">
        <f>WWWW[[#This Row],[People adopt basic personal and community hygiene practices]]/WWWW[[#This Row],[Total PoP ]]</f>
        <v>0</v>
      </c>
      <c r="BQ260" s="239">
        <f>1-WWWW[[#This Row],[Hygiene Coverage%]]</f>
        <v>1</v>
      </c>
      <c r="BR260" s="405">
        <f>IF(500*WWWW[[#This Row],['# Hygiene Promoters ]]&gt;WWWW[[#This Row],[Total PoP ]],WWWW[[#This Row],[Total PoP ]],500*WWWW[[#This Row],['# Hygiene Promoters ]])</f>
        <v>0</v>
      </c>
      <c r="BS260" s="405">
        <f>IF(WWWW[[#This Row],[% of HH with access to Sanitary Pad]]&gt;=100%,1,0)</f>
        <v>0</v>
      </c>
      <c r="BT260" s="405">
        <f>IF(WWWW[[#This Row],[Total PoP ]]=0,0,IF(WWWW[[#This Row],['# Hygiene Promoters ]]=0,0,IF(WWWW[[#This Row],[Location Type 1]]="Village",IF(WWWW[[#This Row],[Total PoP ]]/WWWW[[#This Row],['# Hygiene Promoters ]]&lt;1000,1,0),IF(WWWW[[#This Row],[Total PoP ]]/WWWW[[#This Row],['# Hygiene Promoters ]]&lt;600,1,0))))</f>
        <v>0</v>
      </c>
      <c r="BU260" s="405">
        <f>IF(WWWW[[#This Row],[%HH with access to soap]]&gt;=100%,1,0)</f>
        <v>0</v>
      </c>
      <c r="BV260" s="405">
        <f>IF(WWWW[[#This Row],[% of HHs with access to Sanitary pad more than '#%]]+WWWW[[#This Row],[Ratio of Hyiene promoters to people less than '#]]+WWWW[[#This Row],[% of HHs with access to soap more than '#%]]&gt;=2,WWWW[[#This Row],[Total PoP ]],0)</f>
        <v>0</v>
      </c>
      <c r="BW260" s="346">
        <f>WWWW[[#This Row],['# people reached by regular dedicated hygiene promotion_5]]/WWWW[[#This Row],[Total PoP ]]</f>
        <v>0</v>
      </c>
      <c r="BX260" s="346">
        <f>IF(WWWW[[#This Row],['# HH received soaps]]/WWWW[[#This Row],[Total HH]]&gt;1,1,WWWW[[#This Row],['# HH received soaps]]/WWWW[[#This Row],[Total HH]])</f>
        <v>0</v>
      </c>
      <c r="BY260" s="346">
        <f>IF(WWWW[[#This Row],['# HH received Sanitary Pads]]/WWWW[[#This Row],[Total HH]]&gt;1,1,WWWW[[#This Row],['# HH received Sanitary Pads]]/WWWW[[#This Row],[Total HH]])</f>
        <v>0</v>
      </c>
      <c r="BZ260" s="720">
        <f>WWWW[[#This Row],['# HH received soaps]]*5</f>
        <v>0</v>
      </c>
      <c r="CA260" s="720">
        <f>WWWW[[#This Row],['# HH received Sanitary Pads]]*5</f>
        <v>0</v>
      </c>
      <c r="CB260" s="675">
        <f>IF(WWWW[[#This Row],['# People with access to soap]]&gt;WWWW[[#This Row],['# People with access to Sanity Pads]],WWWW[[#This Row],['# People with access to soap]],WWWW[[#This Row],['# People with access to Sanity Pads]])</f>
        <v>0</v>
      </c>
      <c r="CC260" s="414">
        <f>WWWW[[#This Row],[Total HH]]*WWWW[[#This Row],[%HHs with access to functional hand washing stations]]</f>
        <v>0</v>
      </c>
      <c r="CD260" s="240">
        <f>VLOOKUP(WWWW[[#This Row],[Site Name]],SiteDB6[],8,FALSE)</f>
        <v>0</v>
      </c>
      <c r="CE260" s="240">
        <f>VLOOKUP(WWWW[[#This Row],[Site Name]],SiteDB6[],9,FALSE)</f>
        <v>0</v>
      </c>
      <c r="CF260" s="240" t="str">
        <f>VLOOKUP(WWWW[[#This Row],[Site Name]],SiteDB6[],10,FALSE)</f>
        <v>Village</v>
      </c>
      <c r="CG260" s="240" t="str">
        <f>VLOOKUP(WWWW[[#This Row],[Site Name]],SiteDB6[],11,FALSE)</f>
        <v>Village</v>
      </c>
      <c r="CH260" s="240" t="str">
        <f>VLOOKUP(WWWW[[#This Row],[Site Name]],SiteDB6[],12,FALSE)</f>
        <v>Village</v>
      </c>
      <c r="CI260" s="240" t="str">
        <f>VLOOKUP(WWWW[[#This Row],[Site Name]],SiteDB6[],13,FALSE)</f>
        <v>Rakhine</v>
      </c>
      <c r="CJ260" s="240">
        <f>VLOOKUP(WWWW[[#This Row],[Site Name]],SiteDB6[],14,FALSE)</f>
        <v>20.292100000000001</v>
      </c>
      <c r="CK260" s="240">
        <f>VLOOKUP(WWWW[[#This Row],[Site Name]],SiteDB6[],15,FALSE)</f>
        <v>92.994100000000003</v>
      </c>
      <c r="CL260" s="240" t="str">
        <f>VLOOKUP(WWWW[[#This Row],[Site Name]],SiteDB6[],4,FALSE)</f>
        <v>196377</v>
      </c>
      <c r="CM260" s="235" t="str">
        <f t="shared" si="3"/>
        <v>Notcovered</v>
      </c>
      <c r="CN260" s="240"/>
    </row>
    <row r="261" spans="1:92" ht="15.75" hidden="1" customHeight="1" x14ac:dyDescent="0.25">
      <c r="A261" s="548" t="s">
        <v>1409</v>
      </c>
      <c r="B261" s="541" t="s">
        <v>470</v>
      </c>
      <c r="C261" s="541" t="s">
        <v>464</v>
      </c>
      <c r="D261" s="541" t="s">
        <v>630</v>
      </c>
      <c r="E261" s="541" t="s">
        <v>637</v>
      </c>
      <c r="F261" s="402">
        <f>ROUND(WWWW[[#This Row],[Total PoP ]]/5,0)</f>
        <v>97</v>
      </c>
      <c r="G261" s="732">
        <v>487</v>
      </c>
      <c r="H261" s="169"/>
      <c r="I261" s="169"/>
      <c r="J261" s="170"/>
      <c r="K261" s="169"/>
      <c r="L261" s="402" t="s">
        <v>292</v>
      </c>
      <c r="M261" s="404">
        <v>0</v>
      </c>
      <c r="N261" s="404">
        <v>0</v>
      </c>
      <c r="O261" s="609">
        <v>0</v>
      </c>
      <c r="P261" s="609"/>
      <c r="Q261" s="610"/>
      <c r="R261" s="611"/>
      <c r="S261" s="611">
        <v>0</v>
      </c>
      <c r="T261" s="606"/>
      <c r="U261" s="606"/>
      <c r="V261" s="606"/>
      <c r="W261" s="606"/>
      <c r="X261" s="604"/>
      <c r="Y261" s="607"/>
      <c r="Z261" s="598">
        <v>5</v>
      </c>
      <c r="AA261" s="599"/>
      <c r="AB261" s="629"/>
      <c r="AC261" s="632">
        <v>0</v>
      </c>
      <c r="AD261" s="80" t="s">
        <v>296</v>
      </c>
      <c r="AE261" s="80" t="s">
        <v>296</v>
      </c>
      <c r="AF261" s="80"/>
      <c r="AG261" s="80"/>
      <c r="AH261" s="633"/>
      <c r="AI261" s="652">
        <v>0</v>
      </c>
      <c r="AJ261" s="653"/>
      <c r="AK261" s="651">
        <v>0</v>
      </c>
      <c r="AL261" s="645"/>
      <c r="AM261" s="645">
        <v>0</v>
      </c>
      <c r="AN261" s="600"/>
      <c r="AO261" s="600"/>
      <c r="AP261" s="600"/>
      <c r="AQ261" s="654"/>
      <c r="AR261" s="235" t="str">
        <f>IFERROR(WWWW[[#This Row],['# of Water passed at source]]/WWWW[[#This Row],['# of Water tested at source]],"no test")</f>
        <v>no test</v>
      </c>
      <c r="AS261" s="237" t="str">
        <f>IFERROR(WWWW[[#This Row],['# of Water passed at HH]]/WWWW[[#This Row],['# of Water tested at HH]],"no test")</f>
        <v>no test</v>
      </c>
      <c r="AT261" s="237">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U261" s="237">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AV261" s="237">
        <f>IF(WWWW[[#This Row],[Location Type 1]]="Village",WWWW[[#This Row],[Access to safe drinking water for Village]],WWWW[[#This Row],[Access to safe drinking water for Camp]])</f>
        <v>0</v>
      </c>
      <c r="AW261" s="414">
        <f>WWWW[[#This Row],[%Equitable and continuous access to sufficient quantity of safe drinking water]]*WWWW[[#This Row],[Total PoP ]]</f>
        <v>0</v>
      </c>
      <c r="AX261" s="237">
        <f>IF((WWWW[[#This Row],['# Existing protected/fenced ponds ]]*250)/WWWW[[#This Row],[Total PoP ]]&gt;1,1,WWWW[[#This Row],['# Existing protected/fenced ponds ]]*250/WWWW[[#This Row],[Total PoP ]])</f>
        <v>0</v>
      </c>
      <c r="AY261" s="414">
        <f>WWWW[[#This Row],[Access to unimproved water points]]*WWWW[[#This Row],[Total PoP ]]</f>
        <v>0</v>
      </c>
      <c r="AZ261" s="237">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A261" s="414">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B261" s="414">
        <f>WWWW[[#This Row],['#people Equitable and continuous access to sufficient quantity of domestic water borehole n ponds_2]]/500</f>
        <v>0</v>
      </c>
      <c r="BC261" s="235">
        <f>1-WWWW[[#This Row],[%Equitable and continuous access to sufficient quantity of domestic water borehole n ponds]]</f>
        <v>1</v>
      </c>
      <c r="BD261" s="414">
        <f>WWWW[[#This Row],[%equitable and continuous access to sufficient quantity of safe drinking and domestic water''s GAP]]*WWWW[[#This Row],[Total PoP ]]</f>
        <v>487</v>
      </c>
      <c r="BE261" s="238">
        <f>IF(WWWW[[#This Row],[Total required water points]]-WWWW[[#This Row],['#Water points coverage]]&lt;0,0,WWWW[[#This Row],[Total required water points]]-WWWW[[#This Row],['#Water points coverage]])</f>
        <v>1</v>
      </c>
      <c r="BF261" s="238">
        <f>ROUND(IF(WWWW[[#This Row],[Total PoP ]]&lt;500,1,WWWW[[#This Row],[Total PoP ]]/500),0)</f>
        <v>1</v>
      </c>
      <c r="BG261" s="238" t="str">
        <f>IF(AND(WWWW[[#This Row],[%of Water samples which passed at water source]]="no test",WWWW[[#This Row],[%Water samples which passed at HH]]="no test"),"No Test","Tested")</f>
        <v>No Test</v>
      </c>
      <c r="BH261" s="238">
        <f>WWWW[[#This Row],['# Existing functional latrines]]+WWWW[[#This Row],['# Existing latrines dysfunctional]]</f>
        <v>5</v>
      </c>
      <c r="BI261" s="235">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6.1601642710472276E-2</v>
      </c>
      <c r="BJ261" s="675">
        <f>WWWW[[#This Row],[% people access to functioning Latrine]]*WWWW[[#This Row],[Total PoP ]]</f>
        <v>30</v>
      </c>
      <c r="BK261" s="235">
        <f>IF(WWWW[[#This Row],[Location Type 1]]="camp",WWWW[[#This Row],['# potential required new latrines]]/(WWWW[[#This Row],[Total PoP ]]/20),WWWW[[#This Row],['# potential required new latrines]]/(WWWW[[#This Row],[Total PoP ]]/6))</f>
        <v>0.93634496919917864</v>
      </c>
      <c r="BL261" s="414">
        <f>IF(WWWW[[#This Row],[Total required Latrines]]-WWWW[[#This Row],[Total '# of latrine]]&lt;0,0,WWWW[[#This Row],[Total required Latrines]]-WWWW[[#This Row],[Total '# of latrine]])</f>
        <v>76</v>
      </c>
      <c r="BM261" s="238">
        <f>ROUND(IF(WWWW[[#This Row],[Location Type 1]]="camp",WWWW[[#This Row],[Total PoP ]]/20,WWWW[[#This Row],[Total PoP ]]/6),0)</f>
        <v>81</v>
      </c>
      <c r="BN261" s="239">
        <f>IF(OR(WWWW[[#This Row],['# Existing latrines dysfunctional]]="",WWWW[[#This Row],['# Existing latrines dysfunctional]]=0),0,WWWW[[#This Row],['# Existing latrines dysfunctional]]/WWWW[[#This Row],[Total '# of latrine]])</f>
        <v>0</v>
      </c>
      <c r="BO261" s="675"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P261" s="235">
        <f>WWWW[[#This Row],[People adopt basic personal and community hygiene practices]]/WWWW[[#This Row],[Total PoP ]]</f>
        <v>0</v>
      </c>
      <c r="BQ261" s="239">
        <f>1-WWWW[[#This Row],[Hygiene Coverage%]]</f>
        <v>1</v>
      </c>
      <c r="BR261" s="405">
        <f>IF(500*WWWW[[#This Row],['# Hygiene Promoters ]]&gt;WWWW[[#This Row],[Total PoP ]],WWWW[[#This Row],[Total PoP ]],500*WWWW[[#This Row],['# Hygiene Promoters ]])</f>
        <v>0</v>
      </c>
      <c r="BS261" s="405">
        <f>IF(WWWW[[#This Row],[% of HH with access to Sanitary Pad]]&gt;=100%,1,0)</f>
        <v>0</v>
      </c>
      <c r="BT261" s="405">
        <f>IF(WWWW[[#This Row],[Total PoP ]]=0,0,IF(WWWW[[#This Row],['# Hygiene Promoters ]]=0,0,IF(WWWW[[#This Row],[Location Type 1]]="Village",IF(WWWW[[#This Row],[Total PoP ]]/WWWW[[#This Row],['# Hygiene Promoters ]]&lt;1000,1,0),IF(WWWW[[#This Row],[Total PoP ]]/WWWW[[#This Row],['# Hygiene Promoters ]]&lt;600,1,0))))</f>
        <v>0</v>
      </c>
      <c r="BU261" s="405">
        <f>IF(WWWW[[#This Row],[%HH with access to soap]]&gt;=100%,1,0)</f>
        <v>0</v>
      </c>
      <c r="BV261" s="405">
        <f>IF(WWWW[[#This Row],[% of HHs with access to Sanitary pad more than '#%]]+WWWW[[#This Row],[Ratio of Hyiene promoters to people less than '#]]+WWWW[[#This Row],[% of HHs with access to soap more than '#%]]&gt;=2,WWWW[[#This Row],[Total PoP ]],0)</f>
        <v>0</v>
      </c>
      <c r="BW261" s="346">
        <f>WWWW[[#This Row],['# people reached by regular dedicated hygiene promotion_5]]/WWWW[[#This Row],[Total PoP ]]</f>
        <v>0</v>
      </c>
      <c r="BX261" s="346">
        <f>IF(WWWW[[#This Row],['# HH received soaps]]/WWWW[[#This Row],[Total HH]]&gt;1,1,WWWW[[#This Row],['# HH received soaps]]/WWWW[[#This Row],[Total HH]])</f>
        <v>0</v>
      </c>
      <c r="BY261" s="346">
        <f>IF(WWWW[[#This Row],['# HH received Sanitary Pads]]/WWWW[[#This Row],[Total HH]]&gt;1,1,WWWW[[#This Row],['# HH received Sanitary Pads]]/WWWW[[#This Row],[Total HH]])</f>
        <v>0</v>
      </c>
      <c r="BZ261" s="720">
        <f>WWWW[[#This Row],['# HH received soaps]]*5</f>
        <v>0</v>
      </c>
      <c r="CA261" s="720">
        <f>WWWW[[#This Row],['# HH received Sanitary Pads]]*5</f>
        <v>0</v>
      </c>
      <c r="CB261" s="675">
        <f>IF(WWWW[[#This Row],['# People with access to soap]]&gt;WWWW[[#This Row],['# People with access to Sanity Pads]],WWWW[[#This Row],['# People with access to soap]],WWWW[[#This Row],['# People with access to Sanity Pads]])</f>
        <v>0</v>
      </c>
      <c r="CC261" s="414">
        <f>WWWW[[#This Row],[Total HH]]*WWWW[[#This Row],[%HHs with access to functional hand washing stations]]</f>
        <v>0</v>
      </c>
      <c r="CD261" s="240">
        <f>VLOOKUP(WWWW[[#This Row],[Site Name]],SiteDB6[],8,FALSE)</f>
        <v>0</v>
      </c>
      <c r="CE261" s="240">
        <f>VLOOKUP(WWWW[[#This Row],[Site Name]],SiteDB6[],9,FALSE)</f>
        <v>0</v>
      </c>
      <c r="CF261" s="240" t="str">
        <f>VLOOKUP(WWWW[[#This Row],[Site Name]],SiteDB6[],10,FALSE)</f>
        <v>Village</v>
      </c>
      <c r="CG261" s="240" t="str">
        <f>VLOOKUP(WWWW[[#This Row],[Site Name]],SiteDB6[],11,FALSE)</f>
        <v>Village</v>
      </c>
      <c r="CH261" s="240" t="str">
        <f>VLOOKUP(WWWW[[#This Row],[Site Name]],SiteDB6[],12,FALSE)</f>
        <v>Village</v>
      </c>
      <c r="CI261" s="240" t="str">
        <f>VLOOKUP(WWWW[[#This Row],[Site Name]],SiteDB6[],13,FALSE)</f>
        <v>Rakhine</v>
      </c>
      <c r="CJ261" s="240">
        <f>VLOOKUP(WWWW[[#This Row],[Site Name]],SiteDB6[],14,FALSE)</f>
        <v>20.361530303999999</v>
      </c>
      <c r="CK261" s="240">
        <f>VLOOKUP(WWWW[[#This Row],[Site Name]],SiteDB6[],15,FALSE)</f>
        <v>92.992073059000006</v>
      </c>
      <c r="CL261" s="240" t="str">
        <f>VLOOKUP(WWWW[[#This Row],[Site Name]],SiteDB6[],4,FALSE)</f>
        <v>196359</v>
      </c>
      <c r="CM261" s="235" t="str">
        <f t="shared" si="3"/>
        <v>Notcovered</v>
      </c>
      <c r="CN261" s="240"/>
    </row>
    <row r="262" spans="1:92" ht="15.75" hidden="1" customHeight="1" x14ac:dyDescent="0.25">
      <c r="A262" s="548" t="s">
        <v>1409</v>
      </c>
      <c r="B262" s="530" t="s">
        <v>470</v>
      </c>
      <c r="C262" s="531" t="s">
        <v>464</v>
      </c>
      <c r="D262" s="531" t="s">
        <v>630</v>
      </c>
      <c r="E262" s="531" t="s">
        <v>646</v>
      </c>
      <c r="F262" s="402">
        <f>ROUND(WWWW[[#This Row],[Total PoP ]]/5,0)</f>
        <v>291</v>
      </c>
      <c r="G262" s="405">
        <v>1455</v>
      </c>
      <c r="H262" s="402"/>
      <c r="I262" s="402"/>
      <c r="J262" s="403"/>
      <c r="K262" s="402"/>
      <c r="L262" s="402" t="s">
        <v>292</v>
      </c>
      <c r="M262" s="404">
        <v>0</v>
      </c>
      <c r="N262" s="404">
        <v>0</v>
      </c>
      <c r="O262" s="605">
        <v>0</v>
      </c>
      <c r="P262" s="606">
        <v>0</v>
      </c>
      <c r="Q262" s="606"/>
      <c r="R262" s="607"/>
      <c r="S262" s="607">
        <v>0</v>
      </c>
      <c r="T262" s="607"/>
      <c r="U262" s="607"/>
      <c r="V262" s="607"/>
      <c r="W262" s="607"/>
      <c r="X262" s="607"/>
      <c r="Y262" s="607"/>
      <c r="Z262" s="598">
        <v>44</v>
      </c>
      <c r="AA262" s="598"/>
      <c r="AB262" s="80"/>
      <c r="AC262" s="598">
        <v>44</v>
      </c>
      <c r="AD262" s="598" t="s">
        <v>296</v>
      </c>
      <c r="AE262" s="599" t="s">
        <v>296</v>
      </c>
      <c r="AF262" s="599"/>
      <c r="AG262" s="598"/>
      <c r="AH262" s="598"/>
      <c r="AI262" s="649">
        <v>0</v>
      </c>
      <c r="AJ262" s="650"/>
      <c r="AK262" s="650">
        <v>0</v>
      </c>
      <c r="AL262" s="645"/>
      <c r="AM262" s="645">
        <v>0</v>
      </c>
      <c r="AN262" s="600"/>
      <c r="AO262" s="600"/>
      <c r="AP262" s="600"/>
      <c r="AQ262" s="651"/>
      <c r="AR262" s="404" t="str">
        <f>IFERROR(WWWW[[#This Row],['# of Water passed at source]]/WWWW[[#This Row],['# of Water tested at source]],"no test")</f>
        <v>no test</v>
      </c>
      <c r="AS262" s="407" t="str">
        <f>IFERROR(WWWW[[#This Row],['# of Water passed at HH]]/WWWW[[#This Row],['# of Water tested at HH]],"no test")</f>
        <v>no test</v>
      </c>
      <c r="AT262" s="407">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U262" s="407">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AV262" s="407">
        <f>IF(WWWW[[#This Row],[Location Type 1]]="Village",WWWW[[#This Row],[Access to safe drinking water for Village]],WWWW[[#This Row],[Access to safe drinking water for Camp]])</f>
        <v>0</v>
      </c>
      <c r="AW262" s="405">
        <f>WWWW[[#This Row],[%Equitable and continuous access to sufficient quantity of safe drinking water]]*WWWW[[#This Row],[Total PoP ]]</f>
        <v>0</v>
      </c>
      <c r="AX262" s="407">
        <f>IF((WWWW[[#This Row],['# Existing protected/fenced ponds ]]*250)/WWWW[[#This Row],[Total PoP ]]&gt;1,1,WWWW[[#This Row],['# Existing protected/fenced ponds ]]*250/WWWW[[#This Row],[Total PoP ]])</f>
        <v>0</v>
      </c>
      <c r="AY262" s="405">
        <f>WWWW[[#This Row],[Access to unimproved water points]]*WWWW[[#This Row],[Total PoP ]]</f>
        <v>0</v>
      </c>
      <c r="AZ262" s="407">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A262" s="405">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B262" s="405">
        <f>WWWW[[#This Row],['#people Equitable and continuous access to sufficient quantity of domestic water borehole n ponds_2]]/500</f>
        <v>0</v>
      </c>
      <c r="BC262" s="404">
        <f>1-WWWW[[#This Row],[%Equitable and continuous access to sufficient quantity of domestic water borehole n ponds]]</f>
        <v>1</v>
      </c>
      <c r="BD262" s="405">
        <f>WWWW[[#This Row],[%equitable and continuous access to sufficient quantity of safe drinking and domestic water''s GAP]]*WWWW[[#This Row],[Total PoP ]]</f>
        <v>1455</v>
      </c>
      <c r="BE262" s="406">
        <f>IF(WWWW[[#This Row],[Total required water points]]-WWWW[[#This Row],['#Water points coverage]]&lt;0,0,WWWW[[#This Row],[Total required water points]]-WWWW[[#This Row],['#Water points coverage]])</f>
        <v>3</v>
      </c>
      <c r="BF262" s="406">
        <f>ROUND(IF(WWWW[[#This Row],[Total PoP ]]&lt;500,1,WWWW[[#This Row],[Total PoP ]]/500),0)</f>
        <v>3</v>
      </c>
      <c r="BG262" s="406" t="str">
        <f>IF(AND(WWWW[[#This Row],[%of Water samples which passed at water source]]="no test",WWWW[[#This Row],[%Water samples which passed at HH]]="no test"),"No Test","Tested")</f>
        <v>No Test</v>
      </c>
      <c r="BH262" s="406">
        <f>WWWW[[#This Row],['# Existing functional latrines]]+WWWW[[#This Row],['# Existing latrines dysfunctional]]</f>
        <v>44</v>
      </c>
      <c r="BI262" s="404">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0.18144329896907216</v>
      </c>
      <c r="BJ262" s="676">
        <f>WWWW[[#This Row],[% people access to functioning Latrine]]*WWWW[[#This Row],[Total PoP ]]</f>
        <v>264</v>
      </c>
      <c r="BK262" s="404">
        <f>IF(WWWW[[#This Row],[Location Type 1]]="camp",WWWW[[#This Row],['# potential required new latrines]]/(WWWW[[#This Row],[Total PoP ]]/20),WWWW[[#This Row],['# potential required new latrines]]/(WWWW[[#This Row],[Total PoP ]]/6))</f>
        <v>0.8206185567010309</v>
      </c>
      <c r="BL262" s="405">
        <f>IF(WWWW[[#This Row],[Total required Latrines]]-WWWW[[#This Row],[Total '# of latrine]]&lt;0,0,WWWW[[#This Row],[Total required Latrines]]-WWWW[[#This Row],[Total '# of latrine]])</f>
        <v>199</v>
      </c>
      <c r="BM262" s="406">
        <f>ROUND(IF(WWWW[[#This Row],[Location Type 1]]="camp",WWWW[[#This Row],[Total PoP ]]/20,WWWW[[#This Row],[Total PoP ]]/6),0)</f>
        <v>243</v>
      </c>
      <c r="BN262" s="408">
        <f>IF(OR(WWWW[[#This Row],['# Existing latrines dysfunctional]]="",WWWW[[#This Row],['# Existing latrines dysfunctional]]=0),0,WWWW[[#This Row],['# Existing latrines dysfunctional]]/WWWW[[#This Row],[Total '# of latrine]])</f>
        <v>0</v>
      </c>
      <c r="BO262" s="676"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P262" s="404">
        <f>WWWW[[#This Row],[People adopt basic personal and community hygiene practices]]/WWWW[[#This Row],[Total PoP ]]</f>
        <v>0</v>
      </c>
      <c r="BQ262" s="408">
        <f>1-WWWW[[#This Row],[Hygiene Coverage%]]</f>
        <v>1</v>
      </c>
      <c r="BR262" s="405">
        <f>IF(500*WWWW[[#This Row],['# Hygiene Promoters ]]&gt;WWWW[[#This Row],[Total PoP ]],WWWW[[#This Row],[Total PoP ]],500*WWWW[[#This Row],['# Hygiene Promoters ]])</f>
        <v>0</v>
      </c>
      <c r="BS262" s="405">
        <f>IF(WWWW[[#This Row],[% of HH with access to Sanitary Pad]]&gt;=100%,1,0)</f>
        <v>0</v>
      </c>
      <c r="BT262" s="405">
        <f>IF(WWWW[[#This Row],[Total PoP ]]=0,0,IF(WWWW[[#This Row],['# Hygiene Promoters ]]=0,0,IF(WWWW[[#This Row],[Location Type 1]]="Village",IF(WWWW[[#This Row],[Total PoP ]]/WWWW[[#This Row],['# Hygiene Promoters ]]&lt;1000,1,0),IF(WWWW[[#This Row],[Total PoP ]]/WWWW[[#This Row],['# Hygiene Promoters ]]&lt;600,1,0))))</f>
        <v>0</v>
      </c>
      <c r="BU262" s="405">
        <f>IF(WWWW[[#This Row],[%HH with access to soap]]&gt;=100%,1,0)</f>
        <v>0</v>
      </c>
      <c r="BV262" s="405">
        <f>IF(WWWW[[#This Row],[% of HHs with access to Sanitary pad more than '#%]]+WWWW[[#This Row],[Ratio of Hyiene promoters to people less than '#]]+WWWW[[#This Row],[% of HHs with access to soap more than '#%]]&gt;=2,WWWW[[#This Row],[Total PoP ]],0)</f>
        <v>0</v>
      </c>
      <c r="BW262" s="391">
        <f>WWWW[[#This Row],['# people reached by regular dedicated hygiene promotion_5]]/WWWW[[#This Row],[Total PoP ]]</f>
        <v>0</v>
      </c>
      <c r="BX262" s="391">
        <f>IF(WWWW[[#This Row],['# HH received soaps]]/WWWW[[#This Row],[Total HH]]&gt;1,1,WWWW[[#This Row],['# HH received soaps]]/WWWW[[#This Row],[Total HH]])</f>
        <v>0</v>
      </c>
      <c r="BY262" s="391">
        <f>IF(WWWW[[#This Row],['# HH received Sanitary Pads]]/WWWW[[#This Row],[Total HH]]&gt;1,1,WWWW[[#This Row],['# HH received Sanitary Pads]]/WWWW[[#This Row],[Total HH]])</f>
        <v>0</v>
      </c>
      <c r="BZ262" s="721">
        <f>WWWW[[#This Row],['# HH received soaps]]*5</f>
        <v>0</v>
      </c>
      <c r="CA262" s="721">
        <f>WWWW[[#This Row],['# HH received Sanitary Pads]]*5</f>
        <v>0</v>
      </c>
      <c r="CB262" s="406">
        <f>IF(WWWW[[#This Row],['# People with access to soap]]&gt;WWWW[[#This Row],['# People with access to Sanity Pads]],WWWW[[#This Row],['# People with access to soap]],WWWW[[#This Row],['# People with access to Sanity Pads]])</f>
        <v>0</v>
      </c>
      <c r="CC262" s="405">
        <f>WWWW[[#This Row],[Total HH]]*WWWW[[#This Row],[%HHs with access to functional hand washing stations]]</f>
        <v>0</v>
      </c>
      <c r="CD262" s="240">
        <f>VLOOKUP(WWWW[[#This Row],[Site Name]],SiteDB6[],8,FALSE)</f>
        <v>0</v>
      </c>
      <c r="CE262" s="240">
        <f>VLOOKUP(WWWW[[#This Row],[Site Name]],SiteDB6[],9,FALSE)</f>
        <v>0</v>
      </c>
      <c r="CF262" s="240" t="str">
        <f>VLOOKUP(WWWW[[#This Row],[Site Name]],SiteDB6[],10,FALSE)</f>
        <v>Village</v>
      </c>
      <c r="CG262" s="240" t="str">
        <f>VLOOKUP(WWWW[[#This Row],[Site Name]],SiteDB6[],11,FALSE)</f>
        <v>Village</v>
      </c>
      <c r="CH262" s="240" t="str">
        <f>VLOOKUP(WWWW[[#This Row],[Site Name]],SiteDB6[],12,FALSE)</f>
        <v>Village</v>
      </c>
      <c r="CI262" s="240" t="str">
        <f>VLOOKUP(WWWW[[#This Row],[Site Name]],SiteDB6[],13,FALSE)</f>
        <v>Rakhine</v>
      </c>
      <c r="CJ262" s="240">
        <f>VLOOKUP(WWWW[[#This Row],[Site Name]],SiteDB6[],14,FALSE)</f>
        <v>20.424389999999999</v>
      </c>
      <c r="CK262" s="240">
        <f>VLOOKUP(WWWW[[#This Row],[Site Name]],SiteDB6[],15,FALSE)</f>
        <v>93.012960000000007</v>
      </c>
      <c r="CL262" s="240" t="str">
        <f>VLOOKUP(WWWW[[#This Row],[Site Name]],SiteDB6[],4,FALSE)</f>
        <v>196356</v>
      </c>
      <c r="CM262" s="404" t="str">
        <f t="shared" si="3"/>
        <v>Notcovered</v>
      </c>
      <c r="CN262" s="404"/>
    </row>
    <row r="263" spans="1:92" ht="15.75" hidden="1" customHeight="1" x14ac:dyDescent="0.25">
      <c r="A263" s="548" t="s">
        <v>1409</v>
      </c>
      <c r="B263" s="530" t="s">
        <v>470</v>
      </c>
      <c r="C263" s="531" t="s">
        <v>464</v>
      </c>
      <c r="D263" s="531" t="s">
        <v>630</v>
      </c>
      <c r="E263" s="531" t="s">
        <v>659</v>
      </c>
      <c r="F263" s="402">
        <f>ROUND(WWWW[[#This Row],[Total PoP ]]/5,0)</f>
        <v>130</v>
      </c>
      <c r="G263" s="405">
        <v>650</v>
      </c>
      <c r="H263" s="402"/>
      <c r="I263" s="402"/>
      <c r="J263" s="403"/>
      <c r="K263" s="402"/>
      <c r="L263" s="402" t="s">
        <v>292</v>
      </c>
      <c r="M263" s="404">
        <v>0</v>
      </c>
      <c r="N263" s="404">
        <v>0</v>
      </c>
      <c r="O263" s="605">
        <v>0</v>
      </c>
      <c r="P263" s="606"/>
      <c r="Q263" s="606"/>
      <c r="R263" s="607"/>
      <c r="S263" s="607">
        <v>0</v>
      </c>
      <c r="T263" s="607"/>
      <c r="U263" s="607"/>
      <c r="V263" s="607"/>
      <c r="W263" s="607"/>
      <c r="X263" s="607"/>
      <c r="Y263" s="607"/>
      <c r="Z263" s="598">
        <v>23</v>
      </c>
      <c r="AA263" s="598"/>
      <c r="AB263" s="80"/>
      <c r="AC263" s="598">
        <v>0</v>
      </c>
      <c r="AD263" s="598" t="s">
        <v>296</v>
      </c>
      <c r="AE263" s="599" t="s">
        <v>296</v>
      </c>
      <c r="AF263" s="599"/>
      <c r="AG263" s="598"/>
      <c r="AH263" s="598"/>
      <c r="AI263" s="649">
        <v>0</v>
      </c>
      <c r="AJ263" s="650"/>
      <c r="AK263" s="650">
        <v>0</v>
      </c>
      <c r="AL263" s="645"/>
      <c r="AM263" s="645">
        <v>0</v>
      </c>
      <c r="AN263" s="600"/>
      <c r="AO263" s="600"/>
      <c r="AP263" s="600"/>
      <c r="AQ263" s="651"/>
      <c r="AR263" s="404" t="str">
        <f>IFERROR(WWWW[[#This Row],['# of Water passed at source]]/WWWW[[#This Row],['# of Water tested at source]],"no test")</f>
        <v>no test</v>
      </c>
      <c r="AS263" s="407" t="str">
        <f>IFERROR(WWWW[[#This Row],['# of Water passed at HH]]/WWWW[[#This Row],['# of Water tested at HH]],"no test")</f>
        <v>no test</v>
      </c>
      <c r="AT263" s="407">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U263" s="407">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AV263" s="407">
        <f>IF(WWWW[[#This Row],[Location Type 1]]="Village",WWWW[[#This Row],[Access to safe drinking water for Village]],WWWW[[#This Row],[Access to safe drinking water for Camp]])</f>
        <v>0</v>
      </c>
      <c r="AW263" s="405">
        <f>WWWW[[#This Row],[%Equitable and continuous access to sufficient quantity of safe drinking water]]*WWWW[[#This Row],[Total PoP ]]</f>
        <v>0</v>
      </c>
      <c r="AX263" s="407">
        <f>IF((WWWW[[#This Row],['# Existing protected/fenced ponds ]]*250)/WWWW[[#This Row],[Total PoP ]]&gt;1,1,WWWW[[#This Row],['# Existing protected/fenced ponds ]]*250/WWWW[[#This Row],[Total PoP ]])</f>
        <v>0</v>
      </c>
      <c r="AY263" s="405">
        <f>WWWW[[#This Row],[Access to unimproved water points]]*WWWW[[#This Row],[Total PoP ]]</f>
        <v>0</v>
      </c>
      <c r="AZ263" s="407">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A263" s="405">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B263" s="405">
        <f>WWWW[[#This Row],['#people Equitable and continuous access to sufficient quantity of domestic water borehole n ponds_2]]/500</f>
        <v>0</v>
      </c>
      <c r="BC263" s="404">
        <f>1-WWWW[[#This Row],[%Equitable and continuous access to sufficient quantity of domestic water borehole n ponds]]</f>
        <v>1</v>
      </c>
      <c r="BD263" s="405">
        <f>WWWW[[#This Row],[%equitable and continuous access to sufficient quantity of safe drinking and domestic water''s GAP]]*WWWW[[#This Row],[Total PoP ]]</f>
        <v>650</v>
      </c>
      <c r="BE263" s="406">
        <f>IF(WWWW[[#This Row],[Total required water points]]-WWWW[[#This Row],['#Water points coverage]]&lt;0,0,WWWW[[#This Row],[Total required water points]]-WWWW[[#This Row],['#Water points coverage]])</f>
        <v>1</v>
      </c>
      <c r="BF263" s="406">
        <f>ROUND(IF(WWWW[[#This Row],[Total PoP ]]&lt;500,1,WWWW[[#This Row],[Total PoP ]]/500),0)</f>
        <v>1</v>
      </c>
      <c r="BG263" s="406" t="str">
        <f>IF(AND(WWWW[[#This Row],[%of Water samples which passed at water source]]="no test",WWWW[[#This Row],[%Water samples which passed at HH]]="no test"),"No Test","Tested")</f>
        <v>No Test</v>
      </c>
      <c r="BH263" s="406">
        <f>WWWW[[#This Row],['# Existing functional latrines]]+WWWW[[#This Row],['# Existing latrines dysfunctional]]</f>
        <v>23</v>
      </c>
      <c r="BI263" s="404">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0.21230769230769231</v>
      </c>
      <c r="BJ263" s="676">
        <f>WWWW[[#This Row],[% people access to functioning Latrine]]*WWWW[[#This Row],[Total PoP ]]</f>
        <v>138</v>
      </c>
      <c r="BK263" s="404">
        <f>IF(WWWW[[#This Row],[Location Type 1]]="camp",WWWW[[#This Row],['# potential required new latrines]]/(WWWW[[#This Row],[Total PoP ]]/20),WWWW[[#This Row],['# potential required new latrines]]/(WWWW[[#This Row],[Total PoP ]]/6))</f>
        <v>0.7846153846153846</v>
      </c>
      <c r="BL263" s="405">
        <f>IF(WWWW[[#This Row],[Total required Latrines]]-WWWW[[#This Row],[Total '# of latrine]]&lt;0,0,WWWW[[#This Row],[Total required Latrines]]-WWWW[[#This Row],[Total '# of latrine]])</f>
        <v>85</v>
      </c>
      <c r="BM263" s="406">
        <f>ROUND(IF(WWWW[[#This Row],[Location Type 1]]="camp",WWWW[[#This Row],[Total PoP ]]/20,WWWW[[#This Row],[Total PoP ]]/6),0)</f>
        <v>108</v>
      </c>
      <c r="BN263" s="408">
        <f>IF(OR(WWWW[[#This Row],['# Existing latrines dysfunctional]]="",WWWW[[#This Row],['# Existing latrines dysfunctional]]=0),0,WWWW[[#This Row],['# Existing latrines dysfunctional]]/WWWW[[#This Row],[Total '# of latrine]])</f>
        <v>0</v>
      </c>
      <c r="BO263" s="676"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P263" s="404">
        <f>WWWW[[#This Row],[People adopt basic personal and community hygiene practices]]/WWWW[[#This Row],[Total PoP ]]</f>
        <v>0</v>
      </c>
      <c r="BQ263" s="408">
        <f>1-WWWW[[#This Row],[Hygiene Coverage%]]</f>
        <v>1</v>
      </c>
      <c r="BR263" s="405">
        <f>IF(500*WWWW[[#This Row],['# Hygiene Promoters ]]&gt;WWWW[[#This Row],[Total PoP ]],WWWW[[#This Row],[Total PoP ]],500*WWWW[[#This Row],['# Hygiene Promoters ]])</f>
        <v>0</v>
      </c>
      <c r="BS263" s="405">
        <f>IF(WWWW[[#This Row],[% of HH with access to Sanitary Pad]]&gt;=100%,1,0)</f>
        <v>0</v>
      </c>
      <c r="BT263" s="405">
        <f>IF(WWWW[[#This Row],[Total PoP ]]=0,0,IF(WWWW[[#This Row],['# Hygiene Promoters ]]=0,0,IF(WWWW[[#This Row],[Location Type 1]]="Village",IF(WWWW[[#This Row],[Total PoP ]]/WWWW[[#This Row],['# Hygiene Promoters ]]&lt;1000,1,0),IF(WWWW[[#This Row],[Total PoP ]]/WWWW[[#This Row],['# Hygiene Promoters ]]&lt;600,1,0))))</f>
        <v>0</v>
      </c>
      <c r="BU263" s="405">
        <f>IF(WWWW[[#This Row],[%HH with access to soap]]&gt;=100%,1,0)</f>
        <v>0</v>
      </c>
      <c r="BV263" s="405">
        <f>IF(WWWW[[#This Row],[% of HHs with access to Sanitary pad more than '#%]]+WWWW[[#This Row],[Ratio of Hyiene promoters to people less than '#]]+WWWW[[#This Row],[% of HHs with access to soap more than '#%]]&gt;=2,WWWW[[#This Row],[Total PoP ]],0)</f>
        <v>0</v>
      </c>
      <c r="BW263" s="391">
        <f>WWWW[[#This Row],['# people reached by regular dedicated hygiene promotion_5]]/WWWW[[#This Row],[Total PoP ]]</f>
        <v>0</v>
      </c>
      <c r="BX263" s="391">
        <f>IF(WWWW[[#This Row],['# HH received soaps]]/WWWW[[#This Row],[Total HH]]&gt;1,1,WWWW[[#This Row],['# HH received soaps]]/WWWW[[#This Row],[Total HH]])</f>
        <v>0</v>
      </c>
      <c r="BY263" s="391">
        <f>IF(WWWW[[#This Row],['# HH received Sanitary Pads]]/WWWW[[#This Row],[Total HH]]&gt;1,1,WWWW[[#This Row],['# HH received Sanitary Pads]]/WWWW[[#This Row],[Total HH]])</f>
        <v>0</v>
      </c>
      <c r="BZ263" s="721">
        <f>WWWW[[#This Row],['# HH received soaps]]*5</f>
        <v>0</v>
      </c>
      <c r="CA263" s="721">
        <f>WWWW[[#This Row],['# HH received Sanitary Pads]]*5</f>
        <v>0</v>
      </c>
      <c r="CB263" s="406">
        <f>IF(WWWW[[#This Row],['# People with access to soap]]&gt;WWWW[[#This Row],['# People with access to Sanity Pads]],WWWW[[#This Row],['# People with access to soap]],WWWW[[#This Row],['# People with access to Sanity Pads]])</f>
        <v>0</v>
      </c>
      <c r="CC263" s="405">
        <f>WWWW[[#This Row],[Total HH]]*WWWW[[#This Row],[%HHs with access to functional hand washing stations]]</f>
        <v>0</v>
      </c>
      <c r="CD263" s="240">
        <f>VLOOKUP(WWWW[[#This Row],[Site Name]],SiteDB6[],8,FALSE)</f>
        <v>0</v>
      </c>
      <c r="CE263" s="240">
        <f>VLOOKUP(WWWW[[#This Row],[Site Name]],SiteDB6[],9,FALSE)</f>
        <v>0</v>
      </c>
      <c r="CF263" s="240" t="str">
        <f>VLOOKUP(WWWW[[#This Row],[Site Name]],SiteDB6[],10,FALSE)</f>
        <v>Village</v>
      </c>
      <c r="CG263" s="240" t="str">
        <f>VLOOKUP(WWWW[[#This Row],[Site Name]],SiteDB6[],11,FALSE)</f>
        <v>Village</v>
      </c>
      <c r="CH263" s="240" t="str">
        <f>VLOOKUP(WWWW[[#This Row],[Site Name]],SiteDB6[],12,FALSE)</f>
        <v>Village</v>
      </c>
      <c r="CI263" s="240" t="str">
        <f>VLOOKUP(WWWW[[#This Row],[Site Name]],SiteDB6[],13,FALSE)</f>
        <v>Rakhine</v>
      </c>
      <c r="CJ263" s="240">
        <f>VLOOKUP(WWWW[[#This Row],[Site Name]],SiteDB6[],14,FALSE)</f>
        <v>20.482030868999999</v>
      </c>
      <c r="CK263" s="240">
        <f>VLOOKUP(WWWW[[#This Row],[Site Name]],SiteDB6[],15,FALSE)</f>
        <v>93.045410156000003</v>
      </c>
      <c r="CL263" s="240" t="str">
        <f>VLOOKUP(WWWW[[#This Row],[Site Name]],SiteDB6[],4,FALSE)</f>
        <v>196349</v>
      </c>
      <c r="CM263" s="404" t="str">
        <f t="shared" ref="CM263:CM326" si="4">IF(B263="none","Notcovered","Covered")</f>
        <v>Notcovered</v>
      </c>
      <c r="CN263" s="404"/>
    </row>
    <row r="264" spans="1:92" ht="15.75" hidden="1" customHeight="1" x14ac:dyDescent="0.25">
      <c r="A264" s="548" t="s">
        <v>1409</v>
      </c>
      <c r="B264" s="530" t="s">
        <v>470</v>
      </c>
      <c r="C264" s="531" t="s">
        <v>464</v>
      </c>
      <c r="D264" s="531" t="s">
        <v>630</v>
      </c>
      <c r="E264" s="531" t="s">
        <v>662</v>
      </c>
      <c r="F264" s="402">
        <f>ROUND(WWWW[[#This Row],[Total PoP ]]/5,0)</f>
        <v>72</v>
      </c>
      <c r="G264" s="405">
        <v>360</v>
      </c>
      <c r="H264" s="402"/>
      <c r="I264" s="402"/>
      <c r="J264" s="403"/>
      <c r="K264" s="402"/>
      <c r="L264" s="402" t="s">
        <v>292</v>
      </c>
      <c r="M264" s="404">
        <v>0</v>
      </c>
      <c r="N264" s="404">
        <v>0</v>
      </c>
      <c r="O264" s="605">
        <v>0</v>
      </c>
      <c r="P264" s="606"/>
      <c r="Q264" s="606"/>
      <c r="R264" s="607"/>
      <c r="S264" s="607">
        <v>0</v>
      </c>
      <c r="T264" s="607"/>
      <c r="U264" s="607"/>
      <c r="V264" s="607"/>
      <c r="W264" s="607"/>
      <c r="X264" s="607"/>
      <c r="Y264" s="607"/>
      <c r="Z264" s="598">
        <v>5</v>
      </c>
      <c r="AA264" s="598"/>
      <c r="AB264" s="80"/>
      <c r="AC264" s="598">
        <v>0</v>
      </c>
      <c r="AD264" s="598" t="s">
        <v>296</v>
      </c>
      <c r="AE264" s="599" t="s">
        <v>296</v>
      </c>
      <c r="AF264" s="599"/>
      <c r="AG264" s="598"/>
      <c r="AH264" s="598"/>
      <c r="AI264" s="649">
        <v>0</v>
      </c>
      <c r="AJ264" s="650"/>
      <c r="AK264" s="650">
        <v>0</v>
      </c>
      <c r="AL264" s="645"/>
      <c r="AM264" s="645">
        <v>0</v>
      </c>
      <c r="AN264" s="600"/>
      <c r="AO264" s="600"/>
      <c r="AP264" s="600"/>
      <c r="AQ264" s="651"/>
      <c r="AR264" s="404" t="str">
        <f>IFERROR(WWWW[[#This Row],['# of Water passed at source]]/WWWW[[#This Row],['# of Water tested at source]],"no test")</f>
        <v>no test</v>
      </c>
      <c r="AS264" s="407" t="str">
        <f>IFERROR(WWWW[[#This Row],['# of Water passed at HH]]/WWWW[[#This Row],['# of Water tested at HH]],"no test")</f>
        <v>no test</v>
      </c>
      <c r="AT264" s="407">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U264" s="407">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AV264" s="407">
        <f>IF(WWWW[[#This Row],[Location Type 1]]="Village",WWWW[[#This Row],[Access to safe drinking water for Village]],WWWW[[#This Row],[Access to safe drinking water for Camp]])</f>
        <v>0</v>
      </c>
      <c r="AW264" s="405">
        <f>WWWW[[#This Row],[%Equitable and continuous access to sufficient quantity of safe drinking water]]*WWWW[[#This Row],[Total PoP ]]</f>
        <v>0</v>
      </c>
      <c r="AX264" s="407">
        <f>IF((WWWW[[#This Row],['# Existing protected/fenced ponds ]]*250)/WWWW[[#This Row],[Total PoP ]]&gt;1,1,WWWW[[#This Row],['# Existing protected/fenced ponds ]]*250/WWWW[[#This Row],[Total PoP ]])</f>
        <v>0</v>
      </c>
      <c r="AY264" s="405">
        <f>WWWW[[#This Row],[Access to unimproved water points]]*WWWW[[#This Row],[Total PoP ]]</f>
        <v>0</v>
      </c>
      <c r="AZ264" s="407">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A264" s="405">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B264" s="405">
        <f>WWWW[[#This Row],['#people Equitable and continuous access to sufficient quantity of domestic water borehole n ponds_2]]/500</f>
        <v>0</v>
      </c>
      <c r="BC264" s="404">
        <f>1-WWWW[[#This Row],[%Equitable and continuous access to sufficient quantity of domestic water borehole n ponds]]</f>
        <v>1</v>
      </c>
      <c r="BD264" s="405">
        <f>WWWW[[#This Row],[%equitable and continuous access to sufficient quantity of safe drinking and domestic water''s GAP]]*WWWW[[#This Row],[Total PoP ]]</f>
        <v>360</v>
      </c>
      <c r="BE264" s="406">
        <f>IF(WWWW[[#This Row],[Total required water points]]-WWWW[[#This Row],['#Water points coverage]]&lt;0,0,WWWW[[#This Row],[Total required water points]]-WWWW[[#This Row],['#Water points coverage]])</f>
        <v>1</v>
      </c>
      <c r="BF264" s="406">
        <f>ROUND(IF(WWWW[[#This Row],[Total PoP ]]&lt;500,1,WWWW[[#This Row],[Total PoP ]]/500),0)</f>
        <v>1</v>
      </c>
      <c r="BG264" s="406" t="str">
        <f>IF(AND(WWWW[[#This Row],[%of Water samples which passed at water source]]="no test",WWWW[[#This Row],[%Water samples which passed at HH]]="no test"),"No Test","Tested")</f>
        <v>No Test</v>
      </c>
      <c r="BH264" s="406">
        <f>WWWW[[#This Row],['# Existing functional latrines]]+WWWW[[#This Row],['# Existing latrines dysfunctional]]</f>
        <v>5</v>
      </c>
      <c r="BI264" s="404">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8.3333333333333329E-2</v>
      </c>
      <c r="BJ264" s="676">
        <f>WWWW[[#This Row],[% people access to functioning Latrine]]*WWWW[[#This Row],[Total PoP ]]</f>
        <v>30</v>
      </c>
      <c r="BK264" s="404">
        <f>IF(WWWW[[#This Row],[Location Type 1]]="camp",WWWW[[#This Row],['# potential required new latrines]]/(WWWW[[#This Row],[Total PoP ]]/20),WWWW[[#This Row],['# potential required new latrines]]/(WWWW[[#This Row],[Total PoP ]]/6))</f>
        <v>0.91666666666666663</v>
      </c>
      <c r="BL264" s="405">
        <f>IF(WWWW[[#This Row],[Total required Latrines]]-WWWW[[#This Row],[Total '# of latrine]]&lt;0,0,WWWW[[#This Row],[Total required Latrines]]-WWWW[[#This Row],[Total '# of latrine]])</f>
        <v>55</v>
      </c>
      <c r="BM264" s="406">
        <f>ROUND(IF(WWWW[[#This Row],[Location Type 1]]="camp",WWWW[[#This Row],[Total PoP ]]/20,WWWW[[#This Row],[Total PoP ]]/6),0)</f>
        <v>60</v>
      </c>
      <c r="BN264" s="408">
        <f>IF(OR(WWWW[[#This Row],['# Existing latrines dysfunctional]]="",WWWW[[#This Row],['# Existing latrines dysfunctional]]=0),0,WWWW[[#This Row],['# Existing latrines dysfunctional]]/WWWW[[#This Row],[Total '# of latrine]])</f>
        <v>0</v>
      </c>
      <c r="BO264" s="676"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P264" s="404">
        <f>WWWW[[#This Row],[People adopt basic personal and community hygiene practices]]/WWWW[[#This Row],[Total PoP ]]</f>
        <v>0</v>
      </c>
      <c r="BQ264" s="408">
        <f>1-WWWW[[#This Row],[Hygiene Coverage%]]</f>
        <v>1</v>
      </c>
      <c r="BR264" s="405">
        <f>IF(500*WWWW[[#This Row],['# Hygiene Promoters ]]&gt;WWWW[[#This Row],[Total PoP ]],WWWW[[#This Row],[Total PoP ]],500*WWWW[[#This Row],['# Hygiene Promoters ]])</f>
        <v>0</v>
      </c>
      <c r="BS264" s="405">
        <f>IF(WWWW[[#This Row],[% of HH with access to Sanitary Pad]]&gt;=100%,1,0)</f>
        <v>0</v>
      </c>
      <c r="BT264" s="405">
        <f>IF(WWWW[[#This Row],[Total PoP ]]=0,0,IF(WWWW[[#This Row],['# Hygiene Promoters ]]=0,0,IF(WWWW[[#This Row],[Location Type 1]]="Village",IF(WWWW[[#This Row],[Total PoP ]]/WWWW[[#This Row],['# Hygiene Promoters ]]&lt;1000,1,0),IF(WWWW[[#This Row],[Total PoP ]]/WWWW[[#This Row],['# Hygiene Promoters ]]&lt;600,1,0))))</f>
        <v>0</v>
      </c>
      <c r="BU264" s="405">
        <f>IF(WWWW[[#This Row],[%HH with access to soap]]&gt;=100%,1,0)</f>
        <v>0</v>
      </c>
      <c r="BV264" s="405">
        <f>IF(WWWW[[#This Row],[% of HHs with access to Sanitary pad more than '#%]]+WWWW[[#This Row],[Ratio of Hyiene promoters to people less than '#]]+WWWW[[#This Row],[% of HHs with access to soap more than '#%]]&gt;=2,WWWW[[#This Row],[Total PoP ]],0)</f>
        <v>0</v>
      </c>
      <c r="BW264" s="391">
        <f>WWWW[[#This Row],['# people reached by regular dedicated hygiene promotion_5]]/WWWW[[#This Row],[Total PoP ]]</f>
        <v>0</v>
      </c>
      <c r="BX264" s="391">
        <f>IF(WWWW[[#This Row],['# HH received soaps]]/WWWW[[#This Row],[Total HH]]&gt;1,1,WWWW[[#This Row],['# HH received soaps]]/WWWW[[#This Row],[Total HH]])</f>
        <v>0</v>
      </c>
      <c r="BY264" s="391">
        <f>IF(WWWW[[#This Row],['# HH received Sanitary Pads]]/WWWW[[#This Row],[Total HH]]&gt;1,1,WWWW[[#This Row],['# HH received Sanitary Pads]]/WWWW[[#This Row],[Total HH]])</f>
        <v>0</v>
      </c>
      <c r="BZ264" s="721">
        <f>WWWW[[#This Row],['# HH received soaps]]*5</f>
        <v>0</v>
      </c>
      <c r="CA264" s="721">
        <f>WWWW[[#This Row],['# HH received Sanitary Pads]]*5</f>
        <v>0</v>
      </c>
      <c r="CB264" s="406">
        <f>IF(WWWW[[#This Row],['# People with access to soap]]&gt;WWWW[[#This Row],['# People with access to Sanity Pads]],WWWW[[#This Row],['# People with access to soap]],WWWW[[#This Row],['# People with access to Sanity Pads]])</f>
        <v>0</v>
      </c>
      <c r="CC264" s="405">
        <f>WWWW[[#This Row],[Total HH]]*WWWW[[#This Row],[%HHs with access to functional hand washing stations]]</f>
        <v>0</v>
      </c>
      <c r="CD264" s="240">
        <f>VLOOKUP(WWWW[[#This Row],[Site Name]],SiteDB6[],8,FALSE)</f>
        <v>0</v>
      </c>
      <c r="CE264" s="240">
        <f>VLOOKUP(WWWW[[#This Row],[Site Name]],SiteDB6[],9,FALSE)</f>
        <v>0</v>
      </c>
      <c r="CF264" s="240" t="str">
        <f>VLOOKUP(WWWW[[#This Row],[Site Name]],SiteDB6[],10,FALSE)</f>
        <v>Village</v>
      </c>
      <c r="CG264" s="240" t="str">
        <f>VLOOKUP(WWWW[[#This Row],[Site Name]],SiteDB6[],11,FALSE)</f>
        <v>Village</v>
      </c>
      <c r="CH264" s="240" t="str">
        <f>VLOOKUP(WWWW[[#This Row],[Site Name]],SiteDB6[],12,FALSE)</f>
        <v>Village</v>
      </c>
      <c r="CI264" s="240" t="str">
        <f>VLOOKUP(WWWW[[#This Row],[Site Name]],SiteDB6[],13,FALSE)</f>
        <v>Muslim</v>
      </c>
      <c r="CJ264" s="240">
        <f>VLOOKUP(WWWW[[#This Row],[Site Name]],SiteDB6[],14,FALSE)</f>
        <v>20.494340897000001</v>
      </c>
      <c r="CK264" s="240">
        <f>VLOOKUP(WWWW[[#This Row],[Site Name]],SiteDB6[],15,FALSE)</f>
        <v>93.054298400999997</v>
      </c>
      <c r="CL264" s="240" t="str">
        <f>VLOOKUP(WWWW[[#This Row],[Site Name]],SiteDB6[],4,FALSE)</f>
        <v>196350</v>
      </c>
      <c r="CM264" s="404" t="str">
        <f t="shared" si="4"/>
        <v>Notcovered</v>
      </c>
      <c r="CN264" s="404"/>
    </row>
    <row r="265" spans="1:92" ht="15.75" hidden="1" customHeight="1" x14ac:dyDescent="0.25">
      <c r="A265" s="548" t="s">
        <v>1409</v>
      </c>
      <c r="B265" s="530" t="s">
        <v>470</v>
      </c>
      <c r="C265" s="531" t="s">
        <v>464</v>
      </c>
      <c r="D265" s="531" t="s">
        <v>630</v>
      </c>
      <c r="E265" s="531" t="s">
        <v>664</v>
      </c>
      <c r="F265" s="402">
        <f>ROUND(WWWW[[#This Row],[Total PoP ]]/5,0)</f>
        <v>26</v>
      </c>
      <c r="G265" s="405">
        <v>130</v>
      </c>
      <c r="H265" s="402"/>
      <c r="I265" s="402"/>
      <c r="J265" s="403"/>
      <c r="K265" s="402"/>
      <c r="L265" s="402" t="s">
        <v>292</v>
      </c>
      <c r="M265" s="404">
        <v>0</v>
      </c>
      <c r="N265" s="404">
        <v>0</v>
      </c>
      <c r="O265" s="605">
        <v>0</v>
      </c>
      <c r="P265" s="606"/>
      <c r="Q265" s="606"/>
      <c r="R265" s="607"/>
      <c r="S265" s="607">
        <v>0</v>
      </c>
      <c r="T265" s="607"/>
      <c r="U265" s="607"/>
      <c r="V265" s="607"/>
      <c r="W265" s="607"/>
      <c r="X265" s="607"/>
      <c r="Y265" s="607"/>
      <c r="Z265" s="598">
        <v>5</v>
      </c>
      <c r="AA265" s="598"/>
      <c r="AB265" s="80"/>
      <c r="AC265" s="598">
        <v>0</v>
      </c>
      <c r="AD265" s="598" t="s">
        <v>296</v>
      </c>
      <c r="AE265" s="599" t="s">
        <v>296</v>
      </c>
      <c r="AF265" s="599"/>
      <c r="AG265" s="598"/>
      <c r="AH265" s="598"/>
      <c r="AI265" s="649">
        <v>0</v>
      </c>
      <c r="AJ265" s="650"/>
      <c r="AK265" s="650">
        <v>0</v>
      </c>
      <c r="AL265" s="645"/>
      <c r="AM265" s="645">
        <v>0</v>
      </c>
      <c r="AN265" s="600"/>
      <c r="AO265" s="600"/>
      <c r="AP265" s="600"/>
      <c r="AQ265" s="651"/>
      <c r="AR265" s="404" t="str">
        <f>IFERROR(WWWW[[#This Row],['# of Water passed at source]]/WWWW[[#This Row],['# of Water tested at source]],"no test")</f>
        <v>no test</v>
      </c>
      <c r="AS265" s="407" t="str">
        <f>IFERROR(WWWW[[#This Row],['# of Water passed at HH]]/WWWW[[#This Row],['# of Water tested at HH]],"no test")</f>
        <v>no test</v>
      </c>
      <c r="AT265" s="407">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U265" s="407">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AV265" s="407">
        <f>IF(WWWW[[#This Row],[Location Type 1]]="Village",WWWW[[#This Row],[Access to safe drinking water for Village]],WWWW[[#This Row],[Access to safe drinking water for Camp]])</f>
        <v>0</v>
      </c>
      <c r="AW265" s="405">
        <f>WWWW[[#This Row],[%Equitable and continuous access to sufficient quantity of safe drinking water]]*WWWW[[#This Row],[Total PoP ]]</f>
        <v>0</v>
      </c>
      <c r="AX265" s="407">
        <f>IF((WWWW[[#This Row],['# Existing protected/fenced ponds ]]*250)/WWWW[[#This Row],[Total PoP ]]&gt;1,1,WWWW[[#This Row],['# Existing protected/fenced ponds ]]*250/WWWW[[#This Row],[Total PoP ]])</f>
        <v>0</v>
      </c>
      <c r="AY265" s="405">
        <f>WWWW[[#This Row],[Access to unimproved water points]]*WWWW[[#This Row],[Total PoP ]]</f>
        <v>0</v>
      </c>
      <c r="AZ265" s="407">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A265" s="405">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B265" s="405">
        <f>WWWW[[#This Row],['#people Equitable and continuous access to sufficient quantity of domestic water borehole n ponds_2]]/500</f>
        <v>0</v>
      </c>
      <c r="BC265" s="404">
        <f>1-WWWW[[#This Row],[%Equitable and continuous access to sufficient quantity of domestic water borehole n ponds]]</f>
        <v>1</v>
      </c>
      <c r="BD265" s="405">
        <f>WWWW[[#This Row],[%equitable and continuous access to sufficient quantity of safe drinking and domestic water''s GAP]]*WWWW[[#This Row],[Total PoP ]]</f>
        <v>130</v>
      </c>
      <c r="BE265" s="406">
        <f>IF(WWWW[[#This Row],[Total required water points]]-WWWW[[#This Row],['#Water points coverage]]&lt;0,0,WWWW[[#This Row],[Total required water points]]-WWWW[[#This Row],['#Water points coverage]])</f>
        <v>1</v>
      </c>
      <c r="BF265" s="406">
        <f>ROUND(IF(WWWW[[#This Row],[Total PoP ]]&lt;500,1,WWWW[[#This Row],[Total PoP ]]/500),0)</f>
        <v>1</v>
      </c>
      <c r="BG265" s="406" t="str">
        <f>IF(AND(WWWW[[#This Row],[%of Water samples which passed at water source]]="no test",WWWW[[#This Row],[%Water samples which passed at HH]]="no test"),"No Test","Tested")</f>
        <v>No Test</v>
      </c>
      <c r="BH265" s="406">
        <f>WWWW[[#This Row],['# Existing functional latrines]]+WWWW[[#This Row],['# Existing latrines dysfunctional]]</f>
        <v>5</v>
      </c>
      <c r="BI265" s="404">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0.23076923076923078</v>
      </c>
      <c r="BJ265" s="676">
        <f>WWWW[[#This Row],[% people access to functioning Latrine]]*WWWW[[#This Row],[Total PoP ]]</f>
        <v>30</v>
      </c>
      <c r="BK265" s="404">
        <f>IF(WWWW[[#This Row],[Location Type 1]]="camp",WWWW[[#This Row],['# potential required new latrines]]/(WWWW[[#This Row],[Total PoP ]]/20),WWWW[[#This Row],['# potential required new latrines]]/(WWWW[[#This Row],[Total PoP ]]/6))</f>
        <v>0.7846153846153846</v>
      </c>
      <c r="BL265" s="405">
        <f>IF(WWWW[[#This Row],[Total required Latrines]]-WWWW[[#This Row],[Total '# of latrine]]&lt;0,0,WWWW[[#This Row],[Total required Latrines]]-WWWW[[#This Row],[Total '# of latrine]])</f>
        <v>17</v>
      </c>
      <c r="BM265" s="406">
        <f>ROUND(IF(WWWW[[#This Row],[Location Type 1]]="camp",WWWW[[#This Row],[Total PoP ]]/20,WWWW[[#This Row],[Total PoP ]]/6),0)</f>
        <v>22</v>
      </c>
      <c r="BN265" s="408">
        <f>IF(OR(WWWW[[#This Row],['# Existing latrines dysfunctional]]="",WWWW[[#This Row],['# Existing latrines dysfunctional]]=0),0,WWWW[[#This Row],['# Existing latrines dysfunctional]]/WWWW[[#This Row],[Total '# of latrine]])</f>
        <v>0</v>
      </c>
      <c r="BO265" s="676"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P265" s="404">
        <f>WWWW[[#This Row],[People adopt basic personal and community hygiene practices]]/WWWW[[#This Row],[Total PoP ]]</f>
        <v>0</v>
      </c>
      <c r="BQ265" s="408">
        <f>1-WWWW[[#This Row],[Hygiene Coverage%]]</f>
        <v>1</v>
      </c>
      <c r="BR265" s="405">
        <f>IF(500*WWWW[[#This Row],['# Hygiene Promoters ]]&gt;WWWW[[#This Row],[Total PoP ]],WWWW[[#This Row],[Total PoP ]],500*WWWW[[#This Row],['# Hygiene Promoters ]])</f>
        <v>0</v>
      </c>
      <c r="BS265" s="405">
        <f>IF(WWWW[[#This Row],[% of HH with access to Sanitary Pad]]&gt;=100%,1,0)</f>
        <v>0</v>
      </c>
      <c r="BT265" s="405">
        <f>IF(WWWW[[#This Row],[Total PoP ]]=0,0,IF(WWWW[[#This Row],['# Hygiene Promoters ]]=0,0,IF(WWWW[[#This Row],[Location Type 1]]="Village",IF(WWWW[[#This Row],[Total PoP ]]/WWWW[[#This Row],['# Hygiene Promoters ]]&lt;1000,1,0),IF(WWWW[[#This Row],[Total PoP ]]/WWWW[[#This Row],['# Hygiene Promoters ]]&lt;600,1,0))))</f>
        <v>0</v>
      </c>
      <c r="BU265" s="405">
        <f>IF(WWWW[[#This Row],[%HH with access to soap]]&gt;=100%,1,0)</f>
        <v>0</v>
      </c>
      <c r="BV265" s="405">
        <f>IF(WWWW[[#This Row],[% of HHs with access to Sanitary pad more than '#%]]+WWWW[[#This Row],[Ratio of Hyiene promoters to people less than '#]]+WWWW[[#This Row],[% of HHs with access to soap more than '#%]]&gt;=2,WWWW[[#This Row],[Total PoP ]],0)</f>
        <v>0</v>
      </c>
      <c r="BW265" s="391">
        <f>WWWW[[#This Row],['# people reached by regular dedicated hygiene promotion_5]]/WWWW[[#This Row],[Total PoP ]]</f>
        <v>0</v>
      </c>
      <c r="BX265" s="391">
        <f>IF(WWWW[[#This Row],['# HH received soaps]]/WWWW[[#This Row],[Total HH]]&gt;1,1,WWWW[[#This Row],['# HH received soaps]]/WWWW[[#This Row],[Total HH]])</f>
        <v>0</v>
      </c>
      <c r="BY265" s="391">
        <f>IF(WWWW[[#This Row],['# HH received Sanitary Pads]]/WWWW[[#This Row],[Total HH]]&gt;1,1,WWWW[[#This Row],['# HH received Sanitary Pads]]/WWWW[[#This Row],[Total HH]])</f>
        <v>0</v>
      </c>
      <c r="BZ265" s="721">
        <f>WWWW[[#This Row],['# HH received soaps]]*5</f>
        <v>0</v>
      </c>
      <c r="CA265" s="721">
        <f>WWWW[[#This Row],['# HH received Sanitary Pads]]*5</f>
        <v>0</v>
      </c>
      <c r="CB265" s="406">
        <f>IF(WWWW[[#This Row],['# People with access to soap]]&gt;WWWW[[#This Row],['# People with access to Sanity Pads]],WWWW[[#This Row],['# People with access to soap]],WWWW[[#This Row],['# People with access to Sanity Pads]])</f>
        <v>0</v>
      </c>
      <c r="CC265" s="405">
        <f>WWWW[[#This Row],[Total HH]]*WWWW[[#This Row],[%HHs with access to functional hand washing stations]]</f>
        <v>0</v>
      </c>
      <c r="CD265" s="240">
        <f>VLOOKUP(WWWW[[#This Row],[Site Name]],SiteDB6[],8,FALSE)</f>
        <v>0</v>
      </c>
      <c r="CE265" s="240">
        <f>VLOOKUP(WWWW[[#This Row],[Site Name]],SiteDB6[],9,FALSE)</f>
        <v>0</v>
      </c>
      <c r="CF265" s="240" t="str">
        <f>VLOOKUP(WWWW[[#This Row],[Site Name]],SiteDB6[],10,FALSE)</f>
        <v>Village</v>
      </c>
      <c r="CG265" s="240" t="str">
        <f>VLOOKUP(WWWW[[#This Row],[Site Name]],SiteDB6[],11,FALSE)</f>
        <v>Village</v>
      </c>
      <c r="CH265" s="240" t="str">
        <f>VLOOKUP(WWWW[[#This Row],[Site Name]],SiteDB6[],12,FALSE)</f>
        <v>Village</v>
      </c>
      <c r="CI265" s="240" t="str">
        <f>VLOOKUP(WWWW[[#This Row],[Site Name]],SiteDB6[],13,FALSE)</f>
        <v>Rakhine</v>
      </c>
      <c r="CJ265" s="240">
        <f>VLOOKUP(WWWW[[#This Row],[Site Name]],SiteDB6[],14,FALSE)</f>
        <v>20.506580353</v>
      </c>
      <c r="CK265" s="240">
        <f>VLOOKUP(WWWW[[#This Row],[Site Name]],SiteDB6[],15,FALSE)</f>
        <v>93.043449401999993</v>
      </c>
      <c r="CL265" s="240" t="str">
        <f>VLOOKUP(WWWW[[#This Row],[Site Name]],SiteDB6[],4,FALSE)</f>
        <v>196351</v>
      </c>
      <c r="CM265" s="404" t="str">
        <f t="shared" si="4"/>
        <v>Notcovered</v>
      </c>
      <c r="CN265" s="404"/>
    </row>
    <row r="266" spans="1:92" ht="15.75" hidden="1" customHeight="1" x14ac:dyDescent="0.25">
      <c r="A266" s="548" t="s">
        <v>1409</v>
      </c>
      <c r="B266" s="593" t="s">
        <v>470</v>
      </c>
      <c r="C266" s="593" t="s">
        <v>464</v>
      </c>
      <c r="D266" s="593" t="s">
        <v>630</v>
      </c>
      <c r="E266" s="593" t="s">
        <v>665</v>
      </c>
      <c r="F266" s="402">
        <f>ROUND(WWWW[[#This Row],[Total PoP ]]/5,0)</f>
        <v>91</v>
      </c>
      <c r="G266" s="733">
        <v>456</v>
      </c>
      <c r="H266" s="309"/>
      <c r="I266" s="309"/>
      <c r="J266" s="310"/>
      <c r="K266" s="309"/>
      <c r="L266" s="402" t="s">
        <v>292</v>
      </c>
      <c r="M266" s="404">
        <v>0</v>
      </c>
      <c r="N266" s="404">
        <v>0</v>
      </c>
      <c r="O266" s="608">
        <v>0</v>
      </c>
      <c r="P266" s="609"/>
      <c r="Q266" s="616"/>
      <c r="R266" s="617"/>
      <c r="S266" s="617">
        <v>0</v>
      </c>
      <c r="T266" s="607"/>
      <c r="U266" s="607"/>
      <c r="V266" s="607"/>
      <c r="W266" s="607"/>
      <c r="X266" s="604"/>
      <c r="Y266" s="607"/>
      <c r="Z266" s="598">
        <v>6</v>
      </c>
      <c r="AA266" s="599"/>
      <c r="AB266" s="629"/>
      <c r="AC266" s="635">
        <v>0</v>
      </c>
      <c r="AD266" s="635" t="s">
        <v>296</v>
      </c>
      <c r="AE266" s="599" t="s">
        <v>296</v>
      </c>
      <c r="AF266" s="80"/>
      <c r="AG266" s="80"/>
      <c r="AH266" s="636"/>
      <c r="AI266" s="660">
        <v>0</v>
      </c>
      <c r="AJ266" s="661"/>
      <c r="AK266" s="651">
        <v>0</v>
      </c>
      <c r="AL266" s="645"/>
      <c r="AM266" s="645">
        <v>0</v>
      </c>
      <c r="AN266" s="600"/>
      <c r="AO266" s="600"/>
      <c r="AP266" s="600"/>
      <c r="AQ266" s="662"/>
      <c r="AR266" s="235" t="str">
        <f>IFERROR(WWWW[[#This Row],['# of Water passed at source]]/WWWW[[#This Row],['# of Water tested at source]],"no test")</f>
        <v>no test</v>
      </c>
      <c r="AS266" s="237" t="str">
        <f>IFERROR(WWWW[[#This Row],['# of Water passed at HH]]/WWWW[[#This Row],['# of Water tested at HH]],"no test")</f>
        <v>no test</v>
      </c>
      <c r="AT266" s="237">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U266" s="237">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AV266" s="237">
        <f>IF(WWWW[[#This Row],[Location Type 1]]="Village",WWWW[[#This Row],[Access to safe drinking water for Village]],WWWW[[#This Row],[Access to safe drinking water for Camp]])</f>
        <v>0</v>
      </c>
      <c r="AW266" s="414">
        <f>WWWW[[#This Row],[%Equitable and continuous access to sufficient quantity of safe drinking water]]*WWWW[[#This Row],[Total PoP ]]</f>
        <v>0</v>
      </c>
      <c r="AX266" s="237">
        <f>IF((WWWW[[#This Row],['# Existing protected/fenced ponds ]]*250)/WWWW[[#This Row],[Total PoP ]]&gt;1,1,WWWW[[#This Row],['# Existing protected/fenced ponds ]]*250/WWWW[[#This Row],[Total PoP ]])</f>
        <v>0</v>
      </c>
      <c r="AY266" s="414">
        <f>WWWW[[#This Row],[Access to unimproved water points]]*WWWW[[#This Row],[Total PoP ]]</f>
        <v>0</v>
      </c>
      <c r="AZ266" s="237">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A266" s="414">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B266" s="414">
        <f>WWWW[[#This Row],['#people Equitable and continuous access to sufficient quantity of domestic water borehole n ponds_2]]/500</f>
        <v>0</v>
      </c>
      <c r="BC266" s="235">
        <f>1-WWWW[[#This Row],[%Equitable and continuous access to sufficient quantity of domestic water borehole n ponds]]</f>
        <v>1</v>
      </c>
      <c r="BD266" s="414">
        <f>WWWW[[#This Row],[%equitable and continuous access to sufficient quantity of safe drinking and domestic water''s GAP]]*WWWW[[#This Row],[Total PoP ]]</f>
        <v>456</v>
      </c>
      <c r="BE266" s="238">
        <f>IF(WWWW[[#This Row],[Total required water points]]-WWWW[[#This Row],['#Water points coverage]]&lt;0,0,WWWW[[#This Row],[Total required water points]]-WWWW[[#This Row],['#Water points coverage]])</f>
        <v>1</v>
      </c>
      <c r="BF266" s="238">
        <f>ROUND(IF(WWWW[[#This Row],[Total PoP ]]&lt;500,1,WWWW[[#This Row],[Total PoP ]]/500),0)</f>
        <v>1</v>
      </c>
      <c r="BG266" s="238" t="str">
        <f>IF(AND(WWWW[[#This Row],[%of Water samples which passed at water source]]="no test",WWWW[[#This Row],[%Water samples which passed at HH]]="no test"),"No Test","Tested")</f>
        <v>No Test</v>
      </c>
      <c r="BH266" s="238">
        <f>WWWW[[#This Row],['# Existing functional latrines]]+WWWW[[#This Row],['# Existing latrines dysfunctional]]</f>
        <v>6</v>
      </c>
      <c r="BI266" s="235">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7.8947368421052627E-2</v>
      </c>
      <c r="BJ266" s="675">
        <f>WWWW[[#This Row],[% people access to functioning Latrine]]*WWWW[[#This Row],[Total PoP ]]</f>
        <v>36</v>
      </c>
      <c r="BK266" s="235">
        <f>IF(WWWW[[#This Row],[Location Type 1]]="camp",WWWW[[#This Row],['# potential required new latrines]]/(WWWW[[#This Row],[Total PoP ]]/20),WWWW[[#This Row],['# potential required new latrines]]/(WWWW[[#This Row],[Total PoP ]]/6))</f>
        <v>0.92105263157894735</v>
      </c>
      <c r="BL266" s="414">
        <f>IF(WWWW[[#This Row],[Total required Latrines]]-WWWW[[#This Row],[Total '# of latrine]]&lt;0,0,WWWW[[#This Row],[Total required Latrines]]-WWWW[[#This Row],[Total '# of latrine]])</f>
        <v>70</v>
      </c>
      <c r="BM266" s="238">
        <f>ROUND(IF(WWWW[[#This Row],[Location Type 1]]="camp",WWWW[[#This Row],[Total PoP ]]/20,WWWW[[#This Row],[Total PoP ]]/6),0)</f>
        <v>76</v>
      </c>
      <c r="BN266" s="239">
        <f>IF(OR(WWWW[[#This Row],['# Existing latrines dysfunctional]]="",WWWW[[#This Row],['# Existing latrines dysfunctional]]=0),0,WWWW[[#This Row],['# Existing latrines dysfunctional]]/WWWW[[#This Row],[Total '# of latrine]])</f>
        <v>0</v>
      </c>
      <c r="BO266" s="675"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P266" s="235">
        <f>WWWW[[#This Row],[People adopt basic personal and community hygiene practices]]/WWWW[[#This Row],[Total PoP ]]</f>
        <v>0</v>
      </c>
      <c r="BQ266" s="239">
        <f>1-WWWW[[#This Row],[Hygiene Coverage%]]</f>
        <v>1</v>
      </c>
      <c r="BR266" s="405">
        <f>IF(500*WWWW[[#This Row],['# Hygiene Promoters ]]&gt;WWWW[[#This Row],[Total PoP ]],WWWW[[#This Row],[Total PoP ]],500*WWWW[[#This Row],['# Hygiene Promoters ]])</f>
        <v>0</v>
      </c>
      <c r="BS266" s="405">
        <f>IF(WWWW[[#This Row],[% of HH with access to Sanitary Pad]]&gt;=100%,1,0)</f>
        <v>0</v>
      </c>
      <c r="BT266" s="405">
        <f>IF(WWWW[[#This Row],[Total PoP ]]=0,0,IF(WWWW[[#This Row],['# Hygiene Promoters ]]=0,0,IF(WWWW[[#This Row],[Location Type 1]]="Village",IF(WWWW[[#This Row],[Total PoP ]]/WWWW[[#This Row],['# Hygiene Promoters ]]&lt;1000,1,0),IF(WWWW[[#This Row],[Total PoP ]]/WWWW[[#This Row],['# Hygiene Promoters ]]&lt;600,1,0))))</f>
        <v>0</v>
      </c>
      <c r="BU266" s="405">
        <f>IF(WWWW[[#This Row],[%HH with access to soap]]&gt;=100%,1,0)</f>
        <v>0</v>
      </c>
      <c r="BV266" s="405">
        <f>IF(WWWW[[#This Row],[% of HHs with access to Sanitary pad more than '#%]]+WWWW[[#This Row],[Ratio of Hyiene promoters to people less than '#]]+WWWW[[#This Row],[% of HHs with access to soap more than '#%]]&gt;=2,WWWW[[#This Row],[Total PoP ]],0)</f>
        <v>0</v>
      </c>
      <c r="BW266" s="346">
        <f>WWWW[[#This Row],['# people reached by regular dedicated hygiene promotion_5]]/WWWW[[#This Row],[Total PoP ]]</f>
        <v>0</v>
      </c>
      <c r="BX266" s="346">
        <f>IF(WWWW[[#This Row],['# HH received soaps]]/WWWW[[#This Row],[Total HH]]&gt;1,1,WWWW[[#This Row],['# HH received soaps]]/WWWW[[#This Row],[Total HH]])</f>
        <v>0</v>
      </c>
      <c r="BY266" s="346">
        <f>IF(WWWW[[#This Row],['# HH received Sanitary Pads]]/WWWW[[#This Row],[Total HH]]&gt;1,1,WWWW[[#This Row],['# HH received Sanitary Pads]]/WWWW[[#This Row],[Total HH]])</f>
        <v>0</v>
      </c>
      <c r="BZ266" s="720">
        <f>WWWW[[#This Row],['# HH received soaps]]*5</f>
        <v>0</v>
      </c>
      <c r="CA266" s="720">
        <f>WWWW[[#This Row],['# HH received Sanitary Pads]]*5</f>
        <v>0</v>
      </c>
      <c r="CB266" s="675">
        <f>IF(WWWW[[#This Row],['# People with access to soap]]&gt;WWWW[[#This Row],['# People with access to Sanity Pads]],WWWW[[#This Row],['# People with access to soap]],WWWW[[#This Row],['# People with access to Sanity Pads]])</f>
        <v>0</v>
      </c>
      <c r="CC266" s="414">
        <f>WWWW[[#This Row],[Total HH]]*WWWW[[#This Row],[%HHs with access to functional hand washing stations]]</f>
        <v>0</v>
      </c>
      <c r="CD266" s="240">
        <f>VLOOKUP(WWWW[[#This Row],[Site Name]],SiteDB6[],8,FALSE)</f>
        <v>0</v>
      </c>
      <c r="CE266" s="240">
        <f>VLOOKUP(WWWW[[#This Row],[Site Name]],SiteDB6[],9,FALSE)</f>
        <v>0</v>
      </c>
      <c r="CF266" s="240" t="str">
        <f>VLOOKUP(WWWW[[#This Row],[Site Name]],SiteDB6[],10,FALSE)</f>
        <v>Village</v>
      </c>
      <c r="CG266" s="240" t="str">
        <f>VLOOKUP(WWWW[[#This Row],[Site Name]],SiteDB6[],11,FALSE)</f>
        <v>Village</v>
      </c>
      <c r="CH266" s="240" t="str">
        <f>VLOOKUP(WWWW[[#This Row],[Site Name]],SiteDB6[],12,FALSE)</f>
        <v>Village</v>
      </c>
      <c r="CI266" s="240" t="str">
        <f>VLOOKUP(WWWW[[#This Row],[Site Name]],SiteDB6[],13,FALSE)</f>
        <v>Rakhine</v>
      </c>
      <c r="CJ266" s="240">
        <f>VLOOKUP(WWWW[[#This Row],[Site Name]],SiteDB6[],14,FALSE)</f>
        <v>20.509660720999999</v>
      </c>
      <c r="CK266" s="240">
        <f>VLOOKUP(WWWW[[#This Row],[Site Name]],SiteDB6[],15,FALSE)</f>
        <v>92.997230529999996</v>
      </c>
      <c r="CL266" s="240" t="str">
        <f>VLOOKUP(WWWW[[#This Row],[Site Name]],SiteDB6[],4,FALSE)</f>
        <v>196337</v>
      </c>
      <c r="CM266" s="235" t="str">
        <f t="shared" si="4"/>
        <v>Notcovered</v>
      </c>
      <c r="CN266" s="240"/>
    </row>
    <row r="267" spans="1:92" ht="15.75" hidden="1" customHeight="1" x14ac:dyDescent="0.25">
      <c r="A267" s="548" t="s">
        <v>1409</v>
      </c>
      <c r="B267" s="541" t="s">
        <v>470</v>
      </c>
      <c r="C267" s="541" t="s">
        <v>464</v>
      </c>
      <c r="D267" s="541" t="s">
        <v>630</v>
      </c>
      <c r="E267" s="541" t="s">
        <v>678</v>
      </c>
      <c r="F267" s="402">
        <f>ROUND(WWWW[[#This Row],[Total PoP ]]/5,0)</f>
        <v>97</v>
      </c>
      <c r="G267" s="732">
        <v>484</v>
      </c>
      <c r="H267" s="169"/>
      <c r="I267" s="169"/>
      <c r="J267" s="170"/>
      <c r="K267" s="169"/>
      <c r="L267" s="402" t="s">
        <v>292</v>
      </c>
      <c r="M267" s="404">
        <v>0</v>
      </c>
      <c r="N267" s="404">
        <v>0</v>
      </c>
      <c r="O267" s="608">
        <v>0</v>
      </c>
      <c r="P267" s="609"/>
      <c r="Q267" s="610"/>
      <c r="R267" s="611"/>
      <c r="S267" s="611">
        <v>0</v>
      </c>
      <c r="T267" s="611"/>
      <c r="U267" s="611"/>
      <c r="V267" s="606"/>
      <c r="W267" s="606"/>
      <c r="X267" s="604"/>
      <c r="Y267" s="607"/>
      <c r="Z267" s="598">
        <v>10</v>
      </c>
      <c r="AA267" s="599"/>
      <c r="AB267" s="629"/>
      <c r="AC267" s="632">
        <v>0</v>
      </c>
      <c r="AD267" s="80" t="s">
        <v>296</v>
      </c>
      <c r="AE267" s="80" t="s">
        <v>296</v>
      </c>
      <c r="AF267" s="80"/>
      <c r="AG267" s="80"/>
      <c r="AH267" s="633"/>
      <c r="AI267" s="652">
        <v>0</v>
      </c>
      <c r="AJ267" s="653"/>
      <c r="AK267" s="651">
        <v>0</v>
      </c>
      <c r="AL267" s="645"/>
      <c r="AM267" s="645">
        <v>0</v>
      </c>
      <c r="AN267" s="600"/>
      <c r="AO267" s="600"/>
      <c r="AP267" s="600"/>
      <c r="AQ267" s="654"/>
      <c r="AR267" s="235" t="str">
        <f>IFERROR(WWWW[[#This Row],['# of Water passed at source]]/WWWW[[#This Row],['# of Water tested at source]],"no test")</f>
        <v>no test</v>
      </c>
      <c r="AS267" s="237" t="str">
        <f>IFERROR(WWWW[[#This Row],['# of Water passed at HH]]/WWWW[[#This Row],['# of Water tested at HH]],"no test")</f>
        <v>no test</v>
      </c>
      <c r="AT267" s="237">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U267" s="237">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AV267" s="237">
        <f>IF(WWWW[[#This Row],[Location Type 1]]="Village",WWWW[[#This Row],[Access to safe drinking water for Village]],WWWW[[#This Row],[Access to safe drinking water for Camp]])</f>
        <v>0</v>
      </c>
      <c r="AW267" s="414">
        <f>WWWW[[#This Row],[%Equitable and continuous access to sufficient quantity of safe drinking water]]*WWWW[[#This Row],[Total PoP ]]</f>
        <v>0</v>
      </c>
      <c r="AX267" s="237">
        <f>IF((WWWW[[#This Row],['# Existing protected/fenced ponds ]]*250)/WWWW[[#This Row],[Total PoP ]]&gt;1,1,WWWW[[#This Row],['# Existing protected/fenced ponds ]]*250/WWWW[[#This Row],[Total PoP ]])</f>
        <v>0</v>
      </c>
      <c r="AY267" s="414">
        <f>WWWW[[#This Row],[Access to unimproved water points]]*WWWW[[#This Row],[Total PoP ]]</f>
        <v>0</v>
      </c>
      <c r="AZ267" s="237">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A267" s="414">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B267" s="414">
        <f>WWWW[[#This Row],['#people Equitable and continuous access to sufficient quantity of domestic water borehole n ponds_2]]/500</f>
        <v>0</v>
      </c>
      <c r="BC267" s="235">
        <f>1-WWWW[[#This Row],[%Equitable and continuous access to sufficient quantity of domestic water borehole n ponds]]</f>
        <v>1</v>
      </c>
      <c r="BD267" s="414">
        <f>WWWW[[#This Row],[%equitable and continuous access to sufficient quantity of safe drinking and domestic water''s GAP]]*WWWW[[#This Row],[Total PoP ]]</f>
        <v>484</v>
      </c>
      <c r="BE267" s="238">
        <f>IF(WWWW[[#This Row],[Total required water points]]-WWWW[[#This Row],['#Water points coverage]]&lt;0,0,WWWW[[#This Row],[Total required water points]]-WWWW[[#This Row],['#Water points coverage]])</f>
        <v>1</v>
      </c>
      <c r="BF267" s="238">
        <f>ROUND(IF(WWWW[[#This Row],[Total PoP ]]&lt;500,1,WWWW[[#This Row],[Total PoP ]]/500),0)</f>
        <v>1</v>
      </c>
      <c r="BG267" s="238" t="str">
        <f>IF(AND(WWWW[[#This Row],[%of Water samples which passed at water source]]="no test",WWWW[[#This Row],[%Water samples which passed at HH]]="no test"),"No Test","Tested")</f>
        <v>No Test</v>
      </c>
      <c r="BH267" s="238">
        <f>WWWW[[#This Row],['# Existing functional latrines]]+WWWW[[#This Row],['# Existing latrines dysfunctional]]</f>
        <v>10</v>
      </c>
      <c r="BI267" s="235">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0.12396694214876033</v>
      </c>
      <c r="BJ267" s="675">
        <f>WWWW[[#This Row],[% people access to functioning Latrine]]*WWWW[[#This Row],[Total PoP ]]</f>
        <v>60</v>
      </c>
      <c r="BK267" s="235">
        <f>IF(WWWW[[#This Row],[Location Type 1]]="camp",WWWW[[#This Row],['# potential required new latrines]]/(WWWW[[#This Row],[Total PoP ]]/20),WWWW[[#This Row],['# potential required new latrines]]/(WWWW[[#This Row],[Total PoP ]]/6))</f>
        <v>0.8801652892561983</v>
      </c>
      <c r="BL267" s="414">
        <f>IF(WWWW[[#This Row],[Total required Latrines]]-WWWW[[#This Row],[Total '# of latrine]]&lt;0,0,WWWW[[#This Row],[Total required Latrines]]-WWWW[[#This Row],[Total '# of latrine]])</f>
        <v>71</v>
      </c>
      <c r="BM267" s="238">
        <f>ROUND(IF(WWWW[[#This Row],[Location Type 1]]="camp",WWWW[[#This Row],[Total PoP ]]/20,WWWW[[#This Row],[Total PoP ]]/6),0)</f>
        <v>81</v>
      </c>
      <c r="BN267" s="239">
        <f>IF(OR(WWWW[[#This Row],['# Existing latrines dysfunctional]]="",WWWW[[#This Row],['# Existing latrines dysfunctional]]=0),0,WWWW[[#This Row],['# Existing latrines dysfunctional]]/WWWW[[#This Row],[Total '# of latrine]])</f>
        <v>0</v>
      </c>
      <c r="BO267" s="675"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P267" s="235">
        <f>WWWW[[#This Row],[People adopt basic personal and community hygiene practices]]/WWWW[[#This Row],[Total PoP ]]</f>
        <v>0</v>
      </c>
      <c r="BQ267" s="239">
        <f>1-WWWW[[#This Row],[Hygiene Coverage%]]</f>
        <v>1</v>
      </c>
      <c r="BR267" s="405">
        <f>IF(500*WWWW[[#This Row],['# Hygiene Promoters ]]&gt;WWWW[[#This Row],[Total PoP ]],WWWW[[#This Row],[Total PoP ]],500*WWWW[[#This Row],['# Hygiene Promoters ]])</f>
        <v>0</v>
      </c>
      <c r="BS267" s="405">
        <f>IF(WWWW[[#This Row],[% of HH with access to Sanitary Pad]]&gt;=100%,1,0)</f>
        <v>0</v>
      </c>
      <c r="BT267" s="405">
        <f>IF(WWWW[[#This Row],[Total PoP ]]=0,0,IF(WWWW[[#This Row],['# Hygiene Promoters ]]=0,0,IF(WWWW[[#This Row],[Location Type 1]]="Village",IF(WWWW[[#This Row],[Total PoP ]]/WWWW[[#This Row],['# Hygiene Promoters ]]&lt;1000,1,0),IF(WWWW[[#This Row],[Total PoP ]]/WWWW[[#This Row],['# Hygiene Promoters ]]&lt;600,1,0))))</f>
        <v>0</v>
      </c>
      <c r="BU267" s="405">
        <f>IF(WWWW[[#This Row],[%HH with access to soap]]&gt;=100%,1,0)</f>
        <v>0</v>
      </c>
      <c r="BV267" s="405">
        <f>IF(WWWW[[#This Row],[% of HHs with access to Sanitary pad more than '#%]]+WWWW[[#This Row],[Ratio of Hyiene promoters to people less than '#]]+WWWW[[#This Row],[% of HHs with access to soap more than '#%]]&gt;=2,WWWW[[#This Row],[Total PoP ]],0)</f>
        <v>0</v>
      </c>
      <c r="BW267" s="346">
        <f>WWWW[[#This Row],['# people reached by regular dedicated hygiene promotion_5]]/WWWW[[#This Row],[Total PoP ]]</f>
        <v>0</v>
      </c>
      <c r="BX267" s="346">
        <f>IF(WWWW[[#This Row],['# HH received soaps]]/WWWW[[#This Row],[Total HH]]&gt;1,1,WWWW[[#This Row],['# HH received soaps]]/WWWW[[#This Row],[Total HH]])</f>
        <v>0</v>
      </c>
      <c r="BY267" s="346">
        <f>IF(WWWW[[#This Row],['# HH received Sanitary Pads]]/WWWW[[#This Row],[Total HH]]&gt;1,1,WWWW[[#This Row],['# HH received Sanitary Pads]]/WWWW[[#This Row],[Total HH]])</f>
        <v>0</v>
      </c>
      <c r="BZ267" s="720">
        <f>WWWW[[#This Row],['# HH received soaps]]*5</f>
        <v>0</v>
      </c>
      <c r="CA267" s="720">
        <f>WWWW[[#This Row],['# HH received Sanitary Pads]]*5</f>
        <v>0</v>
      </c>
      <c r="CB267" s="675">
        <f>IF(WWWW[[#This Row],['# People with access to soap]]&gt;WWWW[[#This Row],['# People with access to Sanity Pads]],WWWW[[#This Row],['# People with access to soap]],WWWW[[#This Row],['# People with access to Sanity Pads]])</f>
        <v>0</v>
      </c>
      <c r="CC267" s="414">
        <f>WWWW[[#This Row],[Total HH]]*WWWW[[#This Row],[%HHs with access to functional hand washing stations]]</f>
        <v>0</v>
      </c>
      <c r="CD267" s="240">
        <f>VLOOKUP(WWWW[[#This Row],[Site Name]],SiteDB6[],8,FALSE)</f>
        <v>0</v>
      </c>
      <c r="CE267" s="240">
        <f>VLOOKUP(WWWW[[#This Row],[Site Name]],SiteDB6[],9,FALSE)</f>
        <v>0</v>
      </c>
      <c r="CF267" s="240" t="str">
        <f>VLOOKUP(WWWW[[#This Row],[Site Name]],SiteDB6[],10,FALSE)</f>
        <v>Village</v>
      </c>
      <c r="CG267" s="240" t="str">
        <f>VLOOKUP(WWWW[[#This Row],[Site Name]],SiteDB6[],11,FALSE)</f>
        <v>Village</v>
      </c>
      <c r="CH267" s="240" t="str">
        <f>VLOOKUP(WWWW[[#This Row],[Site Name]],SiteDB6[],12,FALSE)</f>
        <v>Village</v>
      </c>
      <c r="CI267" s="240" t="str">
        <f>VLOOKUP(WWWW[[#This Row],[Site Name]],SiteDB6[],13,FALSE)</f>
        <v>Rakhine</v>
      </c>
      <c r="CJ267" s="240">
        <f>VLOOKUP(WWWW[[#This Row],[Site Name]],SiteDB6[],14,FALSE)</f>
        <v>20.564739227</v>
      </c>
      <c r="CK267" s="240">
        <f>VLOOKUP(WWWW[[#This Row],[Site Name]],SiteDB6[],15,FALSE)</f>
        <v>93.064781189000001</v>
      </c>
      <c r="CL267" s="240" t="str">
        <f>VLOOKUP(WWWW[[#This Row],[Site Name]],SiteDB6[],4,FALSE)</f>
        <v>196331</v>
      </c>
      <c r="CM267" s="235" t="str">
        <f t="shared" si="4"/>
        <v>Notcovered</v>
      </c>
      <c r="CN267" s="240"/>
    </row>
    <row r="268" spans="1:92" ht="15.75" hidden="1" customHeight="1" x14ac:dyDescent="0.25">
      <c r="A268" s="548" t="s">
        <v>1409</v>
      </c>
      <c r="B268" s="530" t="s">
        <v>470</v>
      </c>
      <c r="C268" s="531" t="s">
        <v>464</v>
      </c>
      <c r="D268" s="531" t="s">
        <v>630</v>
      </c>
      <c r="E268" s="531" t="s">
        <v>685</v>
      </c>
      <c r="F268" s="402">
        <f>ROUND(WWWW[[#This Row],[Total PoP ]]/5,0)</f>
        <v>246</v>
      </c>
      <c r="G268" s="405">
        <v>1232</v>
      </c>
      <c r="H268" s="402"/>
      <c r="I268" s="402"/>
      <c r="J268" s="403"/>
      <c r="K268" s="402"/>
      <c r="L268" s="402" t="s">
        <v>292</v>
      </c>
      <c r="M268" s="404">
        <v>0</v>
      </c>
      <c r="N268" s="404">
        <v>0</v>
      </c>
      <c r="O268" s="605">
        <v>0</v>
      </c>
      <c r="P268" s="606"/>
      <c r="Q268" s="606"/>
      <c r="R268" s="607"/>
      <c r="S268" s="607">
        <v>0</v>
      </c>
      <c r="T268" s="607"/>
      <c r="U268" s="607"/>
      <c r="V268" s="607"/>
      <c r="W268" s="607"/>
      <c r="X268" s="607"/>
      <c r="Y268" s="607"/>
      <c r="Z268" s="598">
        <v>42</v>
      </c>
      <c r="AA268" s="598"/>
      <c r="AB268" s="80"/>
      <c r="AC268" s="598">
        <v>0</v>
      </c>
      <c r="AD268" s="598" t="s">
        <v>296</v>
      </c>
      <c r="AE268" s="599" t="s">
        <v>296</v>
      </c>
      <c r="AF268" s="599"/>
      <c r="AG268" s="598"/>
      <c r="AH268" s="598"/>
      <c r="AI268" s="649">
        <v>0</v>
      </c>
      <c r="AJ268" s="650"/>
      <c r="AK268" s="650">
        <v>0</v>
      </c>
      <c r="AL268" s="645"/>
      <c r="AM268" s="645">
        <v>0</v>
      </c>
      <c r="AN268" s="600"/>
      <c r="AO268" s="600"/>
      <c r="AP268" s="600"/>
      <c r="AQ268" s="651"/>
      <c r="AR268" s="404" t="str">
        <f>IFERROR(WWWW[[#This Row],['# of Water passed at source]]/WWWW[[#This Row],['# of Water tested at source]],"no test")</f>
        <v>no test</v>
      </c>
      <c r="AS268" s="407" t="str">
        <f>IFERROR(WWWW[[#This Row],['# of Water passed at HH]]/WWWW[[#This Row],['# of Water tested at HH]],"no test")</f>
        <v>no test</v>
      </c>
      <c r="AT268" s="407">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U268" s="407">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AV268" s="407">
        <f>IF(WWWW[[#This Row],[Location Type 1]]="Village",WWWW[[#This Row],[Access to safe drinking water for Village]],WWWW[[#This Row],[Access to safe drinking water for Camp]])</f>
        <v>0</v>
      </c>
      <c r="AW268" s="405">
        <f>WWWW[[#This Row],[%Equitable and continuous access to sufficient quantity of safe drinking water]]*WWWW[[#This Row],[Total PoP ]]</f>
        <v>0</v>
      </c>
      <c r="AX268" s="407">
        <f>IF((WWWW[[#This Row],['# Existing protected/fenced ponds ]]*250)/WWWW[[#This Row],[Total PoP ]]&gt;1,1,WWWW[[#This Row],['# Existing protected/fenced ponds ]]*250/WWWW[[#This Row],[Total PoP ]])</f>
        <v>0</v>
      </c>
      <c r="AY268" s="405">
        <f>WWWW[[#This Row],[Access to unimproved water points]]*WWWW[[#This Row],[Total PoP ]]</f>
        <v>0</v>
      </c>
      <c r="AZ268" s="407">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A268" s="405">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B268" s="405">
        <f>WWWW[[#This Row],['#people Equitable and continuous access to sufficient quantity of domestic water borehole n ponds_2]]/500</f>
        <v>0</v>
      </c>
      <c r="BC268" s="404">
        <f>1-WWWW[[#This Row],[%Equitable and continuous access to sufficient quantity of domestic water borehole n ponds]]</f>
        <v>1</v>
      </c>
      <c r="BD268" s="405">
        <f>WWWW[[#This Row],[%equitable and continuous access to sufficient quantity of safe drinking and domestic water''s GAP]]*WWWW[[#This Row],[Total PoP ]]</f>
        <v>1232</v>
      </c>
      <c r="BE268" s="406">
        <f>IF(WWWW[[#This Row],[Total required water points]]-WWWW[[#This Row],['#Water points coverage]]&lt;0,0,WWWW[[#This Row],[Total required water points]]-WWWW[[#This Row],['#Water points coverage]])</f>
        <v>2</v>
      </c>
      <c r="BF268" s="406">
        <f>ROUND(IF(WWWW[[#This Row],[Total PoP ]]&lt;500,1,WWWW[[#This Row],[Total PoP ]]/500),0)</f>
        <v>2</v>
      </c>
      <c r="BG268" s="406" t="str">
        <f>IF(AND(WWWW[[#This Row],[%of Water samples which passed at water source]]="no test",WWWW[[#This Row],[%Water samples which passed at HH]]="no test"),"No Test","Tested")</f>
        <v>No Test</v>
      </c>
      <c r="BH268" s="406">
        <f>WWWW[[#This Row],['# Existing functional latrines]]+WWWW[[#This Row],['# Existing latrines dysfunctional]]</f>
        <v>42</v>
      </c>
      <c r="BI268" s="404">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0.20454545454545456</v>
      </c>
      <c r="BJ268" s="676">
        <f>WWWW[[#This Row],[% people access to functioning Latrine]]*WWWW[[#This Row],[Total PoP ]]</f>
        <v>252.00000000000003</v>
      </c>
      <c r="BK268" s="404">
        <f>IF(WWWW[[#This Row],[Location Type 1]]="camp",WWWW[[#This Row],['# potential required new latrines]]/(WWWW[[#This Row],[Total PoP ]]/20),WWWW[[#This Row],['# potential required new latrines]]/(WWWW[[#This Row],[Total PoP ]]/6))</f>
        <v>0.79383116883116878</v>
      </c>
      <c r="BL268" s="405">
        <f>IF(WWWW[[#This Row],[Total required Latrines]]-WWWW[[#This Row],[Total '# of latrine]]&lt;0,0,WWWW[[#This Row],[Total required Latrines]]-WWWW[[#This Row],[Total '# of latrine]])</f>
        <v>163</v>
      </c>
      <c r="BM268" s="406">
        <f>ROUND(IF(WWWW[[#This Row],[Location Type 1]]="camp",WWWW[[#This Row],[Total PoP ]]/20,WWWW[[#This Row],[Total PoP ]]/6),0)</f>
        <v>205</v>
      </c>
      <c r="BN268" s="408">
        <f>IF(OR(WWWW[[#This Row],['# Existing latrines dysfunctional]]="",WWWW[[#This Row],['# Existing latrines dysfunctional]]=0),0,WWWW[[#This Row],['# Existing latrines dysfunctional]]/WWWW[[#This Row],[Total '# of latrine]])</f>
        <v>0</v>
      </c>
      <c r="BO268" s="676"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P268" s="404">
        <f>WWWW[[#This Row],[People adopt basic personal and community hygiene practices]]/WWWW[[#This Row],[Total PoP ]]</f>
        <v>0</v>
      </c>
      <c r="BQ268" s="408">
        <f>1-WWWW[[#This Row],[Hygiene Coverage%]]</f>
        <v>1</v>
      </c>
      <c r="BR268" s="405">
        <f>IF(500*WWWW[[#This Row],['# Hygiene Promoters ]]&gt;WWWW[[#This Row],[Total PoP ]],WWWW[[#This Row],[Total PoP ]],500*WWWW[[#This Row],['# Hygiene Promoters ]])</f>
        <v>0</v>
      </c>
      <c r="BS268" s="405">
        <f>IF(WWWW[[#This Row],[% of HH with access to Sanitary Pad]]&gt;=100%,1,0)</f>
        <v>0</v>
      </c>
      <c r="BT268" s="405">
        <f>IF(WWWW[[#This Row],[Total PoP ]]=0,0,IF(WWWW[[#This Row],['# Hygiene Promoters ]]=0,0,IF(WWWW[[#This Row],[Location Type 1]]="Village",IF(WWWW[[#This Row],[Total PoP ]]/WWWW[[#This Row],['# Hygiene Promoters ]]&lt;1000,1,0),IF(WWWW[[#This Row],[Total PoP ]]/WWWW[[#This Row],['# Hygiene Promoters ]]&lt;600,1,0))))</f>
        <v>0</v>
      </c>
      <c r="BU268" s="405">
        <f>IF(WWWW[[#This Row],[%HH with access to soap]]&gt;=100%,1,0)</f>
        <v>0</v>
      </c>
      <c r="BV268" s="405">
        <f>IF(WWWW[[#This Row],[% of HHs with access to Sanitary pad more than '#%]]+WWWW[[#This Row],[Ratio of Hyiene promoters to people less than '#]]+WWWW[[#This Row],[% of HHs with access to soap more than '#%]]&gt;=2,WWWW[[#This Row],[Total PoP ]],0)</f>
        <v>0</v>
      </c>
      <c r="BW268" s="391">
        <f>WWWW[[#This Row],['# people reached by regular dedicated hygiene promotion_5]]/WWWW[[#This Row],[Total PoP ]]</f>
        <v>0</v>
      </c>
      <c r="BX268" s="391">
        <f>IF(WWWW[[#This Row],['# HH received soaps]]/WWWW[[#This Row],[Total HH]]&gt;1,1,WWWW[[#This Row],['# HH received soaps]]/WWWW[[#This Row],[Total HH]])</f>
        <v>0</v>
      </c>
      <c r="BY268" s="391">
        <f>IF(WWWW[[#This Row],['# HH received Sanitary Pads]]/WWWW[[#This Row],[Total HH]]&gt;1,1,WWWW[[#This Row],['# HH received Sanitary Pads]]/WWWW[[#This Row],[Total HH]])</f>
        <v>0</v>
      </c>
      <c r="BZ268" s="721">
        <f>WWWW[[#This Row],['# HH received soaps]]*5</f>
        <v>0</v>
      </c>
      <c r="CA268" s="721">
        <f>WWWW[[#This Row],['# HH received Sanitary Pads]]*5</f>
        <v>0</v>
      </c>
      <c r="CB268" s="406">
        <f>IF(WWWW[[#This Row],['# People with access to soap]]&gt;WWWW[[#This Row],['# People with access to Sanity Pads]],WWWW[[#This Row],['# People with access to soap]],WWWW[[#This Row],['# People with access to Sanity Pads]])</f>
        <v>0</v>
      </c>
      <c r="CC268" s="405">
        <f>WWWW[[#This Row],[Total HH]]*WWWW[[#This Row],[%HHs with access to functional hand washing stations]]</f>
        <v>0</v>
      </c>
      <c r="CD268" s="240">
        <f>VLOOKUP(WWWW[[#This Row],[Site Name]],SiteDB6[],8,FALSE)</f>
        <v>0</v>
      </c>
      <c r="CE268" s="240">
        <f>VLOOKUP(WWWW[[#This Row],[Site Name]],SiteDB6[],9,FALSE)</f>
        <v>0</v>
      </c>
      <c r="CF268" s="240" t="str">
        <f>VLOOKUP(WWWW[[#This Row],[Site Name]],SiteDB6[],10,FALSE)</f>
        <v>Village</v>
      </c>
      <c r="CG268" s="240" t="str">
        <f>VLOOKUP(WWWW[[#This Row],[Site Name]],SiteDB6[],11,FALSE)</f>
        <v>Village</v>
      </c>
      <c r="CH268" s="240" t="str">
        <f>VLOOKUP(WWWW[[#This Row],[Site Name]],SiteDB6[],12,FALSE)</f>
        <v>Village</v>
      </c>
      <c r="CI268" s="240" t="str">
        <f>VLOOKUP(WWWW[[#This Row],[Site Name]],SiteDB6[],13,FALSE)</f>
        <v>Rakhine</v>
      </c>
      <c r="CJ268" s="240">
        <f>VLOOKUP(WWWW[[#This Row],[Site Name]],SiteDB6[],14,FALSE)</f>
        <v>20.596279144</v>
      </c>
      <c r="CK268" s="240">
        <f>VLOOKUP(WWWW[[#This Row],[Site Name]],SiteDB6[],15,FALSE)</f>
        <v>92.987480164000004</v>
      </c>
      <c r="CL268" s="240" t="str">
        <f>VLOOKUP(WWWW[[#This Row],[Site Name]],SiteDB6[],4,FALSE)</f>
        <v>196321</v>
      </c>
      <c r="CM268" s="404" t="str">
        <f t="shared" si="4"/>
        <v>Notcovered</v>
      </c>
      <c r="CN268" s="404"/>
    </row>
    <row r="269" spans="1:92" ht="15.75" hidden="1" customHeight="1" x14ac:dyDescent="0.25">
      <c r="A269" s="548" t="s">
        <v>1409</v>
      </c>
      <c r="B269" s="530" t="s">
        <v>470</v>
      </c>
      <c r="C269" s="531" t="s">
        <v>464</v>
      </c>
      <c r="D269" s="531" t="s">
        <v>630</v>
      </c>
      <c r="E269" s="531" t="s">
        <v>686</v>
      </c>
      <c r="F269" s="402">
        <f>ROUND(WWWW[[#This Row],[Total PoP ]]/5,0)</f>
        <v>324</v>
      </c>
      <c r="G269" s="405">
        <v>1618</v>
      </c>
      <c r="H269" s="402"/>
      <c r="I269" s="402"/>
      <c r="J269" s="403"/>
      <c r="K269" s="402"/>
      <c r="L269" s="402" t="s">
        <v>292</v>
      </c>
      <c r="M269" s="404">
        <v>0</v>
      </c>
      <c r="N269" s="404">
        <v>0</v>
      </c>
      <c r="O269" s="605">
        <v>0</v>
      </c>
      <c r="P269" s="606"/>
      <c r="Q269" s="606"/>
      <c r="R269" s="607"/>
      <c r="S269" s="607">
        <v>0</v>
      </c>
      <c r="T269" s="607"/>
      <c r="U269" s="607"/>
      <c r="V269" s="607"/>
      <c r="W269" s="607"/>
      <c r="X269" s="607"/>
      <c r="Y269" s="607"/>
      <c r="Z269" s="598">
        <v>45</v>
      </c>
      <c r="AA269" s="598"/>
      <c r="AB269" s="80"/>
      <c r="AC269" s="598">
        <v>0</v>
      </c>
      <c r="AD269" s="598" t="s">
        <v>296</v>
      </c>
      <c r="AE269" s="599" t="s">
        <v>296</v>
      </c>
      <c r="AF269" s="599"/>
      <c r="AG269" s="598"/>
      <c r="AH269" s="598"/>
      <c r="AI269" s="649">
        <v>0</v>
      </c>
      <c r="AJ269" s="650"/>
      <c r="AK269" s="650">
        <v>0</v>
      </c>
      <c r="AL269" s="645"/>
      <c r="AM269" s="645">
        <v>0</v>
      </c>
      <c r="AN269" s="600"/>
      <c r="AO269" s="600"/>
      <c r="AP269" s="600"/>
      <c r="AQ269" s="651"/>
      <c r="AR269" s="404" t="str">
        <f>IFERROR(WWWW[[#This Row],['# of Water passed at source]]/WWWW[[#This Row],['# of Water tested at source]],"no test")</f>
        <v>no test</v>
      </c>
      <c r="AS269" s="407" t="str">
        <f>IFERROR(WWWW[[#This Row],['# of Water passed at HH]]/WWWW[[#This Row],['# of Water tested at HH]],"no test")</f>
        <v>no test</v>
      </c>
      <c r="AT269" s="407">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U269" s="407">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AV269" s="407">
        <f>IF(WWWW[[#This Row],[Location Type 1]]="Village",WWWW[[#This Row],[Access to safe drinking water for Village]],WWWW[[#This Row],[Access to safe drinking water for Camp]])</f>
        <v>0</v>
      </c>
      <c r="AW269" s="405">
        <f>WWWW[[#This Row],[%Equitable and continuous access to sufficient quantity of safe drinking water]]*WWWW[[#This Row],[Total PoP ]]</f>
        <v>0</v>
      </c>
      <c r="AX269" s="407">
        <f>IF((WWWW[[#This Row],['# Existing protected/fenced ponds ]]*250)/WWWW[[#This Row],[Total PoP ]]&gt;1,1,WWWW[[#This Row],['# Existing protected/fenced ponds ]]*250/WWWW[[#This Row],[Total PoP ]])</f>
        <v>0</v>
      </c>
      <c r="AY269" s="405">
        <f>WWWW[[#This Row],[Access to unimproved water points]]*WWWW[[#This Row],[Total PoP ]]</f>
        <v>0</v>
      </c>
      <c r="AZ269" s="407">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A269" s="405">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B269" s="405">
        <f>WWWW[[#This Row],['#people Equitable and continuous access to sufficient quantity of domestic water borehole n ponds_2]]/500</f>
        <v>0</v>
      </c>
      <c r="BC269" s="404">
        <f>1-WWWW[[#This Row],[%Equitable and continuous access to sufficient quantity of domestic water borehole n ponds]]</f>
        <v>1</v>
      </c>
      <c r="BD269" s="405">
        <f>WWWW[[#This Row],[%equitable and continuous access to sufficient quantity of safe drinking and domestic water''s GAP]]*WWWW[[#This Row],[Total PoP ]]</f>
        <v>1618</v>
      </c>
      <c r="BE269" s="406">
        <f>IF(WWWW[[#This Row],[Total required water points]]-WWWW[[#This Row],['#Water points coverage]]&lt;0,0,WWWW[[#This Row],[Total required water points]]-WWWW[[#This Row],['#Water points coverage]])</f>
        <v>3</v>
      </c>
      <c r="BF269" s="406">
        <f>ROUND(IF(WWWW[[#This Row],[Total PoP ]]&lt;500,1,WWWW[[#This Row],[Total PoP ]]/500),0)</f>
        <v>3</v>
      </c>
      <c r="BG269" s="406" t="str">
        <f>IF(AND(WWWW[[#This Row],[%of Water samples which passed at water source]]="no test",WWWW[[#This Row],[%Water samples which passed at HH]]="no test"),"No Test","Tested")</f>
        <v>No Test</v>
      </c>
      <c r="BH269" s="406">
        <f>WWWW[[#This Row],['# Existing functional latrines]]+WWWW[[#This Row],['# Existing latrines dysfunctional]]</f>
        <v>45</v>
      </c>
      <c r="BI269" s="404">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0.1668726823238566</v>
      </c>
      <c r="BJ269" s="676">
        <f>WWWW[[#This Row],[% people access to functioning Latrine]]*WWWW[[#This Row],[Total PoP ]]</f>
        <v>270</v>
      </c>
      <c r="BK269" s="404">
        <f>IF(WWWW[[#This Row],[Location Type 1]]="camp",WWWW[[#This Row],['# potential required new latrines]]/(WWWW[[#This Row],[Total PoP ]]/20),WWWW[[#This Row],['# potential required new latrines]]/(WWWW[[#This Row],[Total PoP ]]/6))</f>
        <v>0.83436341161928296</v>
      </c>
      <c r="BL269" s="405">
        <f>IF(WWWW[[#This Row],[Total required Latrines]]-WWWW[[#This Row],[Total '# of latrine]]&lt;0,0,WWWW[[#This Row],[Total required Latrines]]-WWWW[[#This Row],[Total '# of latrine]])</f>
        <v>225</v>
      </c>
      <c r="BM269" s="406">
        <f>ROUND(IF(WWWW[[#This Row],[Location Type 1]]="camp",WWWW[[#This Row],[Total PoP ]]/20,WWWW[[#This Row],[Total PoP ]]/6),0)</f>
        <v>270</v>
      </c>
      <c r="BN269" s="408">
        <f>IF(OR(WWWW[[#This Row],['# Existing latrines dysfunctional]]="",WWWW[[#This Row],['# Existing latrines dysfunctional]]=0),0,WWWW[[#This Row],['# Existing latrines dysfunctional]]/WWWW[[#This Row],[Total '# of latrine]])</f>
        <v>0</v>
      </c>
      <c r="BO269" s="676"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P269" s="404">
        <f>WWWW[[#This Row],[People adopt basic personal and community hygiene practices]]/WWWW[[#This Row],[Total PoP ]]</f>
        <v>0</v>
      </c>
      <c r="BQ269" s="408">
        <f>1-WWWW[[#This Row],[Hygiene Coverage%]]</f>
        <v>1</v>
      </c>
      <c r="BR269" s="405">
        <f>IF(500*WWWW[[#This Row],['# Hygiene Promoters ]]&gt;WWWW[[#This Row],[Total PoP ]],WWWW[[#This Row],[Total PoP ]],500*WWWW[[#This Row],['# Hygiene Promoters ]])</f>
        <v>0</v>
      </c>
      <c r="BS269" s="405">
        <f>IF(WWWW[[#This Row],[% of HH with access to Sanitary Pad]]&gt;=100%,1,0)</f>
        <v>0</v>
      </c>
      <c r="BT269" s="405">
        <f>IF(WWWW[[#This Row],[Total PoP ]]=0,0,IF(WWWW[[#This Row],['# Hygiene Promoters ]]=0,0,IF(WWWW[[#This Row],[Location Type 1]]="Village",IF(WWWW[[#This Row],[Total PoP ]]/WWWW[[#This Row],['# Hygiene Promoters ]]&lt;1000,1,0),IF(WWWW[[#This Row],[Total PoP ]]/WWWW[[#This Row],['# Hygiene Promoters ]]&lt;600,1,0))))</f>
        <v>0</v>
      </c>
      <c r="BU269" s="405">
        <f>IF(WWWW[[#This Row],[%HH with access to soap]]&gt;=100%,1,0)</f>
        <v>0</v>
      </c>
      <c r="BV269" s="405">
        <f>IF(WWWW[[#This Row],[% of HHs with access to Sanitary pad more than '#%]]+WWWW[[#This Row],[Ratio of Hyiene promoters to people less than '#]]+WWWW[[#This Row],[% of HHs with access to soap more than '#%]]&gt;=2,WWWW[[#This Row],[Total PoP ]],0)</f>
        <v>0</v>
      </c>
      <c r="BW269" s="391">
        <f>WWWW[[#This Row],['# people reached by regular dedicated hygiene promotion_5]]/WWWW[[#This Row],[Total PoP ]]</f>
        <v>0</v>
      </c>
      <c r="BX269" s="391">
        <f>IF(WWWW[[#This Row],['# HH received soaps]]/WWWW[[#This Row],[Total HH]]&gt;1,1,WWWW[[#This Row],['# HH received soaps]]/WWWW[[#This Row],[Total HH]])</f>
        <v>0</v>
      </c>
      <c r="BY269" s="391">
        <f>IF(WWWW[[#This Row],['# HH received Sanitary Pads]]/WWWW[[#This Row],[Total HH]]&gt;1,1,WWWW[[#This Row],['# HH received Sanitary Pads]]/WWWW[[#This Row],[Total HH]])</f>
        <v>0</v>
      </c>
      <c r="BZ269" s="721">
        <f>WWWW[[#This Row],['# HH received soaps]]*5</f>
        <v>0</v>
      </c>
      <c r="CA269" s="721">
        <f>WWWW[[#This Row],['# HH received Sanitary Pads]]*5</f>
        <v>0</v>
      </c>
      <c r="CB269" s="406">
        <f>IF(WWWW[[#This Row],['# People with access to soap]]&gt;WWWW[[#This Row],['# People with access to Sanity Pads]],WWWW[[#This Row],['# People with access to soap]],WWWW[[#This Row],['# People with access to Sanity Pads]])</f>
        <v>0</v>
      </c>
      <c r="CC269" s="405">
        <f>WWWW[[#This Row],[Total HH]]*WWWW[[#This Row],[%HHs with access to functional hand washing stations]]</f>
        <v>0</v>
      </c>
      <c r="CD269" s="240">
        <f>VLOOKUP(WWWW[[#This Row],[Site Name]],SiteDB6[],8,FALSE)</f>
        <v>0</v>
      </c>
      <c r="CE269" s="240">
        <f>VLOOKUP(WWWW[[#This Row],[Site Name]],SiteDB6[],9,FALSE)</f>
        <v>0</v>
      </c>
      <c r="CF269" s="240" t="str">
        <f>VLOOKUP(WWWW[[#This Row],[Site Name]],SiteDB6[],10,FALSE)</f>
        <v>Village</v>
      </c>
      <c r="CG269" s="240" t="str">
        <f>VLOOKUP(WWWW[[#This Row],[Site Name]],SiteDB6[],11,FALSE)</f>
        <v>Village</v>
      </c>
      <c r="CH269" s="240" t="str">
        <f>VLOOKUP(WWWW[[#This Row],[Site Name]],SiteDB6[],12,FALSE)</f>
        <v>Village</v>
      </c>
      <c r="CI269" s="240" t="str">
        <f>VLOOKUP(WWWW[[#This Row],[Site Name]],SiteDB6[],13,FALSE)</f>
        <v>Muslim</v>
      </c>
      <c r="CJ269" s="240">
        <f>VLOOKUP(WWWW[[#This Row],[Site Name]],SiteDB6[],14,FALSE)</f>
        <v>20.608819961999998</v>
      </c>
      <c r="CK269" s="240">
        <f>VLOOKUP(WWWW[[#This Row],[Site Name]],SiteDB6[],15,FALSE)</f>
        <v>93.022407532000003</v>
      </c>
      <c r="CL269" s="240" t="str">
        <f>VLOOKUP(WWWW[[#This Row],[Site Name]],SiteDB6[],4,FALSE)</f>
        <v>196318</v>
      </c>
      <c r="CM269" s="404" t="str">
        <f t="shared" si="4"/>
        <v>Notcovered</v>
      </c>
      <c r="CN269" s="404"/>
    </row>
    <row r="270" spans="1:92" ht="15.75" hidden="1" customHeight="1" x14ac:dyDescent="0.25">
      <c r="A270" s="548" t="s">
        <v>1409</v>
      </c>
      <c r="B270" s="530" t="s">
        <v>470</v>
      </c>
      <c r="C270" s="531" t="s">
        <v>464</v>
      </c>
      <c r="D270" s="531" t="s">
        <v>630</v>
      </c>
      <c r="E270" s="531" t="s">
        <v>687</v>
      </c>
      <c r="F270" s="402">
        <f>ROUND(WWWW[[#This Row],[Total PoP ]]/5,0)</f>
        <v>149</v>
      </c>
      <c r="G270" s="405">
        <v>747</v>
      </c>
      <c r="H270" s="402"/>
      <c r="I270" s="402"/>
      <c r="J270" s="403"/>
      <c r="K270" s="402"/>
      <c r="L270" s="402" t="s">
        <v>292</v>
      </c>
      <c r="M270" s="404">
        <v>0</v>
      </c>
      <c r="N270" s="404">
        <v>0</v>
      </c>
      <c r="O270" s="605">
        <v>0</v>
      </c>
      <c r="P270" s="606"/>
      <c r="Q270" s="606"/>
      <c r="R270" s="607"/>
      <c r="S270" s="607">
        <v>0</v>
      </c>
      <c r="T270" s="607"/>
      <c r="U270" s="607"/>
      <c r="V270" s="607"/>
      <c r="W270" s="607"/>
      <c r="X270" s="607"/>
      <c r="Y270" s="607"/>
      <c r="Z270" s="598">
        <v>0</v>
      </c>
      <c r="AA270" s="598"/>
      <c r="AB270" s="80"/>
      <c r="AC270" s="598">
        <v>0</v>
      </c>
      <c r="AD270" s="598" t="s">
        <v>296</v>
      </c>
      <c r="AE270" s="599" t="s">
        <v>296</v>
      </c>
      <c r="AF270" s="599"/>
      <c r="AG270" s="598"/>
      <c r="AH270" s="598"/>
      <c r="AI270" s="649">
        <v>0</v>
      </c>
      <c r="AJ270" s="650"/>
      <c r="AK270" s="650">
        <v>0</v>
      </c>
      <c r="AL270" s="645"/>
      <c r="AM270" s="645">
        <v>0</v>
      </c>
      <c r="AN270" s="600"/>
      <c r="AO270" s="600"/>
      <c r="AP270" s="600"/>
      <c r="AQ270" s="651"/>
      <c r="AR270" s="404" t="str">
        <f>IFERROR(WWWW[[#This Row],['# of Water passed at source]]/WWWW[[#This Row],['# of Water tested at source]],"no test")</f>
        <v>no test</v>
      </c>
      <c r="AS270" s="407" t="str">
        <f>IFERROR(WWWW[[#This Row],['# of Water passed at HH]]/WWWW[[#This Row],['# of Water tested at HH]],"no test")</f>
        <v>no test</v>
      </c>
      <c r="AT270" s="407">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U270" s="407">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AV270" s="407">
        <f>IF(WWWW[[#This Row],[Location Type 1]]="Village",WWWW[[#This Row],[Access to safe drinking water for Village]],WWWW[[#This Row],[Access to safe drinking water for Camp]])</f>
        <v>0</v>
      </c>
      <c r="AW270" s="405">
        <f>WWWW[[#This Row],[%Equitable and continuous access to sufficient quantity of safe drinking water]]*WWWW[[#This Row],[Total PoP ]]</f>
        <v>0</v>
      </c>
      <c r="AX270" s="407">
        <f>IF((WWWW[[#This Row],['# Existing protected/fenced ponds ]]*250)/WWWW[[#This Row],[Total PoP ]]&gt;1,1,WWWW[[#This Row],['# Existing protected/fenced ponds ]]*250/WWWW[[#This Row],[Total PoP ]])</f>
        <v>0</v>
      </c>
      <c r="AY270" s="405">
        <f>WWWW[[#This Row],[Access to unimproved water points]]*WWWW[[#This Row],[Total PoP ]]</f>
        <v>0</v>
      </c>
      <c r="AZ270" s="407">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A270" s="405">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B270" s="405">
        <f>WWWW[[#This Row],['#people Equitable and continuous access to sufficient quantity of domestic water borehole n ponds_2]]/500</f>
        <v>0</v>
      </c>
      <c r="BC270" s="404">
        <f>1-WWWW[[#This Row],[%Equitable and continuous access to sufficient quantity of domestic water borehole n ponds]]</f>
        <v>1</v>
      </c>
      <c r="BD270" s="405">
        <f>WWWW[[#This Row],[%equitable and continuous access to sufficient quantity of safe drinking and domestic water''s GAP]]*WWWW[[#This Row],[Total PoP ]]</f>
        <v>747</v>
      </c>
      <c r="BE270" s="406">
        <f>IF(WWWW[[#This Row],[Total required water points]]-WWWW[[#This Row],['#Water points coverage]]&lt;0,0,WWWW[[#This Row],[Total required water points]]-WWWW[[#This Row],['#Water points coverage]])</f>
        <v>1</v>
      </c>
      <c r="BF270" s="406">
        <f>ROUND(IF(WWWW[[#This Row],[Total PoP ]]&lt;500,1,WWWW[[#This Row],[Total PoP ]]/500),0)</f>
        <v>1</v>
      </c>
      <c r="BG270" s="406" t="str">
        <f>IF(AND(WWWW[[#This Row],[%of Water samples which passed at water source]]="no test",WWWW[[#This Row],[%Water samples which passed at HH]]="no test"),"No Test","Tested")</f>
        <v>No Test</v>
      </c>
      <c r="BH270" s="406">
        <f>WWWW[[#This Row],['# Existing functional latrines]]+WWWW[[#This Row],['# Existing latrines dysfunctional]]</f>
        <v>0</v>
      </c>
      <c r="BI270" s="404">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J270" s="676">
        <f>WWWW[[#This Row],[% people access to functioning Latrine]]*WWWW[[#This Row],[Total PoP ]]</f>
        <v>0</v>
      </c>
      <c r="BK270" s="404">
        <f>IF(WWWW[[#This Row],[Location Type 1]]="camp",WWWW[[#This Row],['# potential required new latrines]]/(WWWW[[#This Row],[Total PoP ]]/20),WWWW[[#This Row],['# potential required new latrines]]/(WWWW[[#This Row],[Total PoP ]]/6))</f>
        <v>1.0040160642570282</v>
      </c>
      <c r="BL270" s="405">
        <f>IF(WWWW[[#This Row],[Total required Latrines]]-WWWW[[#This Row],[Total '# of latrine]]&lt;0,0,WWWW[[#This Row],[Total required Latrines]]-WWWW[[#This Row],[Total '# of latrine]])</f>
        <v>125</v>
      </c>
      <c r="BM270" s="406">
        <f>ROUND(IF(WWWW[[#This Row],[Location Type 1]]="camp",WWWW[[#This Row],[Total PoP ]]/20,WWWW[[#This Row],[Total PoP ]]/6),0)</f>
        <v>125</v>
      </c>
      <c r="BN270" s="408">
        <f>IF(OR(WWWW[[#This Row],['# Existing latrines dysfunctional]]="",WWWW[[#This Row],['# Existing latrines dysfunctional]]=0),0,WWWW[[#This Row],['# Existing latrines dysfunctional]]/WWWW[[#This Row],[Total '# of latrine]])</f>
        <v>0</v>
      </c>
      <c r="BO270" s="676"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P270" s="404">
        <f>WWWW[[#This Row],[People adopt basic personal and community hygiene practices]]/WWWW[[#This Row],[Total PoP ]]</f>
        <v>0</v>
      </c>
      <c r="BQ270" s="408">
        <f>1-WWWW[[#This Row],[Hygiene Coverage%]]</f>
        <v>1</v>
      </c>
      <c r="BR270" s="405">
        <f>IF(500*WWWW[[#This Row],['# Hygiene Promoters ]]&gt;WWWW[[#This Row],[Total PoP ]],WWWW[[#This Row],[Total PoP ]],500*WWWW[[#This Row],['# Hygiene Promoters ]])</f>
        <v>0</v>
      </c>
      <c r="BS270" s="405">
        <f>IF(WWWW[[#This Row],[% of HH with access to Sanitary Pad]]&gt;=100%,1,0)</f>
        <v>0</v>
      </c>
      <c r="BT270" s="405">
        <f>IF(WWWW[[#This Row],[Total PoP ]]=0,0,IF(WWWW[[#This Row],['# Hygiene Promoters ]]=0,0,IF(WWWW[[#This Row],[Location Type 1]]="Village",IF(WWWW[[#This Row],[Total PoP ]]/WWWW[[#This Row],['# Hygiene Promoters ]]&lt;1000,1,0),IF(WWWW[[#This Row],[Total PoP ]]/WWWW[[#This Row],['# Hygiene Promoters ]]&lt;600,1,0))))</f>
        <v>0</v>
      </c>
      <c r="BU270" s="405">
        <f>IF(WWWW[[#This Row],[%HH with access to soap]]&gt;=100%,1,0)</f>
        <v>0</v>
      </c>
      <c r="BV270" s="405">
        <f>IF(WWWW[[#This Row],[% of HHs with access to Sanitary pad more than '#%]]+WWWW[[#This Row],[Ratio of Hyiene promoters to people less than '#]]+WWWW[[#This Row],[% of HHs with access to soap more than '#%]]&gt;=2,WWWW[[#This Row],[Total PoP ]],0)</f>
        <v>0</v>
      </c>
      <c r="BW270" s="391">
        <f>WWWW[[#This Row],['# people reached by regular dedicated hygiene promotion_5]]/WWWW[[#This Row],[Total PoP ]]</f>
        <v>0</v>
      </c>
      <c r="BX270" s="391">
        <f>IF(WWWW[[#This Row],['# HH received soaps]]/WWWW[[#This Row],[Total HH]]&gt;1,1,WWWW[[#This Row],['# HH received soaps]]/WWWW[[#This Row],[Total HH]])</f>
        <v>0</v>
      </c>
      <c r="BY270" s="391">
        <f>IF(WWWW[[#This Row],['# HH received Sanitary Pads]]/WWWW[[#This Row],[Total HH]]&gt;1,1,WWWW[[#This Row],['# HH received Sanitary Pads]]/WWWW[[#This Row],[Total HH]])</f>
        <v>0</v>
      </c>
      <c r="BZ270" s="721">
        <f>WWWW[[#This Row],['# HH received soaps]]*5</f>
        <v>0</v>
      </c>
      <c r="CA270" s="721">
        <f>WWWW[[#This Row],['# HH received Sanitary Pads]]*5</f>
        <v>0</v>
      </c>
      <c r="CB270" s="406">
        <f>IF(WWWW[[#This Row],['# People with access to soap]]&gt;WWWW[[#This Row],['# People with access to Sanity Pads]],WWWW[[#This Row],['# People with access to soap]],WWWW[[#This Row],['# People with access to Sanity Pads]])</f>
        <v>0</v>
      </c>
      <c r="CC270" s="405">
        <f>WWWW[[#This Row],[Total HH]]*WWWW[[#This Row],[%HHs with access to functional hand washing stations]]</f>
        <v>0</v>
      </c>
      <c r="CD270" s="240">
        <f>VLOOKUP(WWWW[[#This Row],[Site Name]],SiteDB6[],8,FALSE)</f>
        <v>0</v>
      </c>
      <c r="CE270" s="240">
        <f>VLOOKUP(WWWW[[#This Row],[Site Name]],SiteDB6[],9,FALSE)</f>
        <v>0</v>
      </c>
      <c r="CF270" s="240" t="str">
        <f>VLOOKUP(WWWW[[#This Row],[Site Name]],SiteDB6[],10,FALSE)</f>
        <v>Village</v>
      </c>
      <c r="CG270" s="240" t="str">
        <f>VLOOKUP(WWWW[[#This Row],[Site Name]],SiteDB6[],11,FALSE)</f>
        <v>Village</v>
      </c>
      <c r="CH270" s="240" t="str">
        <f>VLOOKUP(WWWW[[#This Row],[Site Name]],SiteDB6[],12,FALSE)</f>
        <v>Village</v>
      </c>
      <c r="CI270" s="240" t="str">
        <f>VLOOKUP(WWWW[[#This Row],[Site Name]],SiteDB6[],13,FALSE)</f>
        <v>Rakhine</v>
      </c>
      <c r="CJ270" s="240">
        <f>VLOOKUP(WWWW[[#This Row],[Site Name]],SiteDB6[],14,FALSE)</f>
        <v>20.630609511999999</v>
      </c>
      <c r="CK270" s="240">
        <f>VLOOKUP(WWWW[[#This Row],[Site Name]],SiteDB6[],15,FALSE)</f>
        <v>92.998641968000001</v>
      </c>
      <c r="CL270" s="240" t="str">
        <f>VLOOKUP(WWWW[[#This Row],[Site Name]],SiteDB6[],4,FALSE)</f>
        <v>196316</v>
      </c>
      <c r="CM270" s="404" t="str">
        <f t="shared" si="4"/>
        <v>Notcovered</v>
      </c>
      <c r="CN270" s="404"/>
    </row>
    <row r="271" spans="1:92" ht="15.75" hidden="1" customHeight="1" x14ac:dyDescent="0.25">
      <c r="A271" s="548" t="s">
        <v>1409</v>
      </c>
      <c r="B271" s="531" t="s">
        <v>470</v>
      </c>
      <c r="C271" s="531" t="s">
        <v>464</v>
      </c>
      <c r="D271" s="531" t="s">
        <v>630</v>
      </c>
      <c r="E271" s="531" t="s">
        <v>688</v>
      </c>
      <c r="F271" s="402">
        <f>ROUND(WWWW[[#This Row],[Total PoP ]]/5,0)</f>
        <v>82</v>
      </c>
      <c r="G271" s="731">
        <v>408</v>
      </c>
      <c r="H271" s="314"/>
      <c r="I271" s="314"/>
      <c r="J271" s="315"/>
      <c r="K271" s="314"/>
      <c r="L271" s="402" t="s">
        <v>292</v>
      </c>
      <c r="M271" s="404">
        <v>0</v>
      </c>
      <c r="N271" s="404">
        <v>0</v>
      </c>
      <c r="O271" s="608">
        <v>0</v>
      </c>
      <c r="P271" s="609"/>
      <c r="Q271" s="613"/>
      <c r="R271" s="614"/>
      <c r="S271" s="614">
        <v>0</v>
      </c>
      <c r="T271" s="604"/>
      <c r="U271" s="604"/>
      <c r="V271" s="604"/>
      <c r="W271" s="604"/>
      <c r="X271" s="604"/>
      <c r="Y271" s="604"/>
      <c r="Z271" s="628">
        <v>0</v>
      </c>
      <c r="AA271" s="628"/>
      <c r="AB271" s="634"/>
      <c r="AC271" s="634">
        <v>0</v>
      </c>
      <c r="AD271" s="634" t="s">
        <v>296</v>
      </c>
      <c r="AE271" s="631" t="s">
        <v>296</v>
      </c>
      <c r="AF271" s="629"/>
      <c r="AG271" s="629"/>
      <c r="AH271" s="634"/>
      <c r="AI271" s="655">
        <v>0</v>
      </c>
      <c r="AJ271" s="656"/>
      <c r="AK271" s="644">
        <v>0</v>
      </c>
      <c r="AL271" s="645"/>
      <c r="AM271" s="645">
        <v>0</v>
      </c>
      <c r="AN271" s="600"/>
      <c r="AO271" s="647"/>
      <c r="AP271" s="647"/>
      <c r="AQ271" s="657"/>
      <c r="AR271" s="235" t="str">
        <f>IFERROR(WWWW[[#This Row],['# of Water passed at source]]/WWWW[[#This Row],['# of Water tested at source]],"no test")</f>
        <v>no test</v>
      </c>
      <c r="AS271" s="237" t="str">
        <f>IFERROR(WWWW[[#This Row],['# of Water passed at HH]]/WWWW[[#This Row],['# of Water tested at HH]],"no test")</f>
        <v>no test</v>
      </c>
      <c r="AT271" s="237">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U271" s="237">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AV271" s="237">
        <f>IF(WWWW[[#This Row],[Location Type 1]]="Village",WWWW[[#This Row],[Access to safe drinking water for Village]],WWWW[[#This Row],[Access to safe drinking water for Camp]])</f>
        <v>0</v>
      </c>
      <c r="AW271" s="414">
        <f>WWWW[[#This Row],[%Equitable and continuous access to sufficient quantity of safe drinking water]]*WWWW[[#This Row],[Total PoP ]]</f>
        <v>0</v>
      </c>
      <c r="AX271" s="237">
        <f>IF((WWWW[[#This Row],['# Existing protected/fenced ponds ]]*250)/WWWW[[#This Row],[Total PoP ]]&gt;1,1,WWWW[[#This Row],['# Existing protected/fenced ponds ]]*250/WWWW[[#This Row],[Total PoP ]])</f>
        <v>0</v>
      </c>
      <c r="AY271" s="414">
        <f>WWWW[[#This Row],[Access to unimproved water points]]*WWWW[[#This Row],[Total PoP ]]</f>
        <v>0</v>
      </c>
      <c r="AZ271" s="237">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A271" s="414">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B271" s="414">
        <f>WWWW[[#This Row],['#people Equitable and continuous access to sufficient quantity of domestic water borehole n ponds_2]]/500</f>
        <v>0</v>
      </c>
      <c r="BC271" s="235">
        <f>1-WWWW[[#This Row],[%Equitable and continuous access to sufficient quantity of domestic water borehole n ponds]]</f>
        <v>1</v>
      </c>
      <c r="BD271" s="414">
        <f>WWWW[[#This Row],[%equitable and continuous access to sufficient quantity of safe drinking and domestic water''s GAP]]*WWWW[[#This Row],[Total PoP ]]</f>
        <v>408</v>
      </c>
      <c r="BE271" s="238">
        <f>IF(WWWW[[#This Row],[Total required water points]]-WWWW[[#This Row],['#Water points coverage]]&lt;0,0,WWWW[[#This Row],[Total required water points]]-WWWW[[#This Row],['#Water points coverage]])</f>
        <v>1</v>
      </c>
      <c r="BF271" s="238">
        <f>ROUND(IF(WWWW[[#This Row],[Total PoP ]]&lt;500,1,WWWW[[#This Row],[Total PoP ]]/500),0)</f>
        <v>1</v>
      </c>
      <c r="BG271" s="238" t="str">
        <f>IF(AND(WWWW[[#This Row],[%of Water samples which passed at water source]]="no test",WWWW[[#This Row],[%Water samples which passed at HH]]="no test"),"No Test","Tested")</f>
        <v>No Test</v>
      </c>
      <c r="BH271" s="238">
        <f>WWWW[[#This Row],['# Existing functional latrines]]+WWWW[[#This Row],['# Existing latrines dysfunctional]]</f>
        <v>0</v>
      </c>
      <c r="BI271" s="235">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J271" s="675">
        <f>WWWW[[#This Row],[% people access to functioning Latrine]]*WWWW[[#This Row],[Total PoP ]]</f>
        <v>0</v>
      </c>
      <c r="BK271" s="235">
        <f>IF(WWWW[[#This Row],[Location Type 1]]="camp",WWWW[[#This Row],['# potential required new latrines]]/(WWWW[[#This Row],[Total PoP ]]/20),WWWW[[#This Row],['# potential required new latrines]]/(WWWW[[#This Row],[Total PoP ]]/6))</f>
        <v>1</v>
      </c>
      <c r="BL271" s="414">
        <f>IF(WWWW[[#This Row],[Total required Latrines]]-WWWW[[#This Row],[Total '# of latrine]]&lt;0,0,WWWW[[#This Row],[Total required Latrines]]-WWWW[[#This Row],[Total '# of latrine]])</f>
        <v>68</v>
      </c>
      <c r="BM271" s="238">
        <f>ROUND(IF(WWWW[[#This Row],[Location Type 1]]="camp",WWWW[[#This Row],[Total PoP ]]/20,WWWW[[#This Row],[Total PoP ]]/6),0)</f>
        <v>68</v>
      </c>
      <c r="BN271" s="239">
        <f>IF(OR(WWWW[[#This Row],['# Existing latrines dysfunctional]]="",WWWW[[#This Row],['# Existing latrines dysfunctional]]=0),0,WWWW[[#This Row],['# Existing latrines dysfunctional]]/WWWW[[#This Row],[Total '# of latrine]])</f>
        <v>0</v>
      </c>
      <c r="BO271" s="675"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P271" s="235">
        <f>WWWW[[#This Row],[People adopt basic personal and community hygiene practices]]/WWWW[[#This Row],[Total PoP ]]</f>
        <v>0</v>
      </c>
      <c r="BQ271" s="239">
        <f>1-WWWW[[#This Row],[Hygiene Coverage%]]</f>
        <v>1</v>
      </c>
      <c r="BR271" s="405">
        <f>IF(500*WWWW[[#This Row],['# Hygiene Promoters ]]&gt;WWWW[[#This Row],[Total PoP ]],WWWW[[#This Row],[Total PoP ]],500*WWWW[[#This Row],['# Hygiene Promoters ]])</f>
        <v>0</v>
      </c>
      <c r="BS271" s="405">
        <f>IF(WWWW[[#This Row],[% of HH with access to Sanitary Pad]]&gt;=100%,1,0)</f>
        <v>0</v>
      </c>
      <c r="BT271" s="405">
        <f>IF(WWWW[[#This Row],[Total PoP ]]=0,0,IF(WWWW[[#This Row],['# Hygiene Promoters ]]=0,0,IF(WWWW[[#This Row],[Location Type 1]]="Village",IF(WWWW[[#This Row],[Total PoP ]]/WWWW[[#This Row],['# Hygiene Promoters ]]&lt;1000,1,0),IF(WWWW[[#This Row],[Total PoP ]]/WWWW[[#This Row],['# Hygiene Promoters ]]&lt;600,1,0))))</f>
        <v>0</v>
      </c>
      <c r="BU271" s="405">
        <f>IF(WWWW[[#This Row],[%HH with access to soap]]&gt;=100%,1,0)</f>
        <v>0</v>
      </c>
      <c r="BV271" s="405">
        <f>IF(WWWW[[#This Row],[% of HHs with access to Sanitary pad more than '#%]]+WWWW[[#This Row],[Ratio of Hyiene promoters to people less than '#]]+WWWW[[#This Row],[% of HHs with access to soap more than '#%]]&gt;=2,WWWW[[#This Row],[Total PoP ]],0)</f>
        <v>0</v>
      </c>
      <c r="BW271" s="346">
        <f>WWWW[[#This Row],['# people reached by regular dedicated hygiene promotion_5]]/WWWW[[#This Row],[Total PoP ]]</f>
        <v>0</v>
      </c>
      <c r="BX271" s="346">
        <f>IF(WWWW[[#This Row],['# HH received soaps]]/WWWW[[#This Row],[Total HH]]&gt;1,1,WWWW[[#This Row],['# HH received soaps]]/WWWW[[#This Row],[Total HH]])</f>
        <v>0</v>
      </c>
      <c r="BY271" s="346">
        <f>IF(WWWW[[#This Row],['# HH received Sanitary Pads]]/WWWW[[#This Row],[Total HH]]&gt;1,1,WWWW[[#This Row],['# HH received Sanitary Pads]]/WWWW[[#This Row],[Total HH]])</f>
        <v>0</v>
      </c>
      <c r="BZ271" s="720">
        <f>WWWW[[#This Row],['# HH received soaps]]*5</f>
        <v>0</v>
      </c>
      <c r="CA271" s="720">
        <f>WWWW[[#This Row],['# HH received Sanitary Pads]]*5</f>
        <v>0</v>
      </c>
      <c r="CB271" s="675">
        <f>IF(WWWW[[#This Row],['# People with access to soap]]&gt;WWWW[[#This Row],['# People with access to Sanity Pads]],WWWW[[#This Row],['# People with access to soap]],WWWW[[#This Row],['# People with access to Sanity Pads]])</f>
        <v>0</v>
      </c>
      <c r="CC271" s="414">
        <f>WWWW[[#This Row],[Total HH]]*WWWW[[#This Row],[%HHs with access to functional hand washing stations]]</f>
        <v>0</v>
      </c>
      <c r="CD271" s="240">
        <f>VLOOKUP(WWWW[[#This Row],[Site Name]],SiteDB6[],8,FALSE)</f>
        <v>0</v>
      </c>
      <c r="CE271" s="240">
        <f>VLOOKUP(WWWW[[#This Row],[Site Name]],SiteDB6[],9,FALSE)</f>
        <v>0</v>
      </c>
      <c r="CF271" s="240" t="str">
        <f>VLOOKUP(WWWW[[#This Row],[Site Name]],SiteDB6[],10,FALSE)</f>
        <v>Village</v>
      </c>
      <c r="CG271" s="240" t="str">
        <f>VLOOKUP(WWWW[[#This Row],[Site Name]],SiteDB6[],11,FALSE)</f>
        <v>Village</v>
      </c>
      <c r="CH271" s="240" t="str">
        <f>VLOOKUP(WWWW[[#This Row],[Site Name]],SiteDB6[],12,FALSE)</f>
        <v>Village</v>
      </c>
      <c r="CI271" s="240" t="str">
        <f>VLOOKUP(WWWW[[#This Row],[Site Name]],SiteDB6[],13,FALSE)</f>
        <v>Rakhine</v>
      </c>
      <c r="CJ271" s="240">
        <f>VLOOKUP(WWWW[[#This Row],[Site Name]],SiteDB6[],14,FALSE)</f>
        <v>20.632720946999999</v>
      </c>
      <c r="CK271" s="240">
        <f>VLOOKUP(WWWW[[#This Row],[Site Name]],SiteDB6[],15,FALSE)</f>
        <v>92.940132141000007</v>
      </c>
      <c r="CL271" s="240" t="str">
        <f>VLOOKUP(WWWW[[#This Row],[Site Name]],SiteDB6[],4,FALSE)</f>
        <v>196312</v>
      </c>
      <c r="CM271" s="235" t="str">
        <f t="shared" si="4"/>
        <v>Notcovered</v>
      </c>
      <c r="CN271" s="240"/>
    </row>
    <row r="272" spans="1:92" ht="15.75" hidden="1" customHeight="1" x14ac:dyDescent="0.25">
      <c r="A272" s="548" t="s">
        <v>1409</v>
      </c>
      <c r="B272" s="530" t="s">
        <v>470</v>
      </c>
      <c r="C272" s="531" t="s">
        <v>464</v>
      </c>
      <c r="D272" s="531" t="s">
        <v>630</v>
      </c>
      <c r="E272" s="531" t="s">
        <v>693</v>
      </c>
      <c r="F272" s="402">
        <f>ROUND(WWWW[[#This Row],[Total PoP ]]/5,0)</f>
        <v>83</v>
      </c>
      <c r="G272" s="405">
        <v>417</v>
      </c>
      <c r="H272" s="402"/>
      <c r="I272" s="402"/>
      <c r="J272" s="403"/>
      <c r="K272" s="402"/>
      <c r="L272" s="402" t="s">
        <v>292</v>
      </c>
      <c r="M272" s="404">
        <v>0</v>
      </c>
      <c r="N272" s="404">
        <v>0</v>
      </c>
      <c r="O272" s="605">
        <v>0</v>
      </c>
      <c r="P272" s="606"/>
      <c r="Q272" s="606"/>
      <c r="R272" s="607"/>
      <c r="S272" s="607">
        <v>0</v>
      </c>
      <c r="T272" s="607"/>
      <c r="U272" s="607"/>
      <c r="V272" s="607"/>
      <c r="W272" s="607"/>
      <c r="X272" s="607"/>
      <c r="Y272" s="607"/>
      <c r="Z272" s="598">
        <v>10</v>
      </c>
      <c r="AA272" s="598"/>
      <c r="AB272" s="80"/>
      <c r="AC272" s="598">
        <v>0</v>
      </c>
      <c r="AD272" s="598" t="s">
        <v>296</v>
      </c>
      <c r="AE272" s="599" t="s">
        <v>296</v>
      </c>
      <c r="AF272" s="599"/>
      <c r="AG272" s="598"/>
      <c r="AH272" s="598"/>
      <c r="AI272" s="649">
        <v>0</v>
      </c>
      <c r="AJ272" s="650"/>
      <c r="AK272" s="650">
        <v>0</v>
      </c>
      <c r="AL272" s="645"/>
      <c r="AM272" s="645">
        <v>0</v>
      </c>
      <c r="AN272" s="600"/>
      <c r="AO272" s="600"/>
      <c r="AP272" s="600"/>
      <c r="AQ272" s="651"/>
      <c r="AR272" s="404" t="str">
        <f>IFERROR(WWWW[[#This Row],['# of Water passed at source]]/WWWW[[#This Row],['# of Water tested at source]],"no test")</f>
        <v>no test</v>
      </c>
      <c r="AS272" s="407" t="str">
        <f>IFERROR(WWWW[[#This Row],['# of Water passed at HH]]/WWWW[[#This Row],['# of Water tested at HH]],"no test")</f>
        <v>no test</v>
      </c>
      <c r="AT272" s="407">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U272" s="407">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AV272" s="407">
        <f>IF(WWWW[[#This Row],[Location Type 1]]="Village",WWWW[[#This Row],[Access to safe drinking water for Village]],WWWW[[#This Row],[Access to safe drinking water for Camp]])</f>
        <v>0</v>
      </c>
      <c r="AW272" s="405">
        <f>WWWW[[#This Row],[%Equitable and continuous access to sufficient quantity of safe drinking water]]*WWWW[[#This Row],[Total PoP ]]</f>
        <v>0</v>
      </c>
      <c r="AX272" s="407">
        <f>IF((WWWW[[#This Row],['# Existing protected/fenced ponds ]]*250)/WWWW[[#This Row],[Total PoP ]]&gt;1,1,WWWW[[#This Row],['# Existing protected/fenced ponds ]]*250/WWWW[[#This Row],[Total PoP ]])</f>
        <v>0</v>
      </c>
      <c r="AY272" s="405">
        <f>WWWW[[#This Row],[Access to unimproved water points]]*WWWW[[#This Row],[Total PoP ]]</f>
        <v>0</v>
      </c>
      <c r="AZ272" s="407">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A272" s="405">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B272" s="405">
        <f>WWWW[[#This Row],['#people Equitable and continuous access to sufficient quantity of domestic water borehole n ponds_2]]/500</f>
        <v>0</v>
      </c>
      <c r="BC272" s="404">
        <f>1-WWWW[[#This Row],[%Equitable and continuous access to sufficient quantity of domestic water borehole n ponds]]</f>
        <v>1</v>
      </c>
      <c r="BD272" s="405">
        <f>WWWW[[#This Row],[%equitable and continuous access to sufficient quantity of safe drinking and domestic water''s GAP]]*WWWW[[#This Row],[Total PoP ]]</f>
        <v>417</v>
      </c>
      <c r="BE272" s="406">
        <f>IF(WWWW[[#This Row],[Total required water points]]-WWWW[[#This Row],['#Water points coverage]]&lt;0,0,WWWW[[#This Row],[Total required water points]]-WWWW[[#This Row],['#Water points coverage]])</f>
        <v>1</v>
      </c>
      <c r="BF272" s="406">
        <f>ROUND(IF(WWWW[[#This Row],[Total PoP ]]&lt;500,1,WWWW[[#This Row],[Total PoP ]]/500),0)</f>
        <v>1</v>
      </c>
      <c r="BG272" s="406" t="str">
        <f>IF(AND(WWWW[[#This Row],[%of Water samples which passed at water source]]="no test",WWWW[[#This Row],[%Water samples which passed at HH]]="no test"),"No Test","Tested")</f>
        <v>No Test</v>
      </c>
      <c r="BH272" s="406">
        <f>WWWW[[#This Row],['# Existing functional latrines]]+WWWW[[#This Row],['# Existing latrines dysfunctional]]</f>
        <v>10</v>
      </c>
      <c r="BI272" s="404">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0.14388489208633093</v>
      </c>
      <c r="BJ272" s="676">
        <f>WWWW[[#This Row],[% people access to functioning Latrine]]*WWWW[[#This Row],[Total PoP ]]</f>
        <v>60</v>
      </c>
      <c r="BK272" s="404">
        <f>IF(WWWW[[#This Row],[Location Type 1]]="camp",WWWW[[#This Row],['# potential required new latrines]]/(WWWW[[#This Row],[Total PoP ]]/20),WWWW[[#This Row],['# potential required new latrines]]/(WWWW[[#This Row],[Total PoP ]]/6))</f>
        <v>0.86330935251798557</v>
      </c>
      <c r="BL272" s="405">
        <f>IF(WWWW[[#This Row],[Total required Latrines]]-WWWW[[#This Row],[Total '# of latrine]]&lt;0,0,WWWW[[#This Row],[Total required Latrines]]-WWWW[[#This Row],[Total '# of latrine]])</f>
        <v>60</v>
      </c>
      <c r="BM272" s="406">
        <f>ROUND(IF(WWWW[[#This Row],[Location Type 1]]="camp",WWWW[[#This Row],[Total PoP ]]/20,WWWW[[#This Row],[Total PoP ]]/6),0)</f>
        <v>70</v>
      </c>
      <c r="BN272" s="408">
        <f>IF(OR(WWWW[[#This Row],['# Existing latrines dysfunctional]]="",WWWW[[#This Row],['# Existing latrines dysfunctional]]=0),0,WWWW[[#This Row],['# Existing latrines dysfunctional]]/WWWW[[#This Row],[Total '# of latrine]])</f>
        <v>0</v>
      </c>
      <c r="BO272" s="676"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P272" s="404">
        <f>WWWW[[#This Row],[People adopt basic personal and community hygiene practices]]/WWWW[[#This Row],[Total PoP ]]</f>
        <v>0</v>
      </c>
      <c r="BQ272" s="408">
        <f>1-WWWW[[#This Row],[Hygiene Coverage%]]</f>
        <v>1</v>
      </c>
      <c r="BR272" s="405">
        <f>IF(500*WWWW[[#This Row],['# Hygiene Promoters ]]&gt;WWWW[[#This Row],[Total PoP ]],WWWW[[#This Row],[Total PoP ]],500*WWWW[[#This Row],['# Hygiene Promoters ]])</f>
        <v>0</v>
      </c>
      <c r="BS272" s="405">
        <f>IF(WWWW[[#This Row],[% of HH with access to Sanitary Pad]]&gt;=100%,1,0)</f>
        <v>0</v>
      </c>
      <c r="BT272" s="405">
        <f>IF(WWWW[[#This Row],[Total PoP ]]=0,0,IF(WWWW[[#This Row],['# Hygiene Promoters ]]=0,0,IF(WWWW[[#This Row],[Location Type 1]]="Village",IF(WWWW[[#This Row],[Total PoP ]]/WWWW[[#This Row],['# Hygiene Promoters ]]&lt;1000,1,0),IF(WWWW[[#This Row],[Total PoP ]]/WWWW[[#This Row],['# Hygiene Promoters ]]&lt;600,1,0))))</f>
        <v>0</v>
      </c>
      <c r="BU272" s="405">
        <f>IF(WWWW[[#This Row],[%HH with access to soap]]&gt;=100%,1,0)</f>
        <v>0</v>
      </c>
      <c r="BV272" s="405">
        <f>IF(WWWW[[#This Row],[% of HHs with access to Sanitary pad more than '#%]]+WWWW[[#This Row],[Ratio of Hyiene promoters to people less than '#]]+WWWW[[#This Row],[% of HHs with access to soap more than '#%]]&gt;=2,WWWW[[#This Row],[Total PoP ]],0)</f>
        <v>0</v>
      </c>
      <c r="BW272" s="391">
        <f>WWWW[[#This Row],['# people reached by regular dedicated hygiene promotion_5]]/WWWW[[#This Row],[Total PoP ]]</f>
        <v>0</v>
      </c>
      <c r="BX272" s="391">
        <f>IF(WWWW[[#This Row],['# HH received soaps]]/WWWW[[#This Row],[Total HH]]&gt;1,1,WWWW[[#This Row],['# HH received soaps]]/WWWW[[#This Row],[Total HH]])</f>
        <v>0</v>
      </c>
      <c r="BY272" s="391">
        <f>IF(WWWW[[#This Row],['# HH received Sanitary Pads]]/WWWW[[#This Row],[Total HH]]&gt;1,1,WWWW[[#This Row],['# HH received Sanitary Pads]]/WWWW[[#This Row],[Total HH]])</f>
        <v>0</v>
      </c>
      <c r="BZ272" s="721">
        <f>WWWW[[#This Row],['# HH received soaps]]*5</f>
        <v>0</v>
      </c>
      <c r="CA272" s="721">
        <f>WWWW[[#This Row],['# HH received Sanitary Pads]]*5</f>
        <v>0</v>
      </c>
      <c r="CB272" s="406">
        <f>IF(WWWW[[#This Row],['# People with access to soap]]&gt;WWWW[[#This Row],['# People with access to Sanity Pads]],WWWW[[#This Row],['# People with access to soap]],WWWW[[#This Row],['# People with access to Sanity Pads]])</f>
        <v>0</v>
      </c>
      <c r="CC272" s="405">
        <f>WWWW[[#This Row],[Total HH]]*WWWW[[#This Row],[%HHs with access to functional hand washing stations]]</f>
        <v>0</v>
      </c>
      <c r="CD272" s="240">
        <f>VLOOKUP(WWWW[[#This Row],[Site Name]],SiteDB6[],8,FALSE)</f>
        <v>0</v>
      </c>
      <c r="CE272" s="240">
        <f>VLOOKUP(WWWW[[#This Row],[Site Name]],SiteDB6[],9,FALSE)</f>
        <v>0</v>
      </c>
      <c r="CF272" s="240" t="str">
        <f>VLOOKUP(WWWW[[#This Row],[Site Name]],SiteDB6[],10,FALSE)</f>
        <v>Village</v>
      </c>
      <c r="CG272" s="240" t="str">
        <f>VLOOKUP(WWWW[[#This Row],[Site Name]],SiteDB6[],11,FALSE)</f>
        <v>Village</v>
      </c>
      <c r="CH272" s="240" t="str">
        <f>VLOOKUP(WWWW[[#This Row],[Site Name]],SiteDB6[],12,FALSE)</f>
        <v>Village</v>
      </c>
      <c r="CI272" s="240" t="str">
        <f>VLOOKUP(WWWW[[#This Row],[Site Name]],SiteDB6[],13,FALSE)</f>
        <v>Rakhine</v>
      </c>
      <c r="CJ272" s="240">
        <f>VLOOKUP(WWWW[[#This Row],[Site Name]],SiteDB6[],14,FALSE)</f>
        <v>20.645240783999999</v>
      </c>
      <c r="CK272" s="240">
        <f>VLOOKUP(WWWW[[#This Row],[Site Name]],SiteDB6[],15,FALSE)</f>
        <v>92.939758300999998</v>
      </c>
      <c r="CL272" s="240" t="str">
        <f>VLOOKUP(WWWW[[#This Row],[Site Name]],SiteDB6[],4,FALSE)</f>
        <v>196313</v>
      </c>
      <c r="CM272" s="404" t="str">
        <f t="shared" si="4"/>
        <v>Notcovered</v>
      </c>
      <c r="CN272" s="404"/>
    </row>
    <row r="273" spans="1:92" ht="15.75" hidden="1" customHeight="1" x14ac:dyDescent="0.25">
      <c r="A273" s="554" t="s">
        <v>1409</v>
      </c>
      <c r="B273" s="530" t="s">
        <v>542</v>
      </c>
      <c r="C273" s="531" t="s">
        <v>464</v>
      </c>
      <c r="D273" s="531" t="s">
        <v>508</v>
      </c>
      <c r="E273" s="531" t="s">
        <v>543</v>
      </c>
      <c r="F273" s="402">
        <v>54</v>
      </c>
      <c r="G273" s="405">
        <v>264</v>
      </c>
      <c r="H273" s="402"/>
      <c r="I273" s="402" t="s">
        <v>398</v>
      </c>
      <c r="J273" s="403">
        <v>43145</v>
      </c>
      <c r="K273" s="402">
        <v>0</v>
      </c>
      <c r="L273" s="402" t="s">
        <v>48</v>
      </c>
      <c r="M273" s="404"/>
      <c r="N273" s="404"/>
      <c r="O273" s="605">
        <v>0</v>
      </c>
      <c r="P273" s="606">
        <v>1</v>
      </c>
      <c r="Q273" s="606">
        <v>0</v>
      </c>
      <c r="R273" s="607">
        <v>2</v>
      </c>
      <c r="S273" s="607">
        <v>0</v>
      </c>
      <c r="T273" s="607"/>
      <c r="U273" s="607"/>
      <c r="V273" s="607"/>
      <c r="W273" s="607"/>
      <c r="X273" s="607"/>
      <c r="Y273" s="607"/>
      <c r="Z273" s="598">
        <v>3</v>
      </c>
      <c r="AA273" s="598">
        <v>0</v>
      </c>
      <c r="AB273" s="80"/>
      <c r="AC273" s="598">
        <v>3</v>
      </c>
      <c r="AD273" s="598" t="s">
        <v>342</v>
      </c>
      <c r="AE273" s="599" t="s">
        <v>342</v>
      </c>
      <c r="AF273" s="599"/>
      <c r="AG273" s="598"/>
      <c r="AH273" s="598"/>
      <c r="AI273" s="649">
        <v>0</v>
      </c>
      <c r="AJ273" s="650" t="s">
        <v>294</v>
      </c>
      <c r="AK273" s="650">
        <v>0</v>
      </c>
      <c r="AL273" s="645">
        <v>0</v>
      </c>
      <c r="AM273" s="645">
        <v>7</v>
      </c>
      <c r="AN273" s="600"/>
      <c r="AO273" s="600"/>
      <c r="AP273" s="600"/>
      <c r="AQ273" s="651"/>
      <c r="AR273" s="404" t="str">
        <f>IFERROR(WWWW[[#This Row],['# of Water passed at source]]/WWWW[[#This Row],['# of Water tested at source]],"no test")</f>
        <v>no test</v>
      </c>
      <c r="AS273" s="407" t="str">
        <f>IFERROR(WWWW[[#This Row],['# of Water passed at HH]]/WWWW[[#This Row],['# of Water tested at HH]],"no test")</f>
        <v>no test</v>
      </c>
      <c r="AT273" s="407">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U273" s="407">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0.94696969696969702</v>
      </c>
      <c r="AV273" s="407">
        <f>IF(WWWW[[#This Row],[Location Type 1]]="Village",WWWW[[#This Row],[Access to safe drinking water for Village]],WWWW[[#This Row],[Access to safe drinking water for Camp]])</f>
        <v>0.94696969696969702</v>
      </c>
      <c r="AW273" s="405">
        <f>WWWW[[#This Row],[%Equitable and continuous access to sufficient quantity of safe drinking water]]*WWWW[[#This Row],[Total PoP ]]</f>
        <v>250</v>
      </c>
      <c r="AX273" s="407">
        <f>IF((WWWW[[#This Row],['# Existing protected/fenced ponds ]]*250)/WWWW[[#This Row],[Total PoP ]]&gt;1,1,WWWW[[#This Row],['# Existing protected/fenced ponds ]]*250/WWWW[[#This Row],[Total PoP ]])</f>
        <v>1</v>
      </c>
      <c r="AY273" s="405">
        <f>WWWW[[#This Row],[Access to unimproved water points]]*WWWW[[#This Row],[Total PoP ]]</f>
        <v>264</v>
      </c>
      <c r="AZ273" s="407">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A273" s="405">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264</v>
      </c>
      <c r="BB273" s="405">
        <f>WWWW[[#This Row],['#people Equitable and continuous access to sufficient quantity of domestic water borehole n ponds_2]]/500</f>
        <v>0.52800000000000002</v>
      </c>
      <c r="BC273" s="404">
        <f>1-WWWW[[#This Row],[%Equitable and continuous access to sufficient quantity of domestic water borehole n ponds]]</f>
        <v>0</v>
      </c>
      <c r="BD273" s="405">
        <f>WWWW[[#This Row],[%equitable and continuous access to sufficient quantity of safe drinking and domestic water''s GAP]]*WWWW[[#This Row],[Total PoP ]]</f>
        <v>0</v>
      </c>
      <c r="BE273" s="406">
        <f>IF(WWWW[[#This Row],[Total required water points]]-WWWW[[#This Row],['#Water points coverage]]&lt;0,0,WWWW[[#This Row],[Total required water points]]-WWWW[[#This Row],['#Water points coverage]])</f>
        <v>0.47199999999999998</v>
      </c>
      <c r="BF273" s="406">
        <f>ROUND(IF(WWWW[[#This Row],[Total PoP ]]&lt;500,1,WWWW[[#This Row],[Total PoP ]]/500),0)</f>
        <v>1</v>
      </c>
      <c r="BG273" s="406" t="str">
        <f>IF(AND(WWWW[[#This Row],[%of Water samples which passed at water source]]="no test",WWWW[[#This Row],[%Water samples which passed at HH]]="no test"),"No Test","Tested")</f>
        <v>No Test</v>
      </c>
      <c r="BH273" s="406">
        <f>WWWW[[#This Row],['# Existing functional latrines]]+WWWW[[#This Row],['# Existing latrines dysfunctional]]</f>
        <v>3</v>
      </c>
      <c r="BI273" s="404">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6.8181818181818177E-2</v>
      </c>
      <c r="BJ273" s="676">
        <f>WWWW[[#This Row],[% people access to functioning Latrine]]*WWWW[[#This Row],[Total PoP ]]</f>
        <v>18</v>
      </c>
      <c r="BK273" s="404">
        <f>IF(WWWW[[#This Row],[Location Type 1]]="camp",WWWW[[#This Row],['# potential required new latrines]]/(WWWW[[#This Row],[Total PoP ]]/20),WWWW[[#This Row],['# potential required new latrines]]/(WWWW[[#This Row],[Total PoP ]]/6))</f>
        <v>0.93181818181818177</v>
      </c>
      <c r="BL273" s="405">
        <f>IF(WWWW[[#This Row],[Total required Latrines]]-WWWW[[#This Row],[Total '# of latrine]]&lt;0,0,WWWW[[#This Row],[Total required Latrines]]-WWWW[[#This Row],[Total '# of latrine]])</f>
        <v>41</v>
      </c>
      <c r="BM273" s="406">
        <f>ROUND(IF(WWWW[[#This Row],[Location Type 1]]="camp",WWWW[[#This Row],[Total PoP ]]/20,WWWW[[#This Row],[Total PoP ]]/6),0)</f>
        <v>44</v>
      </c>
      <c r="BN273" s="408">
        <f>IF(OR(WWWW[[#This Row],['# Existing latrines dysfunctional]]="",WWWW[[#This Row],['# Existing latrines dysfunctional]]=0),0,WWWW[[#This Row],['# Existing latrines dysfunctional]]/WWWW[[#This Row],[Total '# of latrine]])</f>
        <v>0</v>
      </c>
      <c r="BO273" s="676"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P273" s="404">
        <f>WWWW[[#This Row],[People adopt basic personal and community hygiene practices]]/WWWW[[#This Row],[Total PoP ]]</f>
        <v>0</v>
      </c>
      <c r="BQ273" s="408">
        <f>1-WWWW[[#This Row],[Hygiene Coverage%]]</f>
        <v>1</v>
      </c>
      <c r="BR273" s="405">
        <f>IF(500*WWWW[[#This Row],['# Hygiene Promoters ]]&gt;WWWW[[#This Row],[Total PoP ]],WWWW[[#This Row],[Total PoP ]],500*WWWW[[#This Row],['# Hygiene Promoters ]])</f>
        <v>264</v>
      </c>
      <c r="BS273" s="405">
        <f>IF(WWWW[[#This Row],[% of HH with access to Sanitary Pad]]&gt;=100%,1,0)</f>
        <v>0</v>
      </c>
      <c r="BT273" s="405">
        <f>IF(WWWW[[#This Row],[Total PoP ]]=0,0,IF(WWWW[[#This Row],['# Hygiene Promoters ]]=0,0,IF(WWWW[[#This Row],[Location Type 1]]="Village",IF(WWWW[[#This Row],[Total PoP ]]/WWWW[[#This Row],['# Hygiene Promoters ]]&lt;1000,1,0),IF(WWWW[[#This Row],[Total PoP ]]/WWWW[[#This Row],['# Hygiene Promoters ]]&lt;600,1,0))))</f>
        <v>1</v>
      </c>
      <c r="BU273" s="405">
        <f>IF(WWWW[[#This Row],[%HH with access to soap]]&gt;=100%,1,0)</f>
        <v>0</v>
      </c>
      <c r="BV273" s="405">
        <f>IF(WWWW[[#This Row],[% of HHs with access to Sanitary pad more than '#%]]+WWWW[[#This Row],[Ratio of Hyiene promoters to people less than '#]]+WWWW[[#This Row],[% of HHs with access to soap more than '#%]]&gt;=2,WWWW[[#This Row],[Total PoP ]],0)</f>
        <v>0</v>
      </c>
      <c r="BW273" s="391">
        <f>WWWW[[#This Row],['# people reached by regular dedicated hygiene promotion_5]]/WWWW[[#This Row],[Total PoP ]]</f>
        <v>1</v>
      </c>
      <c r="BX273" s="391">
        <f>IF(WWWW[[#This Row],['# HH received soaps]]/WWWW[[#This Row],[Total HH]]&gt;1,1,WWWW[[#This Row],['# HH received soaps]]/WWWW[[#This Row],[Total HH]])</f>
        <v>0</v>
      </c>
      <c r="BY273" s="391">
        <f>IF(WWWW[[#This Row],['# HH received Sanitary Pads]]/WWWW[[#This Row],[Total HH]]&gt;1,1,WWWW[[#This Row],['# HH received Sanitary Pads]]/WWWW[[#This Row],[Total HH]])</f>
        <v>0</v>
      </c>
      <c r="BZ273" s="721">
        <f>WWWW[[#This Row],['# HH received soaps]]*5</f>
        <v>0</v>
      </c>
      <c r="CA273" s="721">
        <f>WWWW[[#This Row],['# HH received Sanitary Pads]]*5</f>
        <v>0</v>
      </c>
      <c r="CB273" s="406">
        <f>IF(WWWW[[#This Row],['# People with access to soap]]&gt;WWWW[[#This Row],['# People with access to Sanity Pads]],WWWW[[#This Row],['# People with access to soap]],WWWW[[#This Row],['# People with access to Sanity Pads]])</f>
        <v>0</v>
      </c>
      <c r="CC273" s="405">
        <f>WWWW[[#This Row],[Total HH]]*WWWW[[#This Row],[%HHs with access to functional hand washing stations]]</f>
        <v>0</v>
      </c>
      <c r="CD273" s="240">
        <f>VLOOKUP(WWWW[[#This Row],[Site Name]],SiteDB6[],8,FALSE)</f>
        <v>0</v>
      </c>
      <c r="CE273" s="240">
        <f>VLOOKUP(WWWW[[#This Row],[Site Name]],SiteDB6[],9,FALSE)</f>
        <v>0</v>
      </c>
      <c r="CF273" s="240" t="str">
        <f>VLOOKUP(WWWW[[#This Row],[Site Name]],SiteDB6[],10,FALSE)</f>
        <v>Village</v>
      </c>
      <c r="CG273" s="240" t="str">
        <f>VLOOKUP(WWWW[[#This Row],[Site Name]],SiteDB6[],11,FALSE)</f>
        <v>Village</v>
      </c>
      <c r="CH273" s="240" t="str">
        <f>VLOOKUP(WWWW[[#This Row],[Site Name]],SiteDB6[],12,FALSE)</f>
        <v>Village</v>
      </c>
      <c r="CI273" s="240" t="str">
        <f>VLOOKUP(WWWW[[#This Row],[Site Name]],SiteDB6[],13,FALSE)</f>
        <v>Rakhine</v>
      </c>
      <c r="CJ273" s="240">
        <f>VLOOKUP(WWWW[[#This Row],[Site Name]],SiteDB6[],14,FALSE)</f>
        <v>19.434253692626999</v>
      </c>
      <c r="CK273" s="240">
        <f>VLOOKUP(WWWW[[#This Row],[Site Name]],SiteDB6[],15,FALSE)</f>
        <v>93.742851257324205</v>
      </c>
      <c r="CL273" s="240">
        <f>VLOOKUP(WWWW[[#This Row],[Site Name]],SiteDB6[],4,FALSE)</f>
        <v>0</v>
      </c>
      <c r="CM273" s="404" t="str">
        <f t="shared" si="4"/>
        <v>Covered</v>
      </c>
      <c r="CN273" s="404"/>
    </row>
    <row r="274" spans="1:92" ht="15.75" hidden="1" customHeight="1" x14ac:dyDescent="0.25">
      <c r="A274" s="554" t="s">
        <v>1409</v>
      </c>
      <c r="B274" s="530" t="s">
        <v>542</v>
      </c>
      <c r="C274" s="531" t="s">
        <v>464</v>
      </c>
      <c r="D274" s="531" t="s">
        <v>508</v>
      </c>
      <c r="E274" s="531" t="s">
        <v>648</v>
      </c>
      <c r="F274" s="402">
        <v>127</v>
      </c>
      <c r="G274" s="405">
        <v>559</v>
      </c>
      <c r="H274" s="402"/>
      <c r="I274" s="402" t="s">
        <v>398</v>
      </c>
      <c r="J274" s="403">
        <v>43145</v>
      </c>
      <c r="K274" s="402">
        <v>0</v>
      </c>
      <c r="L274" s="402" t="s">
        <v>48</v>
      </c>
      <c r="M274" s="404"/>
      <c r="N274" s="404"/>
      <c r="O274" s="605">
        <v>0</v>
      </c>
      <c r="P274" s="606">
        <v>0</v>
      </c>
      <c r="Q274" s="606">
        <v>0</v>
      </c>
      <c r="R274" s="607">
        <v>5</v>
      </c>
      <c r="S274" s="607">
        <v>0</v>
      </c>
      <c r="T274" s="607"/>
      <c r="U274" s="607"/>
      <c r="V274" s="607"/>
      <c r="W274" s="607"/>
      <c r="X274" s="607"/>
      <c r="Y274" s="607"/>
      <c r="Z274" s="598">
        <v>13</v>
      </c>
      <c r="AA274" s="598">
        <v>0</v>
      </c>
      <c r="AB274" s="80"/>
      <c r="AC274" s="598">
        <v>13</v>
      </c>
      <c r="AD274" s="598" t="s">
        <v>342</v>
      </c>
      <c r="AE274" s="599" t="s">
        <v>342</v>
      </c>
      <c r="AF274" s="599"/>
      <c r="AG274" s="598"/>
      <c r="AH274" s="598"/>
      <c r="AI274" s="649">
        <v>0</v>
      </c>
      <c r="AJ274" s="650" t="s">
        <v>294</v>
      </c>
      <c r="AK274" s="650">
        <v>0</v>
      </c>
      <c r="AL274" s="645">
        <v>0</v>
      </c>
      <c r="AM274" s="645">
        <v>7</v>
      </c>
      <c r="AN274" s="600"/>
      <c r="AO274" s="600"/>
      <c r="AP274" s="600"/>
      <c r="AQ274" s="651"/>
      <c r="AR274" s="404" t="str">
        <f>IFERROR(WWWW[[#This Row],['# of Water passed at source]]/WWWW[[#This Row],['# of Water tested at source]],"no test")</f>
        <v>no test</v>
      </c>
      <c r="AS274" s="407" t="str">
        <f>IFERROR(WWWW[[#This Row],['# of Water passed at HH]]/WWWW[[#This Row],['# of Water tested at HH]],"no test")</f>
        <v>no test</v>
      </c>
      <c r="AT274" s="407">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U274" s="407">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AV274" s="407">
        <f>IF(WWWW[[#This Row],[Location Type 1]]="Village",WWWW[[#This Row],[Access to safe drinking water for Village]],WWWW[[#This Row],[Access to safe drinking water for Camp]])</f>
        <v>0</v>
      </c>
      <c r="AW274" s="405">
        <f>WWWW[[#This Row],[%Equitable and continuous access to sufficient quantity of safe drinking water]]*WWWW[[#This Row],[Total PoP ]]</f>
        <v>0</v>
      </c>
      <c r="AX274" s="407">
        <f>IF((WWWW[[#This Row],['# Existing protected/fenced ponds ]]*250)/WWWW[[#This Row],[Total PoP ]]&gt;1,1,WWWW[[#This Row],['# Existing protected/fenced ponds ]]*250/WWWW[[#This Row],[Total PoP ]])</f>
        <v>1</v>
      </c>
      <c r="AY274" s="405">
        <f>WWWW[[#This Row],[Access to unimproved water points]]*WWWW[[#This Row],[Total PoP ]]</f>
        <v>559</v>
      </c>
      <c r="AZ274" s="407">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A274" s="405">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559</v>
      </c>
      <c r="BB274" s="405">
        <f>WWWW[[#This Row],['#people Equitable and continuous access to sufficient quantity of domestic water borehole n ponds_2]]/500</f>
        <v>1.1180000000000001</v>
      </c>
      <c r="BC274" s="404">
        <f>1-WWWW[[#This Row],[%Equitable and continuous access to sufficient quantity of domestic water borehole n ponds]]</f>
        <v>0</v>
      </c>
      <c r="BD274" s="405">
        <f>WWWW[[#This Row],[%equitable and continuous access to sufficient quantity of safe drinking and domestic water''s GAP]]*WWWW[[#This Row],[Total PoP ]]</f>
        <v>0</v>
      </c>
      <c r="BE274" s="406">
        <f>IF(WWWW[[#This Row],[Total required water points]]-WWWW[[#This Row],['#Water points coverage]]&lt;0,0,WWWW[[#This Row],[Total required water points]]-WWWW[[#This Row],['#Water points coverage]])</f>
        <v>0</v>
      </c>
      <c r="BF274" s="406">
        <f>ROUND(IF(WWWW[[#This Row],[Total PoP ]]&lt;500,1,WWWW[[#This Row],[Total PoP ]]/500),0)</f>
        <v>1</v>
      </c>
      <c r="BG274" s="406" t="str">
        <f>IF(AND(WWWW[[#This Row],[%of Water samples which passed at water source]]="no test",WWWW[[#This Row],[%Water samples which passed at HH]]="no test"),"No Test","Tested")</f>
        <v>No Test</v>
      </c>
      <c r="BH274" s="406">
        <f>WWWW[[#This Row],['# Existing functional latrines]]+WWWW[[#This Row],['# Existing latrines dysfunctional]]</f>
        <v>13</v>
      </c>
      <c r="BI274" s="404">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0.13953488372093023</v>
      </c>
      <c r="BJ274" s="676">
        <f>WWWW[[#This Row],[% people access to functioning Latrine]]*WWWW[[#This Row],[Total PoP ]]</f>
        <v>78</v>
      </c>
      <c r="BK274" s="404">
        <f>IF(WWWW[[#This Row],[Location Type 1]]="camp",WWWW[[#This Row],['# potential required new latrines]]/(WWWW[[#This Row],[Total PoP ]]/20),WWWW[[#This Row],['# potential required new latrines]]/(WWWW[[#This Row],[Total PoP ]]/6))</f>
        <v>0.85867620751341678</v>
      </c>
      <c r="BL274" s="405">
        <f>IF(WWWW[[#This Row],[Total required Latrines]]-WWWW[[#This Row],[Total '# of latrine]]&lt;0,0,WWWW[[#This Row],[Total required Latrines]]-WWWW[[#This Row],[Total '# of latrine]])</f>
        <v>80</v>
      </c>
      <c r="BM274" s="406">
        <f>ROUND(IF(WWWW[[#This Row],[Location Type 1]]="camp",WWWW[[#This Row],[Total PoP ]]/20,WWWW[[#This Row],[Total PoP ]]/6),0)</f>
        <v>93</v>
      </c>
      <c r="BN274" s="408">
        <f>IF(OR(WWWW[[#This Row],['# Existing latrines dysfunctional]]="",WWWW[[#This Row],['# Existing latrines dysfunctional]]=0),0,WWWW[[#This Row],['# Existing latrines dysfunctional]]/WWWW[[#This Row],[Total '# of latrine]])</f>
        <v>0</v>
      </c>
      <c r="BO274" s="676"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P274" s="404">
        <f>WWWW[[#This Row],[People adopt basic personal and community hygiene practices]]/WWWW[[#This Row],[Total PoP ]]</f>
        <v>0</v>
      </c>
      <c r="BQ274" s="408">
        <f>1-WWWW[[#This Row],[Hygiene Coverage%]]</f>
        <v>1</v>
      </c>
      <c r="BR274" s="405">
        <f>IF(500*WWWW[[#This Row],['# Hygiene Promoters ]]&gt;WWWW[[#This Row],[Total PoP ]],WWWW[[#This Row],[Total PoP ]],500*WWWW[[#This Row],['# Hygiene Promoters ]])</f>
        <v>559</v>
      </c>
      <c r="BS274" s="405">
        <f>IF(WWWW[[#This Row],[% of HH with access to Sanitary Pad]]&gt;=100%,1,0)</f>
        <v>0</v>
      </c>
      <c r="BT274" s="405">
        <f>IF(WWWW[[#This Row],[Total PoP ]]=0,0,IF(WWWW[[#This Row],['# Hygiene Promoters ]]=0,0,IF(WWWW[[#This Row],[Location Type 1]]="Village",IF(WWWW[[#This Row],[Total PoP ]]/WWWW[[#This Row],['# Hygiene Promoters ]]&lt;1000,1,0),IF(WWWW[[#This Row],[Total PoP ]]/WWWW[[#This Row],['# Hygiene Promoters ]]&lt;600,1,0))))</f>
        <v>1</v>
      </c>
      <c r="BU274" s="405">
        <f>IF(WWWW[[#This Row],[%HH with access to soap]]&gt;=100%,1,0)</f>
        <v>0</v>
      </c>
      <c r="BV274" s="405">
        <f>IF(WWWW[[#This Row],[% of HHs with access to Sanitary pad more than '#%]]+WWWW[[#This Row],[Ratio of Hyiene promoters to people less than '#]]+WWWW[[#This Row],[% of HHs with access to soap more than '#%]]&gt;=2,WWWW[[#This Row],[Total PoP ]],0)</f>
        <v>0</v>
      </c>
      <c r="BW274" s="391">
        <f>WWWW[[#This Row],['# people reached by regular dedicated hygiene promotion_5]]/WWWW[[#This Row],[Total PoP ]]</f>
        <v>1</v>
      </c>
      <c r="BX274" s="391">
        <f>IF(WWWW[[#This Row],['# HH received soaps]]/WWWW[[#This Row],[Total HH]]&gt;1,1,WWWW[[#This Row],['# HH received soaps]]/WWWW[[#This Row],[Total HH]])</f>
        <v>0</v>
      </c>
      <c r="BY274" s="391">
        <f>IF(WWWW[[#This Row],['# HH received Sanitary Pads]]/WWWW[[#This Row],[Total HH]]&gt;1,1,WWWW[[#This Row],['# HH received Sanitary Pads]]/WWWW[[#This Row],[Total HH]])</f>
        <v>0</v>
      </c>
      <c r="BZ274" s="721">
        <f>WWWW[[#This Row],['# HH received soaps]]*5</f>
        <v>0</v>
      </c>
      <c r="CA274" s="721">
        <f>WWWW[[#This Row],['# HH received Sanitary Pads]]*5</f>
        <v>0</v>
      </c>
      <c r="CB274" s="406">
        <f>IF(WWWW[[#This Row],['# People with access to soap]]&gt;WWWW[[#This Row],['# People with access to Sanity Pads]],WWWW[[#This Row],['# People with access to soap]],WWWW[[#This Row],['# People with access to Sanity Pads]])</f>
        <v>0</v>
      </c>
      <c r="CC274" s="405">
        <f>WWWW[[#This Row],[Total HH]]*WWWW[[#This Row],[%HHs with access to functional hand washing stations]]</f>
        <v>0</v>
      </c>
      <c r="CD274" s="240">
        <f>VLOOKUP(WWWW[[#This Row],[Site Name]],SiteDB6[],8,FALSE)</f>
        <v>0</v>
      </c>
      <c r="CE274" s="240">
        <f>VLOOKUP(WWWW[[#This Row],[Site Name]],SiteDB6[],9,FALSE)</f>
        <v>0</v>
      </c>
      <c r="CF274" s="240" t="str">
        <f>VLOOKUP(WWWW[[#This Row],[Site Name]],SiteDB6[],10,FALSE)</f>
        <v>Village</v>
      </c>
      <c r="CG274" s="240" t="str">
        <f>VLOOKUP(WWWW[[#This Row],[Site Name]],SiteDB6[],11,FALSE)</f>
        <v>Village</v>
      </c>
      <c r="CH274" s="240" t="str">
        <f>VLOOKUP(WWWW[[#This Row],[Site Name]],SiteDB6[],12,FALSE)</f>
        <v>Village</v>
      </c>
      <c r="CI274" s="240" t="str">
        <f>VLOOKUP(WWWW[[#This Row],[Site Name]],SiteDB6[],13,FALSE)</f>
        <v>Rakhine</v>
      </c>
      <c r="CJ274" s="240">
        <f>VLOOKUP(WWWW[[#This Row],[Site Name]],SiteDB6[],14,FALSE)</f>
        <v>20.453830718994102</v>
      </c>
      <c r="CK274" s="240">
        <f>VLOOKUP(WWWW[[#This Row],[Site Name]],SiteDB6[],15,FALSE)</f>
        <v>92.683090209960895</v>
      </c>
      <c r="CL274" s="240">
        <f>VLOOKUP(WWWW[[#This Row],[Site Name]],SiteDB6[],4,FALSE)</f>
        <v>197621</v>
      </c>
      <c r="CM274" s="404" t="str">
        <f t="shared" si="4"/>
        <v>Covered</v>
      </c>
      <c r="CN274" s="404"/>
    </row>
    <row r="275" spans="1:92" ht="15.75" hidden="1" customHeight="1" x14ac:dyDescent="0.25">
      <c r="A275" s="554" t="s">
        <v>1409</v>
      </c>
      <c r="B275" s="541" t="s">
        <v>542</v>
      </c>
      <c r="C275" s="541" t="s">
        <v>464</v>
      </c>
      <c r="D275" s="541" t="s">
        <v>508</v>
      </c>
      <c r="E275" s="541" t="s">
        <v>651</v>
      </c>
      <c r="F275" s="233">
        <v>95</v>
      </c>
      <c r="G275" s="414">
        <v>700</v>
      </c>
      <c r="H275" s="233"/>
      <c r="I275" s="169" t="s">
        <v>398</v>
      </c>
      <c r="J275" s="234">
        <v>43145</v>
      </c>
      <c r="K275" s="169">
        <v>0</v>
      </c>
      <c r="L275" s="169" t="s">
        <v>48</v>
      </c>
      <c r="M275" s="404"/>
      <c r="N275" s="404"/>
      <c r="O275" s="608">
        <v>0</v>
      </c>
      <c r="P275" s="609">
        <v>0</v>
      </c>
      <c r="Q275" s="610">
        <v>0</v>
      </c>
      <c r="R275" s="611">
        <v>3</v>
      </c>
      <c r="S275" s="611">
        <v>0</v>
      </c>
      <c r="T275" s="606"/>
      <c r="U275" s="606"/>
      <c r="V275" s="606"/>
      <c r="W275" s="606"/>
      <c r="X275" s="606"/>
      <c r="Y275" s="604"/>
      <c r="Z275" s="598">
        <v>28</v>
      </c>
      <c r="AA275" s="599">
        <v>0</v>
      </c>
      <c r="AB275" s="629"/>
      <c r="AC275" s="632">
        <v>28</v>
      </c>
      <c r="AD275" s="628" t="s">
        <v>342</v>
      </c>
      <c r="AE275" s="80" t="s">
        <v>342</v>
      </c>
      <c r="AF275" s="80"/>
      <c r="AG275" s="80"/>
      <c r="AH275" s="633"/>
      <c r="AI275" s="649">
        <v>0</v>
      </c>
      <c r="AJ275" s="650" t="s">
        <v>294</v>
      </c>
      <c r="AK275" s="650">
        <v>0</v>
      </c>
      <c r="AL275" s="645">
        <v>0</v>
      </c>
      <c r="AM275" s="645">
        <v>7</v>
      </c>
      <c r="AN275" s="600"/>
      <c r="AO275" s="600"/>
      <c r="AP275" s="600"/>
      <c r="AQ275" s="658"/>
      <c r="AR275" s="235" t="str">
        <f>IFERROR(WWWW[[#This Row],['# of Water passed at source]]/WWWW[[#This Row],['# of Water tested at source]],"no test")</f>
        <v>no test</v>
      </c>
      <c r="AS275" s="237" t="str">
        <f>IFERROR(WWWW[[#This Row],['# of Water passed at HH]]/WWWW[[#This Row],['# of Water tested at HH]],"no test")</f>
        <v>no test</v>
      </c>
      <c r="AT275" s="237">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U275" s="237">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AV275" s="237">
        <f>IF(WWWW[[#This Row],[Location Type 1]]="Village",WWWW[[#This Row],[Access to safe drinking water for Village]],WWWW[[#This Row],[Access to safe drinking water for Camp]])</f>
        <v>0</v>
      </c>
      <c r="AW275" s="414">
        <f>WWWW[[#This Row],[%Equitable and continuous access to sufficient quantity of safe drinking water]]*WWWW[[#This Row],[Total PoP ]]</f>
        <v>0</v>
      </c>
      <c r="AX275" s="237">
        <f>IF((WWWW[[#This Row],['# Existing protected/fenced ponds ]]*250)/WWWW[[#This Row],[Total PoP ]]&gt;1,1,WWWW[[#This Row],['# Existing protected/fenced ponds ]]*250/WWWW[[#This Row],[Total PoP ]])</f>
        <v>1</v>
      </c>
      <c r="AY275" s="414">
        <f>WWWW[[#This Row],[Access to unimproved water points]]*WWWW[[#This Row],[Total PoP ]]</f>
        <v>700</v>
      </c>
      <c r="AZ275" s="237">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A275" s="414">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700</v>
      </c>
      <c r="BB275" s="414">
        <f>WWWW[[#This Row],['#people Equitable and continuous access to sufficient quantity of domestic water borehole n ponds_2]]/500</f>
        <v>1.4</v>
      </c>
      <c r="BC275" s="235">
        <f>1-WWWW[[#This Row],[%Equitable and continuous access to sufficient quantity of domestic water borehole n ponds]]</f>
        <v>0</v>
      </c>
      <c r="BD275" s="414">
        <f>WWWW[[#This Row],[%equitable and continuous access to sufficient quantity of safe drinking and domestic water''s GAP]]*WWWW[[#This Row],[Total PoP ]]</f>
        <v>0</v>
      </c>
      <c r="BE275" s="238">
        <f>IF(WWWW[[#This Row],[Total required water points]]-WWWW[[#This Row],['#Water points coverage]]&lt;0,0,WWWW[[#This Row],[Total required water points]]-WWWW[[#This Row],['#Water points coverage]])</f>
        <v>0</v>
      </c>
      <c r="BF275" s="238">
        <f>ROUND(IF(WWWW[[#This Row],[Total PoP ]]&lt;500,1,WWWW[[#This Row],[Total PoP ]]/500),0)</f>
        <v>1</v>
      </c>
      <c r="BG275" s="238" t="str">
        <f>IF(AND(WWWW[[#This Row],[%of Water samples which passed at water source]]="no test",WWWW[[#This Row],[%Water samples which passed at HH]]="no test"),"No Test","Tested")</f>
        <v>No Test</v>
      </c>
      <c r="BH275" s="238">
        <f>WWWW[[#This Row],['# Existing functional latrines]]+WWWW[[#This Row],['# Existing latrines dysfunctional]]</f>
        <v>28</v>
      </c>
      <c r="BI275" s="235">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0.24</v>
      </c>
      <c r="BJ275" s="675">
        <f>WWWW[[#This Row],[% people access to functioning Latrine]]*WWWW[[#This Row],[Total PoP ]]</f>
        <v>168</v>
      </c>
      <c r="BK275" s="235">
        <f>IF(WWWW[[#This Row],[Location Type 1]]="camp",WWWW[[#This Row],['# potential required new latrines]]/(WWWW[[#This Row],[Total PoP ]]/20),WWWW[[#This Row],['# potential required new latrines]]/(WWWW[[#This Row],[Total PoP ]]/6))</f>
        <v>0.76285714285714279</v>
      </c>
      <c r="BL275" s="414">
        <f>IF(WWWW[[#This Row],[Total required Latrines]]-WWWW[[#This Row],[Total '# of latrine]]&lt;0,0,WWWW[[#This Row],[Total required Latrines]]-WWWW[[#This Row],[Total '# of latrine]])</f>
        <v>89</v>
      </c>
      <c r="BM275" s="238">
        <f>ROUND(IF(WWWW[[#This Row],[Location Type 1]]="camp",WWWW[[#This Row],[Total PoP ]]/20,WWWW[[#This Row],[Total PoP ]]/6),0)</f>
        <v>117</v>
      </c>
      <c r="BN275" s="239">
        <f>IF(OR(WWWW[[#This Row],['# Existing latrines dysfunctional]]="",WWWW[[#This Row],['# Existing latrines dysfunctional]]=0),0,WWWW[[#This Row],['# Existing latrines dysfunctional]]/WWWW[[#This Row],[Total '# of latrine]])</f>
        <v>0</v>
      </c>
      <c r="BO275" s="675"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P275" s="235">
        <f>WWWW[[#This Row],[People adopt basic personal and community hygiene practices]]/WWWW[[#This Row],[Total PoP ]]</f>
        <v>0</v>
      </c>
      <c r="BQ275" s="239">
        <f>1-WWWW[[#This Row],[Hygiene Coverage%]]</f>
        <v>1</v>
      </c>
      <c r="BR275" s="405">
        <f>IF(500*WWWW[[#This Row],['# Hygiene Promoters ]]&gt;WWWW[[#This Row],[Total PoP ]],WWWW[[#This Row],[Total PoP ]],500*WWWW[[#This Row],['# Hygiene Promoters ]])</f>
        <v>700</v>
      </c>
      <c r="BS275" s="405">
        <f>IF(WWWW[[#This Row],[% of HH with access to Sanitary Pad]]&gt;=100%,1,0)</f>
        <v>0</v>
      </c>
      <c r="BT275" s="405">
        <f>IF(WWWW[[#This Row],[Total PoP ]]=0,0,IF(WWWW[[#This Row],['# Hygiene Promoters ]]=0,0,IF(WWWW[[#This Row],[Location Type 1]]="Village",IF(WWWW[[#This Row],[Total PoP ]]/WWWW[[#This Row],['# Hygiene Promoters ]]&lt;1000,1,0),IF(WWWW[[#This Row],[Total PoP ]]/WWWW[[#This Row],['# Hygiene Promoters ]]&lt;600,1,0))))</f>
        <v>1</v>
      </c>
      <c r="BU275" s="405">
        <f>IF(WWWW[[#This Row],[%HH with access to soap]]&gt;=100%,1,0)</f>
        <v>0</v>
      </c>
      <c r="BV275" s="405">
        <f>IF(WWWW[[#This Row],[% of HHs with access to Sanitary pad more than '#%]]+WWWW[[#This Row],[Ratio of Hyiene promoters to people less than '#]]+WWWW[[#This Row],[% of HHs with access to soap more than '#%]]&gt;=2,WWWW[[#This Row],[Total PoP ]],0)</f>
        <v>0</v>
      </c>
      <c r="BW275" s="346">
        <f>WWWW[[#This Row],['# people reached by regular dedicated hygiene promotion_5]]/WWWW[[#This Row],[Total PoP ]]</f>
        <v>1</v>
      </c>
      <c r="BX275" s="346">
        <f>IF(WWWW[[#This Row],['# HH received soaps]]/WWWW[[#This Row],[Total HH]]&gt;1,1,WWWW[[#This Row],['# HH received soaps]]/WWWW[[#This Row],[Total HH]])</f>
        <v>0</v>
      </c>
      <c r="BY275" s="346">
        <f>IF(WWWW[[#This Row],['# HH received Sanitary Pads]]/WWWW[[#This Row],[Total HH]]&gt;1,1,WWWW[[#This Row],['# HH received Sanitary Pads]]/WWWW[[#This Row],[Total HH]])</f>
        <v>0</v>
      </c>
      <c r="BZ275" s="720">
        <f>WWWW[[#This Row],['# HH received soaps]]*5</f>
        <v>0</v>
      </c>
      <c r="CA275" s="720">
        <f>WWWW[[#This Row],['# HH received Sanitary Pads]]*5</f>
        <v>0</v>
      </c>
      <c r="CB275" s="675">
        <f>IF(WWWW[[#This Row],['# People with access to soap]]&gt;WWWW[[#This Row],['# People with access to Sanity Pads]],WWWW[[#This Row],['# People with access to soap]],WWWW[[#This Row],['# People with access to Sanity Pads]])</f>
        <v>0</v>
      </c>
      <c r="CC275" s="414">
        <f>WWWW[[#This Row],[Total HH]]*WWWW[[#This Row],[%HHs with access to functional hand washing stations]]</f>
        <v>0</v>
      </c>
      <c r="CD275" s="240">
        <f>VLOOKUP(WWWW[[#This Row],[Site Name]],SiteDB6[],8,FALSE)</f>
        <v>0</v>
      </c>
      <c r="CE275" s="240">
        <f>VLOOKUP(WWWW[[#This Row],[Site Name]],SiteDB6[],9,FALSE)</f>
        <v>0</v>
      </c>
      <c r="CF275" s="240" t="str">
        <f>VLOOKUP(WWWW[[#This Row],[Site Name]],SiteDB6[],10,FALSE)</f>
        <v>Village</v>
      </c>
      <c r="CG275" s="240" t="str">
        <f>VLOOKUP(WWWW[[#This Row],[Site Name]],SiteDB6[],11,FALSE)</f>
        <v>Village</v>
      </c>
      <c r="CH275" s="240" t="str">
        <f>VLOOKUP(WWWW[[#This Row],[Site Name]],SiteDB6[],12,FALSE)</f>
        <v>Village</v>
      </c>
      <c r="CI275" s="240" t="str">
        <f>VLOOKUP(WWWW[[#This Row],[Site Name]],SiteDB6[],13,FALSE)</f>
        <v>Rakhine</v>
      </c>
      <c r="CJ275" s="240">
        <f>VLOOKUP(WWWW[[#This Row],[Site Name]],SiteDB6[],14,FALSE)</f>
        <v>20.463909149169901</v>
      </c>
      <c r="CK275" s="240">
        <f>VLOOKUP(WWWW[[#This Row],[Site Name]],SiteDB6[],15,FALSE)</f>
        <v>92.675468444824205</v>
      </c>
      <c r="CL275" s="240">
        <f>VLOOKUP(WWWW[[#This Row],[Site Name]],SiteDB6[],4,FALSE)</f>
        <v>197629</v>
      </c>
      <c r="CM275" s="235" t="str">
        <f t="shared" si="4"/>
        <v>Covered</v>
      </c>
      <c r="CN275" s="240"/>
    </row>
    <row r="276" spans="1:92" ht="15.75" hidden="1" customHeight="1" x14ac:dyDescent="0.25">
      <c r="A276" s="554" t="s">
        <v>1409</v>
      </c>
      <c r="B276" s="531" t="s">
        <v>542</v>
      </c>
      <c r="C276" s="531" t="s">
        <v>464</v>
      </c>
      <c r="D276" s="531" t="s">
        <v>508</v>
      </c>
      <c r="E276" s="531" t="s">
        <v>654</v>
      </c>
      <c r="F276" s="314">
        <v>20</v>
      </c>
      <c r="G276" s="731">
        <v>102</v>
      </c>
      <c r="H276" s="314"/>
      <c r="I276" s="314" t="s">
        <v>398</v>
      </c>
      <c r="J276" s="315">
        <v>43145</v>
      </c>
      <c r="K276" s="314">
        <v>0</v>
      </c>
      <c r="L276" s="314" t="s">
        <v>48</v>
      </c>
      <c r="M276" s="404"/>
      <c r="N276" s="404"/>
      <c r="O276" s="608">
        <v>0</v>
      </c>
      <c r="P276" s="609">
        <v>0</v>
      </c>
      <c r="Q276" s="613">
        <v>0</v>
      </c>
      <c r="R276" s="614">
        <v>2</v>
      </c>
      <c r="S276" s="614">
        <v>0</v>
      </c>
      <c r="T276" s="604"/>
      <c r="U276" s="604"/>
      <c r="V276" s="604"/>
      <c r="W276" s="604"/>
      <c r="X276" s="604"/>
      <c r="Y276" s="604"/>
      <c r="Z276" s="628">
        <v>10</v>
      </c>
      <c r="AA276" s="628">
        <v>0</v>
      </c>
      <c r="AB276" s="634"/>
      <c r="AC276" s="634">
        <v>10</v>
      </c>
      <c r="AD276" s="634" t="s">
        <v>342</v>
      </c>
      <c r="AE276" s="631" t="s">
        <v>342</v>
      </c>
      <c r="AF276" s="629"/>
      <c r="AG276" s="629"/>
      <c r="AH276" s="634"/>
      <c r="AI276" s="649">
        <v>0</v>
      </c>
      <c r="AJ276" s="650" t="s">
        <v>294</v>
      </c>
      <c r="AK276" s="650">
        <v>0</v>
      </c>
      <c r="AL276" s="645">
        <v>0</v>
      </c>
      <c r="AM276" s="645">
        <v>7</v>
      </c>
      <c r="AN276" s="600"/>
      <c r="AO276" s="647"/>
      <c r="AP276" s="647"/>
      <c r="AQ276" s="657"/>
      <c r="AR276" s="235" t="str">
        <f>IFERROR(WWWW[[#This Row],['# of Water passed at source]]/WWWW[[#This Row],['# of Water tested at source]],"no test")</f>
        <v>no test</v>
      </c>
      <c r="AS276" s="237" t="str">
        <f>IFERROR(WWWW[[#This Row],['# of Water passed at HH]]/WWWW[[#This Row],['# of Water tested at HH]],"no test")</f>
        <v>no test</v>
      </c>
      <c r="AT276" s="237">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U276" s="237">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AV276" s="237">
        <f>IF(WWWW[[#This Row],[Location Type 1]]="Village",WWWW[[#This Row],[Access to safe drinking water for Village]],WWWW[[#This Row],[Access to safe drinking water for Camp]])</f>
        <v>0</v>
      </c>
      <c r="AW276" s="414">
        <f>WWWW[[#This Row],[%Equitable and continuous access to sufficient quantity of safe drinking water]]*WWWW[[#This Row],[Total PoP ]]</f>
        <v>0</v>
      </c>
      <c r="AX276" s="237">
        <f>IF((WWWW[[#This Row],['# Existing protected/fenced ponds ]]*250)/WWWW[[#This Row],[Total PoP ]]&gt;1,1,WWWW[[#This Row],['# Existing protected/fenced ponds ]]*250/WWWW[[#This Row],[Total PoP ]])</f>
        <v>1</v>
      </c>
      <c r="AY276" s="414">
        <f>WWWW[[#This Row],[Access to unimproved water points]]*WWWW[[#This Row],[Total PoP ]]</f>
        <v>102</v>
      </c>
      <c r="AZ276" s="237">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A276" s="414">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102</v>
      </c>
      <c r="BB276" s="414">
        <f>WWWW[[#This Row],['#people Equitable and continuous access to sufficient quantity of domestic water borehole n ponds_2]]/500</f>
        <v>0.20399999999999999</v>
      </c>
      <c r="BC276" s="235">
        <f>1-WWWW[[#This Row],[%Equitable and continuous access to sufficient quantity of domestic water borehole n ponds]]</f>
        <v>0</v>
      </c>
      <c r="BD276" s="414">
        <f>WWWW[[#This Row],[%equitable and continuous access to sufficient quantity of safe drinking and domestic water''s GAP]]*WWWW[[#This Row],[Total PoP ]]</f>
        <v>0</v>
      </c>
      <c r="BE276" s="238">
        <f>IF(WWWW[[#This Row],[Total required water points]]-WWWW[[#This Row],['#Water points coverage]]&lt;0,0,WWWW[[#This Row],[Total required water points]]-WWWW[[#This Row],['#Water points coverage]])</f>
        <v>0.79600000000000004</v>
      </c>
      <c r="BF276" s="238">
        <f>ROUND(IF(WWWW[[#This Row],[Total PoP ]]&lt;500,1,WWWW[[#This Row],[Total PoP ]]/500),0)</f>
        <v>1</v>
      </c>
      <c r="BG276" s="238" t="str">
        <f>IF(AND(WWWW[[#This Row],[%of Water samples which passed at water source]]="no test",WWWW[[#This Row],[%Water samples which passed at HH]]="no test"),"No Test","Tested")</f>
        <v>No Test</v>
      </c>
      <c r="BH276" s="238">
        <f>WWWW[[#This Row],['# Existing functional latrines]]+WWWW[[#This Row],['# Existing latrines dysfunctional]]</f>
        <v>10</v>
      </c>
      <c r="BI276" s="235">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0.58823529411764708</v>
      </c>
      <c r="BJ276" s="675">
        <f>WWWW[[#This Row],[% people access to functioning Latrine]]*WWWW[[#This Row],[Total PoP ]]</f>
        <v>60</v>
      </c>
      <c r="BK276" s="235">
        <f>IF(WWWW[[#This Row],[Location Type 1]]="camp",WWWW[[#This Row],['# potential required new latrines]]/(WWWW[[#This Row],[Total PoP ]]/20),WWWW[[#This Row],['# potential required new latrines]]/(WWWW[[#This Row],[Total PoP ]]/6))</f>
        <v>0.41176470588235292</v>
      </c>
      <c r="BL276" s="414">
        <f>IF(WWWW[[#This Row],[Total required Latrines]]-WWWW[[#This Row],[Total '# of latrine]]&lt;0,0,WWWW[[#This Row],[Total required Latrines]]-WWWW[[#This Row],[Total '# of latrine]])</f>
        <v>7</v>
      </c>
      <c r="BM276" s="238">
        <f>ROUND(IF(WWWW[[#This Row],[Location Type 1]]="camp",WWWW[[#This Row],[Total PoP ]]/20,WWWW[[#This Row],[Total PoP ]]/6),0)</f>
        <v>17</v>
      </c>
      <c r="BN276" s="239">
        <f>IF(OR(WWWW[[#This Row],['# Existing latrines dysfunctional]]="",WWWW[[#This Row],['# Existing latrines dysfunctional]]=0),0,WWWW[[#This Row],['# Existing latrines dysfunctional]]/WWWW[[#This Row],[Total '# of latrine]])</f>
        <v>0</v>
      </c>
      <c r="BO276" s="675"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P276" s="235">
        <f>WWWW[[#This Row],[People adopt basic personal and community hygiene practices]]/WWWW[[#This Row],[Total PoP ]]</f>
        <v>0</v>
      </c>
      <c r="BQ276" s="239">
        <f>1-WWWW[[#This Row],[Hygiene Coverage%]]</f>
        <v>1</v>
      </c>
      <c r="BR276" s="405">
        <f>IF(500*WWWW[[#This Row],['# Hygiene Promoters ]]&gt;WWWW[[#This Row],[Total PoP ]],WWWW[[#This Row],[Total PoP ]],500*WWWW[[#This Row],['# Hygiene Promoters ]])</f>
        <v>102</v>
      </c>
      <c r="BS276" s="405">
        <f>IF(WWWW[[#This Row],[% of HH with access to Sanitary Pad]]&gt;=100%,1,0)</f>
        <v>0</v>
      </c>
      <c r="BT276" s="405">
        <f>IF(WWWW[[#This Row],[Total PoP ]]=0,0,IF(WWWW[[#This Row],['# Hygiene Promoters ]]=0,0,IF(WWWW[[#This Row],[Location Type 1]]="Village",IF(WWWW[[#This Row],[Total PoP ]]/WWWW[[#This Row],['# Hygiene Promoters ]]&lt;1000,1,0),IF(WWWW[[#This Row],[Total PoP ]]/WWWW[[#This Row],['# Hygiene Promoters ]]&lt;600,1,0))))</f>
        <v>1</v>
      </c>
      <c r="BU276" s="405">
        <f>IF(WWWW[[#This Row],[%HH with access to soap]]&gt;=100%,1,0)</f>
        <v>0</v>
      </c>
      <c r="BV276" s="405">
        <f>IF(WWWW[[#This Row],[% of HHs with access to Sanitary pad more than '#%]]+WWWW[[#This Row],[Ratio of Hyiene promoters to people less than '#]]+WWWW[[#This Row],[% of HHs with access to soap more than '#%]]&gt;=2,WWWW[[#This Row],[Total PoP ]],0)</f>
        <v>0</v>
      </c>
      <c r="BW276" s="346">
        <f>WWWW[[#This Row],['# people reached by regular dedicated hygiene promotion_5]]/WWWW[[#This Row],[Total PoP ]]</f>
        <v>1</v>
      </c>
      <c r="BX276" s="346">
        <f>IF(WWWW[[#This Row],['# HH received soaps]]/WWWW[[#This Row],[Total HH]]&gt;1,1,WWWW[[#This Row],['# HH received soaps]]/WWWW[[#This Row],[Total HH]])</f>
        <v>0</v>
      </c>
      <c r="BY276" s="346">
        <f>IF(WWWW[[#This Row],['# HH received Sanitary Pads]]/WWWW[[#This Row],[Total HH]]&gt;1,1,WWWW[[#This Row],['# HH received Sanitary Pads]]/WWWW[[#This Row],[Total HH]])</f>
        <v>0</v>
      </c>
      <c r="BZ276" s="720">
        <f>WWWW[[#This Row],['# HH received soaps]]*5</f>
        <v>0</v>
      </c>
      <c r="CA276" s="720">
        <f>WWWW[[#This Row],['# HH received Sanitary Pads]]*5</f>
        <v>0</v>
      </c>
      <c r="CB276" s="675">
        <f>IF(WWWW[[#This Row],['# People with access to soap]]&gt;WWWW[[#This Row],['# People with access to Sanity Pads]],WWWW[[#This Row],['# People with access to soap]],WWWW[[#This Row],['# People with access to Sanity Pads]])</f>
        <v>0</v>
      </c>
      <c r="CC276" s="414">
        <f>WWWW[[#This Row],[Total HH]]*WWWW[[#This Row],[%HHs with access to functional hand washing stations]]</f>
        <v>0</v>
      </c>
      <c r="CD276" s="240">
        <f>VLOOKUP(WWWW[[#This Row],[Site Name]],SiteDB6[],8,FALSE)</f>
        <v>0</v>
      </c>
      <c r="CE276" s="240">
        <f>VLOOKUP(WWWW[[#This Row],[Site Name]],SiteDB6[],9,FALSE)</f>
        <v>0</v>
      </c>
      <c r="CF276" s="240" t="str">
        <f>VLOOKUP(WWWW[[#This Row],[Site Name]],SiteDB6[],10,FALSE)</f>
        <v>Village</v>
      </c>
      <c r="CG276" s="240" t="str">
        <f>VLOOKUP(WWWW[[#This Row],[Site Name]],SiteDB6[],11,FALSE)</f>
        <v>Village</v>
      </c>
      <c r="CH276" s="240" t="str">
        <f>VLOOKUP(WWWW[[#This Row],[Site Name]],SiteDB6[],12,FALSE)</f>
        <v>Village</v>
      </c>
      <c r="CI276" s="240" t="str">
        <f>VLOOKUP(WWWW[[#This Row],[Site Name]],SiteDB6[],13,FALSE)</f>
        <v>Rakhine</v>
      </c>
      <c r="CJ276" s="240">
        <f>VLOOKUP(WWWW[[#This Row],[Site Name]],SiteDB6[],14,FALSE)</f>
        <v>20.46994972229</v>
      </c>
      <c r="CK276" s="240">
        <f>VLOOKUP(WWWW[[#This Row],[Site Name]],SiteDB6[],15,FALSE)</f>
        <v>92.676437377929702</v>
      </c>
      <c r="CL276" s="240">
        <f>VLOOKUP(WWWW[[#This Row],[Site Name]],SiteDB6[],4,FALSE)</f>
        <v>197632</v>
      </c>
      <c r="CM276" s="235" t="str">
        <f t="shared" si="4"/>
        <v>Covered</v>
      </c>
      <c r="CN276" s="240"/>
    </row>
    <row r="277" spans="1:92" ht="15.75" hidden="1" customHeight="1" x14ac:dyDescent="0.25">
      <c r="A277" s="554" t="s">
        <v>1409</v>
      </c>
      <c r="B277" s="541" t="s">
        <v>542</v>
      </c>
      <c r="C277" s="530" t="s">
        <v>464</v>
      </c>
      <c r="D277" s="530" t="s">
        <v>508</v>
      </c>
      <c r="E277" s="530" t="s">
        <v>655</v>
      </c>
      <c r="F277" s="233">
        <v>90</v>
      </c>
      <c r="G277" s="414">
        <v>458</v>
      </c>
      <c r="H277" s="233"/>
      <c r="I277" s="402" t="s">
        <v>398</v>
      </c>
      <c r="J277" s="234">
        <v>43145</v>
      </c>
      <c r="K277" s="402">
        <v>0</v>
      </c>
      <c r="L277" s="402" t="s">
        <v>48</v>
      </c>
      <c r="M277" s="404"/>
      <c r="N277" s="404"/>
      <c r="O277" s="608">
        <v>0</v>
      </c>
      <c r="P277" s="609">
        <v>0</v>
      </c>
      <c r="Q277" s="606">
        <v>0</v>
      </c>
      <c r="R277" s="607">
        <v>3</v>
      </c>
      <c r="S277" s="607">
        <v>0</v>
      </c>
      <c r="T277" s="606"/>
      <c r="U277" s="606"/>
      <c r="V277" s="606"/>
      <c r="W277" s="606"/>
      <c r="X277" s="606"/>
      <c r="Y277" s="604"/>
      <c r="Z277" s="598">
        <v>14</v>
      </c>
      <c r="AA277" s="599">
        <v>0</v>
      </c>
      <c r="AB277" s="629"/>
      <c r="AC277" s="598">
        <v>14</v>
      </c>
      <c r="AD277" s="628" t="s">
        <v>342</v>
      </c>
      <c r="AE277" s="599" t="s">
        <v>342</v>
      </c>
      <c r="AF277" s="80"/>
      <c r="AG277" s="80"/>
      <c r="AH277" s="599"/>
      <c r="AI277" s="649">
        <v>0</v>
      </c>
      <c r="AJ277" s="650" t="s">
        <v>294</v>
      </c>
      <c r="AK277" s="650">
        <v>0</v>
      </c>
      <c r="AL277" s="645">
        <v>0</v>
      </c>
      <c r="AM277" s="645">
        <v>7</v>
      </c>
      <c r="AN277" s="600"/>
      <c r="AO277" s="600"/>
      <c r="AP277" s="600"/>
      <c r="AQ277" s="658"/>
      <c r="AR277" s="235" t="str">
        <f>IFERROR(WWWW[[#This Row],['# of Water passed at source]]/WWWW[[#This Row],['# of Water tested at source]],"no test")</f>
        <v>no test</v>
      </c>
      <c r="AS277" s="237" t="str">
        <f>IFERROR(WWWW[[#This Row],['# of Water passed at HH]]/WWWW[[#This Row],['# of Water tested at HH]],"no test")</f>
        <v>no test</v>
      </c>
      <c r="AT277" s="237">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U277" s="237">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AV277" s="237">
        <f>IF(WWWW[[#This Row],[Location Type 1]]="Village",WWWW[[#This Row],[Access to safe drinking water for Village]],WWWW[[#This Row],[Access to safe drinking water for Camp]])</f>
        <v>0</v>
      </c>
      <c r="AW277" s="414">
        <f>WWWW[[#This Row],[%Equitable and continuous access to sufficient quantity of safe drinking water]]*WWWW[[#This Row],[Total PoP ]]</f>
        <v>0</v>
      </c>
      <c r="AX277" s="237">
        <f>IF((WWWW[[#This Row],['# Existing protected/fenced ponds ]]*250)/WWWW[[#This Row],[Total PoP ]]&gt;1,1,WWWW[[#This Row],['# Existing protected/fenced ponds ]]*250/WWWW[[#This Row],[Total PoP ]])</f>
        <v>1</v>
      </c>
      <c r="AY277" s="414">
        <f>WWWW[[#This Row],[Access to unimproved water points]]*WWWW[[#This Row],[Total PoP ]]</f>
        <v>458</v>
      </c>
      <c r="AZ277" s="237">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A277" s="414">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458</v>
      </c>
      <c r="BB277" s="414">
        <f>WWWW[[#This Row],['#people Equitable and continuous access to sufficient quantity of domestic water borehole n ponds_2]]/500</f>
        <v>0.91600000000000004</v>
      </c>
      <c r="BC277" s="235">
        <f>1-WWWW[[#This Row],[%Equitable and continuous access to sufficient quantity of domestic water borehole n ponds]]</f>
        <v>0</v>
      </c>
      <c r="BD277" s="414">
        <f>WWWW[[#This Row],[%equitable and continuous access to sufficient quantity of safe drinking and domestic water''s GAP]]*WWWW[[#This Row],[Total PoP ]]</f>
        <v>0</v>
      </c>
      <c r="BE277" s="238">
        <f>IF(WWWW[[#This Row],[Total required water points]]-WWWW[[#This Row],['#Water points coverage]]&lt;0,0,WWWW[[#This Row],[Total required water points]]-WWWW[[#This Row],['#Water points coverage]])</f>
        <v>8.3999999999999964E-2</v>
      </c>
      <c r="BF277" s="238">
        <f>ROUND(IF(WWWW[[#This Row],[Total PoP ]]&lt;500,1,WWWW[[#This Row],[Total PoP ]]/500),0)</f>
        <v>1</v>
      </c>
      <c r="BG277" s="238" t="str">
        <f>IF(AND(WWWW[[#This Row],[%of Water samples which passed at water source]]="no test",WWWW[[#This Row],[%Water samples which passed at HH]]="no test"),"No Test","Tested")</f>
        <v>No Test</v>
      </c>
      <c r="BH277" s="238">
        <f>WWWW[[#This Row],['# Existing functional latrines]]+WWWW[[#This Row],['# Existing latrines dysfunctional]]</f>
        <v>14</v>
      </c>
      <c r="BI277" s="235">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0.18340611353711792</v>
      </c>
      <c r="BJ277" s="675">
        <f>WWWW[[#This Row],[% people access to functioning Latrine]]*WWWW[[#This Row],[Total PoP ]]</f>
        <v>84</v>
      </c>
      <c r="BK277" s="235">
        <f>IF(WWWW[[#This Row],[Location Type 1]]="camp",WWWW[[#This Row],['# potential required new latrines]]/(WWWW[[#This Row],[Total PoP ]]/20),WWWW[[#This Row],['# potential required new latrines]]/(WWWW[[#This Row],[Total PoP ]]/6))</f>
        <v>0.81222707423580787</v>
      </c>
      <c r="BL277" s="414">
        <f>IF(WWWW[[#This Row],[Total required Latrines]]-WWWW[[#This Row],[Total '# of latrine]]&lt;0,0,WWWW[[#This Row],[Total required Latrines]]-WWWW[[#This Row],[Total '# of latrine]])</f>
        <v>62</v>
      </c>
      <c r="BM277" s="238">
        <f>ROUND(IF(WWWW[[#This Row],[Location Type 1]]="camp",WWWW[[#This Row],[Total PoP ]]/20,WWWW[[#This Row],[Total PoP ]]/6),0)</f>
        <v>76</v>
      </c>
      <c r="BN277" s="239">
        <f>IF(OR(WWWW[[#This Row],['# Existing latrines dysfunctional]]="",WWWW[[#This Row],['# Existing latrines dysfunctional]]=0),0,WWWW[[#This Row],['# Existing latrines dysfunctional]]/WWWW[[#This Row],[Total '# of latrine]])</f>
        <v>0</v>
      </c>
      <c r="BO277" s="675"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P277" s="235">
        <f>WWWW[[#This Row],[People adopt basic personal and community hygiene practices]]/WWWW[[#This Row],[Total PoP ]]</f>
        <v>0</v>
      </c>
      <c r="BQ277" s="239">
        <f>1-WWWW[[#This Row],[Hygiene Coverage%]]</f>
        <v>1</v>
      </c>
      <c r="BR277" s="405">
        <f>IF(500*WWWW[[#This Row],['# Hygiene Promoters ]]&gt;WWWW[[#This Row],[Total PoP ]],WWWW[[#This Row],[Total PoP ]],500*WWWW[[#This Row],['# Hygiene Promoters ]])</f>
        <v>458</v>
      </c>
      <c r="BS277" s="405">
        <f>IF(WWWW[[#This Row],[% of HH with access to Sanitary Pad]]&gt;=100%,1,0)</f>
        <v>0</v>
      </c>
      <c r="BT277" s="405">
        <f>IF(WWWW[[#This Row],[Total PoP ]]=0,0,IF(WWWW[[#This Row],['# Hygiene Promoters ]]=0,0,IF(WWWW[[#This Row],[Location Type 1]]="Village",IF(WWWW[[#This Row],[Total PoP ]]/WWWW[[#This Row],['# Hygiene Promoters ]]&lt;1000,1,0),IF(WWWW[[#This Row],[Total PoP ]]/WWWW[[#This Row],['# Hygiene Promoters ]]&lt;600,1,0))))</f>
        <v>1</v>
      </c>
      <c r="BU277" s="405">
        <f>IF(WWWW[[#This Row],[%HH with access to soap]]&gt;=100%,1,0)</f>
        <v>0</v>
      </c>
      <c r="BV277" s="405">
        <f>IF(WWWW[[#This Row],[% of HHs with access to Sanitary pad more than '#%]]+WWWW[[#This Row],[Ratio of Hyiene promoters to people less than '#]]+WWWW[[#This Row],[% of HHs with access to soap more than '#%]]&gt;=2,WWWW[[#This Row],[Total PoP ]],0)</f>
        <v>0</v>
      </c>
      <c r="BW277" s="346">
        <f>WWWW[[#This Row],['# people reached by regular dedicated hygiene promotion_5]]/WWWW[[#This Row],[Total PoP ]]</f>
        <v>1</v>
      </c>
      <c r="BX277" s="346">
        <f>IF(WWWW[[#This Row],['# HH received soaps]]/WWWW[[#This Row],[Total HH]]&gt;1,1,WWWW[[#This Row],['# HH received soaps]]/WWWW[[#This Row],[Total HH]])</f>
        <v>0</v>
      </c>
      <c r="BY277" s="346">
        <f>IF(WWWW[[#This Row],['# HH received Sanitary Pads]]/WWWW[[#This Row],[Total HH]]&gt;1,1,WWWW[[#This Row],['# HH received Sanitary Pads]]/WWWW[[#This Row],[Total HH]])</f>
        <v>0</v>
      </c>
      <c r="BZ277" s="720">
        <f>WWWW[[#This Row],['# HH received soaps]]*5</f>
        <v>0</v>
      </c>
      <c r="CA277" s="720">
        <f>WWWW[[#This Row],['# HH received Sanitary Pads]]*5</f>
        <v>0</v>
      </c>
      <c r="CB277" s="675">
        <f>IF(WWWW[[#This Row],['# People with access to soap]]&gt;WWWW[[#This Row],['# People with access to Sanity Pads]],WWWW[[#This Row],['# People with access to soap]],WWWW[[#This Row],['# People with access to Sanity Pads]])</f>
        <v>0</v>
      </c>
      <c r="CC277" s="414">
        <f>WWWW[[#This Row],[Total HH]]*WWWW[[#This Row],[%HHs with access to functional hand washing stations]]</f>
        <v>0</v>
      </c>
      <c r="CD277" s="240">
        <f>VLOOKUP(WWWW[[#This Row],[Site Name]],SiteDB6[],8,FALSE)</f>
        <v>0</v>
      </c>
      <c r="CE277" s="240">
        <f>VLOOKUP(WWWW[[#This Row],[Site Name]],SiteDB6[],9,FALSE)</f>
        <v>0</v>
      </c>
      <c r="CF277" s="240" t="str">
        <f>VLOOKUP(WWWW[[#This Row],[Site Name]],SiteDB6[],10,FALSE)</f>
        <v>Village</v>
      </c>
      <c r="CG277" s="240" t="str">
        <f>VLOOKUP(WWWW[[#This Row],[Site Name]],SiteDB6[],11,FALSE)</f>
        <v>Village</v>
      </c>
      <c r="CH277" s="240" t="str">
        <f>VLOOKUP(WWWW[[#This Row],[Site Name]],SiteDB6[],12,FALSE)</f>
        <v>Village</v>
      </c>
      <c r="CI277" s="240" t="str">
        <f>VLOOKUP(WWWW[[#This Row],[Site Name]],SiteDB6[],13,FALSE)</f>
        <v>Rakhine</v>
      </c>
      <c r="CJ277" s="240">
        <f>VLOOKUP(WWWW[[#This Row],[Site Name]],SiteDB6[],14,FALSE)</f>
        <v>20.470119476318398</v>
      </c>
      <c r="CK277" s="240">
        <f>VLOOKUP(WWWW[[#This Row],[Site Name]],SiteDB6[],15,FALSE)</f>
        <v>92.672653198242202</v>
      </c>
      <c r="CL277" s="240">
        <f>VLOOKUP(WWWW[[#This Row],[Site Name]],SiteDB6[],4,FALSE)</f>
        <v>197630</v>
      </c>
      <c r="CM277" s="235" t="str">
        <f t="shared" si="4"/>
        <v>Covered</v>
      </c>
      <c r="CN277" s="240"/>
    </row>
    <row r="278" spans="1:92" ht="15.75" hidden="1" customHeight="1" x14ac:dyDescent="0.25">
      <c r="A278" s="554" t="s">
        <v>1409</v>
      </c>
      <c r="B278" s="541" t="s">
        <v>542</v>
      </c>
      <c r="C278" s="530" t="s">
        <v>464</v>
      </c>
      <c r="D278" s="530" t="s">
        <v>508</v>
      </c>
      <c r="E278" s="530" t="s">
        <v>656</v>
      </c>
      <c r="F278" s="233">
        <v>85</v>
      </c>
      <c r="G278" s="414">
        <v>296</v>
      </c>
      <c r="H278" s="233"/>
      <c r="I278" s="402" t="s">
        <v>398</v>
      </c>
      <c r="J278" s="234">
        <v>43145</v>
      </c>
      <c r="K278" s="402">
        <v>0</v>
      </c>
      <c r="L278" s="402" t="s">
        <v>48</v>
      </c>
      <c r="M278" s="404"/>
      <c r="N278" s="404"/>
      <c r="O278" s="608">
        <v>0</v>
      </c>
      <c r="P278" s="609">
        <v>0</v>
      </c>
      <c r="Q278" s="606">
        <v>0</v>
      </c>
      <c r="R278" s="607">
        <v>2</v>
      </c>
      <c r="S278" s="607">
        <v>0</v>
      </c>
      <c r="T278" s="606"/>
      <c r="U278" s="606"/>
      <c r="V278" s="606"/>
      <c r="W278" s="606"/>
      <c r="X278" s="606"/>
      <c r="Y278" s="604"/>
      <c r="Z278" s="598">
        <v>22</v>
      </c>
      <c r="AA278" s="599">
        <v>0</v>
      </c>
      <c r="AB278" s="629"/>
      <c r="AC278" s="598">
        <v>22</v>
      </c>
      <c r="AD278" s="628" t="s">
        <v>342</v>
      </c>
      <c r="AE278" s="599" t="s">
        <v>342</v>
      </c>
      <c r="AF278" s="80"/>
      <c r="AG278" s="80"/>
      <c r="AH278" s="599"/>
      <c r="AI278" s="649">
        <v>0</v>
      </c>
      <c r="AJ278" s="650" t="s">
        <v>294</v>
      </c>
      <c r="AK278" s="650">
        <v>0</v>
      </c>
      <c r="AL278" s="645">
        <v>0</v>
      </c>
      <c r="AM278" s="645">
        <v>7</v>
      </c>
      <c r="AN278" s="600"/>
      <c r="AO278" s="600"/>
      <c r="AP278" s="600"/>
      <c r="AQ278" s="658"/>
      <c r="AR278" s="235" t="str">
        <f>IFERROR(WWWW[[#This Row],['# of Water passed at source]]/WWWW[[#This Row],['# of Water tested at source]],"no test")</f>
        <v>no test</v>
      </c>
      <c r="AS278" s="237" t="str">
        <f>IFERROR(WWWW[[#This Row],['# of Water passed at HH]]/WWWW[[#This Row],['# of Water tested at HH]],"no test")</f>
        <v>no test</v>
      </c>
      <c r="AT278" s="237">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U278" s="237">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AV278" s="237">
        <f>IF(WWWW[[#This Row],[Location Type 1]]="Village",WWWW[[#This Row],[Access to safe drinking water for Village]],WWWW[[#This Row],[Access to safe drinking water for Camp]])</f>
        <v>0</v>
      </c>
      <c r="AW278" s="414">
        <f>WWWW[[#This Row],[%Equitable and continuous access to sufficient quantity of safe drinking water]]*WWWW[[#This Row],[Total PoP ]]</f>
        <v>0</v>
      </c>
      <c r="AX278" s="237">
        <f>IF((WWWW[[#This Row],['# Existing protected/fenced ponds ]]*250)/WWWW[[#This Row],[Total PoP ]]&gt;1,1,WWWW[[#This Row],['# Existing protected/fenced ponds ]]*250/WWWW[[#This Row],[Total PoP ]])</f>
        <v>1</v>
      </c>
      <c r="AY278" s="414">
        <f>WWWW[[#This Row],[Access to unimproved water points]]*WWWW[[#This Row],[Total PoP ]]</f>
        <v>296</v>
      </c>
      <c r="AZ278" s="237">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A278" s="414">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296</v>
      </c>
      <c r="BB278" s="414">
        <f>WWWW[[#This Row],['#people Equitable and continuous access to sufficient quantity of domestic water borehole n ponds_2]]/500</f>
        <v>0.59199999999999997</v>
      </c>
      <c r="BC278" s="235">
        <f>1-WWWW[[#This Row],[%Equitable and continuous access to sufficient quantity of domestic water borehole n ponds]]</f>
        <v>0</v>
      </c>
      <c r="BD278" s="414">
        <f>WWWW[[#This Row],[%equitable and continuous access to sufficient quantity of safe drinking and domestic water''s GAP]]*WWWW[[#This Row],[Total PoP ]]</f>
        <v>0</v>
      </c>
      <c r="BE278" s="238">
        <f>IF(WWWW[[#This Row],[Total required water points]]-WWWW[[#This Row],['#Water points coverage]]&lt;0,0,WWWW[[#This Row],[Total required water points]]-WWWW[[#This Row],['#Water points coverage]])</f>
        <v>0.40800000000000003</v>
      </c>
      <c r="BF278" s="238">
        <f>ROUND(IF(WWWW[[#This Row],[Total PoP ]]&lt;500,1,WWWW[[#This Row],[Total PoP ]]/500),0)</f>
        <v>1</v>
      </c>
      <c r="BG278" s="238" t="str">
        <f>IF(AND(WWWW[[#This Row],[%of Water samples which passed at water source]]="no test",WWWW[[#This Row],[%Water samples which passed at HH]]="no test"),"No Test","Tested")</f>
        <v>No Test</v>
      </c>
      <c r="BH278" s="238">
        <f>WWWW[[#This Row],['# Existing functional latrines]]+WWWW[[#This Row],['# Existing latrines dysfunctional]]</f>
        <v>22</v>
      </c>
      <c r="BI278" s="235">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0.44594594594594594</v>
      </c>
      <c r="BJ278" s="675">
        <f>WWWW[[#This Row],[% people access to functioning Latrine]]*WWWW[[#This Row],[Total PoP ]]</f>
        <v>132</v>
      </c>
      <c r="BK278" s="235">
        <f>IF(WWWW[[#This Row],[Location Type 1]]="camp",WWWW[[#This Row],['# potential required new latrines]]/(WWWW[[#This Row],[Total PoP ]]/20),WWWW[[#This Row],['# potential required new latrines]]/(WWWW[[#This Row],[Total PoP ]]/6))</f>
        <v>0.54729729729729726</v>
      </c>
      <c r="BL278" s="414">
        <f>IF(WWWW[[#This Row],[Total required Latrines]]-WWWW[[#This Row],[Total '# of latrine]]&lt;0,0,WWWW[[#This Row],[Total required Latrines]]-WWWW[[#This Row],[Total '# of latrine]])</f>
        <v>27</v>
      </c>
      <c r="BM278" s="238">
        <f>ROUND(IF(WWWW[[#This Row],[Location Type 1]]="camp",WWWW[[#This Row],[Total PoP ]]/20,WWWW[[#This Row],[Total PoP ]]/6),0)</f>
        <v>49</v>
      </c>
      <c r="BN278" s="239">
        <f>IF(OR(WWWW[[#This Row],['# Existing latrines dysfunctional]]="",WWWW[[#This Row],['# Existing latrines dysfunctional]]=0),0,WWWW[[#This Row],['# Existing latrines dysfunctional]]/WWWW[[#This Row],[Total '# of latrine]])</f>
        <v>0</v>
      </c>
      <c r="BO278" s="675"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P278" s="235">
        <f>WWWW[[#This Row],[People adopt basic personal and community hygiene practices]]/WWWW[[#This Row],[Total PoP ]]</f>
        <v>0</v>
      </c>
      <c r="BQ278" s="239">
        <f>1-WWWW[[#This Row],[Hygiene Coverage%]]</f>
        <v>1</v>
      </c>
      <c r="BR278" s="405">
        <f>IF(500*WWWW[[#This Row],['# Hygiene Promoters ]]&gt;WWWW[[#This Row],[Total PoP ]],WWWW[[#This Row],[Total PoP ]],500*WWWW[[#This Row],['# Hygiene Promoters ]])</f>
        <v>296</v>
      </c>
      <c r="BS278" s="405">
        <f>IF(WWWW[[#This Row],[% of HH with access to Sanitary Pad]]&gt;=100%,1,0)</f>
        <v>0</v>
      </c>
      <c r="BT278" s="405">
        <f>IF(WWWW[[#This Row],[Total PoP ]]=0,0,IF(WWWW[[#This Row],['# Hygiene Promoters ]]=0,0,IF(WWWW[[#This Row],[Location Type 1]]="Village",IF(WWWW[[#This Row],[Total PoP ]]/WWWW[[#This Row],['# Hygiene Promoters ]]&lt;1000,1,0),IF(WWWW[[#This Row],[Total PoP ]]/WWWW[[#This Row],['# Hygiene Promoters ]]&lt;600,1,0))))</f>
        <v>1</v>
      </c>
      <c r="BU278" s="405">
        <f>IF(WWWW[[#This Row],[%HH with access to soap]]&gt;=100%,1,0)</f>
        <v>0</v>
      </c>
      <c r="BV278" s="405">
        <f>IF(WWWW[[#This Row],[% of HHs with access to Sanitary pad more than '#%]]+WWWW[[#This Row],[Ratio of Hyiene promoters to people less than '#]]+WWWW[[#This Row],[% of HHs with access to soap more than '#%]]&gt;=2,WWWW[[#This Row],[Total PoP ]],0)</f>
        <v>0</v>
      </c>
      <c r="BW278" s="346">
        <f>WWWW[[#This Row],['# people reached by regular dedicated hygiene promotion_5]]/WWWW[[#This Row],[Total PoP ]]</f>
        <v>1</v>
      </c>
      <c r="BX278" s="346">
        <f>IF(WWWW[[#This Row],['# HH received soaps]]/WWWW[[#This Row],[Total HH]]&gt;1,1,WWWW[[#This Row],['# HH received soaps]]/WWWW[[#This Row],[Total HH]])</f>
        <v>0</v>
      </c>
      <c r="BY278" s="346">
        <f>IF(WWWW[[#This Row],['# HH received Sanitary Pads]]/WWWW[[#This Row],[Total HH]]&gt;1,1,WWWW[[#This Row],['# HH received Sanitary Pads]]/WWWW[[#This Row],[Total HH]])</f>
        <v>0</v>
      </c>
      <c r="BZ278" s="720">
        <f>WWWW[[#This Row],['# HH received soaps]]*5</f>
        <v>0</v>
      </c>
      <c r="CA278" s="720">
        <f>WWWW[[#This Row],['# HH received Sanitary Pads]]*5</f>
        <v>0</v>
      </c>
      <c r="CB278" s="675">
        <f>IF(WWWW[[#This Row],['# People with access to soap]]&gt;WWWW[[#This Row],['# People with access to Sanity Pads]],WWWW[[#This Row],['# People with access to soap]],WWWW[[#This Row],['# People with access to Sanity Pads]])</f>
        <v>0</v>
      </c>
      <c r="CC278" s="414">
        <f>WWWW[[#This Row],[Total HH]]*WWWW[[#This Row],[%HHs with access to functional hand washing stations]]</f>
        <v>0</v>
      </c>
      <c r="CD278" s="240">
        <f>VLOOKUP(WWWW[[#This Row],[Site Name]],SiteDB6[],8,FALSE)</f>
        <v>0</v>
      </c>
      <c r="CE278" s="240">
        <f>VLOOKUP(WWWW[[#This Row],[Site Name]],SiteDB6[],9,FALSE)</f>
        <v>0</v>
      </c>
      <c r="CF278" s="240" t="str">
        <f>VLOOKUP(WWWW[[#This Row],[Site Name]],SiteDB6[],10,FALSE)</f>
        <v>Village</v>
      </c>
      <c r="CG278" s="240" t="str">
        <f>VLOOKUP(WWWW[[#This Row],[Site Name]],SiteDB6[],11,FALSE)</f>
        <v>Village</v>
      </c>
      <c r="CH278" s="240" t="str">
        <f>VLOOKUP(WWWW[[#This Row],[Site Name]],SiteDB6[],12,FALSE)</f>
        <v>Village</v>
      </c>
      <c r="CI278" s="240" t="str">
        <f>VLOOKUP(WWWW[[#This Row],[Site Name]],SiteDB6[],13,FALSE)</f>
        <v>Rakhine</v>
      </c>
      <c r="CJ278" s="240">
        <f>VLOOKUP(WWWW[[#This Row],[Site Name]],SiteDB6[],14,FALSE)</f>
        <v>20.473930358886701</v>
      </c>
      <c r="CK278" s="240">
        <f>VLOOKUP(WWWW[[#This Row],[Site Name]],SiteDB6[],15,FALSE)</f>
        <v>92.668853759765597</v>
      </c>
      <c r="CL278" s="240">
        <f>VLOOKUP(WWWW[[#This Row],[Site Name]],SiteDB6[],4,FALSE)</f>
        <v>197631</v>
      </c>
      <c r="CM278" s="235" t="str">
        <f t="shared" si="4"/>
        <v>Covered</v>
      </c>
      <c r="CN278" s="240"/>
    </row>
    <row r="279" spans="1:92" ht="15.75" hidden="1" customHeight="1" x14ac:dyDescent="0.25">
      <c r="A279" s="554" t="s">
        <v>1409</v>
      </c>
      <c r="B279" s="530" t="s">
        <v>542</v>
      </c>
      <c r="C279" s="531" t="s">
        <v>464</v>
      </c>
      <c r="D279" s="531" t="s">
        <v>508</v>
      </c>
      <c r="E279" s="531" t="s">
        <v>657</v>
      </c>
      <c r="F279" s="402">
        <v>124</v>
      </c>
      <c r="G279" s="405">
        <v>705</v>
      </c>
      <c r="H279" s="402"/>
      <c r="I279" s="402" t="s">
        <v>398</v>
      </c>
      <c r="J279" s="403">
        <v>43145</v>
      </c>
      <c r="K279" s="402">
        <v>0</v>
      </c>
      <c r="L279" s="402" t="s">
        <v>48</v>
      </c>
      <c r="M279" s="404"/>
      <c r="N279" s="404"/>
      <c r="O279" s="605">
        <v>0</v>
      </c>
      <c r="P279" s="606">
        <v>1</v>
      </c>
      <c r="Q279" s="606">
        <v>0</v>
      </c>
      <c r="R279" s="607">
        <v>8</v>
      </c>
      <c r="S279" s="607">
        <v>0</v>
      </c>
      <c r="T279" s="607"/>
      <c r="U279" s="607"/>
      <c r="V279" s="607"/>
      <c r="W279" s="607"/>
      <c r="X279" s="607"/>
      <c r="Y279" s="607"/>
      <c r="Z279" s="598">
        <v>57</v>
      </c>
      <c r="AA279" s="598">
        <v>0</v>
      </c>
      <c r="AB279" s="80"/>
      <c r="AC279" s="598">
        <v>57</v>
      </c>
      <c r="AD279" s="598" t="s">
        <v>342</v>
      </c>
      <c r="AE279" s="599" t="s">
        <v>342</v>
      </c>
      <c r="AF279" s="599"/>
      <c r="AG279" s="598"/>
      <c r="AH279" s="598"/>
      <c r="AI279" s="649">
        <v>0</v>
      </c>
      <c r="AJ279" s="650" t="s">
        <v>294</v>
      </c>
      <c r="AK279" s="650">
        <v>0</v>
      </c>
      <c r="AL279" s="645">
        <v>0</v>
      </c>
      <c r="AM279" s="645">
        <v>7</v>
      </c>
      <c r="AN279" s="600"/>
      <c r="AO279" s="600"/>
      <c r="AP279" s="600"/>
      <c r="AQ279" s="651"/>
      <c r="AR279" s="404" t="str">
        <f>IFERROR(WWWW[[#This Row],['# of Water passed at source]]/WWWW[[#This Row],['# of Water tested at source]],"no test")</f>
        <v>no test</v>
      </c>
      <c r="AS279" s="407" t="str">
        <f>IFERROR(WWWW[[#This Row],['# of Water passed at HH]]/WWWW[[#This Row],['# of Water tested at HH]],"no test")</f>
        <v>no test</v>
      </c>
      <c r="AT279" s="407">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U279" s="407">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0.3546099290780142</v>
      </c>
      <c r="AV279" s="407">
        <f>IF(WWWW[[#This Row],[Location Type 1]]="Village",WWWW[[#This Row],[Access to safe drinking water for Village]],WWWW[[#This Row],[Access to safe drinking water for Camp]])</f>
        <v>0.3546099290780142</v>
      </c>
      <c r="AW279" s="405">
        <f>WWWW[[#This Row],[%Equitable and continuous access to sufficient quantity of safe drinking water]]*WWWW[[#This Row],[Total PoP ]]</f>
        <v>250</v>
      </c>
      <c r="AX279" s="407">
        <f>IF((WWWW[[#This Row],['# Existing protected/fenced ponds ]]*250)/WWWW[[#This Row],[Total PoP ]]&gt;1,1,WWWW[[#This Row],['# Existing protected/fenced ponds ]]*250/WWWW[[#This Row],[Total PoP ]])</f>
        <v>1</v>
      </c>
      <c r="AY279" s="405">
        <f>WWWW[[#This Row],[Access to unimproved water points]]*WWWW[[#This Row],[Total PoP ]]</f>
        <v>705</v>
      </c>
      <c r="AZ279" s="407">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A279" s="405">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705</v>
      </c>
      <c r="BB279" s="405">
        <f>WWWW[[#This Row],['#people Equitable and continuous access to sufficient quantity of domestic water borehole n ponds_2]]/500</f>
        <v>1.41</v>
      </c>
      <c r="BC279" s="404">
        <f>1-WWWW[[#This Row],[%Equitable and continuous access to sufficient quantity of domestic water borehole n ponds]]</f>
        <v>0</v>
      </c>
      <c r="BD279" s="405">
        <f>WWWW[[#This Row],[%equitable and continuous access to sufficient quantity of safe drinking and domestic water''s GAP]]*WWWW[[#This Row],[Total PoP ]]</f>
        <v>0</v>
      </c>
      <c r="BE279" s="406">
        <f>IF(WWWW[[#This Row],[Total required water points]]-WWWW[[#This Row],['#Water points coverage]]&lt;0,0,WWWW[[#This Row],[Total required water points]]-WWWW[[#This Row],['#Water points coverage]])</f>
        <v>0</v>
      </c>
      <c r="BF279" s="406">
        <f>ROUND(IF(WWWW[[#This Row],[Total PoP ]]&lt;500,1,WWWW[[#This Row],[Total PoP ]]/500),0)</f>
        <v>1</v>
      </c>
      <c r="BG279" s="406" t="str">
        <f>IF(AND(WWWW[[#This Row],[%of Water samples which passed at water source]]="no test",WWWW[[#This Row],[%Water samples which passed at HH]]="no test"),"No Test","Tested")</f>
        <v>No Test</v>
      </c>
      <c r="BH279" s="406">
        <f>WWWW[[#This Row],['# Existing functional latrines]]+WWWW[[#This Row],['# Existing latrines dysfunctional]]</f>
        <v>57</v>
      </c>
      <c r="BI279" s="404">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0.48510638297872338</v>
      </c>
      <c r="BJ279" s="676">
        <f>WWWW[[#This Row],[% people access to functioning Latrine]]*WWWW[[#This Row],[Total PoP ]]</f>
        <v>342</v>
      </c>
      <c r="BK279" s="404">
        <f>IF(WWWW[[#This Row],[Location Type 1]]="camp",WWWW[[#This Row],['# potential required new latrines]]/(WWWW[[#This Row],[Total PoP ]]/20),WWWW[[#This Row],['# potential required new latrines]]/(WWWW[[#This Row],[Total PoP ]]/6))</f>
        <v>0.51914893617021274</v>
      </c>
      <c r="BL279" s="405">
        <f>IF(WWWW[[#This Row],[Total required Latrines]]-WWWW[[#This Row],[Total '# of latrine]]&lt;0,0,WWWW[[#This Row],[Total required Latrines]]-WWWW[[#This Row],[Total '# of latrine]])</f>
        <v>61</v>
      </c>
      <c r="BM279" s="406">
        <f>ROUND(IF(WWWW[[#This Row],[Location Type 1]]="camp",WWWW[[#This Row],[Total PoP ]]/20,WWWW[[#This Row],[Total PoP ]]/6),0)</f>
        <v>118</v>
      </c>
      <c r="BN279" s="408">
        <f>IF(OR(WWWW[[#This Row],['# Existing latrines dysfunctional]]="",WWWW[[#This Row],['# Existing latrines dysfunctional]]=0),0,WWWW[[#This Row],['# Existing latrines dysfunctional]]/WWWW[[#This Row],[Total '# of latrine]])</f>
        <v>0</v>
      </c>
      <c r="BO279" s="676"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P279" s="404">
        <f>WWWW[[#This Row],[People adopt basic personal and community hygiene practices]]/WWWW[[#This Row],[Total PoP ]]</f>
        <v>0</v>
      </c>
      <c r="BQ279" s="408">
        <f>1-WWWW[[#This Row],[Hygiene Coverage%]]</f>
        <v>1</v>
      </c>
      <c r="BR279" s="405">
        <f>IF(500*WWWW[[#This Row],['# Hygiene Promoters ]]&gt;WWWW[[#This Row],[Total PoP ]],WWWW[[#This Row],[Total PoP ]],500*WWWW[[#This Row],['# Hygiene Promoters ]])</f>
        <v>705</v>
      </c>
      <c r="BS279" s="405">
        <f>IF(WWWW[[#This Row],[% of HH with access to Sanitary Pad]]&gt;=100%,1,0)</f>
        <v>0</v>
      </c>
      <c r="BT279" s="405">
        <f>IF(WWWW[[#This Row],[Total PoP ]]=0,0,IF(WWWW[[#This Row],['# Hygiene Promoters ]]=0,0,IF(WWWW[[#This Row],[Location Type 1]]="Village",IF(WWWW[[#This Row],[Total PoP ]]/WWWW[[#This Row],['# Hygiene Promoters ]]&lt;1000,1,0),IF(WWWW[[#This Row],[Total PoP ]]/WWWW[[#This Row],['# Hygiene Promoters ]]&lt;600,1,0))))</f>
        <v>1</v>
      </c>
      <c r="BU279" s="405">
        <f>IF(WWWW[[#This Row],[%HH with access to soap]]&gt;=100%,1,0)</f>
        <v>0</v>
      </c>
      <c r="BV279" s="405">
        <f>IF(WWWW[[#This Row],[% of HHs with access to Sanitary pad more than '#%]]+WWWW[[#This Row],[Ratio of Hyiene promoters to people less than '#]]+WWWW[[#This Row],[% of HHs with access to soap more than '#%]]&gt;=2,WWWW[[#This Row],[Total PoP ]],0)</f>
        <v>0</v>
      </c>
      <c r="BW279" s="391">
        <f>WWWW[[#This Row],['# people reached by regular dedicated hygiene promotion_5]]/WWWW[[#This Row],[Total PoP ]]</f>
        <v>1</v>
      </c>
      <c r="BX279" s="391">
        <f>IF(WWWW[[#This Row],['# HH received soaps]]/WWWW[[#This Row],[Total HH]]&gt;1,1,WWWW[[#This Row],['# HH received soaps]]/WWWW[[#This Row],[Total HH]])</f>
        <v>0</v>
      </c>
      <c r="BY279" s="391">
        <f>IF(WWWW[[#This Row],['# HH received Sanitary Pads]]/WWWW[[#This Row],[Total HH]]&gt;1,1,WWWW[[#This Row],['# HH received Sanitary Pads]]/WWWW[[#This Row],[Total HH]])</f>
        <v>0</v>
      </c>
      <c r="BZ279" s="721">
        <f>WWWW[[#This Row],['# HH received soaps]]*5</f>
        <v>0</v>
      </c>
      <c r="CA279" s="721">
        <f>WWWW[[#This Row],['# HH received Sanitary Pads]]*5</f>
        <v>0</v>
      </c>
      <c r="CB279" s="406">
        <f>IF(WWWW[[#This Row],['# People with access to soap]]&gt;WWWW[[#This Row],['# People with access to Sanity Pads]],WWWW[[#This Row],['# People with access to soap]],WWWW[[#This Row],['# People with access to Sanity Pads]])</f>
        <v>0</v>
      </c>
      <c r="CC279" s="405">
        <f>WWWW[[#This Row],[Total HH]]*WWWW[[#This Row],[%HHs with access to functional hand washing stations]]</f>
        <v>0</v>
      </c>
      <c r="CD279" s="240">
        <f>VLOOKUP(WWWW[[#This Row],[Site Name]],SiteDB6[],8,FALSE)</f>
        <v>0</v>
      </c>
      <c r="CE279" s="240">
        <f>VLOOKUP(WWWW[[#This Row],[Site Name]],SiteDB6[],9,FALSE)</f>
        <v>0</v>
      </c>
      <c r="CF279" s="240" t="str">
        <f>VLOOKUP(WWWW[[#This Row],[Site Name]],SiteDB6[],10,FALSE)</f>
        <v>Village</v>
      </c>
      <c r="CG279" s="240" t="str">
        <f>VLOOKUP(WWWW[[#This Row],[Site Name]],SiteDB6[],11,FALSE)</f>
        <v>Village</v>
      </c>
      <c r="CH279" s="240" t="str">
        <f>VLOOKUP(WWWW[[#This Row],[Site Name]],SiteDB6[],12,FALSE)</f>
        <v>Village</v>
      </c>
      <c r="CI279" s="240" t="str">
        <f>VLOOKUP(WWWW[[#This Row],[Site Name]],SiteDB6[],13,FALSE)</f>
        <v>Rakhine</v>
      </c>
      <c r="CJ279" s="240">
        <f>VLOOKUP(WWWW[[#This Row],[Site Name]],SiteDB6[],14,FALSE)</f>
        <v>20.478969573974599</v>
      </c>
      <c r="CK279" s="240">
        <f>VLOOKUP(WWWW[[#This Row],[Site Name]],SiteDB6[],15,FALSE)</f>
        <v>92.683746337890597</v>
      </c>
      <c r="CL279" s="240">
        <f>VLOOKUP(WWWW[[#This Row],[Site Name]],SiteDB6[],4,FALSE)</f>
        <v>197617</v>
      </c>
      <c r="CM279" s="404" t="str">
        <f t="shared" si="4"/>
        <v>Covered</v>
      </c>
      <c r="CN279" s="404"/>
    </row>
    <row r="280" spans="1:92" ht="15.75" hidden="1" customHeight="1" x14ac:dyDescent="0.25">
      <c r="A280" s="554" t="s">
        <v>1409</v>
      </c>
      <c r="B280" s="530" t="s">
        <v>542</v>
      </c>
      <c r="C280" s="531" t="s">
        <v>464</v>
      </c>
      <c r="D280" s="531" t="s">
        <v>508</v>
      </c>
      <c r="E280" s="531" t="s">
        <v>658</v>
      </c>
      <c r="F280" s="402">
        <v>91</v>
      </c>
      <c r="G280" s="405">
        <v>409</v>
      </c>
      <c r="H280" s="402"/>
      <c r="I280" s="402" t="s">
        <v>398</v>
      </c>
      <c r="J280" s="403">
        <v>43145</v>
      </c>
      <c r="K280" s="402">
        <v>0</v>
      </c>
      <c r="L280" s="402" t="s">
        <v>48</v>
      </c>
      <c r="M280" s="404"/>
      <c r="N280" s="404"/>
      <c r="O280" s="605">
        <v>0</v>
      </c>
      <c r="P280" s="606">
        <v>1</v>
      </c>
      <c r="Q280" s="606">
        <v>0</v>
      </c>
      <c r="R280" s="607">
        <v>3</v>
      </c>
      <c r="S280" s="607">
        <v>0</v>
      </c>
      <c r="T280" s="607"/>
      <c r="U280" s="607"/>
      <c r="V280" s="607"/>
      <c r="W280" s="607"/>
      <c r="X280" s="607"/>
      <c r="Y280" s="607"/>
      <c r="Z280" s="598">
        <v>42</v>
      </c>
      <c r="AA280" s="598">
        <v>0</v>
      </c>
      <c r="AB280" s="80"/>
      <c r="AC280" s="598">
        <v>42</v>
      </c>
      <c r="AD280" s="598" t="s">
        <v>342</v>
      </c>
      <c r="AE280" s="599" t="s">
        <v>342</v>
      </c>
      <c r="AF280" s="599"/>
      <c r="AG280" s="598"/>
      <c r="AH280" s="598"/>
      <c r="AI280" s="649">
        <v>0</v>
      </c>
      <c r="AJ280" s="650" t="s">
        <v>294</v>
      </c>
      <c r="AK280" s="650">
        <v>0</v>
      </c>
      <c r="AL280" s="645">
        <v>0</v>
      </c>
      <c r="AM280" s="645">
        <v>7</v>
      </c>
      <c r="AN280" s="600"/>
      <c r="AO280" s="600"/>
      <c r="AP280" s="600"/>
      <c r="AQ280" s="651"/>
      <c r="AR280" s="404" t="str">
        <f>IFERROR(WWWW[[#This Row],['# of Water passed at source]]/WWWW[[#This Row],['# of Water tested at source]],"no test")</f>
        <v>no test</v>
      </c>
      <c r="AS280" s="407" t="str">
        <f>IFERROR(WWWW[[#This Row],['# of Water passed at HH]]/WWWW[[#This Row],['# of Water tested at HH]],"no test")</f>
        <v>no test</v>
      </c>
      <c r="AT280" s="407">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U280" s="407">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0.61124694376528121</v>
      </c>
      <c r="AV280" s="407">
        <f>IF(WWWW[[#This Row],[Location Type 1]]="Village",WWWW[[#This Row],[Access to safe drinking water for Village]],WWWW[[#This Row],[Access to safe drinking water for Camp]])</f>
        <v>0.61124694376528121</v>
      </c>
      <c r="AW280" s="405">
        <f>WWWW[[#This Row],[%Equitable and continuous access to sufficient quantity of safe drinking water]]*WWWW[[#This Row],[Total PoP ]]</f>
        <v>250.00000000000003</v>
      </c>
      <c r="AX280" s="407">
        <f>IF((WWWW[[#This Row],['# Existing protected/fenced ponds ]]*250)/WWWW[[#This Row],[Total PoP ]]&gt;1,1,WWWW[[#This Row],['# Existing protected/fenced ponds ]]*250/WWWW[[#This Row],[Total PoP ]])</f>
        <v>1</v>
      </c>
      <c r="AY280" s="405">
        <f>WWWW[[#This Row],[Access to unimproved water points]]*WWWW[[#This Row],[Total PoP ]]</f>
        <v>409</v>
      </c>
      <c r="AZ280" s="407">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A280" s="405">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409</v>
      </c>
      <c r="BB280" s="405">
        <f>WWWW[[#This Row],['#people Equitable and continuous access to sufficient quantity of domestic water borehole n ponds_2]]/500</f>
        <v>0.81799999999999995</v>
      </c>
      <c r="BC280" s="404">
        <f>1-WWWW[[#This Row],[%Equitable and continuous access to sufficient quantity of domestic water borehole n ponds]]</f>
        <v>0</v>
      </c>
      <c r="BD280" s="405">
        <f>WWWW[[#This Row],[%equitable and continuous access to sufficient quantity of safe drinking and domestic water''s GAP]]*WWWW[[#This Row],[Total PoP ]]</f>
        <v>0</v>
      </c>
      <c r="BE280" s="406">
        <f>IF(WWWW[[#This Row],[Total required water points]]-WWWW[[#This Row],['#Water points coverage]]&lt;0,0,WWWW[[#This Row],[Total required water points]]-WWWW[[#This Row],['#Water points coverage]])</f>
        <v>0.18200000000000005</v>
      </c>
      <c r="BF280" s="406">
        <f>ROUND(IF(WWWW[[#This Row],[Total PoP ]]&lt;500,1,WWWW[[#This Row],[Total PoP ]]/500),0)</f>
        <v>1</v>
      </c>
      <c r="BG280" s="406" t="str">
        <f>IF(AND(WWWW[[#This Row],[%of Water samples which passed at water source]]="no test",WWWW[[#This Row],[%Water samples which passed at HH]]="no test"),"No Test","Tested")</f>
        <v>No Test</v>
      </c>
      <c r="BH280" s="406">
        <f>WWWW[[#This Row],['# Existing functional latrines]]+WWWW[[#This Row],['# Existing latrines dysfunctional]]</f>
        <v>42</v>
      </c>
      <c r="BI280" s="404">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0.61613691931540338</v>
      </c>
      <c r="BJ280" s="676">
        <f>WWWW[[#This Row],[% people access to functioning Latrine]]*WWWW[[#This Row],[Total PoP ]]</f>
        <v>251.99999999999997</v>
      </c>
      <c r="BK280" s="404">
        <f>IF(WWWW[[#This Row],[Location Type 1]]="camp",WWWW[[#This Row],['# potential required new latrines]]/(WWWW[[#This Row],[Total PoP ]]/20),WWWW[[#This Row],['# potential required new latrines]]/(WWWW[[#This Row],[Total PoP ]]/6))</f>
        <v>0.38141809290953543</v>
      </c>
      <c r="BL280" s="405">
        <f>IF(WWWW[[#This Row],[Total required Latrines]]-WWWW[[#This Row],[Total '# of latrine]]&lt;0,0,WWWW[[#This Row],[Total required Latrines]]-WWWW[[#This Row],[Total '# of latrine]])</f>
        <v>26</v>
      </c>
      <c r="BM280" s="406">
        <f>ROUND(IF(WWWW[[#This Row],[Location Type 1]]="camp",WWWW[[#This Row],[Total PoP ]]/20,WWWW[[#This Row],[Total PoP ]]/6),0)</f>
        <v>68</v>
      </c>
      <c r="BN280" s="408">
        <f>IF(OR(WWWW[[#This Row],['# Existing latrines dysfunctional]]="",WWWW[[#This Row],['# Existing latrines dysfunctional]]=0),0,WWWW[[#This Row],['# Existing latrines dysfunctional]]/WWWW[[#This Row],[Total '# of latrine]])</f>
        <v>0</v>
      </c>
      <c r="BO280" s="676"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P280" s="404">
        <f>WWWW[[#This Row],[People adopt basic personal and community hygiene practices]]/WWWW[[#This Row],[Total PoP ]]</f>
        <v>0</v>
      </c>
      <c r="BQ280" s="408">
        <f>1-WWWW[[#This Row],[Hygiene Coverage%]]</f>
        <v>1</v>
      </c>
      <c r="BR280" s="405">
        <f>IF(500*WWWW[[#This Row],['# Hygiene Promoters ]]&gt;WWWW[[#This Row],[Total PoP ]],WWWW[[#This Row],[Total PoP ]],500*WWWW[[#This Row],['# Hygiene Promoters ]])</f>
        <v>409</v>
      </c>
      <c r="BS280" s="405">
        <f>IF(WWWW[[#This Row],[% of HH with access to Sanitary Pad]]&gt;=100%,1,0)</f>
        <v>0</v>
      </c>
      <c r="BT280" s="405">
        <f>IF(WWWW[[#This Row],[Total PoP ]]=0,0,IF(WWWW[[#This Row],['# Hygiene Promoters ]]=0,0,IF(WWWW[[#This Row],[Location Type 1]]="Village",IF(WWWW[[#This Row],[Total PoP ]]/WWWW[[#This Row],['# Hygiene Promoters ]]&lt;1000,1,0),IF(WWWW[[#This Row],[Total PoP ]]/WWWW[[#This Row],['# Hygiene Promoters ]]&lt;600,1,0))))</f>
        <v>1</v>
      </c>
      <c r="BU280" s="405">
        <f>IF(WWWW[[#This Row],[%HH with access to soap]]&gt;=100%,1,0)</f>
        <v>0</v>
      </c>
      <c r="BV280" s="405">
        <f>IF(WWWW[[#This Row],[% of HHs with access to Sanitary pad more than '#%]]+WWWW[[#This Row],[Ratio of Hyiene promoters to people less than '#]]+WWWW[[#This Row],[% of HHs with access to soap more than '#%]]&gt;=2,WWWW[[#This Row],[Total PoP ]],0)</f>
        <v>0</v>
      </c>
      <c r="BW280" s="391">
        <f>WWWW[[#This Row],['# people reached by regular dedicated hygiene promotion_5]]/WWWW[[#This Row],[Total PoP ]]</f>
        <v>1</v>
      </c>
      <c r="BX280" s="391">
        <f>IF(WWWW[[#This Row],['# HH received soaps]]/WWWW[[#This Row],[Total HH]]&gt;1,1,WWWW[[#This Row],['# HH received soaps]]/WWWW[[#This Row],[Total HH]])</f>
        <v>0</v>
      </c>
      <c r="BY280" s="391">
        <f>IF(WWWW[[#This Row],['# HH received Sanitary Pads]]/WWWW[[#This Row],[Total HH]]&gt;1,1,WWWW[[#This Row],['# HH received Sanitary Pads]]/WWWW[[#This Row],[Total HH]])</f>
        <v>0</v>
      </c>
      <c r="BZ280" s="721">
        <f>WWWW[[#This Row],['# HH received soaps]]*5</f>
        <v>0</v>
      </c>
      <c r="CA280" s="721">
        <f>WWWW[[#This Row],['# HH received Sanitary Pads]]*5</f>
        <v>0</v>
      </c>
      <c r="CB280" s="406">
        <f>IF(WWWW[[#This Row],['# People with access to soap]]&gt;WWWW[[#This Row],['# People with access to Sanity Pads]],WWWW[[#This Row],['# People with access to soap]],WWWW[[#This Row],['# People with access to Sanity Pads]])</f>
        <v>0</v>
      </c>
      <c r="CC280" s="405">
        <f>WWWW[[#This Row],[Total HH]]*WWWW[[#This Row],[%HHs with access to functional hand washing stations]]</f>
        <v>0</v>
      </c>
      <c r="CD280" s="240">
        <f>VLOOKUP(WWWW[[#This Row],[Site Name]],SiteDB6[],8,FALSE)</f>
        <v>0</v>
      </c>
      <c r="CE280" s="240">
        <f>VLOOKUP(WWWW[[#This Row],[Site Name]],SiteDB6[],9,FALSE)</f>
        <v>0</v>
      </c>
      <c r="CF280" s="240" t="str">
        <f>VLOOKUP(WWWW[[#This Row],[Site Name]],SiteDB6[],10,FALSE)</f>
        <v>Village</v>
      </c>
      <c r="CG280" s="240" t="str">
        <f>VLOOKUP(WWWW[[#This Row],[Site Name]],SiteDB6[],11,FALSE)</f>
        <v>Village</v>
      </c>
      <c r="CH280" s="240" t="str">
        <f>VLOOKUP(WWWW[[#This Row],[Site Name]],SiteDB6[],12,FALSE)</f>
        <v>Village</v>
      </c>
      <c r="CI280" s="240" t="str">
        <f>VLOOKUP(WWWW[[#This Row],[Site Name]],SiteDB6[],13,FALSE)</f>
        <v>Rakhine</v>
      </c>
      <c r="CJ280" s="240">
        <f>VLOOKUP(WWWW[[#This Row],[Site Name]],SiteDB6[],14,FALSE)</f>
        <v>20.480100631713899</v>
      </c>
      <c r="CK280" s="240">
        <f>VLOOKUP(WWWW[[#This Row],[Site Name]],SiteDB6[],15,FALSE)</f>
        <v>92.704818725585895</v>
      </c>
      <c r="CL280" s="240">
        <f>VLOOKUP(WWWW[[#This Row],[Site Name]],SiteDB6[],4,FALSE)</f>
        <v>197618</v>
      </c>
      <c r="CM280" s="404" t="str">
        <f t="shared" si="4"/>
        <v>Covered</v>
      </c>
      <c r="CN280" s="404"/>
    </row>
    <row r="281" spans="1:92" ht="15.75" hidden="1" customHeight="1" x14ac:dyDescent="0.25">
      <c r="A281" s="554" t="s">
        <v>1409</v>
      </c>
      <c r="B281" s="530" t="s">
        <v>542</v>
      </c>
      <c r="C281" s="531" t="s">
        <v>464</v>
      </c>
      <c r="D281" s="531" t="s">
        <v>508</v>
      </c>
      <c r="E281" s="531" t="s">
        <v>660</v>
      </c>
      <c r="F281" s="402">
        <v>150</v>
      </c>
      <c r="G281" s="405">
        <v>1681</v>
      </c>
      <c r="H281" s="402"/>
      <c r="I281" s="402" t="s">
        <v>398</v>
      </c>
      <c r="J281" s="403">
        <v>43145</v>
      </c>
      <c r="K281" s="402">
        <v>0</v>
      </c>
      <c r="L281" s="402" t="s">
        <v>48</v>
      </c>
      <c r="M281" s="404"/>
      <c r="N281" s="404"/>
      <c r="O281" s="605">
        <v>0</v>
      </c>
      <c r="P281" s="606">
        <v>0</v>
      </c>
      <c r="Q281" s="606">
        <v>0</v>
      </c>
      <c r="R281" s="607">
        <v>4</v>
      </c>
      <c r="S281" s="607">
        <v>0</v>
      </c>
      <c r="T281" s="607"/>
      <c r="U281" s="607"/>
      <c r="V281" s="607"/>
      <c r="W281" s="607"/>
      <c r="X281" s="607"/>
      <c r="Y281" s="607"/>
      <c r="Z281" s="598">
        <v>31</v>
      </c>
      <c r="AA281" s="598">
        <v>0</v>
      </c>
      <c r="AB281" s="80"/>
      <c r="AC281" s="598">
        <v>31</v>
      </c>
      <c r="AD281" s="598" t="s">
        <v>342</v>
      </c>
      <c r="AE281" s="599" t="s">
        <v>342</v>
      </c>
      <c r="AF281" s="599"/>
      <c r="AG281" s="598"/>
      <c r="AH281" s="598"/>
      <c r="AI281" s="649">
        <v>0</v>
      </c>
      <c r="AJ281" s="650" t="s">
        <v>294</v>
      </c>
      <c r="AK281" s="650">
        <v>0</v>
      </c>
      <c r="AL281" s="645">
        <v>0</v>
      </c>
      <c r="AM281" s="645">
        <v>7</v>
      </c>
      <c r="AN281" s="600"/>
      <c r="AO281" s="600"/>
      <c r="AP281" s="600"/>
      <c r="AQ281" s="651"/>
      <c r="AR281" s="404" t="str">
        <f>IFERROR(WWWW[[#This Row],['# of Water passed at source]]/WWWW[[#This Row],['# of Water tested at source]],"no test")</f>
        <v>no test</v>
      </c>
      <c r="AS281" s="407" t="str">
        <f>IFERROR(WWWW[[#This Row],['# of Water passed at HH]]/WWWW[[#This Row],['# of Water tested at HH]],"no test")</f>
        <v>no test</v>
      </c>
      <c r="AT281" s="407">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U281" s="407">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AV281" s="407">
        <f>IF(WWWW[[#This Row],[Location Type 1]]="Village",WWWW[[#This Row],[Access to safe drinking water for Village]],WWWW[[#This Row],[Access to safe drinking water for Camp]])</f>
        <v>0</v>
      </c>
      <c r="AW281" s="405">
        <f>WWWW[[#This Row],[%Equitable and continuous access to sufficient quantity of safe drinking water]]*WWWW[[#This Row],[Total PoP ]]</f>
        <v>0</v>
      </c>
      <c r="AX281" s="407">
        <f>IF((WWWW[[#This Row],['# Existing protected/fenced ponds ]]*250)/WWWW[[#This Row],[Total PoP ]]&gt;1,1,WWWW[[#This Row],['# Existing protected/fenced ponds ]]*250/WWWW[[#This Row],[Total PoP ]])</f>
        <v>0.59488399762046396</v>
      </c>
      <c r="AY281" s="405">
        <f>WWWW[[#This Row],[Access to unimproved water points]]*WWWW[[#This Row],[Total PoP ]]</f>
        <v>999.99999999999989</v>
      </c>
      <c r="AZ281" s="407">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0.59488399762046396</v>
      </c>
      <c r="BA281" s="405">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999.99999999999989</v>
      </c>
      <c r="BB281" s="405">
        <f>WWWW[[#This Row],['#people Equitable and continuous access to sufficient quantity of domestic water borehole n ponds_2]]/500</f>
        <v>1.9999999999999998</v>
      </c>
      <c r="BC281" s="404">
        <f>1-WWWW[[#This Row],[%Equitable and continuous access to sufficient quantity of domestic water borehole n ponds]]</f>
        <v>0.40511600237953604</v>
      </c>
      <c r="BD281" s="405">
        <f>WWWW[[#This Row],[%equitable and continuous access to sufficient quantity of safe drinking and domestic water''s GAP]]*WWWW[[#This Row],[Total PoP ]]</f>
        <v>681.00000000000011</v>
      </c>
      <c r="BE281" s="406">
        <f>IF(WWWW[[#This Row],[Total required water points]]-WWWW[[#This Row],['#Water points coverage]]&lt;0,0,WWWW[[#This Row],[Total required water points]]-WWWW[[#This Row],['#Water points coverage]])</f>
        <v>1.0000000000000002</v>
      </c>
      <c r="BF281" s="406">
        <f>ROUND(IF(WWWW[[#This Row],[Total PoP ]]&lt;500,1,WWWW[[#This Row],[Total PoP ]]/500),0)</f>
        <v>3</v>
      </c>
      <c r="BG281" s="406" t="str">
        <f>IF(AND(WWWW[[#This Row],[%of Water samples which passed at water source]]="no test",WWWW[[#This Row],[%Water samples which passed at HH]]="no test"),"No Test","Tested")</f>
        <v>No Test</v>
      </c>
      <c r="BH281" s="406">
        <f>WWWW[[#This Row],['# Existing functional latrines]]+WWWW[[#This Row],['# Existing latrines dysfunctional]]</f>
        <v>31</v>
      </c>
      <c r="BI281" s="404">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0.11064842355740631</v>
      </c>
      <c r="BJ281" s="676">
        <f>WWWW[[#This Row],[% people access to functioning Latrine]]*WWWW[[#This Row],[Total PoP ]]</f>
        <v>186</v>
      </c>
      <c r="BK281" s="404">
        <f>IF(WWWW[[#This Row],[Location Type 1]]="camp",WWWW[[#This Row],['# potential required new latrines]]/(WWWW[[#This Row],[Total PoP ]]/20),WWWW[[#This Row],['# potential required new latrines]]/(WWWW[[#This Row],[Total PoP ]]/6))</f>
        <v>0.88875669244497313</v>
      </c>
      <c r="BL281" s="405">
        <f>IF(WWWW[[#This Row],[Total required Latrines]]-WWWW[[#This Row],[Total '# of latrine]]&lt;0,0,WWWW[[#This Row],[Total required Latrines]]-WWWW[[#This Row],[Total '# of latrine]])</f>
        <v>249</v>
      </c>
      <c r="BM281" s="406">
        <f>ROUND(IF(WWWW[[#This Row],[Location Type 1]]="camp",WWWW[[#This Row],[Total PoP ]]/20,WWWW[[#This Row],[Total PoP ]]/6),0)</f>
        <v>280</v>
      </c>
      <c r="BN281" s="408">
        <f>IF(OR(WWWW[[#This Row],['# Existing latrines dysfunctional]]="",WWWW[[#This Row],['# Existing latrines dysfunctional]]=0),0,WWWW[[#This Row],['# Existing latrines dysfunctional]]/WWWW[[#This Row],[Total '# of latrine]])</f>
        <v>0</v>
      </c>
      <c r="BO281" s="676"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P281" s="404">
        <f>WWWW[[#This Row],[People adopt basic personal and community hygiene practices]]/WWWW[[#This Row],[Total PoP ]]</f>
        <v>0</v>
      </c>
      <c r="BQ281" s="408">
        <f>1-WWWW[[#This Row],[Hygiene Coverage%]]</f>
        <v>1</v>
      </c>
      <c r="BR281" s="405">
        <f>IF(500*WWWW[[#This Row],['# Hygiene Promoters ]]&gt;WWWW[[#This Row],[Total PoP ]],WWWW[[#This Row],[Total PoP ]],500*WWWW[[#This Row],['# Hygiene Promoters ]])</f>
        <v>1681</v>
      </c>
      <c r="BS281" s="405">
        <f>IF(WWWW[[#This Row],[% of HH with access to Sanitary Pad]]&gt;=100%,1,0)</f>
        <v>0</v>
      </c>
      <c r="BT281" s="405">
        <f>IF(WWWW[[#This Row],[Total PoP ]]=0,0,IF(WWWW[[#This Row],['# Hygiene Promoters ]]=0,0,IF(WWWW[[#This Row],[Location Type 1]]="Village",IF(WWWW[[#This Row],[Total PoP ]]/WWWW[[#This Row],['# Hygiene Promoters ]]&lt;1000,1,0),IF(WWWW[[#This Row],[Total PoP ]]/WWWW[[#This Row],['# Hygiene Promoters ]]&lt;600,1,0))))</f>
        <v>1</v>
      </c>
      <c r="BU281" s="405">
        <f>IF(WWWW[[#This Row],[%HH with access to soap]]&gt;=100%,1,0)</f>
        <v>0</v>
      </c>
      <c r="BV281" s="405">
        <f>IF(WWWW[[#This Row],[% of HHs with access to Sanitary pad more than '#%]]+WWWW[[#This Row],[Ratio of Hyiene promoters to people less than '#]]+WWWW[[#This Row],[% of HHs with access to soap more than '#%]]&gt;=2,WWWW[[#This Row],[Total PoP ]],0)</f>
        <v>0</v>
      </c>
      <c r="BW281" s="391">
        <f>WWWW[[#This Row],['# people reached by regular dedicated hygiene promotion_5]]/WWWW[[#This Row],[Total PoP ]]</f>
        <v>1</v>
      </c>
      <c r="BX281" s="391">
        <f>IF(WWWW[[#This Row],['# HH received soaps]]/WWWW[[#This Row],[Total HH]]&gt;1,1,WWWW[[#This Row],['# HH received soaps]]/WWWW[[#This Row],[Total HH]])</f>
        <v>0</v>
      </c>
      <c r="BY281" s="391">
        <f>IF(WWWW[[#This Row],['# HH received Sanitary Pads]]/WWWW[[#This Row],[Total HH]]&gt;1,1,WWWW[[#This Row],['# HH received Sanitary Pads]]/WWWW[[#This Row],[Total HH]])</f>
        <v>0</v>
      </c>
      <c r="BZ281" s="721">
        <f>WWWW[[#This Row],['# HH received soaps]]*5</f>
        <v>0</v>
      </c>
      <c r="CA281" s="721">
        <f>WWWW[[#This Row],['# HH received Sanitary Pads]]*5</f>
        <v>0</v>
      </c>
      <c r="CB281" s="406">
        <f>IF(WWWW[[#This Row],['# People with access to soap]]&gt;WWWW[[#This Row],['# People with access to Sanity Pads]],WWWW[[#This Row],['# People with access to soap]],WWWW[[#This Row],['# People with access to Sanity Pads]])</f>
        <v>0</v>
      </c>
      <c r="CC281" s="405">
        <f>WWWW[[#This Row],[Total HH]]*WWWW[[#This Row],[%HHs with access to functional hand washing stations]]</f>
        <v>0</v>
      </c>
      <c r="CD281" s="240">
        <f>VLOOKUP(WWWW[[#This Row],[Site Name]],SiteDB6[],8,FALSE)</f>
        <v>0</v>
      </c>
      <c r="CE281" s="240">
        <f>VLOOKUP(WWWW[[#This Row],[Site Name]],SiteDB6[],9,FALSE)</f>
        <v>0</v>
      </c>
      <c r="CF281" s="240" t="str">
        <f>VLOOKUP(WWWW[[#This Row],[Site Name]],SiteDB6[],10,FALSE)</f>
        <v>Village</v>
      </c>
      <c r="CG281" s="240" t="str">
        <f>VLOOKUP(WWWW[[#This Row],[Site Name]],SiteDB6[],11,FALSE)</f>
        <v>Village</v>
      </c>
      <c r="CH281" s="240" t="str">
        <f>VLOOKUP(WWWW[[#This Row],[Site Name]],SiteDB6[],12,FALSE)</f>
        <v>Village</v>
      </c>
      <c r="CI281" s="240" t="str">
        <f>VLOOKUP(WWWW[[#This Row],[Site Name]],SiteDB6[],13,FALSE)</f>
        <v>Rakhine</v>
      </c>
      <c r="CJ281" s="240">
        <f>VLOOKUP(WWWW[[#This Row],[Site Name]],SiteDB6[],14,FALSE)</f>
        <v>20.486930847168001</v>
      </c>
      <c r="CK281" s="240">
        <f>VLOOKUP(WWWW[[#This Row],[Site Name]],SiteDB6[],15,FALSE)</f>
        <v>92.662757873535199</v>
      </c>
      <c r="CL281" s="240">
        <f>VLOOKUP(WWWW[[#This Row],[Site Name]],SiteDB6[],4,FALSE)</f>
        <v>197614</v>
      </c>
      <c r="CM281" s="404" t="str">
        <f t="shared" si="4"/>
        <v>Covered</v>
      </c>
      <c r="CN281" s="404"/>
    </row>
    <row r="282" spans="1:92" ht="15.75" hidden="1" customHeight="1" x14ac:dyDescent="0.25">
      <c r="A282" s="554" t="s">
        <v>1409</v>
      </c>
      <c r="B282" s="530" t="s">
        <v>542</v>
      </c>
      <c r="C282" s="531" t="s">
        <v>464</v>
      </c>
      <c r="D282" s="531" t="s">
        <v>508</v>
      </c>
      <c r="E282" s="531" t="s">
        <v>663</v>
      </c>
      <c r="F282" s="402">
        <v>70</v>
      </c>
      <c r="G282" s="405">
        <v>380</v>
      </c>
      <c r="H282" s="402"/>
      <c r="I282" s="402" t="s">
        <v>398</v>
      </c>
      <c r="J282" s="403">
        <v>43145</v>
      </c>
      <c r="K282" s="402">
        <v>0</v>
      </c>
      <c r="L282" s="402" t="s">
        <v>48</v>
      </c>
      <c r="M282" s="404"/>
      <c r="N282" s="404"/>
      <c r="O282" s="605">
        <v>0</v>
      </c>
      <c r="P282" s="606">
        <v>0</v>
      </c>
      <c r="Q282" s="606">
        <v>0</v>
      </c>
      <c r="R282" s="607">
        <v>1</v>
      </c>
      <c r="S282" s="607">
        <v>0</v>
      </c>
      <c r="T282" s="607"/>
      <c r="U282" s="607"/>
      <c r="V282" s="607"/>
      <c r="W282" s="607"/>
      <c r="X282" s="607"/>
      <c r="Y282" s="607"/>
      <c r="Z282" s="598">
        <v>16</v>
      </c>
      <c r="AA282" s="598">
        <v>0</v>
      </c>
      <c r="AB282" s="80"/>
      <c r="AC282" s="598">
        <v>16</v>
      </c>
      <c r="AD282" s="598" t="s">
        <v>342</v>
      </c>
      <c r="AE282" s="599" t="s">
        <v>342</v>
      </c>
      <c r="AF282" s="599"/>
      <c r="AG282" s="598"/>
      <c r="AH282" s="598"/>
      <c r="AI282" s="649">
        <v>0</v>
      </c>
      <c r="AJ282" s="650" t="s">
        <v>294</v>
      </c>
      <c r="AK282" s="650">
        <v>0</v>
      </c>
      <c r="AL282" s="645">
        <v>0</v>
      </c>
      <c r="AM282" s="645">
        <v>7</v>
      </c>
      <c r="AN282" s="600"/>
      <c r="AO282" s="600"/>
      <c r="AP282" s="600"/>
      <c r="AQ282" s="651"/>
      <c r="AR282" s="404" t="str">
        <f>IFERROR(WWWW[[#This Row],['# of Water passed at source]]/WWWW[[#This Row],['# of Water tested at source]],"no test")</f>
        <v>no test</v>
      </c>
      <c r="AS282" s="407" t="str">
        <f>IFERROR(WWWW[[#This Row],['# of Water passed at HH]]/WWWW[[#This Row],['# of Water tested at HH]],"no test")</f>
        <v>no test</v>
      </c>
      <c r="AT282" s="407">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U282" s="407">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AV282" s="407">
        <f>IF(WWWW[[#This Row],[Location Type 1]]="Village",WWWW[[#This Row],[Access to safe drinking water for Village]],WWWW[[#This Row],[Access to safe drinking water for Camp]])</f>
        <v>0</v>
      </c>
      <c r="AW282" s="405">
        <f>WWWW[[#This Row],[%Equitable and continuous access to sufficient quantity of safe drinking water]]*WWWW[[#This Row],[Total PoP ]]</f>
        <v>0</v>
      </c>
      <c r="AX282" s="407">
        <f>IF((WWWW[[#This Row],['# Existing protected/fenced ponds ]]*250)/WWWW[[#This Row],[Total PoP ]]&gt;1,1,WWWW[[#This Row],['# Existing protected/fenced ponds ]]*250/WWWW[[#This Row],[Total PoP ]])</f>
        <v>0.65789473684210531</v>
      </c>
      <c r="AY282" s="405">
        <f>WWWW[[#This Row],[Access to unimproved water points]]*WWWW[[#This Row],[Total PoP ]]</f>
        <v>250.00000000000003</v>
      </c>
      <c r="AZ282" s="407">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0.65789473684210531</v>
      </c>
      <c r="BA282" s="405">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250.00000000000003</v>
      </c>
      <c r="BB282" s="405">
        <f>WWWW[[#This Row],['#people Equitable and continuous access to sufficient quantity of domestic water borehole n ponds_2]]/500</f>
        <v>0.50000000000000011</v>
      </c>
      <c r="BC282" s="404">
        <f>1-WWWW[[#This Row],[%Equitable and continuous access to sufficient quantity of domestic water borehole n ponds]]</f>
        <v>0.34210526315789469</v>
      </c>
      <c r="BD282" s="405">
        <f>WWWW[[#This Row],[%equitable and continuous access to sufficient quantity of safe drinking and domestic water''s GAP]]*WWWW[[#This Row],[Total PoP ]]</f>
        <v>129.99999999999997</v>
      </c>
      <c r="BE282" s="406">
        <f>IF(WWWW[[#This Row],[Total required water points]]-WWWW[[#This Row],['#Water points coverage]]&lt;0,0,WWWW[[#This Row],[Total required water points]]-WWWW[[#This Row],['#Water points coverage]])</f>
        <v>0.49999999999999989</v>
      </c>
      <c r="BF282" s="406">
        <f>ROUND(IF(WWWW[[#This Row],[Total PoP ]]&lt;500,1,WWWW[[#This Row],[Total PoP ]]/500),0)</f>
        <v>1</v>
      </c>
      <c r="BG282" s="406" t="str">
        <f>IF(AND(WWWW[[#This Row],[%of Water samples which passed at water source]]="no test",WWWW[[#This Row],[%Water samples which passed at HH]]="no test"),"No Test","Tested")</f>
        <v>No Test</v>
      </c>
      <c r="BH282" s="406">
        <f>WWWW[[#This Row],['# Existing functional latrines]]+WWWW[[#This Row],['# Existing latrines dysfunctional]]</f>
        <v>16</v>
      </c>
      <c r="BI282" s="404">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0.25263157894736843</v>
      </c>
      <c r="BJ282" s="676">
        <f>WWWW[[#This Row],[% people access to functioning Latrine]]*WWWW[[#This Row],[Total PoP ]]</f>
        <v>96</v>
      </c>
      <c r="BK282" s="404">
        <f>IF(WWWW[[#This Row],[Location Type 1]]="camp",WWWW[[#This Row],['# potential required new latrines]]/(WWWW[[#This Row],[Total PoP ]]/20),WWWW[[#This Row],['# potential required new latrines]]/(WWWW[[#This Row],[Total PoP ]]/6))</f>
        <v>0.74210526315789471</v>
      </c>
      <c r="BL282" s="405">
        <f>IF(WWWW[[#This Row],[Total required Latrines]]-WWWW[[#This Row],[Total '# of latrine]]&lt;0,0,WWWW[[#This Row],[Total required Latrines]]-WWWW[[#This Row],[Total '# of latrine]])</f>
        <v>47</v>
      </c>
      <c r="BM282" s="406">
        <f>ROUND(IF(WWWW[[#This Row],[Location Type 1]]="camp",WWWW[[#This Row],[Total PoP ]]/20,WWWW[[#This Row],[Total PoP ]]/6),0)</f>
        <v>63</v>
      </c>
      <c r="BN282" s="408">
        <f>IF(OR(WWWW[[#This Row],['# Existing latrines dysfunctional]]="",WWWW[[#This Row],['# Existing latrines dysfunctional]]=0),0,WWWW[[#This Row],['# Existing latrines dysfunctional]]/WWWW[[#This Row],[Total '# of latrine]])</f>
        <v>0</v>
      </c>
      <c r="BO282" s="676"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P282" s="404">
        <f>WWWW[[#This Row],[People adopt basic personal and community hygiene practices]]/WWWW[[#This Row],[Total PoP ]]</f>
        <v>0</v>
      </c>
      <c r="BQ282" s="408">
        <f>1-WWWW[[#This Row],[Hygiene Coverage%]]</f>
        <v>1</v>
      </c>
      <c r="BR282" s="405">
        <f>IF(500*WWWW[[#This Row],['# Hygiene Promoters ]]&gt;WWWW[[#This Row],[Total PoP ]],WWWW[[#This Row],[Total PoP ]],500*WWWW[[#This Row],['# Hygiene Promoters ]])</f>
        <v>380</v>
      </c>
      <c r="BS282" s="405">
        <f>IF(WWWW[[#This Row],[% of HH with access to Sanitary Pad]]&gt;=100%,1,0)</f>
        <v>0</v>
      </c>
      <c r="BT282" s="405">
        <f>IF(WWWW[[#This Row],[Total PoP ]]=0,0,IF(WWWW[[#This Row],['# Hygiene Promoters ]]=0,0,IF(WWWW[[#This Row],[Location Type 1]]="Village",IF(WWWW[[#This Row],[Total PoP ]]/WWWW[[#This Row],['# Hygiene Promoters ]]&lt;1000,1,0),IF(WWWW[[#This Row],[Total PoP ]]/WWWW[[#This Row],['# Hygiene Promoters ]]&lt;600,1,0))))</f>
        <v>1</v>
      </c>
      <c r="BU282" s="405">
        <f>IF(WWWW[[#This Row],[%HH with access to soap]]&gt;=100%,1,0)</f>
        <v>0</v>
      </c>
      <c r="BV282" s="405">
        <f>IF(WWWW[[#This Row],[% of HHs with access to Sanitary pad more than '#%]]+WWWW[[#This Row],[Ratio of Hyiene promoters to people less than '#]]+WWWW[[#This Row],[% of HHs with access to soap more than '#%]]&gt;=2,WWWW[[#This Row],[Total PoP ]],0)</f>
        <v>0</v>
      </c>
      <c r="BW282" s="391">
        <f>WWWW[[#This Row],['# people reached by regular dedicated hygiene promotion_5]]/WWWW[[#This Row],[Total PoP ]]</f>
        <v>1</v>
      </c>
      <c r="BX282" s="391">
        <f>IF(WWWW[[#This Row],['# HH received soaps]]/WWWW[[#This Row],[Total HH]]&gt;1,1,WWWW[[#This Row],['# HH received soaps]]/WWWW[[#This Row],[Total HH]])</f>
        <v>0</v>
      </c>
      <c r="BY282" s="391">
        <f>IF(WWWW[[#This Row],['# HH received Sanitary Pads]]/WWWW[[#This Row],[Total HH]]&gt;1,1,WWWW[[#This Row],['# HH received Sanitary Pads]]/WWWW[[#This Row],[Total HH]])</f>
        <v>0</v>
      </c>
      <c r="BZ282" s="721">
        <f>WWWW[[#This Row],['# HH received soaps]]*5</f>
        <v>0</v>
      </c>
      <c r="CA282" s="721">
        <f>WWWW[[#This Row],['# HH received Sanitary Pads]]*5</f>
        <v>0</v>
      </c>
      <c r="CB282" s="406">
        <f>IF(WWWW[[#This Row],['# People with access to soap]]&gt;WWWW[[#This Row],['# People with access to Sanity Pads]],WWWW[[#This Row],['# People with access to soap]],WWWW[[#This Row],['# People with access to Sanity Pads]])</f>
        <v>0</v>
      </c>
      <c r="CC282" s="405">
        <f>WWWW[[#This Row],[Total HH]]*WWWW[[#This Row],[%HHs with access to functional hand washing stations]]</f>
        <v>0</v>
      </c>
      <c r="CD282" s="240">
        <f>VLOOKUP(WWWW[[#This Row],[Site Name]],SiteDB6[],8,FALSE)</f>
        <v>0</v>
      </c>
      <c r="CE282" s="240">
        <f>VLOOKUP(WWWW[[#This Row],[Site Name]],SiteDB6[],9,FALSE)</f>
        <v>0</v>
      </c>
      <c r="CF282" s="240" t="str">
        <f>VLOOKUP(WWWW[[#This Row],[Site Name]],SiteDB6[],10,FALSE)</f>
        <v>Village</v>
      </c>
      <c r="CG282" s="240" t="str">
        <f>VLOOKUP(WWWW[[#This Row],[Site Name]],SiteDB6[],11,FALSE)</f>
        <v>Village</v>
      </c>
      <c r="CH282" s="240" t="str">
        <f>VLOOKUP(WWWW[[#This Row],[Site Name]],SiteDB6[],12,FALSE)</f>
        <v>Village</v>
      </c>
      <c r="CI282" s="240" t="str">
        <f>VLOOKUP(WWWW[[#This Row],[Site Name]],SiteDB6[],13,FALSE)</f>
        <v>Rakhine</v>
      </c>
      <c r="CJ282" s="240">
        <f>VLOOKUP(WWWW[[#This Row],[Site Name]],SiteDB6[],14,FALSE)</f>
        <v>20.502599716186499</v>
      </c>
      <c r="CK282" s="240">
        <f>VLOOKUP(WWWW[[#This Row],[Site Name]],SiteDB6[],15,FALSE)</f>
        <v>92.647476196289105</v>
      </c>
      <c r="CL282" s="240">
        <f>VLOOKUP(WWWW[[#This Row],[Site Name]],SiteDB6[],4,FALSE)</f>
        <v>197615</v>
      </c>
      <c r="CM282" s="404" t="str">
        <f t="shared" si="4"/>
        <v>Covered</v>
      </c>
      <c r="CN282" s="404"/>
    </row>
    <row r="283" spans="1:92" ht="15.75" hidden="1" customHeight="1" x14ac:dyDescent="0.25">
      <c r="A283" s="554" t="s">
        <v>1409</v>
      </c>
      <c r="B283" s="530" t="s">
        <v>542</v>
      </c>
      <c r="C283" s="531" t="s">
        <v>464</v>
      </c>
      <c r="D283" s="531" t="s">
        <v>508</v>
      </c>
      <c r="E283" s="531" t="s">
        <v>676</v>
      </c>
      <c r="F283" s="402">
        <v>367</v>
      </c>
      <c r="G283" s="405">
        <v>1768</v>
      </c>
      <c r="H283" s="402"/>
      <c r="I283" s="402" t="s">
        <v>398</v>
      </c>
      <c r="J283" s="403">
        <v>43145</v>
      </c>
      <c r="K283" s="402">
        <v>0</v>
      </c>
      <c r="L283" s="402" t="s">
        <v>48</v>
      </c>
      <c r="M283" s="404"/>
      <c r="N283" s="404"/>
      <c r="O283" s="605">
        <v>0</v>
      </c>
      <c r="P283" s="606">
        <v>0</v>
      </c>
      <c r="Q283" s="606">
        <v>0</v>
      </c>
      <c r="R283" s="607">
        <v>3</v>
      </c>
      <c r="S283" s="607">
        <v>0</v>
      </c>
      <c r="T283" s="607"/>
      <c r="U283" s="607"/>
      <c r="V283" s="607"/>
      <c r="W283" s="607"/>
      <c r="X283" s="607"/>
      <c r="Y283" s="607"/>
      <c r="Z283" s="598">
        <v>0</v>
      </c>
      <c r="AA283" s="598">
        <v>0</v>
      </c>
      <c r="AB283" s="80"/>
      <c r="AC283" s="598">
        <v>0</v>
      </c>
      <c r="AD283" s="598" t="s">
        <v>342</v>
      </c>
      <c r="AE283" s="599" t="s">
        <v>342</v>
      </c>
      <c r="AF283" s="599"/>
      <c r="AG283" s="598"/>
      <c r="AH283" s="598"/>
      <c r="AI283" s="649">
        <v>0</v>
      </c>
      <c r="AJ283" s="650" t="s">
        <v>294</v>
      </c>
      <c r="AK283" s="650">
        <v>0</v>
      </c>
      <c r="AL283" s="645">
        <v>0</v>
      </c>
      <c r="AM283" s="645">
        <v>7</v>
      </c>
      <c r="AN283" s="600"/>
      <c r="AO283" s="600"/>
      <c r="AP283" s="600"/>
      <c r="AQ283" s="651"/>
      <c r="AR283" s="404" t="str">
        <f>IFERROR(WWWW[[#This Row],['# of Water passed at source]]/WWWW[[#This Row],['# of Water tested at source]],"no test")</f>
        <v>no test</v>
      </c>
      <c r="AS283" s="407" t="str">
        <f>IFERROR(WWWW[[#This Row],['# of Water passed at HH]]/WWWW[[#This Row],['# of Water tested at HH]],"no test")</f>
        <v>no test</v>
      </c>
      <c r="AT283" s="407">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U283" s="407">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AV283" s="407">
        <f>IF(WWWW[[#This Row],[Location Type 1]]="Village",WWWW[[#This Row],[Access to safe drinking water for Village]],WWWW[[#This Row],[Access to safe drinking water for Camp]])</f>
        <v>0</v>
      </c>
      <c r="AW283" s="405">
        <f>WWWW[[#This Row],[%Equitable and continuous access to sufficient quantity of safe drinking water]]*WWWW[[#This Row],[Total PoP ]]</f>
        <v>0</v>
      </c>
      <c r="AX283" s="407">
        <f>IF((WWWW[[#This Row],['# Existing protected/fenced ponds ]]*250)/WWWW[[#This Row],[Total PoP ]]&gt;1,1,WWWW[[#This Row],['# Existing protected/fenced ponds ]]*250/WWWW[[#This Row],[Total PoP ]])</f>
        <v>0.42420814479638008</v>
      </c>
      <c r="AY283" s="405">
        <f>WWWW[[#This Row],[Access to unimproved water points]]*WWWW[[#This Row],[Total PoP ]]</f>
        <v>750</v>
      </c>
      <c r="AZ283" s="407">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0.42420814479638008</v>
      </c>
      <c r="BA283" s="405">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750</v>
      </c>
      <c r="BB283" s="405">
        <f>WWWW[[#This Row],['#people Equitable and continuous access to sufficient quantity of domestic water borehole n ponds_2]]/500</f>
        <v>1.5</v>
      </c>
      <c r="BC283" s="404">
        <f>1-WWWW[[#This Row],[%Equitable and continuous access to sufficient quantity of domestic water borehole n ponds]]</f>
        <v>0.57579185520361986</v>
      </c>
      <c r="BD283" s="405">
        <f>WWWW[[#This Row],[%equitable and continuous access to sufficient quantity of safe drinking and domestic water''s GAP]]*WWWW[[#This Row],[Total PoP ]]</f>
        <v>1017.9999999999999</v>
      </c>
      <c r="BE283" s="406">
        <f>IF(WWWW[[#This Row],[Total required water points]]-WWWW[[#This Row],['#Water points coverage]]&lt;0,0,WWWW[[#This Row],[Total required water points]]-WWWW[[#This Row],['#Water points coverage]])</f>
        <v>2.5</v>
      </c>
      <c r="BF283" s="406">
        <f>ROUND(IF(WWWW[[#This Row],[Total PoP ]]&lt;500,1,WWWW[[#This Row],[Total PoP ]]/500),0)</f>
        <v>4</v>
      </c>
      <c r="BG283" s="406" t="str">
        <f>IF(AND(WWWW[[#This Row],[%of Water samples which passed at water source]]="no test",WWWW[[#This Row],[%Water samples which passed at HH]]="no test"),"No Test","Tested")</f>
        <v>No Test</v>
      </c>
      <c r="BH283" s="406">
        <f>WWWW[[#This Row],['# Existing functional latrines]]+WWWW[[#This Row],['# Existing latrines dysfunctional]]</f>
        <v>0</v>
      </c>
      <c r="BI283" s="404">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J283" s="676">
        <f>WWWW[[#This Row],[% people access to functioning Latrine]]*WWWW[[#This Row],[Total PoP ]]</f>
        <v>0</v>
      </c>
      <c r="BK283" s="404">
        <f>IF(WWWW[[#This Row],[Location Type 1]]="camp",WWWW[[#This Row],['# potential required new latrines]]/(WWWW[[#This Row],[Total PoP ]]/20),WWWW[[#This Row],['# potential required new latrines]]/(WWWW[[#This Row],[Total PoP ]]/6))</f>
        <v>1.001131221719457</v>
      </c>
      <c r="BL283" s="405">
        <f>IF(WWWW[[#This Row],[Total required Latrines]]-WWWW[[#This Row],[Total '# of latrine]]&lt;0,0,WWWW[[#This Row],[Total required Latrines]]-WWWW[[#This Row],[Total '# of latrine]])</f>
        <v>295</v>
      </c>
      <c r="BM283" s="406">
        <f>ROUND(IF(WWWW[[#This Row],[Location Type 1]]="camp",WWWW[[#This Row],[Total PoP ]]/20,WWWW[[#This Row],[Total PoP ]]/6),0)</f>
        <v>295</v>
      </c>
      <c r="BN283" s="408">
        <f>IF(OR(WWWW[[#This Row],['# Existing latrines dysfunctional]]="",WWWW[[#This Row],['# Existing latrines dysfunctional]]=0),0,WWWW[[#This Row],['# Existing latrines dysfunctional]]/WWWW[[#This Row],[Total '# of latrine]])</f>
        <v>0</v>
      </c>
      <c r="BO283" s="676"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P283" s="404">
        <f>WWWW[[#This Row],[People adopt basic personal and community hygiene practices]]/WWWW[[#This Row],[Total PoP ]]</f>
        <v>0</v>
      </c>
      <c r="BQ283" s="408">
        <f>1-WWWW[[#This Row],[Hygiene Coverage%]]</f>
        <v>1</v>
      </c>
      <c r="BR283" s="405">
        <f>IF(500*WWWW[[#This Row],['# Hygiene Promoters ]]&gt;WWWW[[#This Row],[Total PoP ]],WWWW[[#This Row],[Total PoP ]],500*WWWW[[#This Row],['# Hygiene Promoters ]])</f>
        <v>1768</v>
      </c>
      <c r="BS283" s="405">
        <f>IF(WWWW[[#This Row],[% of HH with access to Sanitary Pad]]&gt;=100%,1,0)</f>
        <v>0</v>
      </c>
      <c r="BT283" s="405">
        <f>IF(WWWW[[#This Row],[Total PoP ]]=0,0,IF(WWWW[[#This Row],['# Hygiene Promoters ]]=0,0,IF(WWWW[[#This Row],[Location Type 1]]="Village",IF(WWWW[[#This Row],[Total PoP ]]/WWWW[[#This Row],['# Hygiene Promoters ]]&lt;1000,1,0),IF(WWWW[[#This Row],[Total PoP ]]/WWWW[[#This Row],['# Hygiene Promoters ]]&lt;600,1,0))))</f>
        <v>1</v>
      </c>
      <c r="BU283" s="405">
        <f>IF(WWWW[[#This Row],[%HH with access to soap]]&gt;=100%,1,0)</f>
        <v>0</v>
      </c>
      <c r="BV283" s="405">
        <f>IF(WWWW[[#This Row],[% of HHs with access to Sanitary pad more than '#%]]+WWWW[[#This Row],[Ratio of Hyiene promoters to people less than '#]]+WWWW[[#This Row],[% of HHs with access to soap more than '#%]]&gt;=2,WWWW[[#This Row],[Total PoP ]],0)</f>
        <v>0</v>
      </c>
      <c r="BW283" s="391">
        <f>WWWW[[#This Row],['# people reached by regular dedicated hygiene promotion_5]]/WWWW[[#This Row],[Total PoP ]]</f>
        <v>1</v>
      </c>
      <c r="BX283" s="391">
        <f>IF(WWWW[[#This Row],['# HH received soaps]]/WWWW[[#This Row],[Total HH]]&gt;1,1,WWWW[[#This Row],['# HH received soaps]]/WWWW[[#This Row],[Total HH]])</f>
        <v>0</v>
      </c>
      <c r="BY283" s="391">
        <f>IF(WWWW[[#This Row],['# HH received Sanitary Pads]]/WWWW[[#This Row],[Total HH]]&gt;1,1,WWWW[[#This Row],['# HH received Sanitary Pads]]/WWWW[[#This Row],[Total HH]])</f>
        <v>0</v>
      </c>
      <c r="BZ283" s="721">
        <f>WWWW[[#This Row],['# HH received soaps]]*5</f>
        <v>0</v>
      </c>
      <c r="CA283" s="721">
        <f>WWWW[[#This Row],['# HH received Sanitary Pads]]*5</f>
        <v>0</v>
      </c>
      <c r="CB283" s="406">
        <f>IF(WWWW[[#This Row],['# People with access to soap]]&gt;WWWW[[#This Row],['# People with access to Sanity Pads]],WWWW[[#This Row],['# People with access to soap]],WWWW[[#This Row],['# People with access to Sanity Pads]])</f>
        <v>0</v>
      </c>
      <c r="CC283" s="405">
        <f>WWWW[[#This Row],[Total HH]]*WWWW[[#This Row],[%HHs with access to functional hand washing stations]]</f>
        <v>0</v>
      </c>
      <c r="CD283" s="240">
        <f>VLOOKUP(WWWW[[#This Row],[Site Name]],SiteDB6[],8,FALSE)</f>
        <v>0</v>
      </c>
      <c r="CE283" s="240">
        <f>VLOOKUP(WWWW[[#This Row],[Site Name]],SiteDB6[],9,FALSE)</f>
        <v>0</v>
      </c>
      <c r="CF283" s="240" t="str">
        <f>VLOOKUP(WWWW[[#This Row],[Site Name]],SiteDB6[],10,FALSE)</f>
        <v>Village</v>
      </c>
      <c r="CG283" s="240" t="str">
        <f>VLOOKUP(WWWW[[#This Row],[Site Name]],SiteDB6[],11,FALSE)</f>
        <v>Village</v>
      </c>
      <c r="CH283" s="240" t="str">
        <f>VLOOKUP(WWWW[[#This Row],[Site Name]],SiteDB6[],12,FALSE)</f>
        <v>Village</v>
      </c>
      <c r="CI283" s="240" t="str">
        <f>VLOOKUP(WWWW[[#This Row],[Site Name]],SiteDB6[],13,FALSE)</f>
        <v>Muslim</v>
      </c>
      <c r="CJ283" s="240">
        <f>VLOOKUP(WWWW[[#This Row],[Site Name]],SiteDB6[],14,FALSE)</f>
        <v>20.555610656738299</v>
      </c>
      <c r="CK283" s="240">
        <f>VLOOKUP(WWWW[[#This Row],[Site Name]],SiteDB6[],15,FALSE)</f>
        <v>92.643516540527301</v>
      </c>
      <c r="CL283" s="240">
        <f>VLOOKUP(WWWW[[#This Row],[Site Name]],SiteDB6[],4,FALSE)</f>
        <v>197593</v>
      </c>
      <c r="CM283" s="404" t="str">
        <f t="shared" si="4"/>
        <v>Covered</v>
      </c>
      <c r="CN283" s="404"/>
    </row>
    <row r="284" spans="1:92" ht="15.75" hidden="1" customHeight="1" x14ac:dyDescent="0.25">
      <c r="A284" s="554" t="s">
        <v>1409</v>
      </c>
      <c r="B284" s="530" t="s">
        <v>542</v>
      </c>
      <c r="C284" s="531" t="s">
        <v>464</v>
      </c>
      <c r="D284" s="531" t="s">
        <v>508</v>
      </c>
      <c r="E284" s="531" t="s">
        <v>680</v>
      </c>
      <c r="F284" s="402">
        <v>245</v>
      </c>
      <c r="G284" s="405">
        <v>1292</v>
      </c>
      <c r="H284" s="402"/>
      <c r="I284" s="402" t="s">
        <v>398</v>
      </c>
      <c r="J284" s="403">
        <v>43145</v>
      </c>
      <c r="K284" s="402">
        <v>0</v>
      </c>
      <c r="L284" s="402" t="s">
        <v>48</v>
      </c>
      <c r="M284" s="404"/>
      <c r="N284" s="404"/>
      <c r="O284" s="605">
        <v>0</v>
      </c>
      <c r="P284" s="606">
        <v>0</v>
      </c>
      <c r="Q284" s="606">
        <v>0</v>
      </c>
      <c r="R284" s="607">
        <v>2</v>
      </c>
      <c r="S284" s="607">
        <v>0</v>
      </c>
      <c r="T284" s="607"/>
      <c r="U284" s="607"/>
      <c r="V284" s="607"/>
      <c r="W284" s="607"/>
      <c r="X284" s="607"/>
      <c r="Y284" s="607"/>
      <c r="Z284" s="598">
        <v>0</v>
      </c>
      <c r="AA284" s="598">
        <v>0</v>
      </c>
      <c r="AB284" s="80"/>
      <c r="AC284" s="598">
        <v>0</v>
      </c>
      <c r="AD284" s="598" t="s">
        <v>342</v>
      </c>
      <c r="AE284" s="599" t="s">
        <v>342</v>
      </c>
      <c r="AF284" s="599"/>
      <c r="AG284" s="598"/>
      <c r="AH284" s="598"/>
      <c r="AI284" s="649">
        <v>0</v>
      </c>
      <c r="AJ284" s="650" t="s">
        <v>294</v>
      </c>
      <c r="AK284" s="650">
        <v>0</v>
      </c>
      <c r="AL284" s="645">
        <v>0</v>
      </c>
      <c r="AM284" s="645">
        <v>7</v>
      </c>
      <c r="AN284" s="600"/>
      <c r="AO284" s="600"/>
      <c r="AP284" s="600"/>
      <c r="AQ284" s="651"/>
      <c r="AR284" s="404" t="str">
        <f>IFERROR(WWWW[[#This Row],['# of Water passed at source]]/WWWW[[#This Row],['# of Water tested at source]],"no test")</f>
        <v>no test</v>
      </c>
      <c r="AS284" s="407" t="str">
        <f>IFERROR(WWWW[[#This Row],['# of Water passed at HH]]/WWWW[[#This Row],['# of Water tested at HH]],"no test")</f>
        <v>no test</v>
      </c>
      <c r="AT284" s="407">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U284" s="407">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AV284" s="407">
        <f>IF(WWWW[[#This Row],[Location Type 1]]="Village",WWWW[[#This Row],[Access to safe drinking water for Village]],WWWW[[#This Row],[Access to safe drinking water for Camp]])</f>
        <v>0</v>
      </c>
      <c r="AW284" s="405">
        <f>WWWW[[#This Row],[%Equitable and continuous access to sufficient quantity of safe drinking water]]*WWWW[[#This Row],[Total PoP ]]</f>
        <v>0</v>
      </c>
      <c r="AX284" s="407">
        <f>IF((WWWW[[#This Row],['# Existing protected/fenced ponds ]]*250)/WWWW[[#This Row],[Total PoP ]]&gt;1,1,WWWW[[#This Row],['# Existing protected/fenced ponds ]]*250/WWWW[[#This Row],[Total PoP ]])</f>
        <v>0.38699690402476783</v>
      </c>
      <c r="AY284" s="405">
        <f>WWWW[[#This Row],[Access to unimproved water points]]*WWWW[[#This Row],[Total PoP ]]</f>
        <v>500.00000000000006</v>
      </c>
      <c r="AZ284" s="407">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0.38699690402476783</v>
      </c>
      <c r="BA284" s="405">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500.00000000000006</v>
      </c>
      <c r="BB284" s="405">
        <f>WWWW[[#This Row],['#people Equitable and continuous access to sufficient quantity of domestic water borehole n ponds_2]]/500</f>
        <v>1.0000000000000002</v>
      </c>
      <c r="BC284" s="404">
        <f>1-WWWW[[#This Row],[%Equitable and continuous access to sufficient quantity of domestic water borehole n ponds]]</f>
        <v>0.61300309597523217</v>
      </c>
      <c r="BD284" s="405">
        <f>WWWW[[#This Row],[%equitable and continuous access to sufficient quantity of safe drinking and domestic water''s GAP]]*WWWW[[#This Row],[Total PoP ]]</f>
        <v>792</v>
      </c>
      <c r="BE284" s="406">
        <f>IF(WWWW[[#This Row],[Total required water points]]-WWWW[[#This Row],['#Water points coverage]]&lt;0,0,WWWW[[#This Row],[Total required water points]]-WWWW[[#This Row],['#Water points coverage]])</f>
        <v>1.9999999999999998</v>
      </c>
      <c r="BF284" s="406">
        <f>ROUND(IF(WWWW[[#This Row],[Total PoP ]]&lt;500,1,WWWW[[#This Row],[Total PoP ]]/500),0)</f>
        <v>3</v>
      </c>
      <c r="BG284" s="406" t="str">
        <f>IF(AND(WWWW[[#This Row],[%of Water samples which passed at water source]]="no test",WWWW[[#This Row],[%Water samples which passed at HH]]="no test"),"No Test","Tested")</f>
        <v>No Test</v>
      </c>
      <c r="BH284" s="406">
        <f>WWWW[[#This Row],['# Existing functional latrines]]+WWWW[[#This Row],['# Existing latrines dysfunctional]]</f>
        <v>0</v>
      </c>
      <c r="BI284" s="404">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J284" s="676">
        <f>WWWW[[#This Row],[% people access to functioning Latrine]]*WWWW[[#This Row],[Total PoP ]]</f>
        <v>0</v>
      </c>
      <c r="BK284" s="404">
        <f>IF(WWWW[[#This Row],[Location Type 1]]="camp",WWWW[[#This Row],['# potential required new latrines]]/(WWWW[[#This Row],[Total PoP ]]/20),WWWW[[#This Row],['# potential required new latrines]]/(WWWW[[#This Row],[Total PoP ]]/6))</f>
        <v>0.99845201238390091</v>
      </c>
      <c r="BL284" s="405">
        <f>IF(WWWW[[#This Row],[Total required Latrines]]-WWWW[[#This Row],[Total '# of latrine]]&lt;0,0,WWWW[[#This Row],[Total required Latrines]]-WWWW[[#This Row],[Total '# of latrine]])</f>
        <v>215</v>
      </c>
      <c r="BM284" s="406">
        <f>ROUND(IF(WWWW[[#This Row],[Location Type 1]]="camp",WWWW[[#This Row],[Total PoP ]]/20,WWWW[[#This Row],[Total PoP ]]/6),0)</f>
        <v>215</v>
      </c>
      <c r="BN284" s="408">
        <f>IF(OR(WWWW[[#This Row],['# Existing latrines dysfunctional]]="",WWWW[[#This Row],['# Existing latrines dysfunctional]]=0),0,WWWW[[#This Row],['# Existing latrines dysfunctional]]/WWWW[[#This Row],[Total '# of latrine]])</f>
        <v>0</v>
      </c>
      <c r="BO284" s="676"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P284" s="404">
        <f>WWWW[[#This Row],[People adopt basic personal and community hygiene practices]]/WWWW[[#This Row],[Total PoP ]]</f>
        <v>0</v>
      </c>
      <c r="BQ284" s="408">
        <f>1-WWWW[[#This Row],[Hygiene Coverage%]]</f>
        <v>1</v>
      </c>
      <c r="BR284" s="405">
        <f>IF(500*WWWW[[#This Row],['# Hygiene Promoters ]]&gt;WWWW[[#This Row],[Total PoP ]],WWWW[[#This Row],[Total PoP ]],500*WWWW[[#This Row],['# Hygiene Promoters ]])</f>
        <v>1292</v>
      </c>
      <c r="BS284" s="405">
        <f>IF(WWWW[[#This Row],[% of HH with access to Sanitary Pad]]&gt;=100%,1,0)</f>
        <v>0</v>
      </c>
      <c r="BT284" s="405">
        <f>IF(WWWW[[#This Row],[Total PoP ]]=0,0,IF(WWWW[[#This Row],['# Hygiene Promoters ]]=0,0,IF(WWWW[[#This Row],[Location Type 1]]="Village",IF(WWWW[[#This Row],[Total PoP ]]/WWWW[[#This Row],['# Hygiene Promoters ]]&lt;1000,1,0),IF(WWWW[[#This Row],[Total PoP ]]/WWWW[[#This Row],['# Hygiene Promoters ]]&lt;600,1,0))))</f>
        <v>1</v>
      </c>
      <c r="BU284" s="405">
        <f>IF(WWWW[[#This Row],[%HH with access to soap]]&gt;=100%,1,0)</f>
        <v>0</v>
      </c>
      <c r="BV284" s="405">
        <f>IF(WWWW[[#This Row],[% of HHs with access to Sanitary pad more than '#%]]+WWWW[[#This Row],[Ratio of Hyiene promoters to people less than '#]]+WWWW[[#This Row],[% of HHs with access to soap more than '#%]]&gt;=2,WWWW[[#This Row],[Total PoP ]],0)</f>
        <v>0</v>
      </c>
      <c r="BW284" s="391">
        <f>WWWW[[#This Row],['# people reached by regular dedicated hygiene promotion_5]]/WWWW[[#This Row],[Total PoP ]]</f>
        <v>1</v>
      </c>
      <c r="BX284" s="391">
        <f>IF(WWWW[[#This Row],['# HH received soaps]]/WWWW[[#This Row],[Total HH]]&gt;1,1,WWWW[[#This Row],['# HH received soaps]]/WWWW[[#This Row],[Total HH]])</f>
        <v>0</v>
      </c>
      <c r="BY284" s="391">
        <f>IF(WWWW[[#This Row],['# HH received Sanitary Pads]]/WWWW[[#This Row],[Total HH]]&gt;1,1,WWWW[[#This Row],['# HH received Sanitary Pads]]/WWWW[[#This Row],[Total HH]])</f>
        <v>0</v>
      </c>
      <c r="BZ284" s="721">
        <f>WWWW[[#This Row],['# HH received soaps]]*5</f>
        <v>0</v>
      </c>
      <c r="CA284" s="721">
        <f>WWWW[[#This Row],['# HH received Sanitary Pads]]*5</f>
        <v>0</v>
      </c>
      <c r="CB284" s="406">
        <f>IF(WWWW[[#This Row],['# People with access to soap]]&gt;WWWW[[#This Row],['# People with access to Sanity Pads]],WWWW[[#This Row],['# People with access to soap]],WWWW[[#This Row],['# People with access to Sanity Pads]])</f>
        <v>0</v>
      </c>
      <c r="CC284" s="405">
        <f>WWWW[[#This Row],[Total HH]]*WWWW[[#This Row],[%HHs with access to functional hand washing stations]]</f>
        <v>0</v>
      </c>
      <c r="CD284" s="240">
        <f>VLOOKUP(WWWW[[#This Row],[Site Name]],SiteDB6[],8,FALSE)</f>
        <v>0</v>
      </c>
      <c r="CE284" s="240">
        <f>VLOOKUP(WWWW[[#This Row],[Site Name]],SiteDB6[],9,FALSE)</f>
        <v>0</v>
      </c>
      <c r="CF284" s="240" t="str">
        <f>VLOOKUP(WWWW[[#This Row],[Site Name]],SiteDB6[],10,FALSE)</f>
        <v>Village</v>
      </c>
      <c r="CG284" s="240" t="str">
        <f>VLOOKUP(WWWW[[#This Row],[Site Name]],SiteDB6[],11,FALSE)</f>
        <v>Village</v>
      </c>
      <c r="CH284" s="240" t="str">
        <f>VLOOKUP(WWWW[[#This Row],[Site Name]],SiteDB6[],12,FALSE)</f>
        <v>Village</v>
      </c>
      <c r="CI284" s="240" t="str">
        <f>VLOOKUP(WWWW[[#This Row],[Site Name]],SiteDB6[],13,FALSE)</f>
        <v>Rakhine</v>
      </c>
      <c r="CJ284" s="240">
        <f>VLOOKUP(WWWW[[#This Row],[Site Name]],SiteDB6[],14,FALSE)</f>
        <v>20.569759368896499</v>
      </c>
      <c r="CK284" s="240">
        <f>VLOOKUP(WWWW[[#This Row],[Site Name]],SiteDB6[],15,FALSE)</f>
        <v>92.641799926757798</v>
      </c>
      <c r="CL284" s="240" t="str">
        <f>VLOOKUP(WWWW[[#This Row],[Site Name]],SiteDB6[],4,FALSE)</f>
        <v>197590</v>
      </c>
      <c r="CM284" s="404" t="str">
        <f t="shared" si="4"/>
        <v>Covered</v>
      </c>
      <c r="CN284" s="404"/>
    </row>
    <row r="285" spans="1:92" ht="15.75" hidden="1" customHeight="1" x14ac:dyDescent="0.25">
      <c r="A285" s="554" t="s">
        <v>1409</v>
      </c>
      <c r="B285" s="530" t="s">
        <v>542</v>
      </c>
      <c r="C285" s="531" t="s">
        <v>464</v>
      </c>
      <c r="D285" s="531" t="s">
        <v>508</v>
      </c>
      <c r="E285" s="531" t="s">
        <v>681</v>
      </c>
      <c r="F285" s="402">
        <v>280</v>
      </c>
      <c r="G285" s="405">
        <v>2030</v>
      </c>
      <c r="H285" s="402"/>
      <c r="I285" s="402" t="s">
        <v>398</v>
      </c>
      <c r="J285" s="403">
        <v>43145</v>
      </c>
      <c r="K285" s="402">
        <v>0</v>
      </c>
      <c r="L285" s="402" t="s">
        <v>48</v>
      </c>
      <c r="M285" s="404"/>
      <c r="N285" s="404"/>
      <c r="O285" s="605">
        <v>0</v>
      </c>
      <c r="P285" s="606">
        <v>0</v>
      </c>
      <c r="Q285" s="606">
        <v>0</v>
      </c>
      <c r="R285" s="607">
        <v>3</v>
      </c>
      <c r="S285" s="607">
        <v>0</v>
      </c>
      <c r="T285" s="607"/>
      <c r="U285" s="607"/>
      <c r="V285" s="607"/>
      <c r="W285" s="607"/>
      <c r="X285" s="607"/>
      <c r="Y285" s="607"/>
      <c r="Z285" s="598">
        <v>0</v>
      </c>
      <c r="AA285" s="598">
        <v>0</v>
      </c>
      <c r="AB285" s="80"/>
      <c r="AC285" s="598">
        <v>0</v>
      </c>
      <c r="AD285" s="598" t="s">
        <v>342</v>
      </c>
      <c r="AE285" s="599" t="s">
        <v>342</v>
      </c>
      <c r="AF285" s="599"/>
      <c r="AG285" s="598"/>
      <c r="AH285" s="598"/>
      <c r="AI285" s="649">
        <v>0</v>
      </c>
      <c r="AJ285" s="650" t="s">
        <v>294</v>
      </c>
      <c r="AK285" s="650">
        <v>0</v>
      </c>
      <c r="AL285" s="645">
        <v>0</v>
      </c>
      <c r="AM285" s="645">
        <v>7</v>
      </c>
      <c r="AN285" s="600"/>
      <c r="AO285" s="600"/>
      <c r="AP285" s="600"/>
      <c r="AQ285" s="651"/>
      <c r="AR285" s="404" t="str">
        <f>IFERROR(WWWW[[#This Row],['# of Water passed at source]]/WWWW[[#This Row],['# of Water tested at source]],"no test")</f>
        <v>no test</v>
      </c>
      <c r="AS285" s="407" t="str">
        <f>IFERROR(WWWW[[#This Row],['# of Water passed at HH]]/WWWW[[#This Row],['# of Water tested at HH]],"no test")</f>
        <v>no test</v>
      </c>
      <c r="AT285" s="407">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U285" s="407">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AV285" s="407">
        <f>IF(WWWW[[#This Row],[Location Type 1]]="Village",WWWW[[#This Row],[Access to safe drinking water for Village]],WWWW[[#This Row],[Access to safe drinking water for Camp]])</f>
        <v>0</v>
      </c>
      <c r="AW285" s="405">
        <f>WWWW[[#This Row],[%Equitable and continuous access to sufficient quantity of safe drinking water]]*WWWW[[#This Row],[Total PoP ]]</f>
        <v>0</v>
      </c>
      <c r="AX285" s="407">
        <f>IF((WWWW[[#This Row],['# Existing protected/fenced ponds ]]*250)/WWWW[[#This Row],[Total PoP ]]&gt;1,1,WWWW[[#This Row],['# Existing protected/fenced ponds ]]*250/WWWW[[#This Row],[Total PoP ]])</f>
        <v>0.36945812807881773</v>
      </c>
      <c r="AY285" s="405">
        <f>WWWW[[#This Row],[Access to unimproved water points]]*WWWW[[#This Row],[Total PoP ]]</f>
        <v>750</v>
      </c>
      <c r="AZ285" s="407">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0.36945812807881773</v>
      </c>
      <c r="BA285" s="405">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750</v>
      </c>
      <c r="BB285" s="405">
        <f>WWWW[[#This Row],['#people Equitable and continuous access to sufficient quantity of domestic water borehole n ponds_2]]/500</f>
        <v>1.5</v>
      </c>
      <c r="BC285" s="404">
        <f>1-WWWW[[#This Row],[%Equitable and continuous access to sufficient quantity of domestic water borehole n ponds]]</f>
        <v>0.63054187192118227</v>
      </c>
      <c r="BD285" s="405">
        <f>WWWW[[#This Row],[%equitable and continuous access to sufficient quantity of safe drinking and domestic water''s GAP]]*WWWW[[#This Row],[Total PoP ]]</f>
        <v>1280</v>
      </c>
      <c r="BE285" s="406">
        <f>IF(WWWW[[#This Row],[Total required water points]]-WWWW[[#This Row],['#Water points coverage]]&lt;0,0,WWWW[[#This Row],[Total required water points]]-WWWW[[#This Row],['#Water points coverage]])</f>
        <v>2.5</v>
      </c>
      <c r="BF285" s="406">
        <f>ROUND(IF(WWWW[[#This Row],[Total PoP ]]&lt;500,1,WWWW[[#This Row],[Total PoP ]]/500),0)</f>
        <v>4</v>
      </c>
      <c r="BG285" s="406" t="str">
        <f>IF(AND(WWWW[[#This Row],[%of Water samples which passed at water source]]="no test",WWWW[[#This Row],[%Water samples which passed at HH]]="no test"),"No Test","Tested")</f>
        <v>No Test</v>
      </c>
      <c r="BH285" s="406">
        <f>WWWW[[#This Row],['# Existing functional latrines]]+WWWW[[#This Row],['# Existing latrines dysfunctional]]</f>
        <v>0</v>
      </c>
      <c r="BI285" s="404">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J285" s="676">
        <f>WWWW[[#This Row],[% people access to functioning Latrine]]*WWWW[[#This Row],[Total PoP ]]</f>
        <v>0</v>
      </c>
      <c r="BK285" s="404">
        <f>IF(WWWW[[#This Row],[Location Type 1]]="camp",WWWW[[#This Row],['# potential required new latrines]]/(WWWW[[#This Row],[Total PoP ]]/20),WWWW[[#This Row],['# potential required new latrines]]/(WWWW[[#This Row],[Total PoP ]]/6))</f>
        <v>0.9990147783251232</v>
      </c>
      <c r="BL285" s="405">
        <f>IF(WWWW[[#This Row],[Total required Latrines]]-WWWW[[#This Row],[Total '# of latrine]]&lt;0,0,WWWW[[#This Row],[Total required Latrines]]-WWWW[[#This Row],[Total '# of latrine]])</f>
        <v>338</v>
      </c>
      <c r="BM285" s="406">
        <f>ROUND(IF(WWWW[[#This Row],[Location Type 1]]="camp",WWWW[[#This Row],[Total PoP ]]/20,WWWW[[#This Row],[Total PoP ]]/6),0)</f>
        <v>338</v>
      </c>
      <c r="BN285" s="408">
        <f>IF(OR(WWWW[[#This Row],['# Existing latrines dysfunctional]]="",WWWW[[#This Row],['# Existing latrines dysfunctional]]=0),0,WWWW[[#This Row],['# Existing latrines dysfunctional]]/WWWW[[#This Row],[Total '# of latrine]])</f>
        <v>0</v>
      </c>
      <c r="BO285" s="676"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P285" s="404">
        <f>WWWW[[#This Row],[People adopt basic personal and community hygiene practices]]/WWWW[[#This Row],[Total PoP ]]</f>
        <v>0</v>
      </c>
      <c r="BQ285" s="408">
        <f>1-WWWW[[#This Row],[Hygiene Coverage%]]</f>
        <v>1</v>
      </c>
      <c r="BR285" s="405">
        <f>IF(500*WWWW[[#This Row],['# Hygiene Promoters ]]&gt;WWWW[[#This Row],[Total PoP ]],WWWW[[#This Row],[Total PoP ]],500*WWWW[[#This Row],['# Hygiene Promoters ]])</f>
        <v>2030</v>
      </c>
      <c r="BS285" s="405">
        <f>IF(WWWW[[#This Row],[% of HH with access to Sanitary Pad]]&gt;=100%,1,0)</f>
        <v>0</v>
      </c>
      <c r="BT285" s="405">
        <f>IF(WWWW[[#This Row],[Total PoP ]]=0,0,IF(WWWW[[#This Row],['# Hygiene Promoters ]]=0,0,IF(WWWW[[#This Row],[Location Type 1]]="Village",IF(WWWW[[#This Row],[Total PoP ]]/WWWW[[#This Row],['# Hygiene Promoters ]]&lt;1000,1,0),IF(WWWW[[#This Row],[Total PoP ]]/WWWW[[#This Row],['# Hygiene Promoters ]]&lt;600,1,0))))</f>
        <v>1</v>
      </c>
      <c r="BU285" s="405">
        <f>IF(WWWW[[#This Row],[%HH with access to soap]]&gt;=100%,1,0)</f>
        <v>0</v>
      </c>
      <c r="BV285" s="405">
        <f>IF(WWWW[[#This Row],[% of HHs with access to Sanitary pad more than '#%]]+WWWW[[#This Row],[Ratio of Hyiene promoters to people less than '#]]+WWWW[[#This Row],[% of HHs with access to soap more than '#%]]&gt;=2,WWWW[[#This Row],[Total PoP ]],0)</f>
        <v>0</v>
      </c>
      <c r="BW285" s="391">
        <f>WWWW[[#This Row],['# people reached by regular dedicated hygiene promotion_5]]/WWWW[[#This Row],[Total PoP ]]</f>
        <v>1</v>
      </c>
      <c r="BX285" s="391">
        <f>IF(WWWW[[#This Row],['# HH received soaps]]/WWWW[[#This Row],[Total HH]]&gt;1,1,WWWW[[#This Row],['# HH received soaps]]/WWWW[[#This Row],[Total HH]])</f>
        <v>0</v>
      </c>
      <c r="BY285" s="391">
        <f>IF(WWWW[[#This Row],['# HH received Sanitary Pads]]/WWWW[[#This Row],[Total HH]]&gt;1,1,WWWW[[#This Row],['# HH received Sanitary Pads]]/WWWW[[#This Row],[Total HH]])</f>
        <v>0</v>
      </c>
      <c r="BZ285" s="721">
        <f>WWWW[[#This Row],['# HH received soaps]]*5</f>
        <v>0</v>
      </c>
      <c r="CA285" s="721">
        <f>WWWW[[#This Row],['# HH received Sanitary Pads]]*5</f>
        <v>0</v>
      </c>
      <c r="CB285" s="406">
        <f>IF(WWWW[[#This Row],['# People with access to soap]]&gt;WWWW[[#This Row],['# People with access to Sanity Pads]],WWWW[[#This Row],['# People with access to soap]],WWWW[[#This Row],['# People with access to Sanity Pads]])</f>
        <v>0</v>
      </c>
      <c r="CC285" s="405">
        <f>WWWW[[#This Row],[Total HH]]*WWWW[[#This Row],[%HHs with access to functional hand washing stations]]</f>
        <v>0</v>
      </c>
      <c r="CD285" s="240">
        <f>VLOOKUP(WWWW[[#This Row],[Site Name]],SiteDB6[],8,FALSE)</f>
        <v>0</v>
      </c>
      <c r="CE285" s="240">
        <f>VLOOKUP(WWWW[[#This Row],[Site Name]],SiteDB6[],9,FALSE)</f>
        <v>0</v>
      </c>
      <c r="CF285" s="240" t="str">
        <f>VLOOKUP(WWWW[[#This Row],[Site Name]],SiteDB6[],10,FALSE)</f>
        <v>Village</v>
      </c>
      <c r="CG285" s="240" t="str">
        <f>VLOOKUP(WWWW[[#This Row],[Site Name]],SiteDB6[],11,FALSE)</f>
        <v>Village</v>
      </c>
      <c r="CH285" s="240" t="str">
        <f>VLOOKUP(WWWW[[#This Row],[Site Name]],SiteDB6[],12,FALSE)</f>
        <v>Village</v>
      </c>
      <c r="CI285" s="240" t="str">
        <f>VLOOKUP(WWWW[[#This Row],[Site Name]],SiteDB6[],13,FALSE)</f>
        <v>Muslim</v>
      </c>
      <c r="CJ285" s="240">
        <f>VLOOKUP(WWWW[[#This Row],[Site Name]],SiteDB6[],14,FALSE)</f>
        <v>20.581470489501999</v>
      </c>
      <c r="CK285" s="240">
        <f>VLOOKUP(WWWW[[#This Row],[Site Name]],SiteDB6[],15,FALSE)</f>
        <v>92.643272399902301</v>
      </c>
      <c r="CL285" s="240" t="str">
        <f>VLOOKUP(WWWW[[#This Row],[Site Name]],SiteDB6[],4,FALSE)</f>
        <v>197591</v>
      </c>
      <c r="CM285" s="404" t="str">
        <f t="shared" si="4"/>
        <v>Covered</v>
      </c>
      <c r="CN285" s="404"/>
    </row>
    <row r="286" spans="1:92" ht="15.75" hidden="1" customHeight="1" x14ac:dyDescent="0.25">
      <c r="A286" s="554" t="s">
        <v>1409</v>
      </c>
      <c r="B286" s="541" t="s">
        <v>542</v>
      </c>
      <c r="C286" s="541" t="s">
        <v>464</v>
      </c>
      <c r="D286" s="541" t="s">
        <v>508</v>
      </c>
      <c r="E286" s="541" t="s">
        <v>696</v>
      </c>
      <c r="F286" s="233">
        <v>83</v>
      </c>
      <c r="G286" s="414">
        <v>450</v>
      </c>
      <c r="H286" s="233"/>
      <c r="I286" s="169" t="s">
        <v>398</v>
      </c>
      <c r="J286" s="234">
        <v>43145</v>
      </c>
      <c r="K286" s="169">
        <v>0</v>
      </c>
      <c r="L286" s="169" t="s">
        <v>48</v>
      </c>
      <c r="M286" s="404"/>
      <c r="N286" s="404"/>
      <c r="O286" s="608">
        <v>0</v>
      </c>
      <c r="P286" s="609">
        <v>0</v>
      </c>
      <c r="Q286" s="610">
        <v>0</v>
      </c>
      <c r="R286" s="611">
        <v>2</v>
      </c>
      <c r="S286" s="611">
        <v>0</v>
      </c>
      <c r="T286" s="606"/>
      <c r="U286" s="606"/>
      <c r="V286" s="606"/>
      <c r="W286" s="606"/>
      <c r="X286" s="606"/>
      <c r="Y286" s="604"/>
      <c r="Z286" s="598">
        <v>17</v>
      </c>
      <c r="AA286" s="599">
        <v>0</v>
      </c>
      <c r="AB286" s="629"/>
      <c r="AC286" s="632">
        <v>17</v>
      </c>
      <c r="AD286" s="628" t="s">
        <v>342</v>
      </c>
      <c r="AE286" s="80" t="s">
        <v>342</v>
      </c>
      <c r="AF286" s="80"/>
      <c r="AG286" s="80"/>
      <c r="AH286" s="633"/>
      <c r="AI286" s="649">
        <v>0</v>
      </c>
      <c r="AJ286" s="650" t="s">
        <v>294</v>
      </c>
      <c r="AK286" s="650">
        <v>0</v>
      </c>
      <c r="AL286" s="645">
        <v>0</v>
      </c>
      <c r="AM286" s="645">
        <v>7</v>
      </c>
      <c r="AN286" s="600"/>
      <c r="AO286" s="600"/>
      <c r="AP286" s="600"/>
      <c r="AQ286" s="658"/>
      <c r="AR286" s="235" t="str">
        <f>IFERROR(WWWW[[#This Row],['# of Water passed at source]]/WWWW[[#This Row],['# of Water tested at source]],"no test")</f>
        <v>no test</v>
      </c>
      <c r="AS286" s="237" t="str">
        <f>IFERROR(WWWW[[#This Row],['# of Water passed at HH]]/WWWW[[#This Row],['# of Water tested at HH]],"no test")</f>
        <v>no test</v>
      </c>
      <c r="AT286" s="237">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U286" s="237">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AV286" s="237">
        <f>IF(WWWW[[#This Row],[Location Type 1]]="Village",WWWW[[#This Row],[Access to safe drinking water for Village]],WWWW[[#This Row],[Access to safe drinking water for Camp]])</f>
        <v>0</v>
      </c>
      <c r="AW286" s="414">
        <f>WWWW[[#This Row],[%Equitable and continuous access to sufficient quantity of safe drinking water]]*WWWW[[#This Row],[Total PoP ]]</f>
        <v>0</v>
      </c>
      <c r="AX286" s="237">
        <f>IF((WWWW[[#This Row],['# Existing protected/fenced ponds ]]*250)/WWWW[[#This Row],[Total PoP ]]&gt;1,1,WWWW[[#This Row],['# Existing protected/fenced ponds ]]*250/WWWW[[#This Row],[Total PoP ]])</f>
        <v>1</v>
      </c>
      <c r="AY286" s="414">
        <f>WWWW[[#This Row],[Access to unimproved water points]]*WWWW[[#This Row],[Total PoP ]]</f>
        <v>450</v>
      </c>
      <c r="AZ286" s="237">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A286" s="414">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450</v>
      </c>
      <c r="BB286" s="414">
        <f>WWWW[[#This Row],['#people Equitable and continuous access to sufficient quantity of domestic water borehole n ponds_2]]/500</f>
        <v>0.9</v>
      </c>
      <c r="BC286" s="235">
        <f>1-WWWW[[#This Row],[%Equitable and continuous access to sufficient quantity of domestic water borehole n ponds]]</f>
        <v>0</v>
      </c>
      <c r="BD286" s="414">
        <f>WWWW[[#This Row],[%equitable and continuous access to sufficient quantity of safe drinking and domestic water''s GAP]]*WWWW[[#This Row],[Total PoP ]]</f>
        <v>0</v>
      </c>
      <c r="BE286" s="238">
        <f>IF(WWWW[[#This Row],[Total required water points]]-WWWW[[#This Row],['#Water points coverage]]&lt;0,0,WWWW[[#This Row],[Total required water points]]-WWWW[[#This Row],['#Water points coverage]])</f>
        <v>9.9999999999999978E-2</v>
      </c>
      <c r="BF286" s="238">
        <f>ROUND(IF(WWWW[[#This Row],[Total PoP ]]&lt;500,1,WWWW[[#This Row],[Total PoP ]]/500),0)</f>
        <v>1</v>
      </c>
      <c r="BG286" s="238" t="str">
        <f>IF(AND(WWWW[[#This Row],[%of Water samples which passed at water source]]="no test",WWWW[[#This Row],[%Water samples which passed at HH]]="no test"),"No Test","Tested")</f>
        <v>No Test</v>
      </c>
      <c r="BH286" s="238">
        <f>WWWW[[#This Row],['# Existing functional latrines]]+WWWW[[#This Row],['# Existing latrines dysfunctional]]</f>
        <v>17</v>
      </c>
      <c r="BI286" s="235">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0.22666666666666666</v>
      </c>
      <c r="BJ286" s="675">
        <f>WWWW[[#This Row],[% people access to functioning Latrine]]*WWWW[[#This Row],[Total PoP ]]</f>
        <v>102</v>
      </c>
      <c r="BK286" s="235">
        <f>IF(WWWW[[#This Row],[Location Type 1]]="camp",WWWW[[#This Row],['# potential required new latrines]]/(WWWW[[#This Row],[Total PoP ]]/20),WWWW[[#This Row],['# potential required new latrines]]/(WWWW[[#This Row],[Total PoP ]]/6))</f>
        <v>0.77333333333333332</v>
      </c>
      <c r="BL286" s="414">
        <f>IF(WWWW[[#This Row],[Total required Latrines]]-WWWW[[#This Row],[Total '# of latrine]]&lt;0,0,WWWW[[#This Row],[Total required Latrines]]-WWWW[[#This Row],[Total '# of latrine]])</f>
        <v>58</v>
      </c>
      <c r="BM286" s="238">
        <f>ROUND(IF(WWWW[[#This Row],[Location Type 1]]="camp",WWWW[[#This Row],[Total PoP ]]/20,WWWW[[#This Row],[Total PoP ]]/6),0)</f>
        <v>75</v>
      </c>
      <c r="BN286" s="239">
        <f>IF(OR(WWWW[[#This Row],['# Existing latrines dysfunctional]]="",WWWW[[#This Row],['# Existing latrines dysfunctional]]=0),0,WWWW[[#This Row],['# Existing latrines dysfunctional]]/WWWW[[#This Row],[Total '# of latrine]])</f>
        <v>0</v>
      </c>
      <c r="BO286" s="675"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P286" s="235">
        <f>WWWW[[#This Row],[People adopt basic personal and community hygiene practices]]/WWWW[[#This Row],[Total PoP ]]</f>
        <v>0</v>
      </c>
      <c r="BQ286" s="239">
        <f>1-WWWW[[#This Row],[Hygiene Coverage%]]</f>
        <v>1</v>
      </c>
      <c r="BR286" s="405">
        <f>IF(500*WWWW[[#This Row],['# Hygiene Promoters ]]&gt;WWWW[[#This Row],[Total PoP ]],WWWW[[#This Row],[Total PoP ]],500*WWWW[[#This Row],['# Hygiene Promoters ]])</f>
        <v>450</v>
      </c>
      <c r="BS286" s="405">
        <f>IF(WWWW[[#This Row],[% of HH with access to Sanitary Pad]]&gt;=100%,1,0)</f>
        <v>0</v>
      </c>
      <c r="BT286" s="405">
        <f>IF(WWWW[[#This Row],[Total PoP ]]=0,0,IF(WWWW[[#This Row],['# Hygiene Promoters ]]=0,0,IF(WWWW[[#This Row],[Location Type 1]]="Village",IF(WWWW[[#This Row],[Total PoP ]]/WWWW[[#This Row],['# Hygiene Promoters ]]&lt;1000,1,0),IF(WWWW[[#This Row],[Total PoP ]]/WWWW[[#This Row],['# Hygiene Promoters ]]&lt;600,1,0))))</f>
        <v>1</v>
      </c>
      <c r="BU286" s="405">
        <f>IF(WWWW[[#This Row],[%HH with access to soap]]&gt;=100%,1,0)</f>
        <v>0</v>
      </c>
      <c r="BV286" s="405">
        <f>IF(WWWW[[#This Row],[% of HHs with access to Sanitary pad more than '#%]]+WWWW[[#This Row],[Ratio of Hyiene promoters to people less than '#]]+WWWW[[#This Row],[% of HHs with access to soap more than '#%]]&gt;=2,WWWW[[#This Row],[Total PoP ]],0)</f>
        <v>0</v>
      </c>
      <c r="BW286" s="346">
        <f>WWWW[[#This Row],['# people reached by regular dedicated hygiene promotion_5]]/WWWW[[#This Row],[Total PoP ]]</f>
        <v>1</v>
      </c>
      <c r="BX286" s="346">
        <f>IF(WWWW[[#This Row],['# HH received soaps]]/WWWW[[#This Row],[Total HH]]&gt;1,1,WWWW[[#This Row],['# HH received soaps]]/WWWW[[#This Row],[Total HH]])</f>
        <v>0</v>
      </c>
      <c r="BY286" s="346">
        <f>IF(WWWW[[#This Row],['# HH received Sanitary Pads]]/WWWW[[#This Row],[Total HH]]&gt;1,1,WWWW[[#This Row],['# HH received Sanitary Pads]]/WWWW[[#This Row],[Total HH]])</f>
        <v>0</v>
      </c>
      <c r="BZ286" s="720">
        <f>WWWW[[#This Row],['# HH received soaps]]*5</f>
        <v>0</v>
      </c>
      <c r="CA286" s="720">
        <f>WWWW[[#This Row],['# HH received Sanitary Pads]]*5</f>
        <v>0</v>
      </c>
      <c r="CB286" s="675">
        <f>IF(WWWW[[#This Row],['# People with access to soap]]&gt;WWWW[[#This Row],['# People with access to Sanity Pads]],WWWW[[#This Row],['# People with access to soap]],WWWW[[#This Row],['# People with access to Sanity Pads]])</f>
        <v>0</v>
      </c>
      <c r="CC286" s="414">
        <f>WWWW[[#This Row],[Total HH]]*WWWW[[#This Row],[%HHs with access to functional hand washing stations]]</f>
        <v>0</v>
      </c>
      <c r="CD286" s="240">
        <f>VLOOKUP(WWWW[[#This Row],[Site Name]],SiteDB6[],8,FALSE)</f>
        <v>0</v>
      </c>
      <c r="CE286" s="240">
        <f>VLOOKUP(WWWW[[#This Row],[Site Name]],SiteDB6[],9,FALSE)</f>
        <v>0</v>
      </c>
      <c r="CF286" s="240" t="str">
        <f>VLOOKUP(WWWW[[#This Row],[Site Name]],SiteDB6[],10,FALSE)</f>
        <v>Village</v>
      </c>
      <c r="CG286" s="240" t="str">
        <f>VLOOKUP(WWWW[[#This Row],[Site Name]],SiteDB6[],11,FALSE)</f>
        <v>Village</v>
      </c>
      <c r="CH286" s="240" t="str">
        <f>VLOOKUP(WWWW[[#This Row],[Site Name]],SiteDB6[],12,FALSE)</f>
        <v>Village</v>
      </c>
      <c r="CI286" s="240" t="str">
        <f>VLOOKUP(WWWW[[#This Row],[Site Name]],SiteDB6[],13,FALSE)</f>
        <v>Rakhine</v>
      </c>
      <c r="CJ286" s="240">
        <f>VLOOKUP(WWWW[[#This Row],[Site Name]],SiteDB6[],14,FALSE)</f>
        <v>20.651939392089801</v>
      </c>
      <c r="CK286" s="240">
        <f>VLOOKUP(WWWW[[#This Row],[Site Name]],SiteDB6[],15,FALSE)</f>
        <v>92.684577941894503</v>
      </c>
      <c r="CL286" s="240">
        <f>VLOOKUP(WWWW[[#This Row],[Site Name]],SiteDB6[],4,FALSE)</f>
        <v>197695</v>
      </c>
      <c r="CM286" s="235" t="str">
        <f t="shared" si="4"/>
        <v>Covered</v>
      </c>
      <c r="CN286" s="240"/>
    </row>
    <row r="287" spans="1:92" ht="15.75" hidden="1" customHeight="1" x14ac:dyDescent="0.25">
      <c r="A287" s="554" t="s">
        <v>1409</v>
      </c>
      <c r="B287" s="530" t="s">
        <v>542</v>
      </c>
      <c r="C287" s="531" t="s">
        <v>464</v>
      </c>
      <c r="D287" s="531" t="s">
        <v>508</v>
      </c>
      <c r="E287" s="531" t="s">
        <v>756</v>
      </c>
      <c r="F287" s="402">
        <v>70</v>
      </c>
      <c r="G287" s="405">
        <v>227</v>
      </c>
      <c r="H287" s="402"/>
      <c r="I287" s="402" t="s">
        <v>398</v>
      </c>
      <c r="J287" s="403">
        <v>43145</v>
      </c>
      <c r="K287" s="402">
        <v>0</v>
      </c>
      <c r="L287" s="402" t="s">
        <v>48</v>
      </c>
      <c r="M287" s="404"/>
      <c r="N287" s="404"/>
      <c r="O287" s="605">
        <v>0</v>
      </c>
      <c r="P287" s="606">
        <v>3</v>
      </c>
      <c r="Q287" s="606">
        <v>0</v>
      </c>
      <c r="R287" s="607">
        <v>0</v>
      </c>
      <c r="S287" s="607">
        <v>0</v>
      </c>
      <c r="T287" s="607"/>
      <c r="U287" s="607"/>
      <c r="V287" s="607"/>
      <c r="W287" s="607"/>
      <c r="X287" s="607"/>
      <c r="Y287" s="607"/>
      <c r="Z287" s="598">
        <v>9</v>
      </c>
      <c r="AA287" s="598">
        <v>0</v>
      </c>
      <c r="AB287" s="80"/>
      <c r="AC287" s="598">
        <v>9</v>
      </c>
      <c r="AD287" s="598" t="s">
        <v>342</v>
      </c>
      <c r="AE287" s="599" t="s">
        <v>342</v>
      </c>
      <c r="AF287" s="599"/>
      <c r="AG287" s="598"/>
      <c r="AH287" s="598"/>
      <c r="AI287" s="649">
        <v>0</v>
      </c>
      <c r="AJ287" s="650" t="s">
        <v>294</v>
      </c>
      <c r="AK287" s="650">
        <v>0</v>
      </c>
      <c r="AL287" s="645">
        <v>0</v>
      </c>
      <c r="AM287" s="645">
        <v>7</v>
      </c>
      <c r="AN287" s="600"/>
      <c r="AO287" s="600"/>
      <c r="AP287" s="600"/>
      <c r="AQ287" s="651"/>
      <c r="AR287" s="569" t="str">
        <f>IFERROR(WWWW[[#This Row],['# of Water passed at source]]/WWWW[[#This Row],['# of Water tested at source]],"no test")</f>
        <v>no test</v>
      </c>
      <c r="AS287" s="564" t="str">
        <f>IFERROR(WWWW[[#This Row],['# of Water passed at HH]]/WWWW[[#This Row],['# of Water tested at HH]],"no test")</f>
        <v>no test</v>
      </c>
      <c r="AT287" s="564">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U287" s="564">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AV287" s="564">
        <f>IF(WWWW[[#This Row],[Location Type 1]]="Village",WWWW[[#This Row],[Access to safe drinking water for Village]],WWWW[[#This Row],[Access to safe drinking water for Camp]])</f>
        <v>1</v>
      </c>
      <c r="AW287" s="568">
        <f>WWWW[[#This Row],[%Equitable and continuous access to sufficient quantity of safe drinking water]]*WWWW[[#This Row],[Total PoP ]]</f>
        <v>227</v>
      </c>
      <c r="AX287" s="564">
        <f>IF((WWWW[[#This Row],['# Existing protected/fenced ponds ]]*250)/WWWW[[#This Row],[Total PoP ]]&gt;1,1,WWWW[[#This Row],['# Existing protected/fenced ponds ]]*250/WWWW[[#This Row],[Total PoP ]])</f>
        <v>0</v>
      </c>
      <c r="AY287" s="568">
        <f>WWWW[[#This Row],[Access to unimproved water points]]*WWWW[[#This Row],[Total PoP ]]</f>
        <v>0</v>
      </c>
      <c r="AZ287" s="564">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A287" s="568">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227</v>
      </c>
      <c r="BB287" s="568">
        <f>WWWW[[#This Row],['#people Equitable and continuous access to sufficient quantity of domestic water borehole n ponds_2]]/500</f>
        <v>0.45400000000000001</v>
      </c>
      <c r="BC287" s="569">
        <f>1-WWWW[[#This Row],[%Equitable and continuous access to sufficient quantity of domestic water borehole n ponds]]</f>
        <v>0</v>
      </c>
      <c r="BD287" s="568">
        <f>WWWW[[#This Row],[%equitable and continuous access to sufficient quantity of safe drinking and domestic water''s GAP]]*WWWW[[#This Row],[Total PoP ]]</f>
        <v>0</v>
      </c>
      <c r="BE287" s="561">
        <f>IF(WWWW[[#This Row],[Total required water points]]-WWWW[[#This Row],['#Water points coverage]]&lt;0,0,WWWW[[#This Row],[Total required water points]]-WWWW[[#This Row],['#Water points coverage]])</f>
        <v>0.54600000000000004</v>
      </c>
      <c r="BF287" s="561">
        <f>ROUND(IF(WWWW[[#This Row],[Total PoP ]]&lt;500,1,WWWW[[#This Row],[Total PoP ]]/500),0)</f>
        <v>1</v>
      </c>
      <c r="BG287" s="561" t="str">
        <f>IF(AND(WWWW[[#This Row],[%of Water samples which passed at water source]]="no test",WWWW[[#This Row],[%Water samples which passed at HH]]="no test"),"No Test","Tested")</f>
        <v>No Test</v>
      </c>
      <c r="BH287" s="561">
        <f>WWWW[[#This Row],['# Existing functional latrines]]+WWWW[[#This Row],['# Existing latrines dysfunctional]]</f>
        <v>9</v>
      </c>
      <c r="BI287" s="56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0.23788546255506607</v>
      </c>
      <c r="BJ287" s="678">
        <f>WWWW[[#This Row],[% people access to functioning Latrine]]*WWWW[[#This Row],[Total PoP ]]</f>
        <v>54</v>
      </c>
      <c r="BK287" s="569">
        <f>IF(WWWW[[#This Row],[Location Type 1]]="camp",WWWW[[#This Row],['# potential required new latrines]]/(WWWW[[#This Row],[Total PoP ]]/20),WWWW[[#This Row],['# potential required new latrines]]/(WWWW[[#This Row],[Total PoP ]]/6))</f>
        <v>0.76651982378854622</v>
      </c>
      <c r="BL287" s="568">
        <f>IF(WWWW[[#This Row],[Total required Latrines]]-WWWW[[#This Row],[Total '# of latrine]]&lt;0,0,WWWW[[#This Row],[Total required Latrines]]-WWWW[[#This Row],[Total '# of latrine]])</f>
        <v>29</v>
      </c>
      <c r="BM287" s="561">
        <f>ROUND(IF(WWWW[[#This Row],[Location Type 1]]="camp",WWWW[[#This Row],[Total PoP ]]/20,WWWW[[#This Row],[Total PoP ]]/6),0)</f>
        <v>38</v>
      </c>
      <c r="BN287" s="570">
        <f>IF(OR(WWWW[[#This Row],['# Existing latrines dysfunctional]]="",WWWW[[#This Row],['# Existing latrines dysfunctional]]=0),0,WWWW[[#This Row],['# Existing latrines dysfunctional]]/WWWW[[#This Row],[Total '# of latrine]])</f>
        <v>0</v>
      </c>
      <c r="BO287" s="678"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P287" s="569">
        <f>WWWW[[#This Row],[People adopt basic personal and community hygiene practices]]/WWWW[[#This Row],[Total PoP ]]</f>
        <v>0</v>
      </c>
      <c r="BQ287" s="570">
        <f>1-WWWW[[#This Row],[Hygiene Coverage%]]</f>
        <v>1</v>
      </c>
      <c r="BR287" s="558">
        <f>IF(500*WWWW[[#This Row],['# Hygiene Promoters ]]&gt;WWWW[[#This Row],[Total PoP ]],WWWW[[#This Row],[Total PoP ]],500*WWWW[[#This Row],['# Hygiene Promoters ]])</f>
        <v>227</v>
      </c>
      <c r="BS287" s="558">
        <f>IF(WWWW[[#This Row],[% of HH with access to Sanitary Pad]]&gt;=100%,1,0)</f>
        <v>0</v>
      </c>
      <c r="BT287" s="558">
        <f>IF(WWWW[[#This Row],[Total PoP ]]=0,0,IF(WWWW[[#This Row],['# Hygiene Promoters ]]=0,0,IF(WWWW[[#This Row],[Location Type 1]]="Village",IF(WWWW[[#This Row],[Total PoP ]]/WWWW[[#This Row],['# Hygiene Promoters ]]&lt;1000,1,0),IF(WWWW[[#This Row],[Total PoP ]]/WWWW[[#This Row],['# Hygiene Promoters ]]&lt;600,1,0))))</f>
        <v>1</v>
      </c>
      <c r="BU287" s="558">
        <f>IF(WWWW[[#This Row],[%HH with access to soap]]&gt;=100%,1,0)</f>
        <v>0</v>
      </c>
      <c r="BV287" s="558">
        <f>IF(WWWW[[#This Row],[% of HHs with access to Sanitary pad more than '#%]]+WWWW[[#This Row],[Ratio of Hyiene promoters to people less than '#]]+WWWW[[#This Row],[% of HHs with access to soap more than '#%]]&gt;=2,WWWW[[#This Row],[Total PoP ]],0)</f>
        <v>0</v>
      </c>
      <c r="BW287" s="571">
        <f>WWWW[[#This Row],['# people reached by regular dedicated hygiene promotion_5]]/WWWW[[#This Row],[Total PoP ]]</f>
        <v>1</v>
      </c>
      <c r="BX287" s="571">
        <f>IF(WWWW[[#This Row],['# HH received soaps]]/WWWW[[#This Row],[Total HH]]&gt;1,1,WWWW[[#This Row],['# HH received soaps]]/WWWW[[#This Row],[Total HH]])</f>
        <v>0</v>
      </c>
      <c r="BY287" s="571">
        <f>IF(WWWW[[#This Row],['# HH received Sanitary Pads]]/WWWW[[#This Row],[Total HH]]&gt;1,1,WWWW[[#This Row],['# HH received Sanitary Pads]]/WWWW[[#This Row],[Total HH]])</f>
        <v>0</v>
      </c>
      <c r="BZ287" s="723">
        <f>WWWW[[#This Row],['# HH received soaps]]*5</f>
        <v>0</v>
      </c>
      <c r="CA287" s="723">
        <f>WWWW[[#This Row],['# HH received Sanitary Pads]]*5</f>
        <v>0</v>
      </c>
      <c r="CB287" s="561">
        <f>IF(WWWW[[#This Row],['# People with access to soap]]&gt;WWWW[[#This Row],['# People with access to Sanity Pads]],WWWW[[#This Row],['# People with access to soap]],WWWW[[#This Row],['# People with access to Sanity Pads]])</f>
        <v>0</v>
      </c>
      <c r="CC287" s="568">
        <f>WWWW[[#This Row],[Total HH]]*WWWW[[#This Row],[%HHs with access to functional hand washing stations]]</f>
        <v>0</v>
      </c>
      <c r="CD287" s="240">
        <f>VLOOKUP(WWWW[[#This Row],[Site Name]],SiteDB6[],8,FALSE)</f>
        <v>0</v>
      </c>
      <c r="CE287" s="240">
        <f>VLOOKUP(WWWW[[#This Row],[Site Name]],SiteDB6[],9,FALSE)</f>
        <v>0</v>
      </c>
      <c r="CF287" s="240" t="str">
        <f>VLOOKUP(WWWW[[#This Row],[Site Name]],SiteDB6[],10,FALSE)</f>
        <v>Village</v>
      </c>
      <c r="CG287" s="240" t="str">
        <f>VLOOKUP(WWWW[[#This Row],[Site Name]],SiteDB6[],11,FALSE)</f>
        <v>Village</v>
      </c>
      <c r="CH287" s="240" t="str">
        <f>VLOOKUP(WWWW[[#This Row],[Site Name]],SiteDB6[],12,FALSE)</f>
        <v>Village</v>
      </c>
      <c r="CI287" s="240" t="e">
        <f>VLOOKUP(WWWW[[#This Row],[Site Name]],SiteDB6[],13,FALSE)</f>
        <v>#N/A</v>
      </c>
      <c r="CJ287" s="240">
        <f>VLOOKUP(WWWW[[#This Row],[Site Name]],SiteDB6[],14,FALSE)</f>
        <v>20.495670318603501</v>
      </c>
      <c r="CK287" s="240">
        <f>VLOOKUP(WWWW[[#This Row],[Site Name]],SiteDB6[],15,FALSE)</f>
        <v>92.651496887207003</v>
      </c>
      <c r="CL287" s="240">
        <f>VLOOKUP(WWWW[[#This Row],[Site Name]],SiteDB6[],4,FALSE)</f>
        <v>197616</v>
      </c>
      <c r="CM287" s="569" t="str">
        <f t="shared" si="4"/>
        <v>Covered</v>
      </c>
      <c r="CN287" s="570"/>
    </row>
    <row r="288" spans="1:92" ht="15.75" hidden="1" customHeight="1" x14ac:dyDescent="0.25">
      <c r="A288" s="554" t="s">
        <v>1409</v>
      </c>
      <c r="B288" s="565" t="s">
        <v>542</v>
      </c>
      <c r="C288" s="565" t="s">
        <v>464</v>
      </c>
      <c r="D288" s="565" t="s">
        <v>508</v>
      </c>
      <c r="E288" s="565" t="s">
        <v>2645</v>
      </c>
      <c r="F288" s="566">
        <v>127</v>
      </c>
      <c r="G288" s="568">
        <v>710</v>
      </c>
      <c r="H288" s="566"/>
      <c r="I288" s="555" t="s">
        <v>398</v>
      </c>
      <c r="J288" s="567">
        <v>43343</v>
      </c>
      <c r="K288" s="555">
        <v>0</v>
      </c>
      <c r="L288" s="555" t="s">
        <v>48</v>
      </c>
      <c r="M288" s="404"/>
      <c r="N288" s="404"/>
      <c r="O288" s="625"/>
      <c r="P288" s="626"/>
      <c r="Q288" s="620"/>
      <c r="R288" s="621"/>
      <c r="S288" s="621"/>
      <c r="T288" s="621"/>
      <c r="U288" s="621"/>
      <c r="V288" s="621"/>
      <c r="W288" s="621"/>
      <c r="X288" s="621"/>
      <c r="Y288" s="627"/>
      <c r="Z288" s="637">
        <v>2</v>
      </c>
      <c r="AA288" s="639"/>
      <c r="AB288" s="641"/>
      <c r="AC288" s="637">
        <v>2</v>
      </c>
      <c r="AD288" s="598" t="s">
        <v>342</v>
      </c>
      <c r="AE288" s="599" t="s">
        <v>342</v>
      </c>
      <c r="AF288" s="638"/>
      <c r="AG288" s="638"/>
      <c r="AH288" s="639"/>
      <c r="AI288" s="649">
        <v>0</v>
      </c>
      <c r="AJ288" s="650" t="s">
        <v>294</v>
      </c>
      <c r="AK288" s="650">
        <v>0</v>
      </c>
      <c r="AL288" s="645">
        <v>0</v>
      </c>
      <c r="AM288" s="645">
        <v>7</v>
      </c>
      <c r="AN288" s="663"/>
      <c r="AO288" s="663"/>
      <c r="AP288" s="663"/>
      <c r="AQ288" s="668"/>
      <c r="AR288" s="569" t="str">
        <f>IFERROR(WWWW[[#This Row],['# of Water passed at source]]/WWWW[[#This Row],['# of Water tested at source]],"no test")</f>
        <v>no test</v>
      </c>
      <c r="AS288" s="564" t="str">
        <f>IFERROR(WWWW[[#This Row],['# of Water passed at HH]]/WWWW[[#This Row],['# of Water tested at HH]],"no test")</f>
        <v>no test</v>
      </c>
      <c r="AT288" s="564">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U288" s="564">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AV288" s="564">
        <f>IF(WWWW[[#This Row],[Location Type 1]]="Village",WWWW[[#This Row],[Access to safe drinking water for Village]],WWWW[[#This Row],[Access to safe drinking water for Camp]])</f>
        <v>0</v>
      </c>
      <c r="AW288" s="568">
        <f>WWWW[[#This Row],[%Equitable and continuous access to sufficient quantity of safe drinking water]]*WWWW[[#This Row],[Total PoP ]]</f>
        <v>0</v>
      </c>
      <c r="AX288" s="564">
        <f>IF((WWWW[[#This Row],['# Existing protected/fenced ponds ]]*250)/WWWW[[#This Row],[Total PoP ]]&gt;1,1,WWWW[[#This Row],['# Existing protected/fenced ponds ]]*250/WWWW[[#This Row],[Total PoP ]])</f>
        <v>0</v>
      </c>
      <c r="AY288" s="568">
        <f>WWWW[[#This Row],[Access to unimproved water points]]*WWWW[[#This Row],[Total PoP ]]</f>
        <v>0</v>
      </c>
      <c r="AZ288" s="564">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A288" s="568">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B288" s="568">
        <f>WWWW[[#This Row],['#people Equitable and continuous access to sufficient quantity of domestic water borehole n ponds_2]]/500</f>
        <v>0</v>
      </c>
      <c r="BC288" s="569">
        <f>1-WWWW[[#This Row],[%Equitable and continuous access to sufficient quantity of domestic water borehole n ponds]]</f>
        <v>1</v>
      </c>
      <c r="BD288" s="568">
        <f>WWWW[[#This Row],[%equitable and continuous access to sufficient quantity of safe drinking and domestic water''s GAP]]*WWWW[[#This Row],[Total PoP ]]</f>
        <v>710</v>
      </c>
      <c r="BE288" s="561">
        <f>IF(WWWW[[#This Row],[Total required water points]]-WWWW[[#This Row],['#Water points coverage]]&lt;0,0,WWWW[[#This Row],[Total required water points]]-WWWW[[#This Row],['#Water points coverage]])</f>
        <v>1</v>
      </c>
      <c r="BF288" s="561">
        <f>ROUND(IF(WWWW[[#This Row],[Total PoP ]]&lt;500,1,WWWW[[#This Row],[Total PoP ]]/500),0)</f>
        <v>1</v>
      </c>
      <c r="BG288" s="561" t="str">
        <f>IF(AND(WWWW[[#This Row],[%of Water samples which passed at water source]]="no test",WWWW[[#This Row],[%Water samples which passed at HH]]="no test"),"No Test","Tested")</f>
        <v>No Test</v>
      </c>
      <c r="BH288" s="561">
        <f>WWWW[[#This Row],['# Existing functional latrines]]+WWWW[[#This Row],['# Existing latrines dysfunctional]]</f>
        <v>2</v>
      </c>
      <c r="BI288" s="56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1.6901408450704224E-2</v>
      </c>
      <c r="BJ288" s="678">
        <f>WWWW[[#This Row],[% people access to functioning Latrine]]*WWWW[[#This Row],[Total PoP ]]</f>
        <v>11.999999999999998</v>
      </c>
      <c r="BK288" s="569">
        <f>IF(WWWW[[#This Row],[Location Type 1]]="camp",WWWW[[#This Row],['# potential required new latrines]]/(WWWW[[#This Row],[Total PoP ]]/20),WWWW[[#This Row],['# potential required new latrines]]/(WWWW[[#This Row],[Total PoP ]]/6))</f>
        <v>0.9802816901408451</v>
      </c>
      <c r="BL288" s="568">
        <f>IF(WWWW[[#This Row],[Total required Latrines]]-WWWW[[#This Row],[Total '# of latrine]]&lt;0,0,WWWW[[#This Row],[Total required Latrines]]-WWWW[[#This Row],[Total '# of latrine]])</f>
        <v>116</v>
      </c>
      <c r="BM288" s="561">
        <f>ROUND(IF(WWWW[[#This Row],[Location Type 1]]="camp",WWWW[[#This Row],[Total PoP ]]/20,WWWW[[#This Row],[Total PoP ]]/6),0)</f>
        <v>118</v>
      </c>
      <c r="BN288" s="570">
        <f>IF(OR(WWWW[[#This Row],['# Existing latrines dysfunctional]]="",WWWW[[#This Row],['# Existing latrines dysfunctional]]=0),0,WWWW[[#This Row],['# Existing latrines dysfunctional]]/WWWW[[#This Row],[Total '# of latrine]])</f>
        <v>0</v>
      </c>
      <c r="BO288" s="678"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P288" s="569">
        <f>WWWW[[#This Row],[People adopt basic personal and community hygiene practices]]/WWWW[[#This Row],[Total PoP ]]</f>
        <v>0</v>
      </c>
      <c r="BQ288" s="570">
        <f>1-WWWW[[#This Row],[Hygiene Coverage%]]</f>
        <v>1</v>
      </c>
      <c r="BR288" s="558">
        <f>IF(500*WWWW[[#This Row],['# Hygiene Promoters ]]&gt;WWWW[[#This Row],[Total PoP ]],WWWW[[#This Row],[Total PoP ]],500*WWWW[[#This Row],['# Hygiene Promoters ]])</f>
        <v>710</v>
      </c>
      <c r="BS288" s="558">
        <f>IF(WWWW[[#This Row],[% of HH with access to Sanitary Pad]]&gt;=100%,1,0)</f>
        <v>0</v>
      </c>
      <c r="BT288" s="558">
        <f>IF(WWWW[[#This Row],[Total PoP ]]=0,0,IF(WWWW[[#This Row],['# Hygiene Promoters ]]=0,0,IF(WWWW[[#This Row],[Location Type 1]]="Village",IF(WWWW[[#This Row],[Total PoP ]]/WWWW[[#This Row],['# Hygiene Promoters ]]&lt;1000,1,0),IF(WWWW[[#This Row],[Total PoP ]]/WWWW[[#This Row],['# Hygiene Promoters ]]&lt;600,1,0))))</f>
        <v>1</v>
      </c>
      <c r="BU288" s="558">
        <f>IF(WWWW[[#This Row],[%HH with access to soap]]&gt;=100%,1,0)</f>
        <v>0</v>
      </c>
      <c r="BV288" s="558">
        <f>IF(WWWW[[#This Row],[% of HHs with access to Sanitary pad more than '#%]]+WWWW[[#This Row],[Ratio of Hyiene promoters to people less than '#]]+WWWW[[#This Row],[% of HHs with access to soap more than '#%]]&gt;=2,WWWW[[#This Row],[Total PoP ]],0)</f>
        <v>0</v>
      </c>
      <c r="BW288" s="571">
        <f>WWWW[[#This Row],['# people reached by regular dedicated hygiene promotion_5]]/WWWW[[#This Row],[Total PoP ]]</f>
        <v>1</v>
      </c>
      <c r="BX288" s="571">
        <f>IF(WWWW[[#This Row],['# HH received soaps]]/WWWW[[#This Row],[Total HH]]&gt;1,1,WWWW[[#This Row],['# HH received soaps]]/WWWW[[#This Row],[Total HH]])</f>
        <v>0</v>
      </c>
      <c r="BY288" s="571">
        <f>IF(WWWW[[#This Row],['# HH received Sanitary Pads]]/WWWW[[#This Row],[Total HH]]&gt;1,1,WWWW[[#This Row],['# HH received Sanitary Pads]]/WWWW[[#This Row],[Total HH]])</f>
        <v>0</v>
      </c>
      <c r="BZ288" s="723">
        <f>WWWW[[#This Row],['# HH received soaps]]*5</f>
        <v>0</v>
      </c>
      <c r="CA288" s="723">
        <f>WWWW[[#This Row],['# HH received Sanitary Pads]]*5</f>
        <v>0</v>
      </c>
      <c r="CB288" s="561">
        <f>IF(WWWW[[#This Row],['# People with access to soap]]&gt;WWWW[[#This Row],['# People with access to Sanity Pads]],WWWW[[#This Row],['# People with access to soap]],WWWW[[#This Row],['# People with access to Sanity Pads]])</f>
        <v>0</v>
      </c>
      <c r="CC288" s="568">
        <f>WWWW[[#This Row],[Total HH]]*WWWW[[#This Row],[%HHs with access to functional hand washing stations]]</f>
        <v>0</v>
      </c>
      <c r="CD288" s="240">
        <f>VLOOKUP(WWWW[[#This Row],[Site Name]],SiteDB6[],8,FALSE)</f>
        <v>0</v>
      </c>
      <c r="CE288" s="240">
        <f>VLOOKUP(WWWW[[#This Row],[Site Name]],SiteDB6[],9,FALSE)</f>
        <v>0</v>
      </c>
      <c r="CF288" s="240" t="str">
        <f>VLOOKUP(WWWW[[#This Row],[Site Name]],SiteDB6[],10,FALSE)</f>
        <v>Village</v>
      </c>
      <c r="CG288" s="240" t="str">
        <f>VLOOKUP(WWWW[[#This Row],[Site Name]],SiteDB6[],11,FALSE)</f>
        <v>Village</v>
      </c>
      <c r="CH288" s="240" t="str">
        <f>VLOOKUP(WWWW[[#This Row],[Site Name]],SiteDB6[],12,FALSE)</f>
        <v>Village</v>
      </c>
      <c r="CI288" s="240">
        <f>VLOOKUP(WWWW[[#This Row],[Site Name]],SiteDB6[],13,FALSE)</f>
        <v>0</v>
      </c>
      <c r="CJ288" s="240">
        <f>VLOOKUP(WWWW[[#This Row],[Site Name]],SiteDB6[],14,FALSE)</f>
        <v>20.5047302246094</v>
      </c>
      <c r="CK288" s="240">
        <f>VLOOKUP(WWWW[[#This Row],[Site Name]],SiteDB6[],15,FALSE)</f>
        <v>92.683113098144503</v>
      </c>
      <c r="CL288" s="240">
        <f>VLOOKUP(WWWW[[#This Row],[Site Name]],SiteDB6[],4,FALSE)</f>
        <v>197611</v>
      </c>
      <c r="CM288" s="569" t="str">
        <f t="shared" si="4"/>
        <v>Covered</v>
      </c>
      <c r="CN288" s="570"/>
    </row>
    <row r="289" spans="1:92" ht="15.75" hidden="1" customHeight="1" x14ac:dyDescent="0.25">
      <c r="A289" s="554" t="s">
        <v>1409</v>
      </c>
      <c r="B289" s="565" t="s">
        <v>542</v>
      </c>
      <c r="C289" s="565" t="s">
        <v>464</v>
      </c>
      <c r="D289" s="565" t="s">
        <v>508</v>
      </c>
      <c r="E289" s="565" t="s">
        <v>2646</v>
      </c>
      <c r="F289" s="566">
        <v>64</v>
      </c>
      <c r="G289" s="568">
        <v>345</v>
      </c>
      <c r="H289" s="566"/>
      <c r="I289" s="555" t="s">
        <v>398</v>
      </c>
      <c r="J289" s="567">
        <v>43343</v>
      </c>
      <c r="K289" s="555">
        <v>0</v>
      </c>
      <c r="L289" s="555" t="s">
        <v>48</v>
      </c>
      <c r="M289" s="404"/>
      <c r="N289" s="404"/>
      <c r="O289" s="625"/>
      <c r="P289" s="626"/>
      <c r="Q289" s="620"/>
      <c r="R289" s="621"/>
      <c r="S289" s="621"/>
      <c r="T289" s="621"/>
      <c r="U289" s="621"/>
      <c r="V289" s="621"/>
      <c r="W289" s="621"/>
      <c r="X289" s="621"/>
      <c r="Y289" s="627"/>
      <c r="Z289" s="637">
        <v>3</v>
      </c>
      <c r="AA289" s="639"/>
      <c r="AB289" s="641"/>
      <c r="AC289" s="637">
        <v>3</v>
      </c>
      <c r="AD289" s="598" t="s">
        <v>342</v>
      </c>
      <c r="AE289" s="599" t="s">
        <v>342</v>
      </c>
      <c r="AF289" s="638"/>
      <c r="AG289" s="638"/>
      <c r="AH289" s="639"/>
      <c r="AI289" s="649">
        <v>0</v>
      </c>
      <c r="AJ289" s="650" t="s">
        <v>294</v>
      </c>
      <c r="AK289" s="650">
        <v>0</v>
      </c>
      <c r="AL289" s="645">
        <v>0</v>
      </c>
      <c r="AM289" s="645">
        <v>7</v>
      </c>
      <c r="AN289" s="663"/>
      <c r="AO289" s="663"/>
      <c r="AP289" s="663"/>
      <c r="AQ289" s="668"/>
      <c r="AR289" s="569" t="str">
        <f>IFERROR(WWWW[[#This Row],['# of Water passed at source]]/WWWW[[#This Row],['# of Water tested at source]],"no test")</f>
        <v>no test</v>
      </c>
      <c r="AS289" s="564" t="str">
        <f>IFERROR(WWWW[[#This Row],['# of Water passed at HH]]/WWWW[[#This Row],['# of Water tested at HH]],"no test")</f>
        <v>no test</v>
      </c>
      <c r="AT289" s="564">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U289" s="564">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AV289" s="564">
        <f>IF(WWWW[[#This Row],[Location Type 1]]="Village",WWWW[[#This Row],[Access to safe drinking water for Village]],WWWW[[#This Row],[Access to safe drinking water for Camp]])</f>
        <v>0</v>
      </c>
      <c r="AW289" s="568">
        <f>WWWW[[#This Row],[%Equitable and continuous access to sufficient quantity of safe drinking water]]*WWWW[[#This Row],[Total PoP ]]</f>
        <v>0</v>
      </c>
      <c r="AX289" s="564">
        <f>IF((WWWW[[#This Row],['# Existing protected/fenced ponds ]]*250)/WWWW[[#This Row],[Total PoP ]]&gt;1,1,WWWW[[#This Row],['# Existing protected/fenced ponds ]]*250/WWWW[[#This Row],[Total PoP ]])</f>
        <v>0</v>
      </c>
      <c r="AY289" s="568">
        <f>WWWW[[#This Row],[Access to unimproved water points]]*WWWW[[#This Row],[Total PoP ]]</f>
        <v>0</v>
      </c>
      <c r="AZ289" s="564">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A289" s="568">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B289" s="568">
        <f>WWWW[[#This Row],['#people Equitable and continuous access to sufficient quantity of domestic water borehole n ponds_2]]/500</f>
        <v>0</v>
      </c>
      <c r="BC289" s="569">
        <f>1-WWWW[[#This Row],[%Equitable and continuous access to sufficient quantity of domestic water borehole n ponds]]</f>
        <v>1</v>
      </c>
      <c r="BD289" s="568">
        <f>WWWW[[#This Row],[%equitable and continuous access to sufficient quantity of safe drinking and domestic water''s GAP]]*WWWW[[#This Row],[Total PoP ]]</f>
        <v>345</v>
      </c>
      <c r="BE289" s="561">
        <f>IF(WWWW[[#This Row],[Total required water points]]-WWWW[[#This Row],['#Water points coverage]]&lt;0,0,WWWW[[#This Row],[Total required water points]]-WWWW[[#This Row],['#Water points coverage]])</f>
        <v>1</v>
      </c>
      <c r="BF289" s="561">
        <f>ROUND(IF(WWWW[[#This Row],[Total PoP ]]&lt;500,1,WWWW[[#This Row],[Total PoP ]]/500),0)</f>
        <v>1</v>
      </c>
      <c r="BG289" s="561" t="str">
        <f>IF(AND(WWWW[[#This Row],[%of Water samples which passed at water source]]="no test",WWWW[[#This Row],[%Water samples which passed at HH]]="no test"),"No Test","Tested")</f>
        <v>No Test</v>
      </c>
      <c r="BH289" s="561">
        <f>WWWW[[#This Row],['# Existing functional latrines]]+WWWW[[#This Row],['# Existing latrines dysfunctional]]</f>
        <v>3</v>
      </c>
      <c r="BI289" s="569">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5.2173913043478258E-2</v>
      </c>
      <c r="BJ289" s="678">
        <f>WWWW[[#This Row],[% people access to functioning Latrine]]*WWWW[[#This Row],[Total PoP ]]</f>
        <v>18</v>
      </c>
      <c r="BK289" s="569">
        <f>IF(WWWW[[#This Row],[Location Type 1]]="camp",WWWW[[#This Row],['# potential required new latrines]]/(WWWW[[#This Row],[Total PoP ]]/20),WWWW[[#This Row],['# potential required new latrines]]/(WWWW[[#This Row],[Total PoP ]]/6))</f>
        <v>0.95652173913043481</v>
      </c>
      <c r="BL289" s="568">
        <f>IF(WWWW[[#This Row],[Total required Latrines]]-WWWW[[#This Row],[Total '# of latrine]]&lt;0,0,WWWW[[#This Row],[Total required Latrines]]-WWWW[[#This Row],[Total '# of latrine]])</f>
        <v>55</v>
      </c>
      <c r="BM289" s="561">
        <f>ROUND(IF(WWWW[[#This Row],[Location Type 1]]="camp",WWWW[[#This Row],[Total PoP ]]/20,WWWW[[#This Row],[Total PoP ]]/6),0)</f>
        <v>58</v>
      </c>
      <c r="BN289" s="570">
        <f>IF(OR(WWWW[[#This Row],['# Existing latrines dysfunctional]]="",WWWW[[#This Row],['# Existing latrines dysfunctional]]=0),0,WWWW[[#This Row],['# Existing latrines dysfunctional]]/WWWW[[#This Row],[Total '# of latrine]])</f>
        <v>0</v>
      </c>
      <c r="BO289" s="678"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P289" s="569">
        <f>WWWW[[#This Row],[People adopt basic personal and community hygiene practices]]/WWWW[[#This Row],[Total PoP ]]</f>
        <v>0</v>
      </c>
      <c r="BQ289" s="570">
        <f>1-WWWW[[#This Row],[Hygiene Coverage%]]</f>
        <v>1</v>
      </c>
      <c r="BR289" s="558">
        <f>IF(500*WWWW[[#This Row],['# Hygiene Promoters ]]&gt;WWWW[[#This Row],[Total PoP ]],WWWW[[#This Row],[Total PoP ]],500*WWWW[[#This Row],['# Hygiene Promoters ]])</f>
        <v>345</v>
      </c>
      <c r="BS289" s="558">
        <f>IF(WWWW[[#This Row],[% of HH with access to Sanitary Pad]]&gt;=100%,1,0)</f>
        <v>0</v>
      </c>
      <c r="BT289" s="558">
        <f>IF(WWWW[[#This Row],[Total PoP ]]=0,0,IF(WWWW[[#This Row],['# Hygiene Promoters ]]=0,0,IF(WWWW[[#This Row],[Location Type 1]]="Village",IF(WWWW[[#This Row],[Total PoP ]]/WWWW[[#This Row],['# Hygiene Promoters ]]&lt;1000,1,0),IF(WWWW[[#This Row],[Total PoP ]]/WWWW[[#This Row],['# Hygiene Promoters ]]&lt;600,1,0))))</f>
        <v>1</v>
      </c>
      <c r="BU289" s="558">
        <f>IF(WWWW[[#This Row],[%HH with access to soap]]&gt;=100%,1,0)</f>
        <v>0</v>
      </c>
      <c r="BV289" s="558">
        <f>IF(WWWW[[#This Row],[% of HHs with access to Sanitary pad more than '#%]]+WWWW[[#This Row],[Ratio of Hyiene promoters to people less than '#]]+WWWW[[#This Row],[% of HHs with access to soap more than '#%]]&gt;=2,WWWW[[#This Row],[Total PoP ]],0)</f>
        <v>0</v>
      </c>
      <c r="BW289" s="571">
        <f>WWWW[[#This Row],['# people reached by regular dedicated hygiene promotion_5]]/WWWW[[#This Row],[Total PoP ]]</f>
        <v>1</v>
      </c>
      <c r="BX289" s="571">
        <f>IF(WWWW[[#This Row],['# HH received soaps]]/WWWW[[#This Row],[Total HH]]&gt;1,1,WWWW[[#This Row],['# HH received soaps]]/WWWW[[#This Row],[Total HH]])</f>
        <v>0</v>
      </c>
      <c r="BY289" s="571">
        <f>IF(WWWW[[#This Row],['# HH received Sanitary Pads]]/WWWW[[#This Row],[Total HH]]&gt;1,1,WWWW[[#This Row],['# HH received Sanitary Pads]]/WWWW[[#This Row],[Total HH]])</f>
        <v>0</v>
      </c>
      <c r="BZ289" s="723">
        <f>WWWW[[#This Row],['# HH received soaps]]*5</f>
        <v>0</v>
      </c>
      <c r="CA289" s="723">
        <f>WWWW[[#This Row],['# HH received Sanitary Pads]]*5</f>
        <v>0</v>
      </c>
      <c r="CB289" s="561">
        <f>IF(WWWW[[#This Row],['# People with access to soap]]&gt;WWWW[[#This Row],['# People with access to Sanity Pads]],WWWW[[#This Row],['# People with access to soap]],WWWW[[#This Row],['# People with access to Sanity Pads]])</f>
        <v>0</v>
      </c>
      <c r="CC289" s="568">
        <f>WWWW[[#This Row],[Total HH]]*WWWW[[#This Row],[%HHs with access to functional hand washing stations]]</f>
        <v>0</v>
      </c>
      <c r="CD289" s="240">
        <f>VLOOKUP(WWWW[[#This Row],[Site Name]],SiteDB6[],8,FALSE)</f>
        <v>0</v>
      </c>
      <c r="CE289" s="240">
        <f>VLOOKUP(WWWW[[#This Row],[Site Name]],SiteDB6[],9,FALSE)</f>
        <v>0</v>
      </c>
      <c r="CF289" s="240" t="str">
        <f>VLOOKUP(WWWW[[#This Row],[Site Name]],SiteDB6[],10,FALSE)</f>
        <v>Village</v>
      </c>
      <c r="CG289" s="240" t="str">
        <f>VLOOKUP(WWWW[[#This Row],[Site Name]],SiteDB6[],11,FALSE)</f>
        <v>Village</v>
      </c>
      <c r="CH289" s="240" t="str">
        <f>VLOOKUP(WWWW[[#This Row],[Site Name]],SiteDB6[],12,FALSE)</f>
        <v>Village</v>
      </c>
      <c r="CI289" s="240">
        <f>VLOOKUP(WWWW[[#This Row],[Site Name]],SiteDB6[],13,FALSE)</f>
        <v>0</v>
      </c>
      <c r="CJ289" s="240">
        <f>VLOOKUP(WWWW[[#This Row],[Site Name]],SiteDB6[],14,FALSE)</f>
        <v>20.497299194335898</v>
      </c>
      <c r="CK289" s="240">
        <f>VLOOKUP(WWWW[[#This Row],[Site Name]],SiteDB6[],15,FALSE)</f>
        <v>92.683097839355497</v>
      </c>
      <c r="CL289" s="240">
        <f>VLOOKUP(WWWW[[#This Row],[Site Name]],SiteDB6[],4,FALSE)</f>
        <v>197613</v>
      </c>
      <c r="CM289" s="569" t="str">
        <f t="shared" si="4"/>
        <v>Covered</v>
      </c>
      <c r="CN289" s="570"/>
    </row>
    <row r="290" spans="1:92" ht="15.75" hidden="1" customHeight="1" x14ac:dyDescent="0.25">
      <c r="A290" s="554" t="s">
        <v>1409</v>
      </c>
      <c r="B290" s="530" t="s">
        <v>542</v>
      </c>
      <c r="C290" s="531" t="s">
        <v>464</v>
      </c>
      <c r="D290" s="531" t="s">
        <v>508</v>
      </c>
      <c r="E290" s="531" t="s">
        <v>653</v>
      </c>
      <c r="F290" s="402">
        <v>140</v>
      </c>
      <c r="G290" s="405">
        <v>806</v>
      </c>
      <c r="H290" s="402"/>
      <c r="I290" s="402" t="s">
        <v>398</v>
      </c>
      <c r="J290" s="403">
        <v>43343</v>
      </c>
      <c r="K290" s="402">
        <v>0</v>
      </c>
      <c r="L290" s="402" t="s">
        <v>48</v>
      </c>
      <c r="M290" s="404"/>
      <c r="N290" s="404"/>
      <c r="O290" s="605"/>
      <c r="P290" s="606"/>
      <c r="Q290" s="606"/>
      <c r="R290" s="607"/>
      <c r="S290" s="607"/>
      <c r="T290" s="607"/>
      <c r="U290" s="607"/>
      <c r="V290" s="607"/>
      <c r="W290" s="607"/>
      <c r="X290" s="607"/>
      <c r="Y290" s="607"/>
      <c r="Z290" s="598">
        <v>2</v>
      </c>
      <c r="AA290" s="598"/>
      <c r="AB290" s="80"/>
      <c r="AC290" s="598">
        <v>2</v>
      </c>
      <c r="AD290" s="598" t="s">
        <v>342</v>
      </c>
      <c r="AE290" s="599" t="s">
        <v>342</v>
      </c>
      <c r="AF290" s="599"/>
      <c r="AG290" s="598"/>
      <c r="AH290" s="598"/>
      <c r="AI290" s="649">
        <v>0</v>
      </c>
      <c r="AJ290" s="650" t="s">
        <v>294</v>
      </c>
      <c r="AK290" s="650">
        <v>0</v>
      </c>
      <c r="AL290" s="645">
        <v>0</v>
      </c>
      <c r="AM290" s="645">
        <v>7</v>
      </c>
      <c r="AN290" s="600"/>
      <c r="AO290" s="600"/>
      <c r="AP290" s="600"/>
      <c r="AQ290" s="651"/>
      <c r="AR290" s="404" t="str">
        <f>IFERROR(WWWW[[#This Row],['# of Water passed at source]]/WWWW[[#This Row],['# of Water tested at source]],"no test")</f>
        <v>no test</v>
      </c>
      <c r="AS290" s="407" t="str">
        <f>IFERROR(WWWW[[#This Row],['# of Water passed at HH]]/WWWW[[#This Row],['# of Water tested at HH]],"no test")</f>
        <v>no test</v>
      </c>
      <c r="AT290" s="407">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U290" s="407">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AV290" s="407">
        <f>IF(WWWW[[#This Row],[Location Type 1]]="Village",WWWW[[#This Row],[Access to safe drinking water for Village]],WWWW[[#This Row],[Access to safe drinking water for Camp]])</f>
        <v>0</v>
      </c>
      <c r="AW290" s="405">
        <f>WWWW[[#This Row],[%Equitable and continuous access to sufficient quantity of safe drinking water]]*WWWW[[#This Row],[Total PoP ]]</f>
        <v>0</v>
      </c>
      <c r="AX290" s="407">
        <f>IF((WWWW[[#This Row],['# Existing protected/fenced ponds ]]*250)/WWWW[[#This Row],[Total PoP ]]&gt;1,1,WWWW[[#This Row],['# Existing protected/fenced ponds ]]*250/WWWW[[#This Row],[Total PoP ]])</f>
        <v>0</v>
      </c>
      <c r="AY290" s="405">
        <f>WWWW[[#This Row],[Access to unimproved water points]]*WWWW[[#This Row],[Total PoP ]]</f>
        <v>0</v>
      </c>
      <c r="AZ290" s="407">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A290" s="405">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B290" s="405">
        <f>WWWW[[#This Row],['#people Equitable and continuous access to sufficient quantity of domestic water borehole n ponds_2]]/500</f>
        <v>0</v>
      </c>
      <c r="BC290" s="404">
        <f>1-WWWW[[#This Row],[%Equitable and continuous access to sufficient quantity of domestic water borehole n ponds]]</f>
        <v>1</v>
      </c>
      <c r="BD290" s="405">
        <f>WWWW[[#This Row],[%equitable and continuous access to sufficient quantity of safe drinking and domestic water''s GAP]]*WWWW[[#This Row],[Total PoP ]]</f>
        <v>806</v>
      </c>
      <c r="BE290" s="406">
        <f>IF(WWWW[[#This Row],[Total required water points]]-WWWW[[#This Row],['#Water points coverage]]&lt;0,0,WWWW[[#This Row],[Total required water points]]-WWWW[[#This Row],['#Water points coverage]])</f>
        <v>2</v>
      </c>
      <c r="BF290" s="406">
        <f>ROUND(IF(WWWW[[#This Row],[Total PoP ]]&lt;500,1,WWWW[[#This Row],[Total PoP ]]/500),0)</f>
        <v>2</v>
      </c>
      <c r="BG290" s="406" t="str">
        <f>IF(AND(WWWW[[#This Row],[%of Water samples which passed at water source]]="no test",WWWW[[#This Row],[%Water samples which passed at HH]]="no test"),"No Test","Tested")</f>
        <v>No Test</v>
      </c>
      <c r="BH290" s="406">
        <f>WWWW[[#This Row],['# Existing functional latrines]]+WWWW[[#This Row],['# Existing latrines dysfunctional]]</f>
        <v>2</v>
      </c>
      <c r="BI290" s="404">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1.488833746898263E-2</v>
      </c>
      <c r="BJ290" s="676">
        <f>WWWW[[#This Row],[% people access to functioning Latrine]]*WWWW[[#This Row],[Total PoP ]]</f>
        <v>12</v>
      </c>
      <c r="BK290" s="404">
        <f>IF(WWWW[[#This Row],[Location Type 1]]="camp",WWWW[[#This Row],['# potential required new latrines]]/(WWWW[[#This Row],[Total PoP ]]/20),WWWW[[#This Row],['# potential required new latrines]]/(WWWW[[#This Row],[Total PoP ]]/6))</f>
        <v>0.98263027295285355</v>
      </c>
      <c r="BL290" s="405">
        <f>IF(WWWW[[#This Row],[Total required Latrines]]-WWWW[[#This Row],[Total '# of latrine]]&lt;0,0,WWWW[[#This Row],[Total required Latrines]]-WWWW[[#This Row],[Total '# of latrine]])</f>
        <v>132</v>
      </c>
      <c r="BM290" s="406">
        <f>ROUND(IF(WWWW[[#This Row],[Location Type 1]]="camp",WWWW[[#This Row],[Total PoP ]]/20,WWWW[[#This Row],[Total PoP ]]/6),0)</f>
        <v>134</v>
      </c>
      <c r="BN290" s="408">
        <f>IF(OR(WWWW[[#This Row],['# Existing latrines dysfunctional]]="",WWWW[[#This Row],['# Existing latrines dysfunctional]]=0),0,WWWW[[#This Row],['# Existing latrines dysfunctional]]/WWWW[[#This Row],[Total '# of latrine]])</f>
        <v>0</v>
      </c>
      <c r="BO290" s="676"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P290" s="404">
        <f>WWWW[[#This Row],[People adopt basic personal and community hygiene practices]]/WWWW[[#This Row],[Total PoP ]]</f>
        <v>0</v>
      </c>
      <c r="BQ290" s="408">
        <f>1-WWWW[[#This Row],[Hygiene Coverage%]]</f>
        <v>1</v>
      </c>
      <c r="BR290" s="405">
        <f>IF(500*WWWW[[#This Row],['# Hygiene Promoters ]]&gt;WWWW[[#This Row],[Total PoP ]],WWWW[[#This Row],[Total PoP ]],500*WWWW[[#This Row],['# Hygiene Promoters ]])</f>
        <v>806</v>
      </c>
      <c r="BS290" s="405">
        <f>IF(WWWW[[#This Row],[% of HH with access to Sanitary Pad]]&gt;=100%,1,0)</f>
        <v>0</v>
      </c>
      <c r="BT290" s="405">
        <f>IF(WWWW[[#This Row],[Total PoP ]]=0,0,IF(WWWW[[#This Row],['# Hygiene Promoters ]]=0,0,IF(WWWW[[#This Row],[Location Type 1]]="Village",IF(WWWW[[#This Row],[Total PoP ]]/WWWW[[#This Row],['# Hygiene Promoters ]]&lt;1000,1,0),IF(WWWW[[#This Row],[Total PoP ]]/WWWW[[#This Row],['# Hygiene Promoters ]]&lt;600,1,0))))</f>
        <v>1</v>
      </c>
      <c r="BU290" s="405">
        <f>IF(WWWW[[#This Row],[%HH with access to soap]]&gt;=100%,1,0)</f>
        <v>0</v>
      </c>
      <c r="BV290" s="405">
        <f>IF(WWWW[[#This Row],[% of HHs with access to Sanitary pad more than '#%]]+WWWW[[#This Row],[Ratio of Hyiene promoters to people less than '#]]+WWWW[[#This Row],[% of HHs with access to soap more than '#%]]&gt;=2,WWWW[[#This Row],[Total PoP ]],0)</f>
        <v>0</v>
      </c>
      <c r="BW290" s="391">
        <f>WWWW[[#This Row],['# people reached by regular dedicated hygiene promotion_5]]/WWWW[[#This Row],[Total PoP ]]</f>
        <v>1</v>
      </c>
      <c r="BX290" s="391">
        <f>IF(WWWW[[#This Row],['# HH received soaps]]/WWWW[[#This Row],[Total HH]]&gt;1,1,WWWW[[#This Row],['# HH received soaps]]/WWWW[[#This Row],[Total HH]])</f>
        <v>0</v>
      </c>
      <c r="BY290" s="391">
        <f>IF(WWWW[[#This Row],['# HH received Sanitary Pads]]/WWWW[[#This Row],[Total HH]]&gt;1,1,WWWW[[#This Row],['# HH received Sanitary Pads]]/WWWW[[#This Row],[Total HH]])</f>
        <v>0</v>
      </c>
      <c r="BZ290" s="721">
        <f>WWWW[[#This Row],['# HH received soaps]]*5</f>
        <v>0</v>
      </c>
      <c r="CA290" s="721">
        <f>WWWW[[#This Row],['# HH received Sanitary Pads]]*5</f>
        <v>0</v>
      </c>
      <c r="CB290" s="406">
        <f>IF(WWWW[[#This Row],['# People with access to soap]]&gt;WWWW[[#This Row],['# People with access to Sanity Pads]],WWWW[[#This Row],['# People with access to soap]],WWWW[[#This Row],['# People with access to Sanity Pads]])</f>
        <v>0</v>
      </c>
      <c r="CC290" s="405">
        <f>WWWW[[#This Row],[Total HH]]*WWWW[[#This Row],[%HHs with access to functional hand washing stations]]</f>
        <v>0</v>
      </c>
      <c r="CD290" s="240" t="str">
        <f>VLOOKUP(WWWW[[#This Row],[Site Name]],SiteDB6[],8,FALSE)</f>
        <v>Yes</v>
      </c>
      <c r="CE290" s="240" t="str">
        <f>VLOOKUP(WWWW[[#This Row],[Site Name]],SiteDB6[],9,FALSE)</f>
        <v>UNHCR</v>
      </c>
      <c r="CF290" s="240" t="str">
        <f>VLOOKUP(WWWW[[#This Row],[Site Name]],SiteDB6[],10,FALSE)</f>
        <v>Village</v>
      </c>
      <c r="CG290" s="240" t="str">
        <f>VLOOKUP(WWWW[[#This Row],[Site Name]],SiteDB6[],11,FALSE)</f>
        <v>Village</v>
      </c>
      <c r="CH290" s="240" t="str">
        <f>VLOOKUP(WWWW[[#This Row],[Site Name]],SiteDB6[],12,FALSE)</f>
        <v>Returned</v>
      </c>
      <c r="CI290" s="240" t="str">
        <f>VLOOKUP(WWWW[[#This Row],[Site Name]],SiteDB6[],13,FALSE)</f>
        <v>Rakhine</v>
      </c>
      <c r="CJ290" s="240">
        <f>VLOOKUP(WWWW[[#This Row],[Site Name]],SiteDB6[],14,FALSE)</f>
        <v>20.824777999999998</v>
      </c>
      <c r="CK290" s="240">
        <f>VLOOKUP(WWWW[[#This Row],[Site Name]],SiteDB6[],15,FALSE)</f>
        <v>92.362196999999995</v>
      </c>
      <c r="CL290" s="240" t="str">
        <f>VLOOKUP(WWWW[[#This Row],[Site Name]],SiteDB6[],4,FALSE)</f>
        <v>MMR012CMP082</v>
      </c>
      <c r="CM290" s="404" t="str">
        <f t="shared" si="4"/>
        <v>Covered</v>
      </c>
      <c r="CN290" s="404"/>
    </row>
    <row r="291" spans="1:92" ht="15.75" hidden="1" customHeight="1" x14ac:dyDescent="0.25">
      <c r="A291" s="532" t="s">
        <v>1409</v>
      </c>
      <c r="B291" s="595" t="s">
        <v>470</v>
      </c>
      <c r="C291" s="596" t="s">
        <v>464</v>
      </c>
      <c r="D291" s="596" t="s">
        <v>508</v>
      </c>
      <c r="E291" s="596" t="s">
        <v>635</v>
      </c>
      <c r="F291" s="402">
        <v>292</v>
      </c>
      <c r="G291" s="405">
        <v>1751</v>
      </c>
      <c r="H291" s="402"/>
      <c r="I291" s="402" t="s">
        <v>401</v>
      </c>
      <c r="J291" s="403">
        <v>43220</v>
      </c>
      <c r="K291" s="402">
        <v>0</v>
      </c>
      <c r="L291" s="402" t="s">
        <v>48</v>
      </c>
      <c r="M291" s="404">
        <v>0.5</v>
      </c>
      <c r="N291" s="404">
        <v>0</v>
      </c>
      <c r="O291" s="605">
        <v>11</v>
      </c>
      <c r="P291" s="606">
        <v>0</v>
      </c>
      <c r="Q291" s="606">
        <v>0</v>
      </c>
      <c r="R291" s="607">
        <v>0</v>
      </c>
      <c r="S291" s="607">
        <v>11</v>
      </c>
      <c r="T291" s="607"/>
      <c r="U291" s="607"/>
      <c r="V291" s="607"/>
      <c r="W291" s="607"/>
      <c r="X291" s="607"/>
      <c r="Y291" s="607" t="s">
        <v>2584</v>
      </c>
      <c r="Z291" s="598">
        <v>192</v>
      </c>
      <c r="AA291" s="598">
        <v>70</v>
      </c>
      <c r="AB291" s="80"/>
      <c r="AC291" s="598">
        <v>0</v>
      </c>
      <c r="AD291" s="598" t="s">
        <v>296</v>
      </c>
      <c r="AE291" s="599" t="s">
        <v>296</v>
      </c>
      <c r="AF291" s="599"/>
      <c r="AG291" s="598"/>
      <c r="AH291" s="598"/>
      <c r="AI291" s="649">
        <v>0</v>
      </c>
      <c r="AJ291" s="650"/>
      <c r="AK291" s="650">
        <v>341</v>
      </c>
      <c r="AL291" s="645">
        <v>0</v>
      </c>
      <c r="AM291" s="645">
        <v>0</v>
      </c>
      <c r="AN291" s="600"/>
      <c r="AO291" s="600"/>
      <c r="AP291" s="600"/>
      <c r="AQ291" s="651"/>
      <c r="AR291" s="404" t="str">
        <f>IFERROR(WWWW[[#This Row],['# of Water passed at source]]/WWWW[[#This Row],['# of Water tested at source]],"no test")</f>
        <v>no test</v>
      </c>
      <c r="AS291" s="407" t="str">
        <f>IFERROR(WWWW[[#This Row],['# of Water passed at HH]]/WWWW[[#This Row],['# of Water tested at HH]],"no test")</f>
        <v>no test</v>
      </c>
      <c r="AT291" s="407">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U291" s="407">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AV291" s="407">
        <f>IF(WWWW[[#This Row],[Location Type 1]]="Village",WWWW[[#This Row],[Access to safe drinking water for Village]],WWWW[[#This Row],[Access to safe drinking water for Camp]])</f>
        <v>1</v>
      </c>
      <c r="AW291" s="405">
        <f>WWWW[[#This Row],[%Equitable and continuous access to sufficient quantity of safe drinking water]]*WWWW[[#This Row],[Total PoP ]]</f>
        <v>1751</v>
      </c>
      <c r="AX291" s="407">
        <f>IF((WWWW[[#This Row],['# Existing protected/fenced ponds ]]*250)/WWWW[[#This Row],[Total PoP ]]&gt;1,1,WWWW[[#This Row],['# Existing protected/fenced ponds ]]*250/WWWW[[#This Row],[Total PoP ]])</f>
        <v>0</v>
      </c>
      <c r="AY291" s="405">
        <f>WWWW[[#This Row],[Access to unimproved water points]]*WWWW[[#This Row],[Total PoP ]]</f>
        <v>0</v>
      </c>
      <c r="AZ291" s="407">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A291" s="405">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1751</v>
      </c>
      <c r="BB291" s="405">
        <f>WWWW[[#This Row],['#people Equitable and continuous access to sufficient quantity of domestic water borehole n ponds_2]]/500</f>
        <v>3.5019999999999998</v>
      </c>
      <c r="BC291" s="404">
        <f>1-WWWW[[#This Row],[%Equitable and continuous access to sufficient quantity of domestic water borehole n ponds]]</f>
        <v>0</v>
      </c>
      <c r="BD291" s="405">
        <f>WWWW[[#This Row],[%equitable and continuous access to sufficient quantity of safe drinking and domestic water''s GAP]]*WWWW[[#This Row],[Total PoP ]]</f>
        <v>0</v>
      </c>
      <c r="BE291" s="406">
        <f>IF(WWWW[[#This Row],[Total required water points]]-WWWW[[#This Row],['#Water points coverage]]&lt;0,0,WWWW[[#This Row],[Total required water points]]-WWWW[[#This Row],['#Water points coverage]])</f>
        <v>0.49800000000000022</v>
      </c>
      <c r="BF291" s="406">
        <f>ROUND(IF(WWWW[[#This Row],[Total PoP ]]&lt;500,1,WWWW[[#This Row],[Total PoP ]]/500),0)</f>
        <v>4</v>
      </c>
      <c r="BG291" s="406" t="str">
        <f>IF(AND(WWWW[[#This Row],[%of Water samples which passed at water source]]="no test",WWWW[[#This Row],[%Water samples which passed at HH]]="no test"),"No Test","Tested")</f>
        <v>No Test</v>
      </c>
      <c r="BH291" s="406">
        <f>WWWW[[#This Row],['# Existing functional latrines]]+WWWW[[#This Row],['# Existing latrines dysfunctional]]</f>
        <v>262</v>
      </c>
      <c r="BI291" s="404">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0.6579097658480868</v>
      </c>
      <c r="BJ291" s="676">
        <f>WWWW[[#This Row],[% people access to functioning Latrine]]*WWWW[[#This Row],[Total PoP ]]</f>
        <v>1152</v>
      </c>
      <c r="BK291" s="404">
        <f>IF(WWWW[[#This Row],[Location Type 1]]="camp",WWWW[[#This Row],['# potential required new latrines]]/(WWWW[[#This Row],[Total PoP ]]/20),WWWW[[#This Row],['# potential required new latrines]]/(WWWW[[#This Row],[Total PoP ]]/6))</f>
        <v>0.10279840091376358</v>
      </c>
      <c r="BL291" s="405">
        <f>IF(WWWW[[#This Row],[Total required Latrines]]-WWWW[[#This Row],[Total '# of latrine]]&lt;0,0,WWWW[[#This Row],[Total required Latrines]]-WWWW[[#This Row],[Total '# of latrine]])</f>
        <v>30</v>
      </c>
      <c r="BM291" s="406">
        <f>ROUND(IF(WWWW[[#This Row],[Location Type 1]]="camp",WWWW[[#This Row],[Total PoP ]]/20,WWWW[[#This Row],[Total PoP ]]/6),0)</f>
        <v>292</v>
      </c>
      <c r="BN291" s="408">
        <f>IF(OR(WWWW[[#This Row],['# Existing latrines dysfunctional]]="",WWWW[[#This Row],['# Existing latrines dysfunctional]]=0),0,WWWW[[#This Row],['# Existing latrines dysfunctional]]/WWWW[[#This Row],[Total '# of latrine]])</f>
        <v>0.26717557251908397</v>
      </c>
      <c r="BO291" s="676"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P291" s="404">
        <f>WWWW[[#This Row],[People adopt basic personal and community hygiene practices]]/WWWW[[#This Row],[Total PoP ]]</f>
        <v>0</v>
      </c>
      <c r="BQ291" s="408">
        <f>1-WWWW[[#This Row],[Hygiene Coverage%]]</f>
        <v>1</v>
      </c>
      <c r="BR291" s="405">
        <f>IF(500*WWWW[[#This Row],['# Hygiene Promoters ]]&gt;WWWW[[#This Row],[Total PoP ]],WWWW[[#This Row],[Total PoP ]],500*WWWW[[#This Row],['# Hygiene Promoters ]])</f>
        <v>0</v>
      </c>
      <c r="BS291" s="405">
        <f>IF(WWWW[[#This Row],[% of HH with access to Sanitary Pad]]&gt;=100%,1,0)</f>
        <v>0</v>
      </c>
      <c r="BT291" s="405">
        <f>IF(WWWW[[#This Row],[Total PoP ]]=0,0,IF(WWWW[[#This Row],['# Hygiene Promoters ]]=0,0,IF(WWWW[[#This Row],[Location Type 1]]="Village",IF(WWWW[[#This Row],[Total PoP ]]/WWWW[[#This Row],['# Hygiene Promoters ]]&lt;1000,1,0),IF(WWWW[[#This Row],[Total PoP ]]/WWWW[[#This Row],['# Hygiene Promoters ]]&lt;600,1,0))))</f>
        <v>0</v>
      </c>
      <c r="BU291" s="405">
        <f>IF(WWWW[[#This Row],[%HH with access to soap]]&gt;=100%,1,0)</f>
        <v>0</v>
      </c>
      <c r="BV291" s="405">
        <f>IF(WWWW[[#This Row],[% of HHs with access to Sanitary pad more than '#%]]+WWWW[[#This Row],[Ratio of Hyiene promoters to people less than '#]]+WWWW[[#This Row],[% of HHs with access to soap more than '#%]]&gt;=2,WWWW[[#This Row],[Total PoP ]],0)</f>
        <v>0</v>
      </c>
      <c r="BW291" s="391">
        <f>WWWW[[#This Row],['# people reached by regular dedicated hygiene promotion_5]]/WWWW[[#This Row],[Total PoP ]]</f>
        <v>0</v>
      </c>
      <c r="BX291" s="391">
        <f>IF(WWWW[[#This Row],['# HH received soaps]]/WWWW[[#This Row],[Total HH]]&gt;1,1,WWWW[[#This Row],['# HH received soaps]]/WWWW[[#This Row],[Total HH]])</f>
        <v>0</v>
      </c>
      <c r="BY291" s="391">
        <f>IF(WWWW[[#This Row],['# HH received Sanitary Pads]]/WWWW[[#This Row],[Total HH]]&gt;1,1,WWWW[[#This Row],['# HH received Sanitary Pads]]/WWWW[[#This Row],[Total HH]])</f>
        <v>0</v>
      </c>
      <c r="BZ291" s="721">
        <f>WWWW[[#This Row],['# HH received soaps]]*5</f>
        <v>0</v>
      </c>
      <c r="CA291" s="721">
        <f>WWWW[[#This Row],['# HH received Sanitary Pads]]*5</f>
        <v>0</v>
      </c>
      <c r="CB291" s="406">
        <f>IF(WWWW[[#This Row],['# People with access to soap]]&gt;WWWW[[#This Row],['# People with access to Sanity Pads]],WWWW[[#This Row],['# People with access to soap]],WWWW[[#This Row],['# People with access to Sanity Pads]])</f>
        <v>0</v>
      </c>
      <c r="CC291" s="405">
        <f>WWWW[[#This Row],[Total HH]]*WWWW[[#This Row],[%HHs with access to functional hand washing stations]]</f>
        <v>0</v>
      </c>
      <c r="CD291" s="240">
        <f>VLOOKUP(WWWW[[#This Row],[Site Name]],SiteDB6[],8,FALSE)</f>
        <v>0</v>
      </c>
      <c r="CE291" s="240">
        <f>VLOOKUP(WWWW[[#This Row],[Site Name]],SiteDB6[],9,FALSE)</f>
        <v>0</v>
      </c>
      <c r="CF291" s="240" t="str">
        <f>VLOOKUP(WWWW[[#This Row],[Site Name]],SiteDB6[],10,FALSE)</f>
        <v>Village</v>
      </c>
      <c r="CG291" s="240" t="str">
        <f>VLOOKUP(WWWW[[#This Row],[Site Name]],SiteDB6[],11,FALSE)</f>
        <v>Village</v>
      </c>
      <c r="CH291" s="240" t="str">
        <f>VLOOKUP(WWWW[[#This Row],[Site Name]],SiteDB6[],12,FALSE)</f>
        <v>Returned</v>
      </c>
      <c r="CI291" s="240" t="str">
        <f>VLOOKUP(WWWW[[#This Row],[Site Name]],SiteDB6[],13,FALSE)</f>
        <v>Muslim</v>
      </c>
      <c r="CJ291" s="240">
        <f>VLOOKUP(WWWW[[#This Row],[Site Name]],SiteDB6[],14,FALSE)</f>
        <v>20.335864000000001</v>
      </c>
      <c r="CK291" s="240">
        <f>VLOOKUP(WWWW[[#This Row],[Site Name]],SiteDB6[],15,FALSE)</f>
        <v>92.785706000000005</v>
      </c>
      <c r="CL291" s="240" t="str">
        <f>VLOOKUP(WWWW[[#This Row],[Site Name]],SiteDB6[],4,FALSE)</f>
        <v>MMR012CMP031</v>
      </c>
      <c r="CM291" s="404" t="str">
        <f t="shared" si="4"/>
        <v>Notcovered</v>
      </c>
      <c r="CN291" s="404"/>
    </row>
    <row r="292" spans="1:92" ht="15.75" hidden="1" customHeight="1" x14ac:dyDescent="0.25">
      <c r="A292" s="532" t="s">
        <v>1409</v>
      </c>
      <c r="B292" s="595" t="s">
        <v>470</v>
      </c>
      <c r="C292" s="596" t="s">
        <v>464</v>
      </c>
      <c r="D292" s="596" t="s">
        <v>508</v>
      </c>
      <c r="E292" s="596" t="s">
        <v>636</v>
      </c>
      <c r="F292" s="402">
        <v>46</v>
      </c>
      <c r="G292" s="405">
        <v>227</v>
      </c>
      <c r="H292" s="402"/>
      <c r="I292" s="402" t="s">
        <v>401</v>
      </c>
      <c r="J292" s="403">
        <v>43220</v>
      </c>
      <c r="K292" s="402">
        <v>0</v>
      </c>
      <c r="L292" s="402" t="s">
        <v>292</v>
      </c>
      <c r="M292" s="404">
        <v>0</v>
      </c>
      <c r="N292" s="404">
        <v>0</v>
      </c>
      <c r="O292" s="612">
        <v>3</v>
      </c>
      <c r="P292" s="606">
        <v>0</v>
      </c>
      <c r="Q292" s="606">
        <v>0</v>
      </c>
      <c r="R292" s="607">
        <v>0</v>
      </c>
      <c r="S292" s="607">
        <v>3</v>
      </c>
      <c r="T292" s="607"/>
      <c r="U292" s="607"/>
      <c r="V292" s="607"/>
      <c r="W292" s="607"/>
      <c r="X292" s="607"/>
      <c r="Y292" s="607" t="s">
        <v>2584</v>
      </c>
      <c r="Z292" s="598">
        <v>51</v>
      </c>
      <c r="AA292" s="598">
        <v>23</v>
      </c>
      <c r="AB292" s="80"/>
      <c r="AC292" s="598">
        <v>0</v>
      </c>
      <c r="AD292" s="598" t="s">
        <v>296</v>
      </c>
      <c r="AE292" s="599" t="s">
        <v>296</v>
      </c>
      <c r="AF292" s="599"/>
      <c r="AG292" s="598"/>
      <c r="AH292" s="598"/>
      <c r="AI292" s="649">
        <v>0</v>
      </c>
      <c r="AJ292" s="650"/>
      <c r="AK292" s="650">
        <v>46</v>
      </c>
      <c r="AL292" s="645">
        <v>0</v>
      </c>
      <c r="AM292" s="645">
        <v>0</v>
      </c>
      <c r="AN292" s="600"/>
      <c r="AO292" s="600"/>
      <c r="AP292" s="600"/>
      <c r="AQ292" s="651"/>
      <c r="AR292" s="404" t="str">
        <f>IFERROR(WWWW[[#This Row],['# of Water passed at source]]/WWWW[[#This Row],['# of Water tested at source]],"no test")</f>
        <v>no test</v>
      </c>
      <c r="AS292" s="407" t="str">
        <f>IFERROR(WWWW[[#This Row],['# of Water passed at HH]]/WWWW[[#This Row],['# of Water tested at HH]],"no test")</f>
        <v>no test</v>
      </c>
      <c r="AT292" s="407">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U292" s="407">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AV292" s="407">
        <f>IF(WWWW[[#This Row],[Location Type 1]]="Village",WWWW[[#This Row],[Access to safe drinking water for Village]],WWWW[[#This Row],[Access to safe drinking water for Camp]])</f>
        <v>1</v>
      </c>
      <c r="AW292" s="405">
        <f>WWWW[[#This Row],[%Equitable and continuous access to sufficient quantity of safe drinking water]]*WWWW[[#This Row],[Total PoP ]]</f>
        <v>227</v>
      </c>
      <c r="AX292" s="407">
        <f>IF((WWWW[[#This Row],['# Existing protected/fenced ponds ]]*250)/WWWW[[#This Row],[Total PoP ]]&gt;1,1,WWWW[[#This Row],['# Existing protected/fenced ponds ]]*250/WWWW[[#This Row],[Total PoP ]])</f>
        <v>0</v>
      </c>
      <c r="AY292" s="405">
        <f>WWWW[[#This Row],[Access to unimproved water points]]*WWWW[[#This Row],[Total PoP ]]</f>
        <v>0</v>
      </c>
      <c r="AZ292" s="407">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A292" s="405">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227</v>
      </c>
      <c r="BB292" s="405">
        <f>WWWW[[#This Row],['#people Equitable and continuous access to sufficient quantity of domestic water borehole n ponds_2]]/500</f>
        <v>0.45400000000000001</v>
      </c>
      <c r="BC292" s="404">
        <f>1-WWWW[[#This Row],[%Equitable and continuous access to sufficient quantity of domestic water borehole n ponds]]</f>
        <v>0</v>
      </c>
      <c r="BD292" s="405">
        <f>WWWW[[#This Row],[%equitable and continuous access to sufficient quantity of safe drinking and domestic water''s GAP]]*WWWW[[#This Row],[Total PoP ]]</f>
        <v>0</v>
      </c>
      <c r="BE292" s="406">
        <f>IF(WWWW[[#This Row],[Total required water points]]-WWWW[[#This Row],['#Water points coverage]]&lt;0,0,WWWW[[#This Row],[Total required water points]]-WWWW[[#This Row],['#Water points coverage]])</f>
        <v>0.54600000000000004</v>
      </c>
      <c r="BF292" s="406">
        <f>ROUND(IF(WWWW[[#This Row],[Total PoP ]]&lt;500,1,WWWW[[#This Row],[Total PoP ]]/500),0)</f>
        <v>1</v>
      </c>
      <c r="BG292" s="406" t="str">
        <f>IF(AND(WWWW[[#This Row],[%of Water samples which passed at water source]]="no test",WWWW[[#This Row],[%Water samples which passed at HH]]="no test"),"No Test","Tested")</f>
        <v>No Test</v>
      </c>
      <c r="BH292" s="406">
        <f>WWWW[[#This Row],['# Existing functional latrines]]+WWWW[[#This Row],['# Existing latrines dysfunctional]]</f>
        <v>74</v>
      </c>
      <c r="BI292" s="404">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1</v>
      </c>
      <c r="BJ292" s="676">
        <f>WWWW[[#This Row],[% people access to functioning Latrine]]*WWWW[[#This Row],[Total PoP ]]</f>
        <v>227</v>
      </c>
      <c r="BK292" s="404">
        <f>IF(WWWW[[#This Row],[Location Type 1]]="camp",WWWW[[#This Row],['# potential required new latrines]]/(WWWW[[#This Row],[Total PoP ]]/20),WWWW[[#This Row],['# potential required new latrines]]/(WWWW[[#This Row],[Total PoP ]]/6))</f>
        <v>0</v>
      </c>
      <c r="BL292" s="405">
        <f>IF(WWWW[[#This Row],[Total required Latrines]]-WWWW[[#This Row],[Total '# of latrine]]&lt;0,0,WWWW[[#This Row],[Total required Latrines]]-WWWW[[#This Row],[Total '# of latrine]])</f>
        <v>0</v>
      </c>
      <c r="BM292" s="406">
        <f>ROUND(IF(WWWW[[#This Row],[Location Type 1]]="camp",WWWW[[#This Row],[Total PoP ]]/20,WWWW[[#This Row],[Total PoP ]]/6),0)</f>
        <v>38</v>
      </c>
      <c r="BN292" s="408">
        <f>IF(OR(WWWW[[#This Row],['# Existing latrines dysfunctional]]="",WWWW[[#This Row],['# Existing latrines dysfunctional]]=0),0,WWWW[[#This Row],['# Existing latrines dysfunctional]]/WWWW[[#This Row],[Total '# of latrine]])</f>
        <v>0.3108108108108108</v>
      </c>
      <c r="BO292" s="676"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P292" s="404">
        <f>WWWW[[#This Row],[People adopt basic personal and community hygiene practices]]/WWWW[[#This Row],[Total PoP ]]</f>
        <v>0</v>
      </c>
      <c r="BQ292" s="408">
        <f>1-WWWW[[#This Row],[Hygiene Coverage%]]</f>
        <v>1</v>
      </c>
      <c r="BR292" s="405">
        <f>IF(500*WWWW[[#This Row],['# Hygiene Promoters ]]&gt;WWWW[[#This Row],[Total PoP ]],WWWW[[#This Row],[Total PoP ]],500*WWWW[[#This Row],['# Hygiene Promoters ]])</f>
        <v>0</v>
      </c>
      <c r="BS292" s="405">
        <f>IF(WWWW[[#This Row],[% of HH with access to Sanitary Pad]]&gt;=100%,1,0)</f>
        <v>0</v>
      </c>
      <c r="BT292" s="405">
        <f>IF(WWWW[[#This Row],[Total PoP ]]=0,0,IF(WWWW[[#This Row],['# Hygiene Promoters ]]=0,0,IF(WWWW[[#This Row],[Location Type 1]]="Village",IF(WWWW[[#This Row],[Total PoP ]]/WWWW[[#This Row],['# Hygiene Promoters ]]&lt;1000,1,0),IF(WWWW[[#This Row],[Total PoP ]]/WWWW[[#This Row],['# Hygiene Promoters ]]&lt;600,1,0))))</f>
        <v>0</v>
      </c>
      <c r="BU292" s="405">
        <f>IF(WWWW[[#This Row],[%HH with access to soap]]&gt;=100%,1,0)</f>
        <v>0</v>
      </c>
      <c r="BV292" s="405">
        <f>IF(WWWW[[#This Row],[% of HHs with access to Sanitary pad more than '#%]]+WWWW[[#This Row],[Ratio of Hyiene promoters to people less than '#]]+WWWW[[#This Row],[% of HHs with access to soap more than '#%]]&gt;=2,WWWW[[#This Row],[Total PoP ]],0)</f>
        <v>0</v>
      </c>
      <c r="BW292" s="391">
        <f>WWWW[[#This Row],['# people reached by regular dedicated hygiene promotion_5]]/WWWW[[#This Row],[Total PoP ]]</f>
        <v>0</v>
      </c>
      <c r="BX292" s="391">
        <f>IF(WWWW[[#This Row],['# HH received soaps]]/WWWW[[#This Row],[Total HH]]&gt;1,1,WWWW[[#This Row],['# HH received soaps]]/WWWW[[#This Row],[Total HH]])</f>
        <v>0</v>
      </c>
      <c r="BY292" s="391">
        <f>IF(WWWW[[#This Row],['# HH received Sanitary Pads]]/WWWW[[#This Row],[Total HH]]&gt;1,1,WWWW[[#This Row],['# HH received Sanitary Pads]]/WWWW[[#This Row],[Total HH]])</f>
        <v>0</v>
      </c>
      <c r="BZ292" s="721">
        <f>WWWW[[#This Row],['# HH received soaps]]*5</f>
        <v>0</v>
      </c>
      <c r="CA292" s="721">
        <f>WWWW[[#This Row],['# HH received Sanitary Pads]]*5</f>
        <v>0</v>
      </c>
      <c r="CB292" s="406">
        <f>IF(WWWW[[#This Row],['# People with access to soap]]&gt;WWWW[[#This Row],['# People with access to Sanity Pads]],WWWW[[#This Row],['# People with access to soap]],WWWW[[#This Row],['# People with access to Sanity Pads]])</f>
        <v>0</v>
      </c>
      <c r="CC292" s="405">
        <f>WWWW[[#This Row],[Total HH]]*WWWW[[#This Row],[%HHs with access to functional hand washing stations]]</f>
        <v>0</v>
      </c>
      <c r="CD292" s="240">
        <f>VLOOKUP(WWWW[[#This Row],[Site Name]],SiteDB6[],8,FALSE)</f>
        <v>0</v>
      </c>
      <c r="CE292" s="240">
        <f>VLOOKUP(WWWW[[#This Row],[Site Name]],SiteDB6[],9,FALSE)</f>
        <v>0</v>
      </c>
      <c r="CF292" s="240" t="str">
        <f>VLOOKUP(WWWW[[#This Row],[Site Name]],SiteDB6[],10,FALSE)</f>
        <v>Village</v>
      </c>
      <c r="CG292" s="240" t="str">
        <f>VLOOKUP(WWWW[[#This Row],[Site Name]],SiteDB6[],11,FALSE)</f>
        <v>Village</v>
      </c>
      <c r="CH292" s="240" t="str">
        <f>VLOOKUP(WWWW[[#This Row],[Site Name]],SiteDB6[],12,FALSE)</f>
        <v>Village</v>
      </c>
      <c r="CI292" s="240" t="str">
        <f>VLOOKUP(WWWW[[#This Row],[Site Name]],SiteDB6[],13,FALSE)</f>
        <v>Rakhine</v>
      </c>
      <c r="CJ292" s="240">
        <f>VLOOKUP(WWWW[[#This Row],[Site Name]],SiteDB6[],14,FALSE)</f>
        <v>20.339799880981399</v>
      </c>
      <c r="CK292" s="240">
        <f>VLOOKUP(WWWW[[#This Row],[Site Name]],SiteDB6[],15,FALSE)</f>
        <v>92.782653808593807</v>
      </c>
      <c r="CL292" s="240" t="str">
        <f>VLOOKUP(WWWW[[#This Row],[Site Name]],SiteDB6[],4,FALSE)</f>
        <v>197779</v>
      </c>
      <c r="CM292" s="404" t="str">
        <f t="shared" si="4"/>
        <v>Notcovered</v>
      </c>
      <c r="CN292" s="404"/>
    </row>
    <row r="293" spans="1:92" ht="15.75" hidden="1" customHeight="1" x14ac:dyDescent="0.25">
      <c r="A293" s="532" t="s">
        <v>1409</v>
      </c>
      <c r="B293" s="595" t="s">
        <v>470</v>
      </c>
      <c r="C293" s="597" t="s">
        <v>464</v>
      </c>
      <c r="D293" s="597" t="s">
        <v>508</v>
      </c>
      <c r="E293" s="597" t="s">
        <v>644</v>
      </c>
      <c r="F293" s="233">
        <v>425</v>
      </c>
      <c r="G293" s="414">
        <v>2552</v>
      </c>
      <c r="H293" s="233"/>
      <c r="I293" s="402" t="s">
        <v>401</v>
      </c>
      <c r="J293" s="403">
        <v>43220</v>
      </c>
      <c r="K293" s="402"/>
      <c r="L293" s="402" t="s">
        <v>48</v>
      </c>
      <c r="M293" s="404">
        <v>0.5</v>
      </c>
      <c r="N293" s="404">
        <v>0</v>
      </c>
      <c r="O293" s="608">
        <v>48</v>
      </c>
      <c r="P293" s="609">
        <v>0</v>
      </c>
      <c r="Q293" s="610">
        <v>0</v>
      </c>
      <c r="R293" s="611">
        <v>0</v>
      </c>
      <c r="S293" s="611">
        <v>48</v>
      </c>
      <c r="T293" s="606"/>
      <c r="U293" s="606"/>
      <c r="V293" s="606"/>
      <c r="W293" s="606"/>
      <c r="X293" s="606"/>
      <c r="Y293" s="604" t="s">
        <v>2584</v>
      </c>
      <c r="Z293" s="598">
        <v>328</v>
      </c>
      <c r="AA293" s="599">
        <v>0</v>
      </c>
      <c r="AB293" s="629"/>
      <c r="AC293" s="632">
        <v>0</v>
      </c>
      <c r="AD293" s="628" t="s">
        <v>296</v>
      </c>
      <c r="AE293" s="80" t="s">
        <v>296</v>
      </c>
      <c r="AF293" s="80"/>
      <c r="AG293" s="80"/>
      <c r="AH293" s="633"/>
      <c r="AI293" s="652">
        <v>0</v>
      </c>
      <c r="AJ293" s="653"/>
      <c r="AK293" s="651">
        <v>580</v>
      </c>
      <c r="AL293" s="645">
        <v>0</v>
      </c>
      <c r="AM293" s="645">
        <v>0</v>
      </c>
      <c r="AN293" s="600"/>
      <c r="AO293" s="600"/>
      <c r="AP293" s="600"/>
      <c r="AQ293" s="658"/>
      <c r="AR293" s="235" t="str">
        <f>IFERROR(WWWW[[#This Row],['# of Water passed at source]]/WWWW[[#This Row],['# of Water tested at source]],"no test")</f>
        <v>no test</v>
      </c>
      <c r="AS293" s="237" t="str">
        <f>IFERROR(WWWW[[#This Row],['# of Water passed at HH]]/WWWW[[#This Row],['# of Water tested at HH]],"no test")</f>
        <v>no test</v>
      </c>
      <c r="AT293" s="237">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U293" s="237">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AV293" s="237">
        <f>IF(WWWW[[#This Row],[Location Type 1]]="Village",WWWW[[#This Row],[Access to safe drinking water for Village]],WWWW[[#This Row],[Access to safe drinking water for Camp]])</f>
        <v>1</v>
      </c>
      <c r="AW293" s="414">
        <f>WWWW[[#This Row],[%Equitable and continuous access to sufficient quantity of safe drinking water]]*WWWW[[#This Row],[Total PoP ]]</f>
        <v>2552</v>
      </c>
      <c r="AX293" s="237">
        <f>IF((WWWW[[#This Row],['# Existing protected/fenced ponds ]]*250)/WWWW[[#This Row],[Total PoP ]]&gt;1,1,WWWW[[#This Row],['# Existing protected/fenced ponds ]]*250/WWWW[[#This Row],[Total PoP ]])</f>
        <v>0</v>
      </c>
      <c r="AY293" s="414">
        <f>WWWW[[#This Row],[Access to unimproved water points]]*WWWW[[#This Row],[Total PoP ]]</f>
        <v>0</v>
      </c>
      <c r="AZ293" s="237">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A293" s="414">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2552</v>
      </c>
      <c r="BB293" s="414">
        <f>WWWW[[#This Row],['#people Equitable and continuous access to sufficient quantity of domestic water borehole n ponds_2]]/500</f>
        <v>5.1040000000000001</v>
      </c>
      <c r="BC293" s="235">
        <f>1-WWWW[[#This Row],[%Equitable and continuous access to sufficient quantity of domestic water borehole n ponds]]</f>
        <v>0</v>
      </c>
      <c r="BD293" s="414">
        <f>WWWW[[#This Row],[%equitable and continuous access to sufficient quantity of safe drinking and domestic water''s GAP]]*WWWW[[#This Row],[Total PoP ]]</f>
        <v>0</v>
      </c>
      <c r="BE293" s="238">
        <f>IF(WWWW[[#This Row],[Total required water points]]-WWWW[[#This Row],['#Water points coverage]]&lt;0,0,WWWW[[#This Row],[Total required water points]]-WWWW[[#This Row],['#Water points coverage]])</f>
        <v>0</v>
      </c>
      <c r="BF293" s="238">
        <f>ROUND(IF(WWWW[[#This Row],[Total PoP ]]&lt;500,1,WWWW[[#This Row],[Total PoP ]]/500),0)</f>
        <v>5</v>
      </c>
      <c r="BG293" s="238" t="str">
        <f>IF(AND(WWWW[[#This Row],[%of Water samples which passed at water source]]="no test",WWWW[[#This Row],[%Water samples which passed at HH]]="no test"),"No Test","Tested")</f>
        <v>No Test</v>
      </c>
      <c r="BH293" s="238">
        <f>WWWW[[#This Row],['# Existing functional latrines]]+WWWW[[#This Row],['# Existing latrines dysfunctional]]</f>
        <v>328</v>
      </c>
      <c r="BI293" s="235">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0.7711598746081505</v>
      </c>
      <c r="BJ293" s="675">
        <f>WWWW[[#This Row],[% people access to functioning Latrine]]*WWWW[[#This Row],[Total PoP ]]</f>
        <v>1968</v>
      </c>
      <c r="BK293" s="235">
        <f>IF(WWWW[[#This Row],[Location Type 1]]="camp",WWWW[[#This Row],['# potential required new latrines]]/(WWWW[[#This Row],[Total PoP ]]/20),WWWW[[#This Row],['# potential required new latrines]]/(WWWW[[#This Row],[Total PoP ]]/6))</f>
        <v>0.2280564263322884</v>
      </c>
      <c r="BL293" s="414">
        <f>IF(WWWW[[#This Row],[Total required Latrines]]-WWWW[[#This Row],[Total '# of latrine]]&lt;0,0,WWWW[[#This Row],[Total required Latrines]]-WWWW[[#This Row],[Total '# of latrine]])</f>
        <v>97</v>
      </c>
      <c r="BM293" s="238">
        <f>ROUND(IF(WWWW[[#This Row],[Location Type 1]]="camp",WWWW[[#This Row],[Total PoP ]]/20,WWWW[[#This Row],[Total PoP ]]/6),0)</f>
        <v>425</v>
      </c>
      <c r="BN293" s="239">
        <f>IF(OR(WWWW[[#This Row],['# Existing latrines dysfunctional]]="",WWWW[[#This Row],['# Existing latrines dysfunctional]]=0),0,WWWW[[#This Row],['# Existing latrines dysfunctional]]/WWWW[[#This Row],[Total '# of latrine]])</f>
        <v>0</v>
      </c>
      <c r="BO293" s="675"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P293" s="235">
        <f>WWWW[[#This Row],[People adopt basic personal and community hygiene practices]]/WWWW[[#This Row],[Total PoP ]]</f>
        <v>0</v>
      </c>
      <c r="BQ293" s="239">
        <f>1-WWWW[[#This Row],[Hygiene Coverage%]]</f>
        <v>1</v>
      </c>
      <c r="BR293" s="405">
        <f>IF(500*WWWW[[#This Row],['# Hygiene Promoters ]]&gt;WWWW[[#This Row],[Total PoP ]],WWWW[[#This Row],[Total PoP ]],500*WWWW[[#This Row],['# Hygiene Promoters ]])</f>
        <v>0</v>
      </c>
      <c r="BS293" s="405">
        <f>IF(WWWW[[#This Row],[% of HH with access to Sanitary Pad]]&gt;=100%,1,0)</f>
        <v>0</v>
      </c>
      <c r="BT293" s="405">
        <f>IF(WWWW[[#This Row],[Total PoP ]]=0,0,IF(WWWW[[#This Row],['# Hygiene Promoters ]]=0,0,IF(WWWW[[#This Row],[Location Type 1]]="Village",IF(WWWW[[#This Row],[Total PoP ]]/WWWW[[#This Row],['# Hygiene Promoters ]]&lt;1000,1,0),IF(WWWW[[#This Row],[Total PoP ]]/WWWW[[#This Row],['# Hygiene Promoters ]]&lt;600,1,0))))</f>
        <v>0</v>
      </c>
      <c r="BU293" s="405">
        <f>IF(WWWW[[#This Row],[%HH with access to soap]]&gt;=100%,1,0)</f>
        <v>0</v>
      </c>
      <c r="BV293" s="405">
        <f>IF(WWWW[[#This Row],[% of HHs with access to Sanitary pad more than '#%]]+WWWW[[#This Row],[Ratio of Hyiene promoters to people less than '#]]+WWWW[[#This Row],[% of HHs with access to soap more than '#%]]&gt;=2,WWWW[[#This Row],[Total PoP ]],0)</f>
        <v>0</v>
      </c>
      <c r="BW293" s="346">
        <f>WWWW[[#This Row],['# people reached by regular dedicated hygiene promotion_5]]/WWWW[[#This Row],[Total PoP ]]</f>
        <v>0</v>
      </c>
      <c r="BX293" s="346">
        <f>IF(WWWW[[#This Row],['# HH received soaps]]/WWWW[[#This Row],[Total HH]]&gt;1,1,WWWW[[#This Row],['# HH received soaps]]/WWWW[[#This Row],[Total HH]])</f>
        <v>0</v>
      </c>
      <c r="BY293" s="346">
        <f>IF(WWWW[[#This Row],['# HH received Sanitary Pads]]/WWWW[[#This Row],[Total HH]]&gt;1,1,WWWW[[#This Row],['# HH received Sanitary Pads]]/WWWW[[#This Row],[Total HH]])</f>
        <v>0</v>
      </c>
      <c r="BZ293" s="720">
        <f>WWWW[[#This Row],['# HH received soaps]]*5</f>
        <v>0</v>
      </c>
      <c r="CA293" s="720">
        <f>WWWW[[#This Row],['# HH received Sanitary Pads]]*5</f>
        <v>0</v>
      </c>
      <c r="CB293" s="675">
        <f>IF(WWWW[[#This Row],['# People with access to soap]]&gt;WWWW[[#This Row],['# People with access to Sanity Pads]],WWWW[[#This Row],['# People with access to soap]],WWWW[[#This Row],['# People with access to Sanity Pads]])</f>
        <v>0</v>
      </c>
      <c r="CC293" s="414">
        <f>WWWW[[#This Row],[Total HH]]*WWWW[[#This Row],[%HHs with access to functional hand washing stations]]</f>
        <v>0</v>
      </c>
      <c r="CD293" s="240">
        <f>VLOOKUP(WWWW[[#This Row],[Site Name]],SiteDB6[],8,FALSE)</f>
        <v>0</v>
      </c>
      <c r="CE293" s="240">
        <f>VLOOKUP(WWWW[[#This Row],[Site Name]],SiteDB6[],9,FALSE)</f>
        <v>0</v>
      </c>
      <c r="CF293" s="240" t="str">
        <f>VLOOKUP(WWWW[[#This Row],[Site Name]],SiteDB6[],10,FALSE)</f>
        <v>Village</v>
      </c>
      <c r="CG293" s="240" t="str">
        <f>VLOOKUP(WWWW[[#This Row],[Site Name]],SiteDB6[],11,FALSE)</f>
        <v>Village</v>
      </c>
      <c r="CH293" s="240" t="str">
        <f>VLOOKUP(WWWW[[#This Row],[Site Name]],SiteDB6[],12,FALSE)</f>
        <v>Returned</v>
      </c>
      <c r="CI293" s="240" t="str">
        <f>VLOOKUP(WWWW[[#This Row],[Site Name]],SiteDB6[],13,FALSE)</f>
        <v>Muslim</v>
      </c>
      <c r="CJ293" s="240">
        <f>VLOOKUP(WWWW[[#This Row],[Site Name]],SiteDB6[],14,FALSE)</f>
        <v>20.399269</v>
      </c>
      <c r="CK293" s="240">
        <f>VLOOKUP(WWWW[[#This Row],[Site Name]],SiteDB6[],15,FALSE)</f>
        <v>92.781294000000003</v>
      </c>
      <c r="CL293" s="240" t="str">
        <f>VLOOKUP(WWWW[[#This Row],[Site Name]],SiteDB6[],4,FALSE)</f>
        <v>MMR012CMP032</v>
      </c>
      <c r="CM293" s="235" t="str">
        <f t="shared" si="4"/>
        <v>Notcovered</v>
      </c>
      <c r="CN293" s="240"/>
    </row>
    <row r="294" spans="1:92" ht="15.75" customHeight="1" x14ac:dyDescent="0.25">
      <c r="A294" s="532" t="s">
        <v>1409</v>
      </c>
      <c r="B294" s="233" t="s">
        <v>489</v>
      </c>
      <c r="C294" s="233" t="s">
        <v>464</v>
      </c>
      <c r="D294" s="233" t="s">
        <v>465</v>
      </c>
      <c r="E294" s="233" t="s">
        <v>604</v>
      </c>
      <c r="F294" s="402">
        <v>400</v>
      </c>
      <c r="G294" s="405">
        <v>2248</v>
      </c>
      <c r="H294" s="233"/>
      <c r="I294" s="233" t="s">
        <v>2688</v>
      </c>
      <c r="J294" s="234">
        <v>43266</v>
      </c>
      <c r="K294" s="233">
        <v>20</v>
      </c>
      <c r="L294" s="233" t="s">
        <v>48</v>
      </c>
      <c r="M294" s="235">
        <v>0</v>
      </c>
      <c r="N294" s="235">
        <v>0</v>
      </c>
      <c r="O294" s="609">
        <v>0</v>
      </c>
      <c r="P294" s="615">
        <v>13</v>
      </c>
      <c r="Q294" s="606">
        <v>0</v>
      </c>
      <c r="R294" s="604">
        <v>1</v>
      </c>
      <c r="S294" s="604"/>
      <c r="T294" s="604">
        <v>13</v>
      </c>
      <c r="U294" s="604">
        <v>11</v>
      </c>
      <c r="V294" s="604">
        <v>13</v>
      </c>
      <c r="W294" s="604">
        <v>10</v>
      </c>
      <c r="X294" s="604">
        <v>0</v>
      </c>
      <c r="Y294" s="604"/>
      <c r="Z294" s="628">
        <v>118</v>
      </c>
      <c r="AA294" s="628">
        <v>24</v>
      </c>
      <c r="AB294" s="629">
        <v>3</v>
      </c>
      <c r="AC294" s="628">
        <v>142</v>
      </c>
      <c r="AD294" s="628" t="s">
        <v>293</v>
      </c>
      <c r="AE294" s="631" t="s">
        <v>293</v>
      </c>
      <c r="AF294" s="631">
        <v>0</v>
      </c>
      <c r="AG294" s="628">
        <v>0</v>
      </c>
      <c r="AH294" s="628"/>
      <c r="AI294" s="659">
        <v>0</v>
      </c>
      <c r="AJ294" s="644" t="s">
        <v>301</v>
      </c>
      <c r="AK294" s="644">
        <v>399</v>
      </c>
      <c r="AL294" s="645">
        <v>0</v>
      </c>
      <c r="AM294" s="645">
        <v>10</v>
      </c>
      <c r="AN294" s="600">
        <v>400</v>
      </c>
      <c r="AO294" s="647">
        <v>400</v>
      </c>
      <c r="AP294" s="647"/>
      <c r="AQ294" s="658"/>
      <c r="AR294" s="235">
        <f>IFERROR(WWWW[[#This Row],['# of Water passed at source]]/WWWW[[#This Row],['# of Water tested at source]],"no test")</f>
        <v>0.84615384615384615</v>
      </c>
      <c r="AS294" s="237">
        <f>IFERROR(WWWW[[#This Row],['# of Water passed at HH]]/WWWW[[#This Row],['# of Water tested at HH]],"no test")</f>
        <v>0.76923076923076927</v>
      </c>
      <c r="AT294" s="237">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U294" s="237">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AV294" s="237">
        <f>IF(WWWW[[#This Row],[Location Type 1]]="Village",WWWW[[#This Row],[Access to safe drinking water for Village]],WWWW[[#This Row],[Access to safe drinking water for Camp]])</f>
        <v>1</v>
      </c>
      <c r="AW294" s="414">
        <f>WWWW[[#This Row],[%Equitable and continuous access to sufficient quantity of safe drinking water]]*WWWW[[#This Row],[Total PoP ]]</f>
        <v>2248</v>
      </c>
      <c r="AX294" s="237">
        <f>IF((WWWW[[#This Row],['# Existing protected/fenced ponds ]]*250)/WWWW[[#This Row],[Total PoP ]]&gt;1,1,WWWW[[#This Row],['# Existing protected/fenced ponds ]]*250/WWWW[[#This Row],[Total PoP ]])</f>
        <v>0.11120996441281139</v>
      </c>
      <c r="AY294" s="414">
        <f>WWWW[[#This Row],[Access to unimproved water points]]*WWWW[[#This Row],[Total PoP ]]</f>
        <v>250</v>
      </c>
      <c r="AZ294" s="237">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A294" s="414">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2248</v>
      </c>
      <c r="BB294" s="414">
        <f>WWWW[[#This Row],['#people Equitable and continuous access to sufficient quantity of domestic water borehole n ponds_2]]/500</f>
        <v>4.4960000000000004</v>
      </c>
      <c r="BC294" s="235">
        <f>1-WWWW[[#This Row],[%Equitable and continuous access to sufficient quantity of domestic water borehole n ponds]]</f>
        <v>0</v>
      </c>
      <c r="BD294" s="414">
        <f>WWWW[[#This Row],[%equitable and continuous access to sufficient quantity of safe drinking and domestic water''s GAP]]*WWWW[[#This Row],[Total PoP ]]</f>
        <v>0</v>
      </c>
      <c r="BE294" s="238">
        <f>IF(WWWW[[#This Row],[Total required water points]]-WWWW[[#This Row],['#Water points coverage]]&lt;0,0,WWWW[[#This Row],[Total required water points]]-WWWW[[#This Row],['#Water points coverage]])</f>
        <v>0</v>
      </c>
      <c r="BF294" s="238">
        <f>ROUND(IF(WWWW[[#This Row],[Total PoP ]]&lt;500,1,WWWW[[#This Row],[Total PoP ]]/500),0)</f>
        <v>4</v>
      </c>
      <c r="BG294" s="238" t="str">
        <f>IF(AND(WWWW[[#This Row],[%of Water samples which passed at water source]]="no test",WWWW[[#This Row],[%Water samples which passed at HH]]="no test"),"No Test","Tested")</f>
        <v>Tested</v>
      </c>
      <c r="BH294" s="238">
        <f>WWWW[[#This Row],['# Existing functional latrines]]+WWWW[[#This Row],['# Existing latrines dysfunctional]]</f>
        <v>142</v>
      </c>
      <c r="BI294" s="235">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1</v>
      </c>
      <c r="BJ294" s="675">
        <f>WWWW[[#This Row],[% people access to functioning Latrine]]*WWWW[[#This Row],[Total PoP ]]</f>
        <v>2248</v>
      </c>
      <c r="BK294" s="235">
        <f>IF(WWWW[[#This Row],[Location Type 1]]="camp",WWWW[[#This Row],['# potential required new latrines]]/(WWWW[[#This Row],[Total PoP ]]/20),WWWW[[#This Row],['# potential required new latrines]]/(WWWW[[#This Row],[Total PoP ]]/6))</f>
        <v>0</v>
      </c>
      <c r="BL294" s="414">
        <f>IF(WWWW[[#This Row],[Total required Latrines]]-WWWW[[#This Row],[Total '# of latrine]]&lt;0,0,WWWW[[#This Row],[Total required Latrines]]-WWWW[[#This Row],[Total '# of latrine]])</f>
        <v>0</v>
      </c>
      <c r="BM294" s="238">
        <f>ROUND(IF(WWWW[[#This Row],[Location Type 1]]="camp",WWWW[[#This Row],[Total PoP ]]/20,WWWW[[#This Row],[Total PoP ]]/6),0)</f>
        <v>112</v>
      </c>
      <c r="BN294" s="239">
        <f>IF(OR(WWWW[[#This Row],['# Existing latrines dysfunctional]]="",WWWW[[#This Row],['# Existing latrines dysfunctional]]=0),0,WWWW[[#This Row],['# Existing latrines dysfunctional]]/WWWW[[#This Row],[Total '# of latrine]])</f>
        <v>0.16901408450704225</v>
      </c>
      <c r="BO294" s="675">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60</v>
      </c>
      <c r="BP294" s="235">
        <f>WWWW[[#This Row],[People adopt basic personal and community hygiene practices]]/WWWW[[#This Row],[Total PoP ]]</f>
        <v>1</v>
      </c>
      <c r="BQ294" s="239">
        <f>1-WWWW[[#This Row],[Hygiene Coverage%]]</f>
        <v>0</v>
      </c>
      <c r="BR294" s="414">
        <f>IF(500*WWWW[[#This Row],['# Hygiene Promoters ]]&gt;WWWW[[#This Row],[Total PoP ]],WWWW[[#This Row],[Total PoP ]],500*WWWW[[#This Row],['# Hygiene Promoters ]])</f>
        <v>2248</v>
      </c>
      <c r="BS294" s="414">
        <f>IF(WWWW[[#This Row],[% of HH with access to Sanitary Pad]]&gt;=100%,1,0)</f>
        <v>1</v>
      </c>
      <c r="BT294" s="414">
        <f>IF(WWWW[[#This Row],[Total PoP ]]=0,0,IF(WWWW[[#This Row],['# Hygiene Promoters ]]=0,0,IF(WWWW[[#This Row],[Location Type 1]]="Village",IF(WWWW[[#This Row],[Total PoP ]]/WWWW[[#This Row],['# Hygiene Promoters ]]&lt;1000,1,0),IF(WWWW[[#This Row],[Total PoP ]]/WWWW[[#This Row],['# Hygiene Promoters ]]&lt;600,1,0))))</f>
        <v>1</v>
      </c>
      <c r="BU294" s="414">
        <f>IF(WWWW[[#This Row],[%HH with access to soap]]&gt;=100%,1,0)</f>
        <v>1</v>
      </c>
      <c r="BV294" s="414">
        <f>IF(WWWW[[#This Row],[% of HHs with access to Sanitary pad more than '#%]]+WWWW[[#This Row],[Ratio of Hyiene promoters to people less than '#]]+WWWW[[#This Row],[% of HHs with access to soap more than '#%]]&gt;=2,WWWW[[#This Row],[Total PoP ]],0)</f>
        <v>2248</v>
      </c>
      <c r="BW294" s="346">
        <f>WWWW[[#This Row],['# people reached by regular dedicated hygiene promotion_5]]/WWWW[[#This Row],[Total PoP ]]</f>
        <v>1</v>
      </c>
      <c r="BX294" s="346">
        <f>IF(WWWW[[#This Row],['# HH received soaps]]/WWWW[[#This Row],[Total HH]]&gt;1,1,WWWW[[#This Row],['# HH received soaps]]/WWWW[[#This Row],[Total HH]])</f>
        <v>1</v>
      </c>
      <c r="BY294" s="346">
        <f>IF(WWWW[[#This Row],['# HH received Sanitary Pads]]/WWWW[[#This Row],[Total HH]]&gt;1,1,WWWW[[#This Row],['# HH received Sanitary Pads]]/WWWW[[#This Row],[Total HH]])</f>
        <v>1</v>
      </c>
      <c r="BZ294" s="720">
        <f>WWWW[[#This Row],['# HH received soaps]]*5</f>
        <v>2000</v>
      </c>
      <c r="CA294" s="720">
        <f>WWWW[[#This Row],['# HH received Sanitary Pads]]*5</f>
        <v>2000</v>
      </c>
      <c r="CB294" s="238">
        <f>IF(WWWW[[#This Row],['# People with access to soap]]&gt;WWWW[[#This Row],['# People with access to Sanity Pads]],WWWW[[#This Row],['# People with access to soap]],WWWW[[#This Row],['# People with access to Sanity Pads]])</f>
        <v>2000</v>
      </c>
      <c r="CC294" s="414">
        <f>WWWW[[#This Row],[Total HH]]*WWWW[[#This Row],[%HHs with access to functional hand washing stations]]</f>
        <v>0</v>
      </c>
      <c r="CD294" s="240" t="str">
        <f>VLOOKUP(WWWW[[#This Row],[Site Name]],SiteDB6[],8,FALSE)</f>
        <v>Yes</v>
      </c>
      <c r="CE294" s="240" t="str">
        <f>VLOOKUP(WWWW[[#This Row],[Site Name]],SiteDB6[],9,FALSE)</f>
        <v>LWF</v>
      </c>
      <c r="CF294" s="240" t="str">
        <f>VLOOKUP(WWWW[[#This Row],[Site Name]],SiteDB6[],10,FALSE)</f>
        <v>Camp</v>
      </c>
      <c r="CG294" s="240" t="str">
        <f>VLOOKUP(WWWW[[#This Row],[Site Name]],SiteDB6[],11,FALSE)</f>
        <v>Camp</v>
      </c>
      <c r="CH294" s="240" t="str">
        <f>VLOOKUP(WWWW[[#This Row],[Site Name]],SiteDB6[],12,FALSE)</f>
        <v>Planned Camp</v>
      </c>
      <c r="CI294" s="240" t="str">
        <f>VLOOKUP(WWWW[[#This Row],[Site Name]],SiteDB6[],13,FALSE)</f>
        <v>Muslim</v>
      </c>
      <c r="CJ294" s="240">
        <f>VLOOKUP(WWWW[[#This Row],[Site Name]],SiteDB6[],14,FALSE)</f>
        <v>20.181778000000001</v>
      </c>
      <c r="CK294" s="240">
        <f>VLOOKUP(WWWW[[#This Row],[Site Name]],SiteDB6[],15,FALSE)</f>
        <v>92.823166999999998</v>
      </c>
      <c r="CL294" s="240" t="str">
        <f>VLOOKUP(WWWW[[#This Row],[Site Name]],SiteDB6[],4,FALSE)</f>
        <v>MMR012CMP042</v>
      </c>
      <c r="CM294" s="235" t="str">
        <f t="shared" si="4"/>
        <v>Covered</v>
      </c>
      <c r="CN294" s="235"/>
    </row>
    <row r="295" spans="1:92" ht="15.75" customHeight="1" x14ac:dyDescent="0.25">
      <c r="A295" s="532" t="s">
        <v>1409</v>
      </c>
      <c r="B295" s="402" t="s">
        <v>2572</v>
      </c>
      <c r="C295" s="314" t="s">
        <v>464</v>
      </c>
      <c r="D295" s="314" t="s">
        <v>465</v>
      </c>
      <c r="E295" s="314" t="s">
        <v>618</v>
      </c>
      <c r="F295" s="402">
        <v>673</v>
      </c>
      <c r="G295" s="405">
        <v>3095</v>
      </c>
      <c r="H295" s="402"/>
      <c r="I295" s="233" t="s">
        <v>2688</v>
      </c>
      <c r="J295" s="234">
        <v>43266</v>
      </c>
      <c r="K295" s="402">
        <v>20</v>
      </c>
      <c r="L295" s="233" t="s">
        <v>48</v>
      </c>
      <c r="M295" s="235">
        <v>0</v>
      </c>
      <c r="N295" s="235">
        <v>0</v>
      </c>
      <c r="O295" s="605">
        <v>0</v>
      </c>
      <c r="P295" s="606">
        <v>24</v>
      </c>
      <c r="Q295" s="606">
        <v>0</v>
      </c>
      <c r="R295" s="607">
        <v>0</v>
      </c>
      <c r="S295" s="607"/>
      <c r="T295" s="607">
        <v>24</v>
      </c>
      <c r="U295" s="607">
        <v>21</v>
      </c>
      <c r="V295" s="607">
        <v>24</v>
      </c>
      <c r="W295" s="607">
        <v>16</v>
      </c>
      <c r="X295" s="607"/>
      <c r="Y295" s="607"/>
      <c r="Z295" s="598">
        <v>188</v>
      </c>
      <c r="AA295" s="598">
        <v>15</v>
      </c>
      <c r="AB295" s="80">
        <v>3</v>
      </c>
      <c r="AC295" s="598">
        <v>203</v>
      </c>
      <c r="AD295" s="598" t="s">
        <v>293</v>
      </c>
      <c r="AE295" s="599" t="s">
        <v>293</v>
      </c>
      <c r="AF295" s="599"/>
      <c r="AG295" s="598"/>
      <c r="AH295" s="598" t="s">
        <v>2591</v>
      </c>
      <c r="AI295" s="649">
        <v>0</v>
      </c>
      <c r="AJ295" s="650" t="s">
        <v>301</v>
      </c>
      <c r="AK295" s="650">
        <v>592</v>
      </c>
      <c r="AL295" s="645">
        <v>0</v>
      </c>
      <c r="AM295" s="645">
        <v>12</v>
      </c>
      <c r="AN295" s="600">
        <v>673</v>
      </c>
      <c r="AO295" s="600">
        <v>673</v>
      </c>
      <c r="AP295" s="600"/>
      <c r="AQ295" s="651"/>
      <c r="AR295" s="404">
        <f>IFERROR(WWWW[[#This Row],['# of Water passed at source]]/WWWW[[#This Row],['# of Water tested at source]],"no test")</f>
        <v>0.875</v>
      </c>
      <c r="AS295" s="407">
        <f>IFERROR(WWWW[[#This Row],['# of Water passed at HH]]/WWWW[[#This Row],['# of Water tested at HH]],"no test")</f>
        <v>0.66666666666666663</v>
      </c>
      <c r="AT295" s="407">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U295" s="407">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AV295" s="407">
        <f>IF(WWWW[[#This Row],[Location Type 1]]="Village",WWWW[[#This Row],[Access to safe drinking water for Village]],WWWW[[#This Row],[Access to safe drinking water for Camp]])</f>
        <v>1</v>
      </c>
      <c r="AW295" s="405">
        <f>WWWW[[#This Row],[%Equitable and continuous access to sufficient quantity of safe drinking water]]*WWWW[[#This Row],[Total PoP ]]</f>
        <v>3095</v>
      </c>
      <c r="AX295" s="407">
        <f>IF((WWWW[[#This Row],['# Existing protected/fenced ponds ]]*250)/WWWW[[#This Row],[Total PoP ]]&gt;1,1,WWWW[[#This Row],['# Existing protected/fenced ponds ]]*250/WWWW[[#This Row],[Total PoP ]])</f>
        <v>0</v>
      </c>
      <c r="AY295" s="405">
        <f>WWWW[[#This Row],[Access to unimproved water points]]*WWWW[[#This Row],[Total PoP ]]</f>
        <v>0</v>
      </c>
      <c r="AZ295" s="407">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A295" s="405">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3095</v>
      </c>
      <c r="BB295" s="405">
        <f>WWWW[[#This Row],['#people Equitable and continuous access to sufficient quantity of domestic water borehole n ponds_2]]/500</f>
        <v>6.19</v>
      </c>
      <c r="BC295" s="404">
        <f>1-WWWW[[#This Row],[%Equitable and continuous access to sufficient quantity of domestic water borehole n ponds]]</f>
        <v>0</v>
      </c>
      <c r="BD295" s="405">
        <f>WWWW[[#This Row],[%equitable and continuous access to sufficient quantity of safe drinking and domestic water''s GAP]]*WWWW[[#This Row],[Total PoP ]]</f>
        <v>0</v>
      </c>
      <c r="BE295" s="406">
        <f>IF(WWWW[[#This Row],[Total required water points]]-WWWW[[#This Row],['#Water points coverage]]&lt;0,0,WWWW[[#This Row],[Total required water points]]-WWWW[[#This Row],['#Water points coverage]])</f>
        <v>0</v>
      </c>
      <c r="BF295" s="406">
        <f>ROUND(IF(WWWW[[#This Row],[Total PoP ]]&lt;500,1,WWWW[[#This Row],[Total PoP ]]/500),0)</f>
        <v>6</v>
      </c>
      <c r="BG295" s="406" t="str">
        <f>IF(AND(WWWW[[#This Row],[%of Water samples which passed at water source]]="no test",WWWW[[#This Row],[%Water samples which passed at HH]]="no test"),"No Test","Tested")</f>
        <v>Tested</v>
      </c>
      <c r="BH295" s="406">
        <f>WWWW[[#This Row],['# Existing functional latrines]]+WWWW[[#This Row],['# Existing latrines dysfunctional]]</f>
        <v>203</v>
      </c>
      <c r="BI295" s="404">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1</v>
      </c>
      <c r="BJ295" s="676">
        <f>WWWW[[#This Row],[% people access to functioning Latrine]]*WWWW[[#This Row],[Total PoP ]]</f>
        <v>3095</v>
      </c>
      <c r="BK295" s="404">
        <f>IF(WWWW[[#This Row],[Location Type 1]]="camp",WWWW[[#This Row],['# potential required new latrines]]/(WWWW[[#This Row],[Total PoP ]]/20),WWWW[[#This Row],['# potential required new latrines]]/(WWWW[[#This Row],[Total PoP ]]/6))</f>
        <v>0</v>
      </c>
      <c r="BL295" s="405">
        <f>IF(WWWW[[#This Row],[Total required Latrines]]-WWWW[[#This Row],[Total '# of latrine]]&lt;0,0,WWWW[[#This Row],[Total required Latrines]]-WWWW[[#This Row],[Total '# of latrine]])</f>
        <v>0</v>
      </c>
      <c r="BM295" s="406">
        <f>ROUND(IF(WWWW[[#This Row],[Location Type 1]]="camp",WWWW[[#This Row],[Total PoP ]]/20,WWWW[[#This Row],[Total PoP ]]/6),0)</f>
        <v>155</v>
      </c>
      <c r="BN295" s="408">
        <f>IF(OR(WWWW[[#This Row],['# Existing latrines dysfunctional]]="",WWWW[[#This Row],['# Existing latrines dysfunctional]]=0),0,WWWW[[#This Row],['# Existing latrines dysfunctional]]/WWWW[[#This Row],[Total '# of latrine]])</f>
        <v>7.3891625615763554E-2</v>
      </c>
      <c r="BO295" s="676">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60</v>
      </c>
      <c r="BP295" s="404">
        <f>WWWW[[#This Row],[People adopt basic personal and community hygiene practices]]/WWWW[[#This Row],[Total PoP ]]</f>
        <v>1</v>
      </c>
      <c r="BQ295" s="408">
        <f>1-WWWW[[#This Row],[Hygiene Coverage%]]</f>
        <v>0</v>
      </c>
      <c r="BR295" s="405">
        <f>IF(500*WWWW[[#This Row],['# Hygiene Promoters ]]&gt;WWWW[[#This Row],[Total PoP ]],WWWW[[#This Row],[Total PoP ]],500*WWWW[[#This Row],['# Hygiene Promoters ]])</f>
        <v>3095</v>
      </c>
      <c r="BS295" s="405">
        <f>IF(WWWW[[#This Row],[% of HH with access to Sanitary Pad]]&gt;=100%,1,0)</f>
        <v>1</v>
      </c>
      <c r="BT295" s="405">
        <f>IF(WWWW[[#This Row],[Total PoP ]]=0,0,IF(WWWW[[#This Row],['# Hygiene Promoters ]]=0,0,IF(WWWW[[#This Row],[Location Type 1]]="Village",IF(WWWW[[#This Row],[Total PoP ]]/WWWW[[#This Row],['# Hygiene Promoters ]]&lt;1000,1,0),IF(WWWW[[#This Row],[Total PoP ]]/WWWW[[#This Row],['# Hygiene Promoters ]]&lt;600,1,0))))</f>
        <v>1</v>
      </c>
      <c r="BU295" s="405">
        <f>IF(WWWW[[#This Row],[%HH with access to soap]]&gt;=100%,1,0)</f>
        <v>1</v>
      </c>
      <c r="BV295" s="405">
        <f>IF(WWWW[[#This Row],[% of HHs with access to Sanitary pad more than '#%]]+WWWW[[#This Row],[Ratio of Hyiene promoters to people less than '#]]+WWWW[[#This Row],[% of HHs with access to soap more than '#%]]&gt;=2,WWWW[[#This Row],[Total PoP ]],0)</f>
        <v>3095</v>
      </c>
      <c r="BW295" s="391">
        <f>WWWW[[#This Row],['# people reached by regular dedicated hygiene promotion_5]]/WWWW[[#This Row],[Total PoP ]]</f>
        <v>1</v>
      </c>
      <c r="BX295" s="391">
        <f>IF(WWWW[[#This Row],['# HH received soaps]]/WWWW[[#This Row],[Total HH]]&gt;1,1,WWWW[[#This Row],['# HH received soaps]]/WWWW[[#This Row],[Total HH]])</f>
        <v>1</v>
      </c>
      <c r="BY295" s="391">
        <f>IF(WWWW[[#This Row],['# HH received Sanitary Pads]]/WWWW[[#This Row],[Total HH]]&gt;1,1,WWWW[[#This Row],['# HH received Sanitary Pads]]/WWWW[[#This Row],[Total HH]])</f>
        <v>1</v>
      </c>
      <c r="BZ295" s="721">
        <f>WWWW[[#This Row],['# HH received soaps]]*5</f>
        <v>3365</v>
      </c>
      <c r="CA295" s="721">
        <f>WWWW[[#This Row],['# HH received Sanitary Pads]]*5</f>
        <v>3365</v>
      </c>
      <c r="CB295" s="406">
        <f>IF(WWWW[[#This Row],['# People with access to soap]]&gt;WWWW[[#This Row],['# People with access to Sanity Pads]],WWWW[[#This Row],['# People with access to soap]],WWWW[[#This Row],['# People with access to Sanity Pads]])</f>
        <v>3365</v>
      </c>
      <c r="CC295" s="405">
        <f>WWWW[[#This Row],[Total HH]]*WWWW[[#This Row],[%HHs with access to functional hand washing stations]]</f>
        <v>0</v>
      </c>
      <c r="CD295" s="240" t="str">
        <f>VLOOKUP(WWWW[[#This Row],[Site Name]],SiteDB6[],8,FALSE)</f>
        <v>Yes</v>
      </c>
      <c r="CE295" s="240" t="str">
        <f>VLOOKUP(WWWW[[#This Row],[Site Name]],SiteDB6[],9,FALSE)</f>
        <v>DRC</v>
      </c>
      <c r="CF295" s="240" t="str">
        <f>VLOOKUP(WWWW[[#This Row],[Site Name]],SiteDB6[],10,FALSE)</f>
        <v>Camp</v>
      </c>
      <c r="CG295" s="240" t="str">
        <f>VLOOKUP(WWWW[[#This Row],[Site Name]],SiteDB6[],11,FALSE)</f>
        <v>Camp</v>
      </c>
      <c r="CH295" s="240" t="str">
        <f>VLOOKUP(WWWW[[#This Row],[Site Name]],SiteDB6[],12,FALSE)</f>
        <v>Planned Camp</v>
      </c>
      <c r="CI295" s="240" t="str">
        <f>VLOOKUP(WWWW[[#This Row],[Site Name]],SiteDB6[],13,FALSE)</f>
        <v>Muslim</v>
      </c>
      <c r="CJ295" s="240">
        <f>VLOOKUP(WWWW[[#This Row],[Site Name]],SiteDB6[],14,FALSE)</f>
        <v>20.206778</v>
      </c>
      <c r="CK295" s="240">
        <f>VLOOKUP(WWWW[[#This Row],[Site Name]],SiteDB6[],15,FALSE)</f>
        <v>92.774193999999994</v>
      </c>
      <c r="CL295" s="240" t="str">
        <f>VLOOKUP(WWWW[[#This Row],[Site Name]],SiteDB6[],4,FALSE)</f>
        <v>MMR012CMP098</v>
      </c>
      <c r="CM295" s="404" t="str">
        <f t="shared" si="4"/>
        <v>Covered</v>
      </c>
      <c r="CN295" s="404"/>
    </row>
    <row r="296" spans="1:92" ht="15.75" hidden="1" customHeight="1" x14ac:dyDescent="0.25">
      <c r="A296" s="532" t="s">
        <v>1409</v>
      </c>
      <c r="B296" s="233" t="s">
        <v>2572</v>
      </c>
      <c r="C296" s="233" t="s">
        <v>464</v>
      </c>
      <c r="D296" s="233" t="s">
        <v>465</v>
      </c>
      <c r="E296" s="233" t="s">
        <v>592</v>
      </c>
      <c r="F296" s="233">
        <v>249</v>
      </c>
      <c r="G296" s="414">
        <v>1362</v>
      </c>
      <c r="H296" s="233"/>
      <c r="I296" s="233" t="s">
        <v>2688</v>
      </c>
      <c r="J296" s="234">
        <v>43266</v>
      </c>
      <c r="K296" s="233">
        <v>20</v>
      </c>
      <c r="L296" s="233" t="s">
        <v>48</v>
      </c>
      <c r="M296" s="235">
        <v>0</v>
      </c>
      <c r="N296" s="235">
        <v>0</v>
      </c>
      <c r="O296" s="609">
        <v>0</v>
      </c>
      <c r="P296" s="615">
        <v>15</v>
      </c>
      <c r="Q296" s="615">
        <v>0</v>
      </c>
      <c r="R296" s="604">
        <v>1</v>
      </c>
      <c r="S296" s="604">
        <v>17</v>
      </c>
      <c r="T296" s="604">
        <v>13</v>
      </c>
      <c r="U296" s="604">
        <v>11</v>
      </c>
      <c r="V296" s="604">
        <v>13</v>
      </c>
      <c r="W296" s="604">
        <v>9</v>
      </c>
      <c r="X296" s="604"/>
      <c r="Y296" s="604"/>
      <c r="Z296" s="628">
        <v>249</v>
      </c>
      <c r="AA296" s="628">
        <v>0</v>
      </c>
      <c r="AB296" s="629"/>
      <c r="AC296" s="628">
        <v>249</v>
      </c>
      <c r="AD296" s="628" t="s">
        <v>342</v>
      </c>
      <c r="AE296" s="631" t="s">
        <v>293</v>
      </c>
      <c r="AF296" s="631"/>
      <c r="AG296" s="628"/>
      <c r="AH296" s="628"/>
      <c r="AI296" s="659">
        <v>0</v>
      </c>
      <c r="AJ296" s="644" t="s">
        <v>294</v>
      </c>
      <c r="AK296" s="644">
        <v>0</v>
      </c>
      <c r="AL296" s="645">
        <v>0</v>
      </c>
      <c r="AM296" s="645">
        <v>4</v>
      </c>
      <c r="AN296" s="649">
        <v>249</v>
      </c>
      <c r="AO296" s="659">
        <v>249</v>
      </c>
      <c r="AP296" s="659"/>
      <c r="AQ296" s="658"/>
      <c r="AR296" s="235">
        <f>IFERROR(WWWW[[#This Row],['# of Water passed at source]]/WWWW[[#This Row],['# of Water tested at source]],"no test")</f>
        <v>0.84615384615384615</v>
      </c>
      <c r="AS296" s="237">
        <f>IFERROR(WWWW[[#This Row],['# of Water passed at HH]]/WWWW[[#This Row],['# of Water tested at HH]],"no test")</f>
        <v>0.69230769230769229</v>
      </c>
      <c r="AT296" s="237">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U296" s="237">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AV296" s="237">
        <f>IF(WWWW[[#This Row],[Location Type 1]]="Village",WWWW[[#This Row],[Access to safe drinking water for Village]],WWWW[[#This Row],[Access to safe drinking water for Camp]])</f>
        <v>1</v>
      </c>
      <c r="AW296" s="414">
        <f>WWWW[[#This Row],[%Equitable and continuous access to sufficient quantity of safe drinking water]]*WWWW[[#This Row],[Total PoP ]]</f>
        <v>1362</v>
      </c>
      <c r="AX296" s="237">
        <f>IF((WWWW[[#This Row],['# Existing protected/fenced ponds ]]*250)/WWWW[[#This Row],[Total PoP ]]&gt;1,1,WWWW[[#This Row],['# Existing protected/fenced ponds ]]*250/WWWW[[#This Row],[Total PoP ]])</f>
        <v>0.18355359765051396</v>
      </c>
      <c r="AY296" s="414">
        <f>WWWW[[#This Row],[Access to unimproved water points]]*WWWW[[#This Row],[Total PoP ]]</f>
        <v>250.00000000000003</v>
      </c>
      <c r="AZ296" s="237">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A296" s="414">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1362</v>
      </c>
      <c r="BB296" s="414">
        <f>WWWW[[#This Row],['#people Equitable and continuous access to sufficient quantity of domestic water borehole n ponds_2]]/500</f>
        <v>2.7240000000000002</v>
      </c>
      <c r="BC296" s="235">
        <f>1-WWWW[[#This Row],[%Equitable and continuous access to sufficient quantity of domestic water borehole n ponds]]</f>
        <v>0</v>
      </c>
      <c r="BD296" s="414">
        <f>WWWW[[#This Row],[%equitable and continuous access to sufficient quantity of safe drinking and domestic water''s GAP]]*WWWW[[#This Row],[Total PoP ]]</f>
        <v>0</v>
      </c>
      <c r="BE296" s="238">
        <f>IF(WWWW[[#This Row],[Total required water points]]-WWWW[[#This Row],['#Water points coverage]]&lt;0,0,WWWW[[#This Row],[Total required water points]]-WWWW[[#This Row],['#Water points coverage]])</f>
        <v>0.2759999999999998</v>
      </c>
      <c r="BF296" s="238">
        <f>ROUND(IF(WWWW[[#This Row],[Total PoP ]]&lt;500,1,WWWW[[#This Row],[Total PoP ]]/500),0)</f>
        <v>3</v>
      </c>
      <c r="BG296" s="238" t="str">
        <f>IF(AND(WWWW[[#This Row],[%of Water samples which passed at water source]]="no test",WWWW[[#This Row],[%Water samples which passed at HH]]="no test"),"No Test","Tested")</f>
        <v>Tested</v>
      </c>
      <c r="BH296" s="238">
        <f>WWWW[[#This Row],['# Existing functional latrines]]+WWWW[[#This Row],['# Existing latrines dysfunctional]]</f>
        <v>249</v>
      </c>
      <c r="BI296" s="235">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1</v>
      </c>
      <c r="BJ296" s="675">
        <f>WWWW[[#This Row],[% people access to functioning Latrine]]*WWWW[[#This Row],[Total PoP ]]</f>
        <v>1362</v>
      </c>
      <c r="BK296" s="235">
        <f>IF(WWWW[[#This Row],[Location Type 1]]="camp",WWWW[[#This Row],['# potential required new latrines]]/(WWWW[[#This Row],[Total PoP ]]/20),WWWW[[#This Row],['# potential required new latrines]]/(WWWW[[#This Row],[Total PoP ]]/6))</f>
        <v>0</v>
      </c>
      <c r="BL296" s="414">
        <f>IF(WWWW[[#This Row],[Total required Latrines]]-WWWW[[#This Row],[Total '# of latrine]]&lt;0,0,WWWW[[#This Row],[Total required Latrines]]-WWWW[[#This Row],[Total '# of latrine]])</f>
        <v>0</v>
      </c>
      <c r="BM296" s="238">
        <f>ROUND(IF(WWWW[[#This Row],[Location Type 1]]="camp",WWWW[[#This Row],[Total PoP ]]/20,WWWW[[#This Row],[Total PoP ]]/6),0)</f>
        <v>227</v>
      </c>
      <c r="BN296" s="239">
        <f>IF(OR(WWWW[[#This Row],['# Existing latrines dysfunctional]]="",WWWW[[#This Row],['# Existing latrines dysfunctional]]=0),0,WWWW[[#This Row],['# Existing latrines dysfunctional]]/WWWW[[#This Row],[Total '# of latrine]])</f>
        <v>0</v>
      </c>
      <c r="BO296" s="675"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P296" s="235">
        <f>WWWW[[#This Row],[People adopt basic personal and community hygiene practices]]/WWWW[[#This Row],[Total PoP ]]</f>
        <v>1</v>
      </c>
      <c r="BQ296" s="239">
        <f>1-WWWW[[#This Row],[Hygiene Coverage%]]</f>
        <v>0</v>
      </c>
      <c r="BR296" s="414">
        <f>IF(500*WWWW[[#This Row],['# Hygiene Promoters ]]&gt;WWWW[[#This Row],[Total PoP ]],WWWW[[#This Row],[Total PoP ]],500*WWWW[[#This Row],['# Hygiene Promoters ]])</f>
        <v>1362</v>
      </c>
      <c r="BS296" s="414">
        <f>IF(WWWW[[#This Row],[% of HH with access to Sanitary Pad]]&gt;=100%,1,0)</f>
        <v>1</v>
      </c>
      <c r="BT296" s="414">
        <f>IF(WWWW[[#This Row],[Total PoP ]]=0,0,IF(WWWW[[#This Row],['# Hygiene Promoters ]]=0,0,IF(WWWW[[#This Row],[Location Type 1]]="Village",IF(WWWW[[#This Row],[Total PoP ]]/WWWW[[#This Row],['# Hygiene Promoters ]]&lt;1000,1,0),IF(WWWW[[#This Row],[Total PoP ]]/WWWW[[#This Row],['# Hygiene Promoters ]]&lt;600,1,0))))</f>
        <v>1</v>
      </c>
      <c r="BU296" s="414">
        <f>IF(WWWW[[#This Row],[%HH with access to soap]]&gt;=100%,1,0)</f>
        <v>1</v>
      </c>
      <c r="BV296" s="414">
        <f>IF(WWWW[[#This Row],[% of HHs with access to Sanitary pad more than '#%]]+WWWW[[#This Row],[Ratio of Hyiene promoters to people less than '#]]+WWWW[[#This Row],[% of HHs with access to soap more than '#%]]&gt;=2,WWWW[[#This Row],[Total PoP ]],0)</f>
        <v>1362</v>
      </c>
      <c r="BW296" s="346">
        <f>WWWW[[#This Row],['# people reached by regular dedicated hygiene promotion_5]]/WWWW[[#This Row],[Total PoP ]]</f>
        <v>1</v>
      </c>
      <c r="BX296" s="346">
        <f>IF(WWWW[[#This Row],['# HH received soaps]]/WWWW[[#This Row],[Total HH]]&gt;1,1,WWWW[[#This Row],['# HH received soaps]]/WWWW[[#This Row],[Total HH]])</f>
        <v>1</v>
      </c>
      <c r="BY296" s="346">
        <f>IF(WWWW[[#This Row],['# HH received Sanitary Pads]]/WWWW[[#This Row],[Total HH]]&gt;1,1,WWWW[[#This Row],['# HH received Sanitary Pads]]/WWWW[[#This Row],[Total HH]])</f>
        <v>1</v>
      </c>
      <c r="BZ296" s="720">
        <f>WWWW[[#This Row],['# HH received soaps]]*5</f>
        <v>1245</v>
      </c>
      <c r="CA296" s="720">
        <f>WWWW[[#This Row],['# HH received Sanitary Pads]]*5</f>
        <v>1245</v>
      </c>
      <c r="CB296" s="238">
        <f>IF(WWWW[[#This Row],['# People with access to soap]]&gt;WWWW[[#This Row],['# People with access to Sanity Pads]],WWWW[[#This Row],['# People with access to soap]],WWWW[[#This Row],['# People with access to Sanity Pads]])</f>
        <v>1245</v>
      </c>
      <c r="CC296" s="414">
        <f>WWWW[[#This Row],[Total HH]]*WWWW[[#This Row],[%HHs with access to functional hand washing stations]]</f>
        <v>0</v>
      </c>
      <c r="CD296" s="240">
        <f>VLOOKUP(WWWW[[#This Row],[Site Name]],SiteDB6[],8,FALSE)</f>
        <v>0</v>
      </c>
      <c r="CE296" s="240">
        <f>VLOOKUP(WWWW[[#This Row],[Site Name]],SiteDB6[],9,FALSE)</f>
        <v>0</v>
      </c>
      <c r="CF296" s="240" t="str">
        <f>VLOOKUP(WWWW[[#This Row],[Site Name]],SiteDB6[],10,FALSE)</f>
        <v>Village</v>
      </c>
      <c r="CG296" s="240" t="str">
        <f>VLOOKUP(WWWW[[#This Row],[Site Name]],SiteDB6[],11,FALSE)</f>
        <v>Village</v>
      </c>
      <c r="CH296" s="240" t="str">
        <f>VLOOKUP(WWWW[[#This Row],[Site Name]],SiteDB6[],12,FALSE)</f>
        <v>Relocated</v>
      </c>
      <c r="CI296" s="240" t="str">
        <f>VLOOKUP(WWWW[[#This Row],[Site Name]],SiteDB6[],13,FALSE)</f>
        <v>Rakhine</v>
      </c>
      <c r="CJ296" s="240">
        <f>VLOOKUP(WWWW[[#This Row],[Site Name]],SiteDB6[],14,FALSE)</f>
        <v>20.151471999999998</v>
      </c>
      <c r="CK296" s="240">
        <f>VLOOKUP(WWWW[[#This Row],[Site Name]],SiteDB6[],15,FALSE)</f>
        <v>92.887277999999995</v>
      </c>
      <c r="CL296" s="240" t="str">
        <f>VLOOKUP(WWWW[[#This Row],[Site Name]],SiteDB6[],4,FALSE)</f>
        <v>MMR012CMP111</v>
      </c>
      <c r="CM296" s="235" t="str">
        <f t="shared" si="4"/>
        <v>Covered</v>
      </c>
      <c r="CN296" s="235"/>
    </row>
    <row r="297" spans="1:92" ht="15.75" customHeight="1" x14ac:dyDescent="0.25">
      <c r="A297" s="532" t="s">
        <v>1409</v>
      </c>
      <c r="B297" s="533" t="s">
        <v>583</v>
      </c>
      <c r="C297" s="533" t="s">
        <v>464</v>
      </c>
      <c r="D297" s="533" t="s">
        <v>465</v>
      </c>
      <c r="E297" s="533" t="s">
        <v>619</v>
      </c>
      <c r="F297" s="233">
        <v>400</v>
      </c>
      <c r="G297" s="414">
        <v>2187</v>
      </c>
      <c r="H297" s="233"/>
      <c r="I297" s="233" t="s">
        <v>452</v>
      </c>
      <c r="J297" s="234">
        <v>43404</v>
      </c>
      <c r="K297" s="233">
        <v>0</v>
      </c>
      <c r="L297" s="233" t="s">
        <v>292</v>
      </c>
      <c r="M297" s="235">
        <v>0</v>
      </c>
      <c r="N297" s="235">
        <v>0</v>
      </c>
      <c r="O297" s="609">
        <v>0</v>
      </c>
      <c r="P297" s="615">
        <v>28</v>
      </c>
      <c r="Q297" s="615">
        <v>0</v>
      </c>
      <c r="R297" s="604">
        <v>0</v>
      </c>
      <c r="S297" s="604">
        <v>0</v>
      </c>
      <c r="T297" s="604"/>
      <c r="U297" s="604"/>
      <c r="V297" s="604"/>
      <c r="W297" s="604"/>
      <c r="X297" s="604"/>
      <c r="Y297" s="604"/>
      <c r="Z297" s="628">
        <v>98</v>
      </c>
      <c r="AA297" s="628">
        <v>0</v>
      </c>
      <c r="AB297" s="629">
        <v>65</v>
      </c>
      <c r="AC297" s="628">
        <v>0</v>
      </c>
      <c r="AD297" s="628" t="s">
        <v>293</v>
      </c>
      <c r="AE297" s="631" t="s">
        <v>293</v>
      </c>
      <c r="AF297" s="631"/>
      <c r="AG297" s="628"/>
      <c r="AH297" s="628"/>
      <c r="AI297" s="659">
        <v>0</v>
      </c>
      <c r="AJ297" s="644" t="s">
        <v>294</v>
      </c>
      <c r="AK297" s="644">
        <v>0</v>
      </c>
      <c r="AL297" s="645">
        <v>0</v>
      </c>
      <c r="AM297" s="645">
        <v>9</v>
      </c>
      <c r="AN297" s="801">
        <v>400</v>
      </c>
      <c r="AO297" s="669">
        <v>400</v>
      </c>
      <c r="AP297" s="669" t="s">
        <v>292</v>
      </c>
      <c r="AQ297" s="658"/>
      <c r="AR297" s="235" t="str">
        <f>IFERROR(WWWW[[#This Row],['# of Water passed at source]]/WWWW[[#This Row],['# of Water tested at source]],"no test")</f>
        <v>no test</v>
      </c>
      <c r="AS297" s="237" t="str">
        <f>IFERROR(WWWW[[#This Row],['# of Water passed at HH]]/WWWW[[#This Row],['# of Water tested at HH]],"no test")</f>
        <v>no test</v>
      </c>
      <c r="AT297" s="237">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U297" s="237">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AV297" s="237">
        <f>IF(WWWW[[#This Row],[Location Type 1]]="Village",WWWW[[#This Row],[Access to safe drinking water for Village]],WWWW[[#This Row],[Access to safe drinking water for Camp]])</f>
        <v>1</v>
      </c>
      <c r="AW297" s="414">
        <f>WWWW[[#This Row],[%Equitable and continuous access to sufficient quantity of safe drinking water]]*WWWW[[#This Row],[Total PoP ]]</f>
        <v>2187</v>
      </c>
      <c r="AX297" s="237">
        <f>IF((WWWW[[#This Row],['# Existing protected/fenced ponds ]]*250)/WWWW[[#This Row],[Total PoP ]]&gt;1,1,WWWW[[#This Row],['# Existing protected/fenced ponds ]]*250/WWWW[[#This Row],[Total PoP ]])</f>
        <v>0</v>
      </c>
      <c r="AY297" s="414">
        <f>WWWW[[#This Row],[Access to unimproved water points]]*WWWW[[#This Row],[Total PoP ]]</f>
        <v>0</v>
      </c>
      <c r="AZ297" s="237">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A297" s="414">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2187</v>
      </c>
      <c r="BB297" s="414">
        <f>WWWW[[#This Row],['#people Equitable and continuous access to sufficient quantity of domestic water borehole n ponds_2]]/500</f>
        <v>4.3739999999999997</v>
      </c>
      <c r="BC297" s="235">
        <f>1-WWWW[[#This Row],[%Equitable and continuous access to sufficient quantity of domestic water borehole n ponds]]</f>
        <v>0</v>
      </c>
      <c r="BD297" s="414">
        <f>WWWW[[#This Row],[%equitable and continuous access to sufficient quantity of safe drinking and domestic water''s GAP]]*WWWW[[#This Row],[Total PoP ]]</f>
        <v>0</v>
      </c>
      <c r="BE297" s="238">
        <f>IF(WWWW[[#This Row],[Total required water points]]-WWWW[[#This Row],['#Water points coverage]]&lt;0,0,WWWW[[#This Row],[Total required water points]]-WWWW[[#This Row],['#Water points coverage]])</f>
        <v>0</v>
      </c>
      <c r="BF297" s="238">
        <f>ROUND(IF(WWWW[[#This Row],[Total PoP ]]&lt;500,1,WWWW[[#This Row],[Total PoP ]]/500),0)</f>
        <v>4</v>
      </c>
      <c r="BG297" s="238" t="str">
        <f>IF(AND(WWWW[[#This Row],[%of Water samples which passed at water source]]="no test",WWWW[[#This Row],[%Water samples which passed at HH]]="no test"),"No Test","Tested")</f>
        <v>No Test</v>
      </c>
      <c r="BH297" s="238">
        <f>WWWW[[#This Row],['# Existing functional latrines]]+WWWW[[#This Row],['# Existing latrines dysfunctional]]</f>
        <v>98</v>
      </c>
      <c r="BI297" s="235">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0.89620484682213075</v>
      </c>
      <c r="BJ297" s="675">
        <f>WWWW[[#This Row],[% people access to functioning Latrine]]*WWWW[[#This Row],[Total PoP ]]</f>
        <v>1960</v>
      </c>
      <c r="BK297" s="235">
        <f>IF(WWWW[[#This Row],[Location Type 1]]="camp",WWWW[[#This Row],['# potential required new latrines]]/(WWWW[[#This Row],[Total PoP ]]/20),WWWW[[#This Row],['# potential required new latrines]]/(WWWW[[#This Row],[Total PoP ]]/6))</f>
        <v>0.1005944215820759</v>
      </c>
      <c r="BL297" s="414">
        <f>IF(WWWW[[#This Row],[Total required Latrines]]-WWWW[[#This Row],[Total '# of latrine]]&lt;0,0,WWWW[[#This Row],[Total required Latrines]]-WWWW[[#This Row],[Total '# of latrine]])</f>
        <v>11</v>
      </c>
      <c r="BM297" s="238">
        <f>ROUND(IF(WWWW[[#This Row],[Location Type 1]]="camp",WWWW[[#This Row],[Total PoP ]]/20,WWWW[[#This Row],[Total PoP ]]/6),0)</f>
        <v>109</v>
      </c>
      <c r="BN297" s="239">
        <f>IF(OR(WWWW[[#This Row],['# Existing latrines dysfunctional]]="",WWWW[[#This Row],['# Existing latrines dysfunctional]]=0),0,WWWW[[#This Row],['# Existing latrines dysfunctional]]/WWWW[[#This Row],[Total '# of latrine]])</f>
        <v>0</v>
      </c>
      <c r="BO297" s="675">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1300</v>
      </c>
      <c r="BP297" s="235">
        <f>WWWW[[#This Row],[People adopt basic personal and community hygiene practices]]/WWWW[[#This Row],[Total PoP ]]</f>
        <v>1</v>
      </c>
      <c r="BQ297" s="239">
        <f>1-WWWW[[#This Row],[Hygiene Coverage%]]</f>
        <v>0</v>
      </c>
      <c r="BR297" s="414">
        <f>IF(500*WWWW[[#This Row],['# Hygiene Promoters ]]&gt;WWWW[[#This Row],[Total PoP ]],WWWW[[#This Row],[Total PoP ]],500*WWWW[[#This Row],['# Hygiene Promoters ]])</f>
        <v>2187</v>
      </c>
      <c r="BS297" s="414">
        <f>IF(WWWW[[#This Row],[% of HH with access to Sanitary Pad]]&gt;=100%,1,0)</f>
        <v>1</v>
      </c>
      <c r="BT297" s="414">
        <f>IF(WWWW[[#This Row],[Total PoP ]]=0,0,IF(WWWW[[#This Row],['# Hygiene Promoters ]]=0,0,IF(WWWW[[#This Row],[Location Type 1]]="Village",IF(WWWW[[#This Row],[Total PoP ]]/WWWW[[#This Row],['# Hygiene Promoters ]]&lt;1000,1,0),IF(WWWW[[#This Row],[Total PoP ]]/WWWW[[#This Row],['# Hygiene Promoters ]]&lt;600,1,0))))</f>
        <v>1</v>
      </c>
      <c r="BU297" s="414">
        <f>IF(WWWW[[#This Row],[%HH with access to soap]]&gt;=100%,1,0)</f>
        <v>1</v>
      </c>
      <c r="BV297" s="414">
        <f>IF(WWWW[[#This Row],[% of HHs with access to Sanitary pad more than '#%]]+WWWW[[#This Row],[Ratio of Hyiene promoters to people less than '#]]+WWWW[[#This Row],[% of HHs with access to soap more than '#%]]&gt;=2,WWWW[[#This Row],[Total PoP ]],0)</f>
        <v>2187</v>
      </c>
      <c r="BW297" s="346">
        <f>WWWW[[#This Row],['# people reached by regular dedicated hygiene promotion_5]]/WWWW[[#This Row],[Total PoP ]]</f>
        <v>1</v>
      </c>
      <c r="BX297" s="346">
        <f>IF(WWWW[[#This Row],['# HH received soaps]]/WWWW[[#This Row],[Total HH]]&gt;1,1,WWWW[[#This Row],['# HH received soaps]]/WWWW[[#This Row],[Total HH]])</f>
        <v>1</v>
      </c>
      <c r="BY297" s="346">
        <f>IF(WWWW[[#This Row],['# HH received Sanitary Pads]]/WWWW[[#This Row],[Total HH]]&gt;1,1,WWWW[[#This Row],['# HH received Sanitary Pads]]/WWWW[[#This Row],[Total HH]])</f>
        <v>1</v>
      </c>
      <c r="BZ297" s="720">
        <f>WWWW[[#This Row],['# HH received soaps]]*5</f>
        <v>2000</v>
      </c>
      <c r="CA297" s="720">
        <f>WWWW[[#This Row],['# HH received Sanitary Pads]]*5</f>
        <v>2000</v>
      </c>
      <c r="CB297" s="238">
        <f>IF(WWWW[[#This Row],['# People with access to soap]]&gt;WWWW[[#This Row],['# People with access to Sanity Pads]],WWWW[[#This Row],['# People with access to soap]],WWWW[[#This Row],['# People with access to Sanity Pads]])</f>
        <v>2000</v>
      </c>
      <c r="CC297" s="414">
        <f>WWWW[[#This Row],[Total HH]]*WWWW[[#This Row],[%HHs with access to functional hand washing stations]]</f>
        <v>0</v>
      </c>
      <c r="CD297" s="240">
        <f>VLOOKUP(WWWW[[#This Row],[Site Name]],SiteDB6[],8,FALSE)</f>
        <v>0</v>
      </c>
      <c r="CE297" s="240">
        <f>VLOOKUP(WWWW[[#This Row],[Site Name]],SiteDB6[],9,FALSE)</f>
        <v>0</v>
      </c>
      <c r="CF297" s="240" t="str">
        <f>VLOOKUP(WWWW[[#This Row],[Site Name]],SiteDB6[],10,FALSE)</f>
        <v>Camp</v>
      </c>
      <c r="CG297" s="240" t="str">
        <f>VLOOKUP(WWWW[[#This Row],[Site Name]],SiteDB6[],11,FALSE)</f>
        <v>Camp</v>
      </c>
      <c r="CH297" s="240" t="str">
        <f>VLOOKUP(WWWW[[#This Row],[Site Name]],SiteDB6[],12,FALSE)</f>
        <v>Closed Camp</v>
      </c>
      <c r="CI297" s="240" t="str">
        <f>VLOOKUP(WWWW[[#This Row],[Site Name]],SiteDB6[],13,FALSE)</f>
        <v>Muslim</v>
      </c>
      <c r="CJ297" s="240">
        <f>VLOOKUP(WWWW[[#This Row],[Site Name]],SiteDB6[],14,FALSE)</f>
        <v>20.207284999999999</v>
      </c>
      <c r="CK297" s="240">
        <f>VLOOKUP(WWWW[[#This Row],[Site Name]],SiteDB6[],15,FALSE)</f>
        <v>92.788177000000005</v>
      </c>
      <c r="CL297" s="240" t="str">
        <f>VLOOKUP(WWWW[[#This Row],[Site Name]],SiteDB6[],4,FALSE)</f>
        <v>MMR012CMP044</v>
      </c>
      <c r="CM297" s="235" t="str">
        <f t="shared" si="4"/>
        <v>Covered</v>
      </c>
      <c r="CN297" s="235"/>
    </row>
    <row r="298" spans="1:92" ht="15.75" customHeight="1" x14ac:dyDescent="0.25">
      <c r="A298" s="532" t="s">
        <v>1409</v>
      </c>
      <c r="B298" s="533" t="s">
        <v>583</v>
      </c>
      <c r="C298" s="533" t="s">
        <v>464</v>
      </c>
      <c r="D298" s="533" t="s">
        <v>465</v>
      </c>
      <c r="E298" s="533" t="s">
        <v>607</v>
      </c>
      <c r="F298" s="233">
        <v>2256</v>
      </c>
      <c r="G298" s="414">
        <v>12121</v>
      </c>
      <c r="H298" s="233"/>
      <c r="I298" s="233" t="s">
        <v>452</v>
      </c>
      <c r="J298" s="234">
        <v>43404</v>
      </c>
      <c r="K298" s="233">
        <v>0</v>
      </c>
      <c r="L298" s="233" t="s">
        <v>292</v>
      </c>
      <c r="M298" s="235">
        <v>0</v>
      </c>
      <c r="N298" s="235">
        <v>0</v>
      </c>
      <c r="O298" s="609">
        <v>0</v>
      </c>
      <c r="P298" s="615">
        <v>82</v>
      </c>
      <c r="Q298" s="615">
        <v>0</v>
      </c>
      <c r="R298" s="604">
        <v>0</v>
      </c>
      <c r="S298" s="604">
        <v>73</v>
      </c>
      <c r="T298" s="604">
        <v>118</v>
      </c>
      <c r="U298" s="604">
        <v>85</v>
      </c>
      <c r="V298" s="604">
        <v>0</v>
      </c>
      <c r="W298" s="604">
        <v>0</v>
      </c>
      <c r="X298" s="604">
        <v>0</v>
      </c>
      <c r="Y298" s="604"/>
      <c r="Z298" s="628">
        <v>608</v>
      </c>
      <c r="AA298" s="628">
        <v>76</v>
      </c>
      <c r="AB298" s="629">
        <v>109</v>
      </c>
      <c r="AC298" s="628">
        <v>0</v>
      </c>
      <c r="AD298" s="628" t="s">
        <v>293</v>
      </c>
      <c r="AE298" s="631" t="s">
        <v>293</v>
      </c>
      <c r="AF298" s="631">
        <v>0</v>
      </c>
      <c r="AG298" s="628">
        <v>0</v>
      </c>
      <c r="AH298" s="628"/>
      <c r="AI298" s="659">
        <v>0</v>
      </c>
      <c r="AJ298" s="644" t="s">
        <v>294</v>
      </c>
      <c r="AK298" s="644">
        <v>0</v>
      </c>
      <c r="AL298" s="645">
        <v>0</v>
      </c>
      <c r="AM298" s="645">
        <v>29</v>
      </c>
      <c r="AN298" s="600">
        <v>2256</v>
      </c>
      <c r="AO298" s="647">
        <v>2256</v>
      </c>
      <c r="AP298" s="647" t="s">
        <v>292</v>
      </c>
      <c r="AQ298" s="658"/>
      <c r="AR298" s="235">
        <f>IFERROR(WWWW[[#This Row],['# of Water passed at source]]/WWWW[[#This Row],['# of Water tested at source]],"no test")</f>
        <v>0.72033898305084743</v>
      </c>
      <c r="AS298" s="237" t="str">
        <f>IFERROR(WWWW[[#This Row],['# of Water passed at HH]]/WWWW[[#This Row],['# of Water tested at HH]],"no test")</f>
        <v>no test</v>
      </c>
      <c r="AT298" s="237">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U298" s="237">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AV298" s="237">
        <f>IF(WWWW[[#This Row],[Location Type 1]]="Village",WWWW[[#This Row],[Access to safe drinking water for Village]],WWWW[[#This Row],[Access to safe drinking water for Camp]])</f>
        <v>1</v>
      </c>
      <c r="AW298" s="414">
        <f>WWWW[[#This Row],[%Equitable and continuous access to sufficient quantity of safe drinking water]]*WWWW[[#This Row],[Total PoP ]]</f>
        <v>12121</v>
      </c>
      <c r="AX298" s="237">
        <f>IF((WWWW[[#This Row],['# Existing protected/fenced ponds ]]*250)/WWWW[[#This Row],[Total PoP ]]&gt;1,1,WWWW[[#This Row],['# Existing protected/fenced ponds ]]*250/WWWW[[#This Row],[Total PoP ]])</f>
        <v>0</v>
      </c>
      <c r="AY298" s="414">
        <f>WWWW[[#This Row],[Access to unimproved water points]]*WWWW[[#This Row],[Total PoP ]]</f>
        <v>0</v>
      </c>
      <c r="AZ298" s="237">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A298" s="414">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12121</v>
      </c>
      <c r="BB298" s="414">
        <f>WWWW[[#This Row],['#people Equitable and continuous access to sufficient quantity of domestic water borehole n ponds_2]]/500</f>
        <v>24.242000000000001</v>
      </c>
      <c r="BC298" s="235">
        <f>1-WWWW[[#This Row],[%Equitable and continuous access to sufficient quantity of domestic water borehole n ponds]]</f>
        <v>0</v>
      </c>
      <c r="BD298" s="414">
        <f>WWWW[[#This Row],[%equitable and continuous access to sufficient quantity of safe drinking and domestic water''s GAP]]*WWWW[[#This Row],[Total PoP ]]</f>
        <v>0</v>
      </c>
      <c r="BE298" s="238">
        <f>IF(WWWW[[#This Row],[Total required water points]]-WWWW[[#This Row],['#Water points coverage]]&lt;0,0,WWWW[[#This Row],[Total required water points]]-WWWW[[#This Row],['#Water points coverage]])</f>
        <v>0</v>
      </c>
      <c r="BF298" s="238">
        <f>ROUND(IF(WWWW[[#This Row],[Total PoP ]]&lt;500,1,WWWW[[#This Row],[Total PoP ]]/500),0)</f>
        <v>24</v>
      </c>
      <c r="BG298" s="238" t="str">
        <f>IF(AND(WWWW[[#This Row],[%of Water samples which passed at water source]]="no test",WWWW[[#This Row],[%Water samples which passed at HH]]="no test"),"No Test","Tested")</f>
        <v>Tested</v>
      </c>
      <c r="BH298" s="238">
        <f>WWWW[[#This Row],['# Existing functional latrines]]+WWWW[[#This Row],['# Existing latrines dysfunctional]]</f>
        <v>684</v>
      </c>
      <c r="BI298" s="235">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1</v>
      </c>
      <c r="BJ298" s="675">
        <f>WWWW[[#This Row],[% people access to functioning Latrine]]*WWWW[[#This Row],[Total PoP ]]</f>
        <v>12121</v>
      </c>
      <c r="BK298" s="235">
        <f>IF(WWWW[[#This Row],[Location Type 1]]="camp",WWWW[[#This Row],['# potential required new latrines]]/(WWWW[[#This Row],[Total PoP ]]/20),WWWW[[#This Row],['# potential required new latrines]]/(WWWW[[#This Row],[Total PoP ]]/6))</f>
        <v>0</v>
      </c>
      <c r="BL298" s="414">
        <f>IF(WWWW[[#This Row],[Total required Latrines]]-WWWW[[#This Row],[Total '# of latrine]]&lt;0,0,WWWW[[#This Row],[Total required Latrines]]-WWWW[[#This Row],[Total '# of latrine]])</f>
        <v>0</v>
      </c>
      <c r="BM298" s="238">
        <f>ROUND(IF(WWWW[[#This Row],[Location Type 1]]="camp",WWWW[[#This Row],[Total PoP ]]/20,WWWW[[#This Row],[Total PoP ]]/6),0)</f>
        <v>606</v>
      </c>
      <c r="BN298" s="239">
        <f>IF(OR(WWWW[[#This Row],['# Existing latrines dysfunctional]]="",WWWW[[#This Row],['# Existing latrines dysfunctional]]=0),0,WWWW[[#This Row],['# Existing latrines dysfunctional]]/WWWW[[#This Row],[Total '# of latrine]])</f>
        <v>0.1111111111111111</v>
      </c>
      <c r="BO298" s="675">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2180</v>
      </c>
      <c r="BP298" s="235">
        <f>WWWW[[#This Row],[People adopt basic personal and community hygiene practices]]/WWWW[[#This Row],[Total PoP ]]</f>
        <v>1</v>
      </c>
      <c r="BQ298" s="239">
        <f>1-WWWW[[#This Row],[Hygiene Coverage%]]</f>
        <v>0</v>
      </c>
      <c r="BR298" s="414">
        <f>IF(500*WWWW[[#This Row],['# Hygiene Promoters ]]&gt;WWWW[[#This Row],[Total PoP ]],WWWW[[#This Row],[Total PoP ]],500*WWWW[[#This Row],['# Hygiene Promoters ]])</f>
        <v>12121</v>
      </c>
      <c r="BS298" s="414">
        <f>IF(WWWW[[#This Row],[% of HH with access to Sanitary Pad]]&gt;=100%,1,0)</f>
        <v>1</v>
      </c>
      <c r="BT298" s="414">
        <f>IF(WWWW[[#This Row],[Total PoP ]]=0,0,IF(WWWW[[#This Row],['# Hygiene Promoters ]]=0,0,IF(WWWW[[#This Row],[Location Type 1]]="Village",IF(WWWW[[#This Row],[Total PoP ]]/WWWW[[#This Row],['# Hygiene Promoters ]]&lt;1000,1,0),IF(WWWW[[#This Row],[Total PoP ]]/WWWW[[#This Row],['# Hygiene Promoters ]]&lt;600,1,0))))</f>
        <v>1</v>
      </c>
      <c r="BU298" s="414">
        <f>IF(WWWW[[#This Row],[%HH with access to soap]]&gt;=100%,1,0)</f>
        <v>1</v>
      </c>
      <c r="BV298" s="414">
        <f>IF(WWWW[[#This Row],[% of HHs with access to Sanitary pad more than '#%]]+WWWW[[#This Row],[Ratio of Hyiene promoters to people less than '#]]+WWWW[[#This Row],[% of HHs with access to soap more than '#%]]&gt;=2,WWWW[[#This Row],[Total PoP ]],0)</f>
        <v>12121</v>
      </c>
      <c r="BW298" s="346">
        <f>WWWW[[#This Row],['# people reached by regular dedicated hygiene promotion_5]]/WWWW[[#This Row],[Total PoP ]]</f>
        <v>1</v>
      </c>
      <c r="BX298" s="346">
        <f>IF(WWWW[[#This Row],['# HH received soaps]]/WWWW[[#This Row],[Total HH]]&gt;1,1,WWWW[[#This Row],['# HH received soaps]]/WWWW[[#This Row],[Total HH]])</f>
        <v>1</v>
      </c>
      <c r="BY298" s="346">
        <f>IF(WWWW[[#This Row],['# HH received Sanitary Pads]]/WWWW[[#This Row],[Total HH]]&gt;1,1,WWWW[[#This Row],['# HH received Sanitary Pads]]/WWWW[[#This Row],[Total HH]])</f>
        <v>1</v>
      </c>
      <c r="BZ298" s="720">
        <f>WWWW[[#This Row],['# HH received soaps]]*5</f>
        <v>11280</v>
      </c>
      <c r="CA298" s="720">
        <f>WWWW[[#This Row],['# HH received Sanitary Pads]]*5</f>
        <v>11280</v>
      </c>
      <c r="CB298" s="238">
        <f>IF(WWWW[[#This Row],['# People with access to soap]]&gt;WWWW[[#This Row],['# People with access to Sanity Pads]],WWWW[[#This Row],['# People with access to soap]],WWWW[[#This Row],['# People with access to Sanity Pads]])</f>
        <v>11280</v>
      </c>
      <c r="CC298" s="414">
        <f>WWWW[[#This Row],[Total HH]]*WWWW[[#This Row],[%HHs with access to functional hand washing stations]]</f>
        <v>0</v>
      </c>
      <c r="CD298" s="240" t="str">
        <f>VLOOKUP(WWWW[[#This Row],[Site Name]],SiteDB6[],8,FALSE)</f>
        <v>Yes</v>
      </c>
      <c r="CE298" s="240" t="str">
        <f>VLOOKUP(WWWW[[#This Row],[Site Name]],SiteDB6[],9,FALSE)</f>
        <v>LWF</v>
      </c>
      <c r="CF298" s="240" t="str">
        <f>VLOOKUP(WWWW[[#This Row],[Site Name]],SiteDB6[],10,FALSE)</f>
        <v>Camp</v>
      </c>
      <c r="CG298" s="240" t="str">
        <f>VLOOKUP(WWWW[[#This Row],[Site Name]],SiteDB6[],11,FALSE)</f>
        <v>Camp</v>
      </c>
      <c r="CH298" s="240" t="str">
        <f>VLOOKUP(WWWW[[#This Row],[Site Name]],SiteDB6[],12,FALSE)</f>
        <v>Planned Camp</v>
      </c>
      <c r="CI298" s="240" t="str">
        <f>VLOOKUP(WWWW[[#This Row],[Site Name]],SiteDB6[],13,FALSE)</f>
        <v>Muslim</v>
      </c>
      <c r="CJ298" s="240">
        <f>VLOOKUP(WWWW[[#This Row],[Site Name]],SiteDB6[],14,FALSE)</f>
        <v>20.185092000000001</v>
      </c>
      <c r="CK298" s="240">
        <f>VLOOKUP(WWWW[[#This Row],[Site Name]],SiteDB6[],15,FALSE)</f>
        <v>92.802295999999998</v>
      </c>
      <c r="CL298" s="240" t="str">
        <f>VLOOKUP(WWWW[[#This Row],[Site Name]],SiteDB6[],4,FALSE)</f>
        <v>MMR012CMP116</v>
      </c>
      <c r="CM298" s="235" t="str">
        <f t="shared" si="4"/>
        <v>Covered</v>
      </c>
      <c r="CN298" s="235"/>
    </row>
    <row r="299" spans="1:92" ht="15.75" hidden="1" customHeight="1" x14ac:dyDescent="0.25">
      <c r="A299" s="554" t="s">
        <v>1409</v>
      </c>
      <c r="B299" s="402" t="s">
        <v>463</v>
      </c>
      <c r="C299" s="314" t="s">
        <v>464</v>
      </c>
      <c r="D299" s="314" t="s">
        <v>465</v>
      </c>
      <c r="E299" s="314" t="s">
        <v>466</v>
      </c>
      <c r="F299" s="402">
        <f>ROUND(WWWW[[#This Row],[Total PoP ]]/5,0)</f>
        <v>43</v>
      </c>
      <c r="G299" s="405">
        <v>213</v>
      </c>
      <c r="H299" s="402"/>
      <c r="I299" s="402"/>
      <c r="J299" s="403"/>
      <c r="K299" s="402"/>
      <c r="L299" s="402"/>
      <c r="M299" s="404"/>
      <c r="N299" s="404"/>
      <c r="O299" s="605">
        <v>0</v>
      </c>
      <c r="P299" s="606">
        <v>5</v>
      </c>
      <c r="Q299" s="606"/>
      <c r="R299" s="607"/>
      <c r="S299" s="607"/>
      <c r="T299" s="607"/>
      <c r="U299" s="607"/>
      <c r="V299" s="607"/>
      <c r="W299" s="607"/>
      <c r="X299" s="607"/>
      <c r="Y299" s="607"/>
      <c r="Z299" s="598">
        <v>0</v>
      </c>
      <c r="AA299" s="598"/>
      <c r="AB299" s="80"/>
      <c r="AC299" s="598"/>
      <c r="AD299" s="598" t="s">
        <v>296</v>
      </c>
      <c r="AE299" s="599" t="s">
        <v>296</v>
      </c>
      <c r="AF299" s="599"/>
      <c r="AG299" s="598"/>
      <c r="AH299" s="598"/>
      <c r="AI299" s="649"/>
      <c r="AJ299" s="650"/>
      <c r="AK299" s="650"/>
      <c r="AL299" s="645"/>
      <c r="AM299" s="645"/>
      <c r="AN299" s="600"/>
      <c r="AO299" s="600"/>
      <c r="AP299" s="600"/>
      <c r="AQ299" s="651"/>
      <c r="AR299" s="404" t="str">
        <f>IFERROR(WWWW[[#This Row],['# of Water passed at source]]/WWWW[[#This Row],['# of Water tested at source]],"no test")</f>
        <v>no test</v>
      </c>
      <c r="AS299" s="407" t="str">
        <f>IFERROR(WWWW[[#This Row],['# of Water passed at HH]]/WWWW[[#This Row],['# of Water tested at HH]],"no test")</f>
        <v>no test</v>
      </c>
      <c r="AT299" s="407">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U299" s="407">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AV299" s="407">
        <f>IF(WWWW[[#This Row],[Location Type 1]]="Village",WWWW[[#This Row],[Access to safe drinking water for Village]],WWWW[[#This Row],[Access to safe drinking water for Camp]])</f>
        <v>1</v>
      </c>
      <c r="AW299" s="405">
        <f>WWWW[[#This Row],[%Equitable and continuous access to sufficient quantity of safe drinking water]]*WWWW[[#This Row],[Total PoP ]]</f>
        <v>213</v>
      </c>
      <c r="AX299" s="407">
        <f>IF((WWWW[[#This Row],['# Existing protected/fenced ponds ]]*250)/WWWW[[#This Row],[Total PoP ]]&gt;1,1,WWWW[[#This Row],['# Existing protected/fenced ponds ]]*250/WWWW[[#This Row],[Total PoP ]])</f>
        <v>0</v>
      </c>
      <c r="AY299" s="405">
        <f>WWWW[[#This Row],[Access to unimproved water points]]*WWWW[[#This Row],[Total PoP ]]</f>
        <v>0</v>
      </c>
      <c r="AZ299" s="407">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A299" s="405">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213</v>
      </c>
      <c r="BB299" s="405">
        <f>WWWW[[#This Row],['#people Equitable and continuous access to sufficient quantity of domestic water borehole n ponds_2]]/500</f>
        <v>0.42599999999999999</v>
      </c>
      <c r="BC299" s="404">
        <f>1-WWWW[[#This Row],[%Equitable and continuous access to sufficient quantity of domestic water borehole n ponds]]</f>
        <v>0</v>
      </c>
      <c r="BD299" s="405">
        <f>WWWW[[#This Row],[%equitable and continuous access to sufficient quantity of safe drinking and domestic water''s GAP]]*WWWW[[#This Row],[Total PoP ]]</f>
        <v>0</v>
      </c>
      <c r="BE299" s="406">
        <f>IF(WWWW[[#This Row],[Total required water points]]-WWWW[[#This Row],['#Water points coverage]]&lt;0,0,WWWW[[#This Row],[Total required water points]]-WWWW[[#This Row],['#Water points coverage]])</f>
        <v>0.57400000000000007</v>
      </c>
      <c r="BF299" s="406">
        <f>ROUND(IF(WWWW[[#This Row],[Total PoP ]]&lt;500,1,WWWW[[#This Row],[Total PoP ]]/500),0)</f>
        <v>1</v>
      </c>
      <c r="BG299" s="406" t="str">
        <f>IF(AND(WWWW[[#This Row],[%of Water samples which passed at water source]]="no test",WWWW[[#This Row],[%Water samples which passed at HH]]="no test"),"No Test","Tested")</f>
        <v>No Test</v>
      </c>
      <c r="BH299" s="406">
        <f>WWWW[[#This Row],['# Existing functional latrines]]+WWWW[[#This Row],['# Existing latrines dysfunctional]]</f>
        <v>0</v>
      </c>
      <c r="BI299" s="404">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J299" s="676">
        <f>WWWW[[#This Row],[% people access to functioning Latrine]]*WWWW[[#This Row],[Total PoP ]]</f>
        <v>0</v>
      </c>
      <c r="BK299" s="404">
        <f>IF(WWWW[[#This Row],[Location Type 1]]="camp",WWWW[[#This Row],['# potential required new latrines]]/(WWWW[[#This Row],[Total PoP ]]/20),WWWW[[#This Row],['# potential required new latrines]]/(WWWW[[#This Row],[Total PoP ]]/6))</f>
        <v>1.0140845070422535</v>
      </c>
      <c r="BL299" s="405">
        <f>IF(WWWW[[#This Row],[Total required Latrines]]-WWWW[[#This Row],[Total '# of latrine]]&lt;0,0,WWWW[[#This Row],[Total required Latrines]]-WWWW[[#This Row],[Total '# of latrine]])</f>
        <v>36</v>
      </c>
      <c r="BM299" s="406">
        <f>ROUND(IF(WWWW[[#This Row],[Location Type 1]]="camp",WWWW[[#This Row],[Total PoP ]]/20,WWWW[[#This Row],[Total PoP ]]/6),0)</f>
        <v>36</v>
      </c>
      <c r="BN299" s="408">
        <f>IF(OR(WWWW[[#This Row],['# Existing latrines dysfunctional]]="",WWWW[[#This Row],['# Existing latrines dysfunctional]]=0),0,WWWW[[#This Row],['# Existing latrines dysfunctional]]/WWWW[[#This Row],[Total '# of latrine]])</f>
        <v>0</v>
      </c>
      <c r="BO299" s="676"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P299" s="404">
        <f>WWWW[[#This Row],[People adopt basic personal and community hygiene practices]]/WWWW[[#This Row],[Total PoP ]]</f>
        <v>0</v>
      </c>
      <c r="BQ299" s="408">
        <f>1-WWWW[[#This Row],[Hygiene Coverage%]]</f>
        <v>1</v>
      </c>
      <c r="BR299" s="405">
        <f>IF(500*WWWW[[#This Row],['# Hygiene Promoters ]]&gt;WWWW[[#This Row],[Total PoP ]],WWWW[[#This Row],[Total PoP ]],500*WWWW[[#This Row],['# Hygiene Promoters ]])</f>
        <v>0</v>
      </c>
      <c r="BS299" s="405">
        <f>IF(WWWW[[#This Row],[% of HH with access to Sanitary Pad]]&gt;=100%,1,0)</f>
        <v>0</v>
      </c>
      <c r="BT299" s="405">
        <f>IF(WWWW[[#This Row],[Total PoP ]]=0,0,IF(WWWW[[#This Row],['# Hygiene Promoters ]]=0,0,IF(WWWW[[#This Row],[Location Type 1]]="Village",IF(WWWW[[#This Row],[Total PoP ]]/WWWW[[#This Row],['# Hygiene Promoters ]]&lt;1000,1,0),IF(WWWW[[#This Row],[Total PoP ]]/WWWW[[#This Row],['# Hygiene Promoters ]]&lt;600,1,0))))</f>
        <v>0</v>
      </c>
      <c r="BU299" s="405">
        <f>IF(WWWW[[#This Row],[%HH with access to soap]]&gt;=100%,1,0)</f>
        <v>0</v>
      </c>
      <c r="BV299" s="405">
        <f>IF(WWWW[[#This Row],[% of HHs with access to Sanitary pad more than '#%]]+WWWW[[#This Row],[Ratio of Hyiene promoters to people less than '#]]+WWWW[[#This Row],[% of HHs with access to soap more than '#%]]&gt;=2,WWWW[[#This Row],[Total PoP ]],0)</f>
        <v>0</v>
      </c>
      <c r="BW299" s="391">
        <f>WWWW[[#This Row],['# people reached by regular dedicated hygiene promotion_5]]/WWWW[[#This Row],[Total PoP ]]</f>
        <v>0</v>
      </c>
      <c r="BX299" s="391">
        <f>IF(WWWW[[#This Row],['# HH received soaps]]/WWWW[[#This Row],[Total HH]]&gt;1,1,WWWW[[#This Row],['# HH received soaps]]/WWWW[[#This Row],[Total HH]])</f>
        <v>0</v>
      </c>
      <c r="BY299" s="391">
        <f>IF(WWWW[[#This Row],['# HH received Sanitary Pads]]/WWWW[[#This Row],[Total HH]]&gt;1,1,WWWW[[#This Row],['# HH received Sanitary Pads]]/WWWW[[#This Row],[Total HH]])</f>
        <v>0</v>
      </c>
      <c r="BZ299" s="721">
        <f>WWWW[[#This Row],['# HH received soaps]]*5</f>
        <v>0</v>
      </c>
      <c r="CA299" s="721">
        <f>WWWW[[#This Row],['# HH received Sanitary Pads]]*5</f>
        <v>0</v>
      </c>
      <c r="CB299" s="406">
        <f>IF(WWWW[[#This Row],['# People with access to soap]]&gt;WWWW[[#This Row],['# People with access to Sanity Pads]],WWWW[[#This Row],['# People with access to soap]],WWWW[[#This Row],['# People with access to Sanity Pads]])</f>
        <v>0</v>
      </c>
      <c r="CC299" s="405">
        <f>WWWW[[#This Row],[Total HH]]*WWWW[[#This Row],[%HHs with access to functional hand washing stations]]</f>
        <v>0</v>
      </c>
      <c r="CD299" s="240">
        <f>VLOOKUP(WWWW[[#This Row],[Site Name]],SiteDB6[],8,FALSE)</f>
        <v>0</v>
      </c>
      <c r="CE299" s="240">
        <f>VLOOKUP(WWWW[[#This Row],[Site Name]],SiteDB6[],9,FALSE)</f>
        <v>0</v>
      </c>
      <c r="CF299" s="240" t="str">
        <f>VLOOKUP(WWWW[[#This Row],[Site Name]],SiteDB6[],10,FALSE)</f>
        <v>Village_Not HRP</v>
      </c>
      <c r="CG299" s="240" t="str">
        <f>VLOOKUP(WWWW[[#This Row],[Site Name]],SiteDB6[],11,FALSE)</f>
        <v>Village</v>
      </c>
      <c r="CH299" s="240" t="str">
        <f>VLOOKUP(WWWW[[#This Row],[Site Name]],SiteDB6[],12,FALSE)</f>
        <v>Village_Not HRP</v>
      </c>
      <c r="CI299" s="240" t="str">
        <f>VLOOKUP(WWWW[[#This Row],[Site Name]],SiteDB6[],13,FALSE)</f>
        <v>Muslim</v>
      </c>
      <c r="CJ299" s="240">
        <f>VLOOKUP(WWWW[[#This Row],[Site Name]],SiteDB6[],14,FALSE)</f>
        <v>0</v>
      </c>
      <c r="CK299" s="240">
        <f>VLOOKUP(WWWW[[#This Row],[Site Name]],SiteDB6[],15,FALSE)</f>
        <v>0</v>
      </c>
      <c r="CL299" s="240">
        <f>VLOOKUP(WWWW[[#This Row],[Site Name]],SiteDB6[],4,FALSE)</f>
        <v>0</v>
      </c>
      <c r="CM299" s="404" t="str">
        <f t="shared" si="4"/>
        <v>Covered</v>
      </c>
      <c r="CN299" s="404"/>
    </row>
    <row r="300" spans="1:92" ht="15.75" hidden="1" customHeight="1" x14ac:dyDescent="0.25">
      <c r="A300" s="554" t="s">
        <v>1409</v>
      </c>
      <c r="B300" s="169" t="s">
        <v>463</v>
      </c>
      <c r="C300" s="169" t="s">
        <v>464</v>
      </c>
      <c r="D300" s="169" t="s">
        <v>465</v>
      </c>
      <c r="E300" s="169" t="s">
        <v>472</v>
      </c>
      <c r="F300" s="169">
        <v>8</v>
      </c>
      <c r="G300" s="732">
        <v>44</v>
      </c>
      <c r="H300" s="169"/>
      <c r="I300" s="169"/>
      <c r="J300" s="170"/>
      <c r="K300" s="169"/>
      <c r="L300" s="169"/>
      <c r="M300" s="171"/>
      <c r="N300" s="171"/>
      <c r="O300" s="609">
        <v>0</v>
      </c>
      <c r="P300" s="609">
        <v>1</v>
      </c>
      <c r="Q300" s="610"/>
      <c r="R300" s="611"/>
      <c r="S300" s="611"/>
      <c r="T300" s="611"/>
      <c r="U300" s="611"/>
      <c r="V300" s="611"/>
      <c r="W300" s="611"/>
      <c r="X300" s="604"/>
      <c r="Y300" s="607"/>
      <c r="Z300" s="598">
        <v>0</v>
      </c>
      <c r="AA300" s="599"/>
      <c r="AB300" s="629"/>
      <c r="AC300" s="632"/>
      <c r="AD300" s="80" t="s">
        <v>296</v>
      </c>
      <c r="AE300" s="80" t="s">
        <v>296</v>
      </c>
      <c r="AF300" s="80"/>
      <c r="AG300" s="80"/>
      <c r="AH300" s="633"/>
      <c r="AI300" s="652"/>
      <c r="AJ300" s="653"/>
      <c r="AK300" s="651"/>
      <c r="AL300" s="645"/>
      <c r="AM300" s="645"/>
      <c r="AN300" s="600"/>
      <c r="AO300" s="600"/>
      <c r="AP300" s="600"/>
      <c r="AQ300" s="654"/>
      <c r="AR300" s="235" t="str">
        <f>IFERROR(WWWW[[#This Row],['# of Water passed at source]]/WWWW[[#This Row],['# of Water tested at source]],"no test")</f>
        <v>no test</v>
      </c>
      <c r="AS300" s="237" t="str">
        <f>IFERROR(WWWW[[#This Row],['# of Water passed at HH]]/WWWW[[#This Row],['# of Water tested at HH]],"no test")</f>
        <v>no test</v>
      </c>
      <c r="AT300" s="237">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U300" s="237">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AV300" s="237">
        <f>IF(WWWW[[#This Row],[Location Type 1]]="Village",WWWW[[#This Row],[Access to safe drinking water for Village]],WWWW[[#This Row],[Access to safe drinking water for Camp]])</f>
        <v>1</v>
      </c>
      <c r="AW300" s="414">
        <f>WWWW[[#This Row],[%Equitable and continuous access to sufficient quantity of safe drinking water]]*WWWW[[#This Row],[Total PoP ]]</f>
        <v>44</v>
      </c>
      <c r="AX300" s="237">
        <f>IF((WWWW[[#This Row],['# Existing protected/fenced ponds ]]*250)/WWWW[[#This Row],[Total PoP ]]&gt;1,1,WWWW[[#This Row],['# Existing protected/fenced ponds ]]*250/WWWW[[#This Row],[Total PoP ]])</f>
        <v>0</v>
      </c>
      <c r="AY300" s="414">
        <f>WWWW[[#This Row],[Access to unimproved water points]]*WWWW[[#This Row],[Total PoP ]]</f>
        <v>0</v>
      </c>
      <c r="AZ300" s="237">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A300" s="414">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44</v>
      </c>
      <c r="BB300" s="414">
        <f>WWWW[[#This Row],['#people Equitable and continuous access to sufficient quantity of domestic water borehole n ponds_2]]/500</f>
        <v>8.7999999999999995E-2</v>
      </c>
      <c r="BC300" s="235">
        <f>1-WWWW[[#This Row],[%Equitable and continuous access to sufficient quantity of domestic water borehole n ponds]]</f>
        <v>0</v>
      </c>
      <c r="BD300" s="414">
        <f>WWWW[[#This Row],[%equitable and continuous access to sufficient quantity of safe drinking and domestic water''s GAP]]*WWWW[[#This Row],[Total PoP ]]</f>
        <v>0</v>
      </c>
      <c r="BE300" s="238">
        <f>IF(WWWW[[#This Row],[Total required water points]]-WWWW[[#This Row],['#Water points coverage]]&lt;0,0,WWWW[[#This Row],[Total required water points]]-WWWW[[#This Row],['#Water points coverage]])</f>
        <v>0.91200000000000003</v>
      </c>
      <c r="BF300" s="238">
        <f>ROUND(IF(WWWW[[#This Row],[Total PoP ]]&lt;500,1,WWWW[[#This Row],[Total PoP ]]/500),0)</f>
        <v>1</v>
      </c>
      <c r="BG300" s="238" t="str">
        <f>IF(AND(WWWW[[#This Row],[%of Water samples which passed at water source]]="no test",WWWW[[#This Row],[%Water samples which passed at HH]]="no test"),"No Test","Tested")</f>
        <v>No Test</v>
      </c>
      <c r="BH300" s="238">
        <f>WWWW[[#This Row],['# Existing functional latrines]]+WWWW[[#This Row],['# Existing latrines dysfunctional]]</f>
        <v>0</v>
      </c>
      <c r="BI300" s="235">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J300" s="675">
        <f>WWWW[[#This Row],[% people access to functioning Latrine]]*WWWW[[#This Row],[Total PoP ]]</f>
        <v>0</v>
      </c>
      <c r="BK300" s="235">
        <f>IF(WWWW[[#This Row],[Location Type 1]]="camp",WWWW[[#This Row],['# potential required new latrines]]/(WWWW[[#This Row],[Total PoP ]]/20),WWWW[[#This Row],['# potential required new latrines]]/(WWWW[[#This Row],[Total PoP ]]/6))</f>
        <v>0.95454545454545459</v>
      </c>
      <c r="BL300" s="414">
        <f>IF(WWWW[[#This Row],[Total required Latrines]]-WWWW[[#This Row],[Total '# of latrine]]&lt;0,0,WWWW[[#This Row],[Total required Latrines]]-WWWW[[#This Row],[Total '# of latrine]])</f>
        <v>7</v>
      </c>
      <c r="BM300" s="238">
        <f>ROUND(IF(WWWW[[#This Row],[Location Type 1]]="camp",WWWW[[#This Row],[Total PoP ]]/20,WWWW[[#This Row],[Total PoP ]]/6),0)</f>
        <v>7</v>
      </c>
      <c r="BN300" s="239">
        <f>IF(OR(WWWW[[#This Row],['# Existing latrines dysfunctional]]="",WWWW[[#This Row],['# Existing latrines dysfunctional]]=0),0,WWWW[[#This Row],['# Existing latrines dysfunctional]]/WWWW[[#This Row],[Total '# of latrine]])</f>
        <v>0</v>
      </c>
      <c r="BO300" s="675"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P300" s="235">
        <f>WWWW[[#This Row],[People adopt basic personal and community hygiene practices]]/WWWW[[#This Row],[Total PoP ]]</f>
        <v>0</v>
      </c>
      <c r="BQ300" s="239">
        <f>1-WWWW[[#This Row],[Hygiene Coverage%]]</f>
        <v>1</v>
      </c>
      <c r="BR300" s="405">
        <f>IF(500*WWWW[[#This Row],['# Hygiene Promoters ]]&gt;WWWW[[#This Row],[Total PoP ]],WWWW[[#This Row],[Total PoP ]],500*WWWW[[#This Row],['# Hygiene Promoters ]])</f>
        <v>0</v>
      </c>
      <c r="BS300" s="405">
        <f>IF(WWWW[[#This Row],[% of HH with access to Sanitary Pad]]&gt;=100%,1,0)</f>
        <v>0</v>
      </c>
      <c r="BT300" s="405">
        <f>IF(WWWW[[#This Row],[Total PoP ]]=0,0,IF(WWWW[[#This Row],['# Hygiene Promoters ]]=0,0,IF(WWWW[[#This Row],[Location Type 1]]="Village",IF(WWWW[[#This Row],[Total PoP ]]/WWWW[[#This Row],['# Hygiene Promoters ]]&lt;1000,1,0),IF(WWWW[[#This Row],[Total PoP ]]/WWWW[[#This Row],['# Hygiene Promoters ]]&lt;600,1,0))))</f>
        <v>0</v>
      </c>
      <c r="BU300" s="405">
        <f>IF(WWWW[[#This Row],[%HH with access to soap]]&gt;=100%,1,0)</f>
        <v>0</v>
      </c>
      <c r="BV300" s="405">
        <f>IF(WWWW[[#This Row],[% of HHs with access to Sanitary pad more than '#%]]+WWWW[[#This Row],[Ratio of Hyiene promoters to people less than '#]]+WWWW[[#This Row],[% of HHs with access to soap more than '#%]]&gt;=2,WWWW[[#This Row],[Total PoP ]],0)</f>
        <v>0</v>
      </c>
      <c r="BW300" s="346">
        <f>WWWW[[#This Row],['# people reached by regular dedicated hygiene promotion_5]]/WWWW[[#This Row],[Total PoP ]]</f>
        <v>0</v>
      </c>
      <c r="BX300" s="346">
        <f>IF(WWWW[[#This Row],['# HH received soaps]]/WWWW[[#This Row],[Total HH]]&gt;1,1,WWWW[[#This Row],['# HH received soaps]]/WWWW[[#This Row],[Total HH]])</f>
        <v>0</v>
      </c>
      <c r="BY300" s="346">
        <f>IF(WWWW[[#This Row],['# HH received Sanitary Pads]]/WWWW[[#This Row],[Total HH]]&gt;1,1,WWWW[[#This Row],['# HH received Sanitary Pads]]/WWWW[[#This Row],[Total HH]])</f>
        <v>0</v>
      </c>
      <c r="BZ300" s="720">
        <f>WWWW[[#This Row],['# HH received soaps]]*5</f>
        <v>0</v>
      </c>
      <c r="CA300" s="720">
        <f>WWWW[[#This Row],['# HH received Sanitary Pads]]*5</f>
        <v>0</v>
      </c>
      <c r="CB300" s="675">
        <f>IF(WWWW[[#This Row],['# People with access to soap]]&gt;WWWW[[#This Row],['# People with access to Sanity Pads]],WWWW[[#This Row],['# People with access to soap]],WWWW[[#This Row],['# People with access to Sanity Pads]])</f>
        <v>0</v>
      </c>
      <c r="CC300" s="414">
        <f>WWWW[[#This Row],[Total HH]]*WWWW[[#This Row],[%HHs with access to functional hand washing stations]]</f>
        <v>0</v>
      </c>
      <c r="CD300" s="240">
        <f>VLOOKUP(WWWW[[#This Row],[Site Name]],SiteDB6[],8,FALSE)</f>
        <v>0</v>
      </c>
      <c r="CE300" s="240">
        <f>VLOOKUP(WWWW[[#This Row],[Site Name]],SiteDB6[],9,FALSE)</f>
        <v>0</v>
      </c>
      <c r="CF300" s="240" t="str">
        <f>VLOOKUP(WWWW[[#This Row],[Site Name]],SiteDB6[],10,FALSE)</f>
        <v>Village_Not HRP</v>
      </c>
      <c r="CG300" s="240" t="str">
        <f>VLOOKUP(WWWW[[#This Row],[Site Name]],SiteDB6[],11,FALSE)</f>
        <v>Village</v>
      </c>
      <c r="CH300" s="240" t="str">
        <f>VLOOKUP(WWWW[[#This Row],[Site Name]],SiteDB6[],12,FALSE)</f>
        <v>Village_Not HRP</v>
      </c>
      <c r="CI300" s="240" t="str">
        <f>VLOOKUP(WWWW[[#This Row],[Site Name]],SiteDB6[],13,FALSE)</f>
        <v>Muslim</v>
      </c>
      <c r="CJ300" s="240">
        <f>VLOOKUP(WWWW[[#This Row],[Site Name]],SiteDB6[],14,FALSE)</f>
        <v>0</v>
      </c>
      <c r="CK300" s="240">
        <f>VLOOKUP(WWWW[[#This Row],[Site Name]],SiteDB6[],15,FALSE)</f>
        <v>0</v>
      </c>
      <c r="CL300" s="240">
        <f>VLOOKUP(WWWW[[#This Row],[Site Name]],SiteDB6[],4,FALSE)</f>
        <v>0</v>
      </c>
      <c r="CM300" s="235" t="str">
        <f t="shared" si="4"/>
        <v>Covered</v>
      </c>
      <c r="CN300" s="240"/>
    </row>
    <row r="301" spans="1:92" ht="15.75" hidden="1" customHeight="1" x14ac:dyDescent="0.25">
      <c r="A301" s="554" t="s">
        <v>1409</v>
      </c>
      <c r="B301" s="402" t="s">
        <v>463</v>
      </c>
      <c r="C301" s="314" t="s">
        <v>464</v>
      </c>
      <c r="D301" s="314" t="s">
        <v>465</v>
      </c>
      <c r="E301" s="314" t="s">
        <v>589</v>
      </c>
      <c r="F301" s="402">
        <v>27</v>
      </c>
      <c r="G301" s="405">
        <v>175</v>
      </c>
      <c r="H301" s="402"/>
      <c r="I301" s="402"/>
      <c r="J301" s="403"/>
      <c r="K301" s="402"/>
      <c r="L301" s="402"/>
      <c r="M301" s="404"/>
      <c r="N301" s="404"/>
      <c r="O301" s="605">
        <v>0</v>
      </c>
      <c r="P301" s="606">
        <v>4</v>
      </c>
      <c r="Q301" s="606"/>
      <c r="R301" s="607"/>
      <c r="S301" s="607"/>
      <c r="T301" s="607"/>
      <c r="U301" s="607"/>
      <c r="V301" s="607"/>
      <c r="W301" s="607"/>
      <c r="X301" s="607"/>
      <c r="Y301" s="607"/>
      <c r="Z301" s="598">
        <v>0</v>
      </c>
      <c r="AA301" s="598"/>
      <c r="AB301" s="80"/>
      <c r="AC301" s="598"/>
      <c r="AD301" s="598" t="s">
        <v>296</v>
      </c>
      <c r="AE301" s="599" t="s">
        <v>296</v>
      </c>
      <c r="AF301" s="599"/>
      <c r="AG301" s="598"/>
      <c r="AH301" s="598"/>
      <c r="AI301" s="649"/>
      <c r="AJ301" s="650"/>
      <c r="AK301" s="650"/>
      <c r="AL301" s="645"/>
      <c r="AM301" s="645"/>
      <c r="AN301" s="600"/>
      <c r="AO301" s="600"/>
      <c r="AP301" s="600"/>
      <c r="AQ301" s="651"/>
      <c r="AR301" s="404" t="str">
        <f>IFERROR(WWWW[[#This Row],['# of Water passed at source]]/WWWW[[#This Row],['# of Water tested at source]],"no test")</f>
        <v>no test</v>
      </c>
      <c r="AS301" s="407" t="str">
        <f>IFERROR(WWWW[[#This Row],['# of Water passed at HH]]/WWWW[[#This Row],['# of Water tested at HH]],"no test")</f>
        <v>no test</v>
      </c>
      <c r="AT301" s="407">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U301" s="407">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AV301" s="407">
        <f>IF(WWWW[[#This Row],[Location Type 1]]="Village",WWWW[[#This Row],[Access to safe drinking water for Village]],WWWW[[#This Row],[Access to safe drinking water for Camp]])</f>
        <v>1</v>
      </c>
      <c r="AW301" s="405">
        <f>WWWW[[#This Row],[%Equitable and continuous access to sufficient quantity of safe drinking water]]*WWWW[[#This Row],[Total PoP ]]</f>
        <v>175</v>
      </c>
      <c r="AX301" s="407">
        <f>IF((WWWW[[#This Row],['# Existing protected/fenced ponds ]]*250)/WWWW[[#This Row],[Total PoP ]]&gt;1,1,WWWW[[#This Row],['# Existing protected/fenced ponds ]]*250/WWWW[[#This Row],[Total PoP ]])</f>
        <v>0</v>
      </c>
      <c r="AY301" s="405">
        <f>WWWW[[#This Row],[Access to unimproved water points]]*WWWW[[#This Row],[Total PoP ]]</f>
        <v>0</v>
      </c>
      <c r="AZ301" s="407">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A301" s="405">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175</v>
      </c>
      <c r="BB301" s="405">
        <f>WWWW[[#This Row],['#people Equitable and continuous access to sufficient quantity of domestic water borehole n ponds_2]]/500</f>
        <v>0.35</v>
      </c>
      <c r="BC301" s="404">
        <f>1-WWWW[[#This Row],[%Equitable and continuous access to sufficient quantity of domestic water borehole n ponds]]</f>
        <v>0</v>
      </c>
      <c r="BD301" s="405">
        <f>WWWW[[#This Row],[%equitable and continuous access to sufficient quantity of safe drinking and domestic water''s GAP]]*WWWW[[#This Row],[Total PoP ]]</f>
        <v>0</v>
      </c>
      <c r="BE301" s="406">
        <f>IF(WWWW[[#This Row],[Total required water points]]-WWWW[[#This Row],['#Water points coverage]]&lt;0,0,WWWW[[#This Row],[Total required water points]]-WWWW[[#This Row],['#Water points coverage]])</f>
        <v>0.65</v>
      </c>
      <c r="BF301" s="406">
        <f>ROUND(IF(WWWW[[#This Row],[Total PoP ]]&lt;500,1,WWWW[[#This Row],[Total PoP ]]/500),0)</f>
        <v>1</v>
      </c>
      <c r="BG301" s="406" t="str">
        <f>IF(AND(WWWW[[#This Row],[%of Water samples which passed at water source]]="no test",WWWW[[#This Row],[%Water samples which passed at HH]]="no test"),"No Test","Tested")</f>
        <v>No Test</v>
      </c>
      <c r="BH301" s="406">
        <f>WWWW[[#This Row],['# Existing functional latrines]]+WWWW[[#This Row],['# Existing latrines dysfunctional]]</f>
        <v>0</v>
      </c>
      <c r="BI301" s="404">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J301" s="676">
        <f>WWWW[[#This Row],[% people access to functioning Latrine]]*WWWW[[#This Row],[Total PoP ]]</f>
        <v>0</v>
      </c>
      <c r="BK301" s="404">
        <f>IF(WWWW[[#This Row],[Location Type 1]]="camp",WWWW[[#This Row],['# potential required new latrines]]/(WWWW[[#This Row],[Total PoP ]]/20),WWWW[[#This Row],['# potential required new latrines]]/(WWWW[[#This Row],[Total PoP ]]/6))</f>
        <v>0.99428571428571422</v>
      </c>
      <c r="BL301" s="405">
        <f>IF(WWWW[[#This Row],[Total required Latrines]]-WWWW[[#This Row],[Total '# of latrine]]&lt;0,0,WWWW[[#This Row],[Total required Latrines]]-WWWW[[#This Row],[Total '# of latrine]])</f>
        <v>29</v>
      </c>
      <c r="BM301" s="406">
        <f>ROUND(IF(WWWW[[#This Row],[Location Type 1]]="camp",WWWW[[#This Row],[Total PoP ]]/20,WWWW[[#This Row],[Total PoP ]]/6),0)</f>
        <v>29</v>
      </c>
      <c r="BN301" s="408">
        <f>IF(OR(WWWW[[#This Row],['# Existing latrines dysfunctional]]="",WWWW[[#This Row],['# Existing latrines dysfunctional]]=0),0,WWWW[[#This Row],['# Existing latrines dysfunctional]]/WWWW[[#This Row],[Total '# of latrine]])</f>
        <v>0</v>
      </c>
      <c r="BO301" s="676"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P301" s="404">
        <f>WWWW[[#This Row],[People adopt basic personal and community hygiene practices]]/WWWW[[#This Row],[Total PoP ]]</f>
        <v>0</v>
      </c>
      <c r="BQ301" s="408">
        <f>1-WWWW[[#This Row],[Hygiene Coverage%]]</f>
        <v>1</v>
      </c>
      <c r="BR301" s="405">
        <f>IF(500*WWWW[[#This Row],['# Hygiene Promoters ]]&gt;WWWW[[#This Row],[Total PoP ]],WWWW[[#This Row],[Total PoP ]],500*WWWW[[#This Row],['# Hygiene Promoters ]])</f>
        <v>0</v>
      </c>
      <c r="BS301" s="405">
        <f>IF(WWWW[[#This Row],[% of HH with access to Sanitary Pad]]&gt;=100%,1,0)</f>
        <v>0</v>
      </c>
      <c r="BT301" s="405">
        <f>IF(WWWW[[#This Row],[Total PoP ]]=0,0,IF(WWWW[[#This Row],['# Hygiene Promoters ]]=0,0,IF(WWWW[[#This Row],[Location Type 1]]="Village",IF(WWWW[[#This Row],[Total PoP ]]/WWWW[[#This Row],['# Hygiene Promoters ]]&lt;1000,1,0),IF(WWWW[[#This Row],[Total PoP ]]/WWWW[[#This Row],['# Hygiene Promoters ]]&lt;600,1,0))))</f>
        <v>0</v>
      </c>
      <c r="BU301" s="405">
        <f>IF(WWWW[[#This Row],[%HH with access to soap]]&gt;=100%,1,0)</f>
        <v>0</v>
      </c>
      <c r="BV301" s="405">
        <f>IF(WWWW[[#This Row],[% of HHs with access to Sanitary pad more than '#%]]+WWWW[[#This Row],[Ratio of Hyiene promoters to people less than '#]]+WWWW[[#This Row],[% of HHs with access to soap more than '#%]]&gt;=2,WWWW[[#This Row],[Total PoP ]],0)</f>
        <v>0</v>
      </c>
      <c r="BW301" s="391">
        <f>WWWW[[#This Row],['# people reached by regular dedicated hygiene promotion_5]]/WWWW[[#This Row],[Total PoP ]]</f>
        <v>0</v>
      </c>
      <c r="BX301" s="391">
        <f>IF(WWWW[[#This Row],['# HH received soaps]]/WWWW[[#This Row],[Total HH]]&gt;1,1,WWWW[[#This Row],['# HH received soaps]]/WWWW[[#This Row],[Total HH]])</f>
        <v>0</v>
      </c>
      <c r="BY301" s="391">
        <f>IF(WWWW[[#This Row],['# HH received Sanitary Pads]]/WWWW[[#This Row],[Total HH]]&gt;1,1,WWWW[[#This Row],['# HH received Sanitary Pads]]/WWWW[[#This Row],[Total HH]])</f>
        <v>0</v>
      </c>
      <c r="BZ301" s="721">
        <f>WWWW[[#This Row],['# HH received soaps]]*5</f>
        <v>0</v>
      </c>
      <c r="CA301" s="721">
        <f>WWWW[[#This Row],['# HH received Sanitary Pads]]*5</f>
        <v>0</v>
      </c>
      <c r="CB301" s="406">
        <f>IF(WWWW[[#This Row],['# People with access to soap]]&gt;WWWW[[#This Row],['# People with access to Sanity Pads]],WWWW[[#This Row],['# People with access to soap]],WWWW[[#This Row],['# People with access to Sanity Pads]])</f>
        <v>0</v>
      </c>
      <c r="CC301" s="405">
        <f>WWWW[[#This Row],[Total HH]]*WWWW[[#This Row],[%HHs with access to functional hand washing stations]]</f>
        <v>0</v>
      </c>
      <c r="CD301" s="240">
        <f>VLOOKUP(WWWW[[#This Row],[Site Name]],SiteDB6[],8,FALSE)</f>
        <v>0</v>
      </c>
      <c r="CE301" s="240">
        <f>VLOOKUP(WWWW[[#This Row],[Site Name]],SiteDB6[],9,FALSE)</f>
        <v>0</v>
      </c>
      <c r="CF301" s="240" t="str">
        <f>VLOOKUP(WWWW[[#This Row],[Site Name]],SiteDB6[],10,FALSE)</f>
        <v>Village_Not HRP</v>
      </c>
      <c r="CG301" s="240" t="str">
        <f>VLOOKUP(WWWW[[#This Row],[Site Name]],SiteDB6[],11,FALSE)</f>
        <v>Village</v>
      </c>
      <c r="CH301" s="240" t="str">
        <f>VLOOKUP(WWWW[[#This Row],[Site Name]],SiteDB6[],12,FALSE)</f>
        <v>Village_Not HRP</v>
      </c>
      <c r="CI301" s="240" t="str">
        <f>VLOOKUP(WWWW[[#This Row],[Site Name]],SiteDB6[],13,FALSE)</f>
        <v>Muslim</v>
      </c>
      <c r="CJ301" s="240">
        <f>VLOOKUP(WWWW[[#This Row],[Site Name]],SiteDB6[],14,FALSE)</f>
        <v>20.1438598632813</v>
      </c>
      <c r="CK301" s="240">
        <f>VLOOKUP(WWWW[[#This Row],[Site Name]],SiteDB6[],15,FALSE)</f>
        <v>92.867576599121094</v>
      </c>
      <c r="CL301" s="240">
        <f>VLOOKUP(WWWW[[#This Row],[Site Name]],SiteDB6[],4,FALSE)</f>
        <v>196200</v>
      </c>
      <c r="CM301" s="404" t="str">
        <f t="shared" si="4"/>
        <v>Covered</v>
      </c>
      <c r="CN301" s="404"/>
    </row>
    <row r="302" spans="1:92" ht="15.75" hidden="1" customHeight="1" x14ac:dyDescent="0.25">
      <c r="A302" s="554" t="s">
        <v>1409</v>
      </c>
      <c r="B302" s="309" t="s">
        <v>463</v>
      </c>
      <c r="C302" s="309" t="s">
        <v>464</v>
      </c>
      <c r="D302" s="309" t="s">
        <v>465</v>
      </c>
      <c r="E302" s="309" t="s">
        <v>606</v>
      </c>
      <c r="F302" s="402">
        <f>ROUND(WWWW[[#This Row],[Total PoP ]]/5,0)</f>
        <v>8</v>
      </c>
      <c r="G302" s="733">
        <v>38</v>
      </c>
      <c r="H302" s="309"/>
      <c r="I302" s="309"/>
      <c r="J302" s="310"/>
      <c r="K302" s="309"/>
      <c r="L302" s="309"/>
      <c r="M302" s="306"/>
      <c r="N302" s="306"/>
      <c r="O302" s="608">
        <v>0</v>
      </c>
      <c r="P302" s="609">
        <v>1</v>
      </c>
      <c r="Q302" s="616"/>
      <c r="R302" s="617"/>
      <c r="S302" s="617"/>
      <c r="T302" s="607"/>
      <c r="U302" s="607"/>
      <c r="V302" s="607"/>
      <c r="W302" s="607"/>
      <c r="X302" s="604"/>
      <c r="Y302" s="607"/>
      <c r="Z302" s="598">
        <v>0</v>
      </c>
      <c r="AA302" s="599"/>
      <c r="AB302" s="629"/>
      <c r="AC302" s="635"/>
      <c r="AD302" s="635" t="s">
        <v>296</v>
      </c>
      <c r="AE302" s="599" t="s">
        <v>296</v>
      </c>
      <c r="AF302" s="80"/>
      <c r="AG302" s="80"/>
      <c r="AH302" s="636"/>
      <c r="AI302" s="660"/>
      <c r="AJ302" s="661"/>
      <c r="AK302" s="651"/>
      <c r="AL302" s="645"/>
      <c r="AM302" s="645"/>
      <c r="AN302" s="600"/>
      <c r="AO302" s="600"/>
      <c r="AP302" s="600"/>
      <c r="AQ302" s="662"/>
      <c r="AR302" s="235" t="str">
        <f>IFERROR(WWWW[[#This Row],['# of Water passed at source]]/WWWW[[#This Row],['# of Water tested at source]],"no test")</f>
        <v>no test</v>
      </c>
      <c r="AS302" s="237" t="str">
        <f>IFERROR(WWWW[[#This Row],['# of Water passed at HH]]/WWWW[[#This Row],['# of Water tested at HH]],"no test")</f>
        <v>no test</v>
      </c>
      <c r="AT302" s="237">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U302" s="237">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AV302" s="237">
        <f>IF(WWWW[[#This Row],[Location Type 1]]="Village",WWWW[[#This Row],[Access to safe drinking water for Village]],WWWW[[#This Row],[Access to safe drinking water for Camp]])</f>
        <v>1</v>
      </c>
      <c r="AW302" s="414">
        <f>WWWW[[#This Row],[%Equitable and continuous access to sufficient quantity of safe drinking water]]*WWWW[[#This Row],[Total PoP ]]</f>
        <v>38</v>
      </c>
      <c r="AX302" s="237">
        <f>IF((WWWW[[#This Row],['# Existing protected/fenced ponds ]]*250)/WWWW[[#This Row],[Total PoP ]]&gt;1,1,WWWW[[#This Row],['# Existing protected/fenced ponds ]]*250/WWWW[[#This Row],[Total PoP ]])</f>
        <v>0</v>
      </c>
      <c r="AY302" s="414">
        <f>WWWW[[#This Row],[Access to unimproved water points]]*WWWW[[#This Row],[Total PoP ]]</f>
        <v>0</v>
      </c>
      <c r="AZ302" s="237">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A302" s="414">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38</v>
      </c>
      <c r="BB302" s="414">
        <f>WWWW[[#This Row],['#people Equitable and continuous access to sufficient quantity of domestic water borehole n ponds_2]]/500</f>
        <v>7.5999999999999998E-2</v>
      </c>
      <c r="BC302" s="235">
        <f>1-WWWW[[#This Row],[%Equitable and continuous access to sufficient quantity of domestic water borehole n ponds]]</f>
        <v>0</v>
      </c>
      <c r="BD302" s="414">
        <f>WWWW[[#This Row],[%equitable and continuous access to sufficient quantity of safe drinking and domestic water''s GAP]]*WWWW[[#This Row],[Total PoP ]]</f>
        <v>0</v>
      </c>
      <c r="BE302" s="238">
        <f>IF(WWWW[[#This Row],[Total required water points]]-WWWW[[#This Row],['#Water points coverage]]&lt;0,0,WWWW[[#This Row],[Total required water points]]-WWWW[[#This Row],['#Water points coverage]])</f>
        <v>0.92400000000000004</v>
      </c>
      <c r="BF302" s="238">
        <f>ROUND(IF(WWWW[[#This Row],[Total PoP ]]&lt;500,1,WWWW[[#This Row],[Total PoP ]]/500),0)</f>
        <v>1</v>
      </c>
      <c r="BG302" s="238" t="str">
        <f>IF(AND(WWWW[[#This Row],[%of Water samples which passed at water source]]="no test",WWWW[[#This Row],[%Water samples which passed at HH]]="no test"),"No Test","Tested")</f>
        <v>No Test</v>
      </c>
      <c r="BH302" s="238">
        <f>WWWW[[#This Row],['# Existing functional latrines]]+WWWW[[#This Row],['# Existing latrines dysfunctional]]</f>
        <v>0</v>
      </c>
      <c r="BI302" s="235">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J302" s="675">
        <f>WWWW[[#This Row],[% people access to functioning Latrine]]*WWWW[[#This Row],[Total PoP ]]</f>
        <v>0</v>
      </c>
      <c r="BK302" s="235">
        <f>IF(WWWW[[#This Row],[Location Type 1]]="camp",WWWW[[#This Row],['# potential required new latrines]]/(WWWW[[#This Row],[Total PoP ]]/20),WWWW[[#This Row],['# potential required new latrines]]/(WWWW[[#This Row],[Total PoP ]]/6))</f>
        <v>0.94736842105263164</v>
      </c>
      <c r="BL302" s="414">
        <f>IF(WWWW[[#This Row],[Total required Latrines]]-WWWW[[#This Row],[Total '# of latrine]]&lt;0,0,WWWW[[#This Row],[Total required Latrines]]-WWWW[[#This Row],[Total '# of latrine]])</f>
        <v>6</v>
      </c>
      <c r="BM302" s="238">
        <f>ROUND(IF(WWWW[[#This Row],[Location Type 1]]="camp",WWWW[[#This Row],[Total PoP ]]/20,WWWW[[#This Row],[Total PoP ]]/6),0)</f>
        <v>6</v>
      </c>
      <c r="BN302" s="239">
        <f>IF(OR(WWWW[[#This Row],['# Existing latrines dysfunctional]]="",WWWW[[#This Row],['# Existing latrines dysfunctional]]=0),0,WWWW[[#This Row],['# Existing latrines dysfunctional]]/WWWW[[#This Row],[Total '# of latrine]])</f>
        <v>0</v>
      </c>
      <c r="BO302" s="675"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P302" s="235">
        <f>WWWW[[#This Row],[People adopt basic personal and community hygiene practices]]/WWWW[[#This Row],[Total PoP ]]</f>
        <v>0</v>
      </c>
      <c r="BQ302" s="239">
        <f>1-WWWW[[#This Row],[Hygiene Coverage%]]</f>
        <v>1</v>
      </c>
      <c r="BR302" s="405">
        <f>IF(500*WWWW[[#This Row],['# Hygiene Promoters ]]&gt;WWWW[[#This Row],[Total PoP ]],WWWW[[#This Row],[Total PoP ]],500*WWWW[[#This Row],['# Hygiene Promoters ]])</f>
        <v>0</v>
      </c>
      <c r="BS302" s="405">
        <f>IF(WWWW[[#This Row],[% of HH with access to Sanitary Pad]]&gt;=100%,1,0)</f>
        <v>0</v>
      </c>
      <c r="BT302" s="405">
        <f>IF(WWWW[[#This Row],[Total PoP ]]=0,0,IF(WWWW[[#This Row],['# Hygiene Promoters ]]=0,0,IF(WWWW[[#This Row],[Location Type 1]]="Village",IF(WWWW[[#This Row],[Total PoP ]]/WWWW[[#This Row],['# Hygiene Promoters ]]&lt;1000,1,0),IF(WWWW[[#This Row],[Total PoP ]]/WWWW[[#This Row],['# Hygiene Promoters ]]&lt;600,1,0))))</f>
        <v>0</v>
      </c>
      <c r="BU302" s="405">
        <f>IF(WWWW[[#This Row],[%HH with access to soap]]&gt;=100%,1,0)</f>
        <v>0</v>
      </c>
      <c r="BV302" s="405">
        <f>IF(WWWW[[#This Row],[% of HHs with access to Sanitary pad more than '#%]]+WWWW[[#This Row],[Ratio of Hyiene promoters to people less than '#]]+WWWW[[#This Row],[% of HHs with access to soap more than '#%]]&gt;=2,WWWW[[#This Row],[Total PoP ]],0)</f>
        <v>0</v>
      </c>
      <c r="BW302" s="346">
        <f>WWWW[[#This Row],['# people reached by regular dedicated hygiene promotion_5]]/WWWW[[#This Row],[Total PoP ]]</f>
        <v>0</v>
      </c>
      <c r="BX302" s="346">
        <f>IF(WWWW[[#This Row],['# HH received soaps]]/WWWW[[#This Row],[Total HH]]&gt;1,1,WWWW[[#This Row],['# HH received soaps]]/WWWW[[#This Row],[Total HH]])</f>
        <v>0</v>
      </c>
      <c r="BY302" s="346">
        <f>IF(WWWW[[#This Row],['# HH received Sanitary Pads]]/WWWW[[#This Row],[Total HH]]&gt;1,1,WWWW[[#This Row],['# HH received Sanitary Pads]]/WWWW[[#This Row],[Total HH]])</f>
        <v>0</v>
      </c>
      <c r="BZ302" s="720">
        <f>WWWW[[#This Row],['# HH received soaps]]*5</f>
        <v>0</v>
      </c>
      <c r="CA302" s="720">
        <f>WWWW[[#This Row],['# HH received Sanitary Pads]]*5</f>
        <v>0</v>
      </c>
      <c r="CB302" s="675">
        <f>IF(WWWW[[#This Row],['# People with access to soap]]&gt;WWWW[[#This Row],['# People with access to Sanity Pads]],WWWW[[#This Row],['# People with access to soap]],WWWW[[#This Row],['# People with access to Sanity Pads]])</f>
        <v>0</v>
      </c>
      <c r="CC302" s="414">
        <f>WWWW[[#This Row],[Total HH]]*WWWW[[#This Row],[%HHs with access to functional hand washing stations]]</f>
        <v>0</v>
      </c>
      <c r="CD302" s="240">
        <f>VLOOKUP(WWWW[[#This Row],[Site Name]],SiteDB6[],8,FALSE)</f>
        <v>0</v>
      </c>
      <c r="CE302" s="240">
        <f>VLOOKUP(WWWW[[#This Row],[Site Name]],SiteDB6[],9,FALSE)</f>
        <v>0</v>
      </c>
      <c r="CF302" s="240" t="str">
        <f>VLOOKUP(WWWW[[#This Row],[Site Name]],SiteDB6[],10,FALSE)</f>
        <v>Village_Not HRP</v>
      </c>
      <c r="CG302" s="240" t="str">
        <f>VLOOKUP(WWWW[[#This Row],[Site Name]],SiteDB6[],11,FALSE)</f>
        <v>Village</v>
      </c>
      <c r="CH302" s="240" t="str">
        <f>VLOOKUP(WWWW[[#This Row],[Site Name]],SiteDB6[],12,FALSE)</f>
        <v>Village_Not HRP</v>
      </c>
      <c r="CI302" s="240" t="str">
        <f>VLOOKUP(WWWW[[#This Row],[Site Name]],SiteDB6[],13,FALSE)</f>
        <v>Muslim</v>
      </c>
      <c r="CJ302" s="240">
        <f>VLOOKUP(WWWW[[#This Row],[Site Name]],SiteDB6[],14,FALSE)</f>
        <v>20.183790206909201</v>
      </c>
      <c r="CK302" s="240">
        <f>VLOOKUP(WWWW[[#This Row],[Site Name]],SiteDB6[],15,FALSE)</f>
        <v>92.864143371582003</v>
      </c>
      <c r="CL302" s="240">
        <f>VLOOKUP(WWWW[[#This Row],[Site Name]],SiteDB6[],4,FALSE)</f>
        <v>196197</v>
      </c>
      <c r="CM302" s="235" t="str">
        <f t="shared" si="4"/>
        <v>Covered</v>
      </c>
      <c r="CN302" s="240"/>
    </row>
    <row r="303" spans="1:92" ht="15.75" hidden="1" customHeight="1" x14ac:dyDescent="0.25">
      <c r="A303" s="554" t="s">
        <v>1409</v>
      </c>
      <c r="B303" s="402" t="s">
        <v>463</v>
      </c>
      <c r="C303" s="314" t="s">
        <v>464</v>
      </c>
      <c r="D303" s="314" t="s">
        <v>465</v>
      </c>
      <c r="E303" s="314" t="s">
        <v>611</v>
      </c>
      <c r="F303" s="402">
        <v>17</v>
      </c>
      <c r="G303" s="405">
        <v>74</v>
      </c>
      <c r="H303" s="402"/>
      <c r="I303" s="402"/>
      <c r="J303" s="403"/>
      <c r="K303" s="402"/>
      <c r="L303" s="402"/>
      <c r="M303" s="404"/>
      <c r="N303" s="404"/>
      <c r="O303" s="605">
        <v>0</v>
      </c>
      <c r="P303" s="606">
        <v>2</v>
      </c>
      <c r="Q303" s="606"/>
      <c r="R303" s="607"/>
      <c r="S303" s="607"/>
      <c r="T303" s="607"/>
      <c r="U303" s="607"/>
      <c r="V303" s="607"/>
      <c r="W303" s="607"/>
      <c r="X303" s="607"/>
      <c r="Y303" s="607"/>
      <c r="Z303" s="598">
        <v>0</v>
      </c>
      <c r="AA303" s="598"/>
      <c r="AB303" s="80"/>
      <c r="AC303" s="598"/>
      <c r="AD303" s="598" t="s">
        <v>296</v>
      </c>
      <c r="AE303" s="599" t="s">
        <v>296</v>
      </c>
      <c r="AF303" s="599"/>
      <c r="AG303" s="598"/>
      <c r="AH303" s="598"/>
      <c r="AI303" s="649"/>
      <c r="AJ303" s="650"/>
      <c r="AK303" s="650"/>
      <c r="AL303" s="645"/>
      <c r="AM303" s="645"/>
      <c r="AN303" s="600"/>
      <c r="AO303" s="600"/>
      <c r="AP303" s="600"/>
      <c r="AQ303" s="651"/>
      <c r="AR303" s="404" t="str">
        <f>IFERROR(WWWW[[#This Row],['# of Water passed at source]]/WWWW[[#This Row],['# of Water tested at source]],"no test")</f>
        <v>no test</v>
      </c>
      <c r="AS303" s="407" t="str">
        <f>IFERROR(WWWW[[#This Row],['# of Water passed at HH]]/WWWW[[#This Row],['# of Water tested at HH]],"no test")</f>
        <v>no test</v>
      </c>
      <c r="AT303" s="407">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U303" s="407">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AV303" s="407">
        <f>IF(WWWW[[#This Row],[Location Type 1]]="Village",WWWW[[#This Row],[Access to safe drinking water for Village]],WWWW[[#This Row],[Access to safe drinking water for Camp]])</f>
        <v>1</v>
      </c>
      <c r="AW303" s="405">
        <f>WWWW[[#This Row],[%Equitable and continuous access to sufficient quantity of safe drinking water]]*WWWW[[#This Row],[Total PoP ]]</f>
        <v>74</v>
      </c>
      <c r="AX303" s="407">
        <f>IF((WWWW[[#This Row],['# Existing protected/fenced ponds ]]*250)/WWWW[[#This Row],[Total PoP ]]&gt;1,1,WWWW[[#This Row],['# Existing protected/fenced ponds ]]*250/WWWW[[#This Row],[Total PoP ]])</f>
        <v>0</v>
      </c>
      <c r="AY303" s="405">
        <f>WWWW[[#This Row],[Access to unimproved water points]]*WWWW[[#This Row],[Total PoP ]]</f>
        <v>0</v>
      </c>
      <c r="AZ303" s="407">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A303" s="405">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74</v>
      </c>
      <c r="BB303" s="405">
        <f>WWWW[[#This Row],['#people Equitable and continuous access to sufficient quantity of domestic water borehole n ponds_2]]/500</f>
        <v>0.14799999999999999</v>
      </c>
      <c r="BC303" s="404">
        <f>1-WWWW[[#This Row],[%Equitable and continuous access to sufficient quantity of domestic water borehole n ponds]]</f>
        <v>0</v>
      </c>
      <c r="BD303" s="405">
        <f>WWWW[[#This Row],[%equitable and continuous access to sufficient quantity of safe drinking and domestic water''s GAP]]*WWWW[[#This Row],[Total PoP ]]</f>
        <v>0</v>
      </c>
      <c r="BE303" s="406">
        <f>IF(WWWW[[#This Row],[Total required water points]]-WWWW[[#This Row],['#Water points coverage]]&lt;0,0,WWWW[[#This Row],[Total required water points]]-WWWW[[#This Row],['#Water points coverage]])</f>
        <v>0.85199999999999998</v>
      </c>
      <c r="BF303" s="406">
        <f>ROUND(IF(WWWW[[#This Row],[Total PoP ]]&lt;500,1,WWWW[[#This Row],[Total PoP ]]/500),0)</f>
        <v>1</v>
      </c>
      <c r="BG303" s="406" t="str">
        <f>IF(AND(WWWW[[#This Row],[%of Water samples which passed at water source]]="no test",WWWW[[#This Row],[%Water samples which passed at HH]]="no test"),"No Test","Tested")</f>
        <v>No Test</v>
      </c>
      <c r="BH303" s="406">
        <f>WWWW[[#This Row],['# Existing functional latrines]]+WWWW[[#This Row],['# Existing latrines dysfunctional]]</f>
        <v>0</v>
      </c>
      <c r="BI303" s="404">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J303" s="676">
        <f>WWWW[[#This Row],[% people access to functioning Latrine]]*WWWW[[#This Row],[Total PoP ]]</f>
        <v>0</v>
      </c>
      <c r="BK303" s="404">
        <f>IF(WWWW[[#This Row],[Location Type 1]]="camp",WWWW[[#This Row],['# potential required new latrines]]/(WWWW[[#This Row],[Total PoP ]]/20),WWWW[[#This Row],['# potential required new latrines]]/(WWWW[[#This Row],[Total PoP ]]/6))</f>
        <v>0.97297297297297292</v>
      </c>
      <c r="BL303" s="405">
        <f>IF(WWWW[[#This Row],[Total required Latrines]]-WWWW[[#This Row],[Total '# of latrine]]&lt;0,0,WWWW[[#This Row],[Total required Latrines]]-WWWW[[#This Row],[Total '# of latrine]])</f>
        <v>12</v>
      </c>
      <c r="BM303" s="406">
        <f>ROUND(IF(WWWW[[#This Row],[Location Type 1]]="camp",WWWW[[#This Row],[Total PoP ]]/20,WWWW[[#This Row],[Total PoP ]]/6),0)</f>
        <v>12</v>
      </c>
      <c r="BN303" s="408">
        <f>IF(OR(WWWW[[#This Row],['# Existing latrines dysfunctional]]="",WWWW[[#This Row],['# Existing latrines dysfunctional]]=0),0,WWWW[[#This Row],['# Existing latrines dysfunctional]]/WWWW[[#This Row],[Total '# of latrine]])</f>
        <v>0</v>
      </c>
      <c r="BO303" s="676"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P303" s="404">
        <f>WWWW[[#This Row],[People adopt basic personal and community hygiene practices]]/WWWW[[#This Row],[Total PoP ]]</f>
        <v>0</v>
      </c>
      <c r="BQ303" s="408">
        <f>1-WWWW[[#This Row],[Hygiene Coverage%]]</f>
        <v>1</v>
      </c>
      <c r="BR303" s="405">
        <f>IF(500*WWWW[[#This Row],['# Hygiene Promoters ]]&gt;WWWW[[#This Row],[Total PoP ]],WWWW[[#This Row],[Total PoP ]],500*WWWW[[#This Row],['# Hygiene Promoters ]])</f>
        <v>0</v>
      </c>
      <c r="BS303" s="405">
        <f>IF(WWWW[[#This Row],[% of HH with access to Sanitary Pad]]&gt;=100%,1,0)</f>
        <v>0</v>
      </c>
      <c r="BT303" s="405">
        <f>IF(WWWW[[#This Row],[Total PoP ]]=0,0,IF(WWWW[[#This Row],['# Hygiene Promoters ]]=0,0,IF(WWWW[[#This Row],[Location Type 1]]="Village",IF(WWWW[[#This Row],[Total PoP ]]/WWWW[[#This Row],['# Hygiene Promoters ]]&lt;1000,1,0),IF(WWWW[[#This Row],[Total PoP ]]/WWWW[[#This Row],['# Hygiene Promoters ]]&lt;600,1,0))))</f>
        <v>0</v>
      </c>
      <c r="BU303" s="405">
        <f>IF(WWWW[[#This Row],[%HH with access to soap]]&gt;=100%,1,0)</f>
        <v>0</v>
      </c>
      <c r="BV303" s="405">
        <f>IF(WWWW[[#This Row],[% of HHs with access to Sanitary pad more than '#%]]+WWWW[[#This Row],[Ratio of Hyiene promoters to people less than '#]]+WWWW[[#This Row],[% of HHs with access to soap more than '#%]]&gt;=2,WWWW[[#This Row],[Total PoP ]],0)</f>
        <v>0</v>
      </c>
      <c r="BW303" s="391">
        <f>WWWW[[#This Row],['# people reached by regular dedicated hygiene promotion_5]]/WWWW[[#This Row],[Total PoP ]]</f>
        <v>0</v>
      </c>
      <c r="BX303" s="391">
        <f>IF(WWWW[[#This Row],['# HH received soaps]]/WWWW[[#This Row],[Total HH]]&gt;1,1,WWWW[[#This Row],['# HH received soaps]]/WWWW[[#This Row],[Total HH]])</f>
        <v>0</v>
      </c>
      <c r="BY303" s="391">
        <f>IF(WWWW[[#This Row],['# HH received Sanitary Pads]]/WWWW[[#This Row],[Total HH]]&gt;1,1,WWWW[[#This Row],['# HH received Sanitary Pads]]/WWWW[[#This Row],[Total HH]])</f>
        <v>0</v>
      </c>
      <c r="BZ303" s="721">
        <f>WWWW[[#This Row],['# HH received soaps]]*5</f>
        <v>0</v>
      </c>
      <c r="CA303" s="721">
        <f>WWWW[[#This Row],['# HH received Sanitary Pads]]*5</f>
        <v>0</v>
      </c>
      <c r="CB303" s="406">
        <f>IF(WWWW[[#This Row],['# People with access to soap]]&gt;WWWW[[#This Row],['# People with access to Sanity Pads]],WWWW[[#This Row],['# People with access to soap]],WWWW[[#This Row],['# People with access to Sanity Pads]])</f>
        <v>0</v>
      </c>
      <c r="CC303" s="405">
        <f>WWWW[[#This Row],[Total HH]]*WWWW[[#This Row],[%HHs with access to functional hand washing stations]]</f>
        <v>0</v>
      </c>
      <c r="CD303" s="240">
        <f>VLOOKUP(WWWW[[#This Row],[Site Name]],SiteDB6[],8,FALSE)</f>
        <v>0</v>
      </c>
      <c r="CE303" s="240">
        <f>VLOOKUP(WWWW[[#This Row],[Site Name]],SiteDB6[],9,FALSE)</f>
        <v>0</v>
      </c>
      <c r="CF303" s="240" t="str">
        <f>VLOOKUP(WWWW[[#This Row],[Site Name]],SiteDB6[],10,FALSE)</f>
        <v>Village_Not HRP</v>
      </c>
      <c r="CG303" s="240" t="str">
        <f>VLOOKUP(WWWW[[#This Row],[Site Name]],SiteDB6[],11,FALSE)</f>
        <v>Village</v>
      </c>
      <c r="CH303" s="240" t="str">
        <f>VLOOKUP(WWWW[[#This Row],[Site Name]],SiteDB6[],12,FALSE)</f>
        <v>Village_Not HRP</v>
      </c>
      <c r="CI303" s="240" t="str">
        <f>VLOOKUP(WWWW[[#This Row],[Site Name]],SiteDB6[],13,FALSE)</f>
        <v>Muslim</v>
      </c>
      <c r="CJ303" s="240">
        <f>VLOOKUP(WWWW[[#This Row],[Site Name]],SiteDB6[],14,FALSE)</f>
        <v>20.1934604644775</v>
      </c>
      <c r="CK303" s="240">
        <f>VLOOKUP(WWWW[[#This Row],[Site Name]],SiteDB6[],15,FALSE)</f>
        <v>92.867782592773395</v>
      </c>
      <c r="CL303" s="240">
        <f>VLOOKUP(WWWW[[#This Row],[Site Name]],SiteDB6[],4,FALSE)</f>
        <v>196147</v>
      </c>
      <c r="CM303" s="404" t="str">
        <f t="shared" si="4"/>
        <v>Covered</v>
      </c>
      <c r="CN303" s="404"/>
    </row>
    <row r="304" spans="1:92" ht="15.75" hidden="1" customHeight="1" x14ac:dyDescent="0.25">
      <c r="A304" s="554" t="s">
        <v>1409</v>
      </c>
      <c r="B304" s="402" t="s">
        <v>463</v>
      </c>
      <c r="C304" s="314" t="s">
        <v>464</v>
      </c>
      <c r="D304" s="314" t="s">
        <v>465</v>
      </c>
      <c r="E304" s="314" t="s">
        <v>612</v>
      </c>
      <c r="F304" s="402">
        <v>26</v>
      </c>
      <c r="G304" s="405">
        <v>105</v>
      </c>
      <c r="H304" s="402"/>
      <c r="I304" s="402"/>
      <c r="J304" s="403"/>
      <c r="K304" s="402"/>
      <c r="L304" s="402"/>
      <c r="M304" s="404"/>
      <c r="N304" s="404"/>
      <c r="O304" s="605">
        <v>0</v>
      </c>
      <c r="P304" s="606">
        <v>3</v>
      </c>
      <c r="Q304" s="606"/>
      <c r="R304" s="607"/>
      <c r="S304" s="607"/>
      <c r="T304" s="607"/>
      <c r="U304" s="607"/>
      <c r="V304" s="607"/>
      <c r="W304" s="607"/>
      <c r="X304" s="607"/>
      <c r="Y304" s="607"/>
      <c r="Z304" s="598">
        <v>0</v>
      </c>
      <c r="AA304" s="598"/>
      <c r="AB304" s="80"/>
      <c r="AC304" s="598"/>
      <c r="AD304" s="598" t="s">
        <v>296</v>
      </c>
      <c r="AE304" s="599" t="s">
        <v>296</v>
      </c>
      <c r="AF304" s="599"/>
      <c r="AG304" s="598"/>
      <c r="AH304" s="598"/>
      <c r="AI304" s="649"/>
      <c r="AJ304" s="650"/>
      <c r="AK304" s="650"/>
      <c r="AL304" s="645"/>
      <c r="AM304" s="645"/>
      <c r="AN304" s="600"/>
      <c r="AO304" s="600"/>
      <c r="AP304" s="600"/>
      <c r="AQ304" s="651"/>
      <c r="AR304" s="404" t="str">
        <f>IFERROR(WWWW[[#This Row],['# of Water passed at source]]/WWWW[[#This Row],['# of Water tested at source]],"no test")</f>
        <v>no test</v>
      </c>
      <c r="AS304" s="407" t="str">
        <f>IFERROR(WWWW[[#This Row],['# of Water passed at HH]]/WWWW[[#This Row],['# of Water tested at HH]],"no test")</f>
        <v>no test</v>
      </c>
      <c r="AT304" s="407">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U304" s="407">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AV304" s="407">
        <f>IF(WWWW[[#This Row],[Location Type 1]]="Village",WWWW[[#This Row],[Access to safe drinking water for Village]],WWWW[[#This Row],[Access to safe drinking water for Camp]])</f>
        <v>1</v>
      </c>
      <c r="AW304" s="405">
        <f>WWWW[[#This Row],[%Equitable and continuous access to sufficient quantity of safe drinking water]]*WWWW[[#This Row],[Total PoP ]]</f>
        <v>105</v>
      </c>
      <c r="AX304" s="407">
        <f>IF((WWWW[[#This Row],['# Existing protected/fenced ponds ]]*250)/WWWW[[#This Row],[Total PoP ]]&gt;1,1,WWWW[[#This Row],['# Existing protected/fenced ponds ]]*250/WWWW[[#This Row],[Total PoP ]])</f>
        <v>0</v>
      </c>
      <c r="AY304" s="405">
        <f>WWWW[[#This Row],[Access to unimproved water points]]*WWWW[[#This Row],[Total PoP ]]</f>
        <v>0</v>
      </c>
      <c r="AZ304" s="407">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A304" s="405">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105</v>
      </c>
      <c r="BB304" s="405">
        <f>WWWW[[#This Row],['#people Equitable and continuous access to sufficient quantity of domestic water borehole n ponds_2]]/500</f>
        <v>0.21</v>
      </c>
      <c r="BC304" s="404">
        <f>1-WWWW[[#This Row],[%Equitable and continuous access to sufficient quantity of domestic water borehole n ponds]]</f>
        <v>0</v>
      </c>
      <c r="BD304" s="405">
        <f>WWWW[[#This Row],[%equitable and continuous access to sufficient quantity of safe drinking and domestic water''s GAP]]*WWWW[[#This Row],[Total PoP ]]</f>
        <v>0</v>
      </c>
      <c r="BE304" s="406">
        <f>IF(WWWW[[#This Row],[Total required water points]]-WWWW[[#This Row],['#Water points coverage]]&lt;0,0,WWWW[[#This Row],[Total required water points]]-WWWW[[#This Row],['#Water points coverage]])</f>
        <v>0.79</v>
      </c>
      <c r="BF304" s="406">
        <f>ROUND(IF(WWWW[[#This Row],[Total PoP ]]&lt;500,1,WWWW[[#This Row],[Total PoP ]]/500),0)</f>
        <v>1</v>
      </c>
      <c r="BG304" s="406" t="str">
        <f>IF(AND(WWWW[[#This Row],[%of Water samples which passed at water source]]="no test",WWWW[[#This Row],[%Water samples which passed at HH]]="no test"),"No Test","Tested")</f>
        <v>No Test</v>
      </c>
      <c r="BH304" s="406">
        <f>WWWW[[#This Row],['# Existing functional latrines]]+WWWW[[#This Row],['# Existing latrines dysfunctional]]</f>
        <v>0</v>
      </c>
      <c r="BI304" s="404">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J304" s="676">
        <f>WWWW[[#This Row],[% people access to functioning Latrine]]*WWWW[[#This Row],[Total PoP ]]</f>
        <v>0</v>
      </c>
      <c r="BK304" s="404">
        <f>IF(WWWW[[#This Row],[Location Type 1]]="camp",WWWW[[#This Row],['# potential required new latrines]]/(WWWW[[#This Row],[Total PoP ]]/20),WWWW[[#This Row],['# potential required new latrines]]/(WWWW[[#This Row],[Total PoP ]]/6))</f>
        <v>1.0285714285714285</v>
      </c>
      <c r="BL304" s="405">
        <f>IF(WWWW[[#This Row],[Total required Latrines]]-WWWW[[#This Row],[Total '# of latrine]]&lt;0,0,WWWW[[#This Row],[Total required Latrines]]-WWWW[[#This Row],[Total '# of latrine]])</f>
        <v>18</v>
      </c>
      <c r="BM304" s="406">
        <f>ROUND(IF(WWWW[[#This Row],[Location Type 1]]="camp",WWWW[[#This Row],[Total PoP ]]/20,WWWW[[#This Row],[Total PoP ]]/6),0)</f>
        <v>18</v>
      </c>
      <c r="BN304" s="408">
        <f>IF(OR(WWWW[[#This Row],['# Existing latrines dysfunctional]]="",WWWW[[#This Row],['# Existing latrines dysfunctional]]=0),0,WWWW[[#This Row],['# Existing latrines dysfunctional]]/WWWW[[#This Row],[Total '# of latrine]])</f>
        <v>0</v>
      </c>
      <c r="BO304" s="676"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P304" s="404">
        <f>WWWW[[#This Row],[People adopt basic personal and community hygiene practices]]/WWWW[[#This Row],[Total PoP ]]</f>
        <v>0</v>
      </c>
      <c r="BQ304" s="408">
        <f>1-WWWW[[#This Row],[Hygiene Coverage%]]</f>
        <v>1</v>
      </c>
      <c r="BR304" s="405">
        <f>IF(500*WWWW[[#This Row],['# Hygiene Promoters ]]&gt;WWWW[[#This Row],[Total PoP ]],WWWW[[#This Row],[Total PoP ]],500*WWWW[[#This Row],['# Hygiene Promoters ]])</f>
        <v>0</v>
      </c>
      <c r="BS304" s="405">
        <f>IF(WWWW[[#This Row],[% of HH with access to Sanitary Pad]]&gt;=100%,1,0)</f>
        <v>0</v>
      </c>
      <c r="BT304" s="405">
        <f>IF(WWWW[[#This Row],[Total PoP ]]=0,0,IF(WWWW[[#This Row],['# Hygiene Promoters ]]=0,0,IF(WWWW[[#This Row],[Location Type 1]]="Village",IF(WWWW[[#This Row],[Total PoP ]]/WWWW[[#This Row],['# Hygiene Promoters ]]&lt;1000,1,0),IF(WWWW[[#This Row],[Total PoP ]]/WWWW[[#This Row],['# Hygiene Promoters ]]&lt;600,1,0))))</f>
        <v>0</v>
      </c>
      <c r="BU304" s="405">
        <f>IF(WWWW[[#This Row],[%HH with access to soap]]&gt;=100%,1,0)</f>
        <v>0</v>
      </c>
      <c r="BV304" s="405">
        <f>IF(WWWW[[#This Row],[% of HHs with access to Sanitary pad more than '#%]]+WWWW[[#This Row],[Ratio of Hyiene promoters to people less than '#]]+WWWW[[#This Row],[% of HHs with access to soap more than '#%]]&gt;=2,WWWW[[#This Row],[Total PoP ]],0)</f>
        <v>0</v>
      </c>
      <c r="BW304" s="391">
        <f>WWWW[[#This Row],['# people reached by regular dedicated hygiene promotion_5]]/WWWW[[#This Row],[Total PoP ]]</f>
        <v>0</v>
      </c>
      <c r="BX304" s="391">
        <f>IF(WWWW[[#This Row],['# HH received soaps]]/WWWW[[#This Row],[Total HH]]&gt;1,1,WWWW[[#This Row],['# HH received soaps]]/WWWW[[#This Row],[Total HH]])</f>
        <v>0</v>
      </c>
      <c r="BY304" s="391">
        <f>IF(WWWW[[#This Row],['# HH received Sanitary Pads]]/WWWW[[#This Row],[Total HH]]&gt;1,1,WWWW[[#This Row],['# HH received Sanitary Pads]]/WWWW[[#This Row],[Total HH]])</f>
        <v>0</v>
      </c>
      <c r="BZ304" s="721">
        <f>WWWW[[#This Row],['# HH received soaps]]*5</f>
        <v>0</v>
      </c>
      <c r="CA304" s="721">
        <f>WWWW[[#This Row],['# HH received Sanitary Pads]]*5</f>
        <v>0</v>
      </c>
      <c r="CB304" s="406">
        <f>IF(WWWW[[#This Row],['# People with access to soap]]&gt;WWWW[[#This Row],['# People with access to Sanity Pads]],WWWW[[#This Row],['# People with access to soap]],WWWW[[#This Row],['# People with access to Sanity Pads]])</f>
        <v>0</v>
      </c>
      <c r="CC304" s="405">
        <f>WWWW[[#This Row],[Total HH]]*WWWW[[#This Row],[%HHs with access to functional hand washing stations]]</f>
        <v>0</v>
      </c>
      <c r="CD304" s="240">
        <f>VLOOKUP(WWWW[[#This Row],[Site Name]],SiteDB6[],8,FALSE)</f>
        <v>0</v>
      </c>
      <c r="CE304" s="240">
        <f>VLOOKUP(WWWW[[#This Row],[Site Name]],SiteDB6[],9,FALSE)</f>
        <v>0</v>
      </c>
      <c r="CF304" s="240" t="str">
        <f>VLOOKUP(WWWW[[#This Row],[Site Name]],SiteDB6[],10,FALSE)</f>
        <v>Village_Not HRP</v>
      </c>
      <c r="CG304" s="240" t="str">
        <f>VLOOKUP(WWWW[[#This Row],[Site Name]],SiteDB6[],11,FALSE)</f>
        <v>Village</v>
      </c>
      <c r="CH304" s="240" t="str">
        <f>VLOOKUP(WWWW[[#This Row],[Site Name]],SiteDB6[],12,FALSE)</f>
        <v>Village_Not HRP</v>
      </c>
      <c r="CI304" s="240" t="str">
        <f>VLOOKUP(WWWW[[#This Row],[Site Name]],SiteDB6[],13,FALSE)</f>
        <v>Muslim</v>
      </c>
      <c r="CJ304" s="240">
        <f>VLOOKUP(WWWW[[#This Row],[Site Name]],SiteDB6[],14,FALSE)</f>
        <v>20.194370269775401</v>
      </c>
      <c r="CK304" s="240">
        <f>VLOOKUP(WWWW[[#This Row],[Site Name]],SiteDB6[],15,FALSE)</f>
        <v>92.834007263183594</v>
      </c>
      <c r="CL304" s="240">
        <f>VLOOKUP(WWWW[[#This Row],[Site Name]],SiteDB6[],4,FALSE)</f>
        <v>196128</v>
      </c>
      <c r="CM304" s="404" t="str">
        <f t="shared" si="4"/>
        <v>Covered</v>
      </c>
      <c r="CN304" s="404"/>
    </row>
    <row r="305" spans="1:92" ht="15.75" hidden="1" customHeight="1" x14ac:dyDescent="0.25">
      <c r="A305" s="554" t="s">
        <v>1409</v>
      </c>
      <c r="B305" s="169" t="s">
        <v>463</v>
      </c>
      <c r="C305" s="169" t="s">
        <v>464</v>
      </c>
      <c r="D305" s="169" t="s">
        <v>465</v>
      </c>
      <c r="E305" s="169" t="s">
        <v>617</v>
      </c>
      <c r="F305" s="169">
        <v>8</v>
      </c>
      <c r="G305" s="732">
        <v>49</v>
      </c>
      <c r="H305" s="169"/>
      <c r="I305" s="169"/>
      <c r="J305" s="170"/>
      <c r="K305" s="169"/>
      <c r="L305" s="169"/>
      <c r="M305" s="171"/>
      <c r="N305" s="171"/>
      <c r="O305" s="609">
        <v>0</v>
      </c>
      <c r="P305" s="609">
        <v>2</v>
      </c>
      <c r="Q305" s="610"/>
      <c r="R305" s="611"/>
      <c r="S305" s="611"/>
      <c r="T305" s="606"/>
      <c r="U305" s="606"/>
      <c r="V305" s="606"/>
      <c r="W305" s="606"/>
      <c r="X305" s="604"/>
      <c r="Y305" s="607"/>
      <c r="Z305" s="598">
        <v>0</v>
      </c>
      <c r="AA305" s="599"/>
      <c r="AB305" s="629"/>
      <c r="AC305" s="632"/>
      <c r="AD305" s="80" t="s">
        <v>296</v>
      </c>
      <c r="AE305" s="80" t="s">
        <v>296</v>
      </c>
      <c r="AF305" s="80"/>
      <c r="AG305" s="80"/>
      <c r="AH305" s="633"/>
      <c r="AI305" s="652"/>
      <c r="AJ305" s="653"/>
      <c r="AK305" s="651"/>
      <c r="AL305" s="645"/>
      <c r="AM305" s="645"/>
      <c r="AN305" s="600"/>
      <c r="AO305" s="600"/>
      <c r="AP305" s="600"/>
      <c r="AQ305" s="654"/>
      <c r="AR305" s="235" t="str">
        <f>IFERROR(WWWW[[#This Row],['# of Water passed at source]]/WWWW[[#This Row],['# of Water tested at source]],"no test")</f>
        <v>no test</v>
      </c>
      <c r="AS305" s="237" t="str">
        <f>IFERROR(WWWW[[#This Row],['# of Water passed at HH]]/WWWW[[#This Row],['# of Water tested at HH]],"no test")</f>
        <v>no test</v>
      </c>
      <c r="AT305" s="237">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U305" s="237">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AV305" s="237">
        <f>IF(WWWW[[#This Row],[Location Type 1]]="Village",WWWW[[#This Row],[Access to safe drinking water for Village]],WWWW[[#This Row],[Access to safe drinking water for Camp]])</f>
        <v>1</v>
      </c>
      <c r="AW305" s="414">
        <f>WWWW[[#This Row],[%Equitable and continuous access to sufficient quantity of safe drinking water]]*WWWW[[#This Row],[Total PoP ]]</f>
        <v>49</v>
      </c>
      <c r="AX305" s="237">
        <f>IF((WWWW[[#This Row],['# Existing protected/fenced ponds ]]*250)/WWWW[[#This Row],[Total PoP ]]&gt;1,1,WWWW[[#This Row],['# Existing protected/fenced ponds ]]*250/WWWW[[#This Row],[Total PoP ]])</f>
        <v>0</v>
      </c>
      <c r="AY305" s="414">
        <f>WWWW[[#This Row],[Access to unimproved water points]]*WWWW[[#This Row],[Total PoP ]]</f>
        <v>0</v>
      </c>
      <c r="AZ305" s="237">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A305" s="414">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49</v>
      </c>
      <c r="BB305" s="414">
        <f>WWWW[[#This Row],['#people Equitable and continuous access to sufficient quantity of domestic water borehole n ponds_2]]/500</f>
        <v>9.8000000000000004E-2</v>
      </c>
      <c r="BC305" s="235">
        <f>1-WWWW[[#This Row],[%Equitable and continuous access to sufficient quantity of domestic water borehole n ponds]]</f>
        <v>0</v>
      </c>
      <c r="BD305" s="414">
        <f>WWWW[[#This Row],[%equitable and continuous access to sufficient quantity of safe drinking and domestic water''s GAP]]*WWWW[[#This Row],[Total PoP ]]</f>
        <v>0</v>
      </c>
      <c r="BE305" s="238">
        <f>IF(WWWW[[#This Row],[Total required water points]]-WWWW[[#This Row],['#Water points coverage]]&lt;0,0,WWWW[[#This Row],[Total required water points]]-WWWW[[#This Row],['#Water points coverage]])</f>
        <v>0.90200000000000002</v>
      </c>
      <c r="BF305" s="238">
        <f>ROUND(IF(WWWW[[#This Row],[Total PoP ]]&lt;500,1,WWWW[[#This Row],[Total PoP ]]/500),0)</f>
        <v>1</v>
      </c>
      <c r="BG305" s="238" t="str">
        <f>IF(AND(WWWW[[#This Row],[%of Water samples which passed at water source]]="no test",WWWW[[#This Row],[%Water samples which passed at HH]]="no test"),"No Test","Tested")</f>
        <v>No Test</v>
      </c>
      <c r="BH305" s="238">
        <f>WWWW[[#This Row],['# Existing functional latrines]]+WWWW[[#This Row],['# Existing latrines dysfunctional]]</f>
        <v>0</v>
      </c>
      <c r="BI305" s="235">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J305" s="675">
        <f>WWWW[[#This Row],[% people access to functioning Latrine]]*WWWW[[#This Row],[Total PoP ]]</f>
        <v>0</v>
      </c>
      <c r="BK305" s="235">
        <f>IF(WWWW[[#This Row],[Location Type 1]]="camp",WWWW[[#This Row],['# potential required new latrines]]/(WWWW[[#This Row],[Total PoP ]]/20),WWWW[[#This Row],['# potential required new latrines]]/(WWWW[[#This Row],[Total PoP ]]/6))</f>
        <v>0.97959183673469397</v>
      </c>
      <c r="BL305" s="414">
        <f>IF(WWWW[[#This Row],[Total required Latrines]]-WWWW[[#This Row],[Total '# of latrine]]&lt;0,0,WWWW[[#This Row],[Total required Latrines]]-WWWW[[#This Row],[Total '# of latrine]])</f>
        <v>8</v>
      </c>
      <c r="BM305" s="238">
        <f>ROUND(IF(WWWW[[#This Row],[Location Type 1]]="camp",WWWW[[#This Row],[Total PoP ]]/20,WWWW[[#This Row],[Total PoP ]]/6),0)</f>
        <v>8</v>
      </c>
      <c r="BN305" s="239">
        <f>IF(OR(WWWW[[#This Row],['# Existing latrines dysfunctional]]="",WWWW[[#This Row],['# Existing latrines dysfunctional]]=0),0,WWWW[[#This Row],['# Existing latrines dysfunctional]]/WWWW[[#This Row],[Total '# of latrine]])</f>
        <v>0</v>
      </c>
      <c r="BO305" s="675"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P305" s="235">
        <f>WWWW[[#This Row],[People adopt basic personal and community hygiene practices]]/WWWW[[#This Row],[Total PoP ]]</f>
        <v>0</v>
      </c>
      <c r="BQ305" s="239">
        <f>1-WWWW[[#This Row],[Hygiene Coverage%]]</f>
        <v>1</v>
      </c>
      <c r="BR305" s="405">
        <f>IF(500*WWWW[[#This Row],['# Hygiene Promoters ]]&gt;WWWW[[#This Row],[Total PoP ]],WWWW[[#This Row],[Total PoP ]],500*WWWW[[#This Row],['# Hygiene Promoters ]])</f>
        <v>0</v>
      </c>
      <c r="BS305" s="405">
        <f>IF(WWWW[[#This Row],[% of HH with access to Sanitary Pad]]&gt;=100%,1,0)</f>
        <v>0</v>
      </c>
      <c r="BT305" s="405">
        <f>IF(WWWW[[#This Row],[Total PoP ]]=0,0,IF(WWWW[[#This Row],['# Hygiene Promoters ]]=0,0,IF(WWWW[[#This Row],[Location Type 1]]="Village",IF(WWWW[[#This Row],[Total PoP ]]/WWWW[[#This Row],['# Hygiene Promoters ]]&lt;1000,1,0),IF(WWWW[[#This Row],[Total PoP ]]/WWWW[[#This Row],['# Hygiene Promoters ]]&lt;600,1,0))))</f>
        <v>0</v>
      </c>
      <c r="BU305" s="405">
        <f>IF(WWWW[[#This Row],[%HH with access to soap]]&gt;=100%,1,0)</f>
        <v>0</v>
      </c>
      <c r="BV305" s="405">
        <f>IF(WWWW[[#This Row],[% of HHs with access to Sanitary pad more than '#%]]+WWWW[[#This Row],[Ratio of Hyiene promoters to people less than '#]]+WWWW[[#This Row],[% of HHs with access to soap more than '#%]]&gt;=2,WWWW[[#This Row],[Total PoP ]],0)</f>
        <v>0</v>
      </c>
      <c r="BW305" s="346">
        <f>WWWW[[#This Row],['# people reached by regular dedicated hygiene promotion_5]]/WWWW[[#This Row],[Total PoP ]]</f>
        <v>0</v>
      </c>
      <c r="BX305" s="346">
        <f>IF(WWWW[[#This Row],['# HH received soaps]]/WWWW[[#This Row],[Total HH]]&gt;1,1,WWWW[[#This Row],['# HH received soaps]]/WWWW[[#This Row],[Total HH]])</f>
        <v>0</v>
      </c>
      <c r="BY305" s="346">
        <f>IF(WWWW[[#This Row],['# HH received Sanitary Pads]]/WWWW[[#This Row],[Total HH]]&gt;1,1,WWWW[[#This Row],['# HH received Sanitary Pads]]/WWWW[[#This Row],[Total HH]])</f>
        <v>0</v>
      </c>
      <c r="BZ305" s="720">
        <f>WWWW[[#This Row],['# HH received soaps]]*5</f>
        <v>0</v>
      </c>
      <c r="CA305" s="720">
        <f>WWWW[[#This Row],['# HH received Sanitary Pads]]*5</f>
        <v>0</v>
      </c>
      <c r="CB305" s="675">
        <f>IF(WWWW[[#This Row],['# People with access to soap]]&gt;WWWW[[#This Row],['# People with access to Sanity Pads]],WWWW[[#This Row],['# People with access to soap]],WWWW[[#This Row],['# People with access to Sanity Pads]])</f>
        <v>0</v>
      </c>
      <c r="CC305" s="414">
        <f>WWWW[[#This Row],[Total HH]]*WWWW[[#This Row],[%HHs with access to functional hand washing stations]]</f>
        <v>0</v>
      </c>
      <c r="CD305" s="240">
        <f>VLOOKUP(WWWW[[#This Row],[Site Name]],SiteDB6[],8,FALSE)</f>
        <v>0</v>
      </c>
      <c r="CE305" s="240">
        <f>VLOOKUP(WWWW[[#This Row],[Site Name]],SiteDB6[],9,FALSE)</f>
        <v>0</v>
      </c>
      <c r="CF305" s="240" t="str">
        <f>VLOOKUP(WWWW[[#This Row],[Site Name]],SiteDB6[],10,FALSE)</f>
        <v>Village_Not HRP</v>
      </c>
      <c r="CG305" s="240" t="str">
        <f>VLOOKUP(WWWW[[#This Row],[Site Name]],SiteDB6[],11,FALSE)</f>
        <v>Village</v>
      </c>
      <c r="CH305" s="240" t="str">
        <f>VLOOKUP(WWWW[[#This Row],[Site Name]],SiteDB6[],12,FALSE)</f>
        <v>Village_Not HRP</v>
      </c>
      <c r="CI305" s="240" t="str">
        <f>VLOOKUP(WWWW[[#This Row],[Site Name]],SiteDB6[],13,FALSE)</f>
        <v>Muslim</v>
      </c>
      <c r="CJ305" s="240">
        <f>VLOOKUP(WWWW[[#This Row],[Site Name]],SiteDB6[],14,FALSE)</f>
        <v>20.204370498657202</v>
      </c>
      <c r="CK305" s="240">
        <f>VLOOKUP(WWWW[[#This Row],[Site Name]],SiteDB6[],15,FALSE)</f>
        <v>92.780357360839801</v>
      </c>
      <c r="CL305" s="240">
        <f>VLOOKUP(WWWW[[#This Row],[Site Name]],SiteDB6[],4,FALSE)</f>
        <v>196158</v>
      </c>
      <c r="CM305" s="235" t="str">
        <f t="shared" si="4"/>
        <v>Covered</v>
      </c>
      <c r="CN305" s="240"/>
    </row>
    <row r="306" spans="1:92" ht="15.75" hidden="1" customHeight="1" x14ac:dyDescent="0.25">
      <c r="A306" s="554" t="s">
        <v>1409</v>
      </c>
      <c r="B306" s="169" t="s">
        <v>463</v>
      </c>
      <c r="C306" s="169" t="s">
        <v>464</v>
      </c>
      <c r="D306" s="169" t="s">
        <v>465</v>
      </c>
      <c r="E306" s="169" t="s">
        <v>624</v>
      </c>
      <c r="F306" s="402">
        <f>ROUND(WWWW[[#This Row],[Total PoP ]]/5,0)</f>
        <v>17</v>
      </c>
      <c r="G306" s="732">
        <v>86</v>
      </c>
      <c r="H306" s="169"/>
      <c r="I306" s="169"/>
      <c r="J306" s="170"/>
      <c r="K306" s="169"/>
      <c r="L306" s="169"/>
      <c r="M306" s="171"/>
      <c r="N306" s="171"/>
      <c r="O306" s="609">
        <v>0</v>
      </c>
      <c r="P306" s="609">
        <v>1</v>
      </c>
      <c r="Q306" s="610"/>
      <c r="R306" s="611"/>
      <c r="S306" s="611"/>
      <c r="T306" s="611"/>
      <c r="U306" s="611"/>
      <c r="V306" s="611"/>
      <c r="W306" s="611"/>
      <c r="X306" s="604"/>
      <c r="Y306" s="607"/>
      <c r="Z306" s="598">
        <v>0</v>
      </c>
      <c r="AA306" s="599"/>
      <c r="AB306" s="629"/>
      <c r="AC306" s="632"/>
      <c r="AD306" s="80" t="s">
        <v>296</v>
      </c>
      <c r="AE306" s="80" t="s">
        <v>296</v>
      </c>
      <c r="AF306" s="80"/>
      <c r="AG306" s="80"/>
      <c r="AH306" s="633"/>
      <c r="AI306" s="652"/>
      <c r="AJ306" s="653"/>
      <c r="AK306" s="651"/>
      <c r="AL306" s="645"/>
      <c r="AM306" s="645"/>
      <c r="AN306" s="600"/>
      <c r="AO306" s="600"/>
      <c r="AP306" s="600"/>
      <c r="AQ306" s="654"/>
      <c r="AR306" s="235" t="str">
        <f>IFERROR(WWWW[[#This Row],['# of Water passed at source]]/WWWW[[#This Row],['# of Water tested at source]],"no test")</f>
        <v>no test</v>
      </c>
      <c r="AS306" s="237" t="str">
        <f>IFERROR(WWWW[[#This Row],['# of Water passed at HH]]/WWWW[[#This Row],['# of Water tested at HH]],"no test")</f>
        <v>no test</v>
      </c>
      <c r="AT306" s="237">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U306" s="237">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AV306" s="237">
        <f>IF(WWWW[[#This Row],[Location Type 1]]="Village",WWWW[[#This Row],[Access to safe drinking water for Village]],WWWW[[#This Row],[Access to safe drinking water for Camp]])</f>
        <v>1</v>
      </c>
      <c r="AW306" s="414">
        <f>WWWW[[#This Row],[%Equitable and continuous access to sufficient quantity of safe drinking water]]*WWWW[[#This Row],[Total PoP ]]</f>
        <v>86</v>
      </c>
      <c r="AX306" s="237">
        <f>IF((WWWW[[#This Row],['# Existing protected/fenced ponds ]]*250)/WWWW[[#This Row],[Total PoP ]]&gt;1,1,WWWW[[#This Row],['# Existing protected/fenced ponds ]]*250/WWWW[[#This Row],[Total PoP ]])</f>
        <v>0</v>
      </c>
      <c r="AY306" s="414">
        <f>WWWW[[#This Row],[Access to unimproved water points]]*WWWW[[#This Row],[Total PoP ]]</f>
        <v>0</v>
      </c>
      <c r="AZ306" s="237">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A306" s="414">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86</v>
      </c>
      <c r="BB306" s="414">
        <f>WWWW[[#This Row],['#people Equitable and continuous access to sufficient quantity of domestic water borehole n ponds_2]]/500</f>
        <v>0.17199999999999999</v>
      </c>
      <c r="BC306" s="235">
        <f>1-WWWW[[#This Row],[%Equitable and continuous access to sufficient quantity of domestic water borehole n ponds]]</f>
        <v>0</v>
      </c>
      <c r="BD306" s="414">
        <f>WWWW[[#This Row],[%equitable and continuous access to sufficient quantity of safe drinking and domestic water''s GAP]]*WWWW[[#This Row],[Total PoP ]]</f>
        <v>0</v>
      </c>
      <c r="BE306" s="238">
        <f>IF(WWWW[[#This Row],[Total required water points]]-WWWW[[#This Row],['#Water points coverage]]&lt;0,0,WWWW[[#This Row],[Total required water points]]-WWWW[[#This Row],['#Water points coverage]])</f>
        <v>0.82800000000000007</v>
      </c>
      <c r="BF306" s="238">
        <f>ROUND(IF(WWWW[[#This Row],[Total PoP ]]&lt;500,1,WWWW[[#This Row],[Total PoP ]]/500),0)</f>
        <v>1</v>
      </c>
      <c r="BG306" s="238" t="str">
        <f>IF(AND(WWWW[[#This Row],[%of Water samples which passed at water source]]="no test",WWWW[[#This Row],[%Water samples which passed at HH]]="no test"),"No Test","Tested")</f>
        <v>No Test</v>
      </c>
      <c r="BH306" s="238">
        <f>WWWW[[#This Row],['# Existing functional latrines]]+WWWW[[#This Row],['# Existing latrines dysfunctional]]</f>
        <v>0</v>
      </c>
      <c r="BI306" s="235">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J306" s="675">
        <f>WWWW[[#This Row],[% people access to functioning Latrine]]*WWWW[[#This Row],[Total PoP ]]</f>
        <v>0</v>
      </c>
      <c r="BK306" s="235">
        <f>IF(WWWW[[#This Row],[Location Type 1]]="camp",WWWW[[#This Row],['# potential required new latrines]]/(WWWW[[#This Row],[Total PoP ]]/20),WWWW[[#This Row],['# potential required new latrines]]/(WWWW[[#This Row],[Total PoP ]]/6))</f>
        <v>0.97674418604651159</v>
      </c>
      <c r="BL306" s="414">
        <f>IF(WWWW[[#This Row],[Total required Latrines]]-WWWW[[#This Row],[Total '# of latrine]]&lt;0,0,WWWW[[#This Row],[Total required Latrines]]-WWWW[[#This Row],[Total '# of latrine]])</f>
        <v>14</v>
      </c>
      <c r="BM306" s="238">
        <f>ROUND(IF(WWWW[[#This Row],[Location Type 1]]="camp",WWWW[[#This Row],[Total PoP ]]/20,WWWW[[#This Row],[Total PoP ]]/6),0)</f>
        <v>14</v>
      </c>
      <c r="BN306" s="239">
        <f>IF(OR(WWWW[[#This Row],['# Existing latrines dysfunctional]]="",WWWW[[#This Row],['# Existing latrines dysfunctional]]=0),0,WWWW[[#This Row],['# Existing latrines dysfunctional]]/WWWW[[#This Row],[Total '# of latrine]])</f>
        <v>0</v>
      </c>
      <c r="BO306" s="675"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P306" s="235">
        <f>WWWW[[#This Row],[People adopt basic personal and community hygiene practices]]/WWWW[[#This Row],[Total PoP ]]</f>
        <v>0</v>
      </c>
      <c r="BQ306" s="239">
        <f>1-WWWW[[#This Row],[Hygiene Coverage%]]</f>
        <v>1</v>
      </c>
      <c r="BR306" s="405">
        <f>IF(500*WWWW[[#This Row],['# Hygiene Promoters ]]&gt;WWWW[[#This Row],[Total PoP ]],WWWW[[#This Row],[Total PoP ]],500*WWWW[[#This Row],['# Hygiene Promoters ]])</f>
        <v>0</v>
      </c>
      <c r="BS306" s="405">
        <f>IF(WWWW[[#This Row],[% of HH with access to Sanitary Pad]]&gt;=100%,1,0)</f>
        <v>0</v>
      </c>
      <c r="BT306" s="405">
        <f>IF(WWWW[[#This Row],[Total PoP ]]=0,0,IF(WWWW[[#This Row],['# Hygiene Promoters ]]=0,0,IF(WWWW[[#This Row],[Location Type 1]]="Village",IF(WWWW[[#This Row],[Total PoP ]]/WWWW[[#This Row],['# Hygiene Promoters ]]&lt;1000,1,0),IF(WWWW[[#This Row],[Total PoP ]]/WWWW[[#This Row],['# Hygiene Promoters ]]&lt;600,1,0))))</f>
        <v>0</v>
      </c>
      <c r="BU306" s="405">
        <f>IF(WWWW[[#This Row],[%HH with access to soap]]&gt;=100%,1,0)</f>
        <v>0</v>
      </c>
      <c r="BV306" s="405">
        <f>IF(WWWW[[#This Row],[% of HHs with access to Sanitary pad more than '#%]]+WWWW[[#This Row],[Ratio of Hyiene promoters to people less than '#]]+WWWW[[#This Row],[% of HHs with access to soap more than '#%]]&gt;=2,WWWW[[#This Row],[Total PoP ]],0)</f>
        <v>0</v>
      </c>
      <c r="BW306" s="346">
        <f>WWWW[[#This Row],['# people reached by regular dedicated hygiene promotion_5]]/WWWW[[#This Row],[Total PoP ]]</f>
        <v>0</v>
      </c>
      <c r="BX306" s="346">
        <f>IF(WWWW[[#This Row],['# HH received soaps]]/WWWW[[#This Row],[Total HH]]&gt;1,1,WWWW[[#This Row],['# HH received soaps]]/WWWW[[#This Row],[Total HH]])</f>
        <v>0</v>
      </c>
      <c r="BY306" s="346">
        <f>IF(WWWW[[#This Row],['# HH received Sanitary Pads]]/WWWW[[#This Row],[Total HH]]&gt;1,1,WWWW[[#This Row],['# HH received Sanitary Pads]]/WWWW[[#This Row],[Total HH]])</f>
        <v>0</v>
      </c>
      <c r="BZ306" s="720">
        <f>WWWW[[#This Row],['# HH received soaps]]*5</f>
        <v>0</v>
      </c>
      <c r="CA306" s="720">
        <f>WWWW[[#This Row],['# HH received Sanitary Pads]]*5</f>
        <v>0</v>
      </c>
      <c r="CB306" s="675">
        <f>IF(WWWW[[#This Row],['# People with access to soap]]&gt;WWWW[[#This Row],['# People with access to Sanity Pads]],WWWW[[#This Row],['# People with access to soap]],WWWW[[#This Row],['# People with access to Sanity Pads]])</f>
        <v>0</v>
      </c>
      <c r="CC306" s="414">
        <f>WWWW[[#This Row],[Total HH]]*WWWW[[#This Row],[%HHs with access to functional hand washing stations]]</f>
        <v>0</v>
      </c>
      <c r="CD306" s="240">
        <f>VLOOKUP(WWWW[[#This Row],[Site Name]],SiteDB6[],8,FALSE)</f>
        <v>0</v>
      </c>
      <c r="CE306" s="240">
        <f>VLOOKUP(WWWW[[#This Row],[Site Name]],SiteDB6[],9,FALSE)</f>
        <v>0</v>
      </c>
      <c r="CF306" s="240" t="str">
        <f>VLOOKUP(WWWW[[#This Row],[Site Name]],SiteDB6[],10,FALSE)</f>
        <v>Village</v>
      </c>
      <c r="CG306" s="240" t="str">
        <f>VLOOKUP(WWWW[[#This Row],[Site Name]],SiteDB6[],11,FALSE)</f>
        <v>Village</v>
      </c>
      <c r="CH306" s="240" t="str">
        <f>VLOOKUP(WWWW[[#This Row],[Site Name]],SiteDB6[],12,FALSE)</f>
        <v>Village_Not HRP</v>
      </c>
      <c r="CI306" s="240" t="str">
        <f>VLOOKUP(WWWW[[#This Row],[Site Name]],SiteDB6[],13,FALSE)</f>
        <v>Rakhine</v>
      </c>
      <c r="CJ306" s="240">
        <f>VLOOKUP(WWWW[[#This Row],[Site Name]],SiteDB6[],14,FALSE)</f>
        <v>20.229290008544901</v>
      </c>
      <c r="CK306" s="240">
        <f>VLOOKUP(WWWW[[#This Row],[Site Name]],SiteDB6[],15,FALSE)</f>
        <v>92.864669799804702</v>
      </c>
      <c r="CL306" s="240">
        <f>VLOOKUP(WWWW[[#This Row],[Site Name]],SiteDB6[],4,FALSE)</f>
        <v>196167</v>
      </c>
      <c r="CM306" s="235" t="str">
        <f t="shared" si="4"/>
        <v>Covered</v>
      </c>
      <c r="CN306" s="240"/>
    </row>
    <row r="307" spans="1:92" ht="15.75" hidden="1" customHeight="1" x14ac:dyDescent="0.25">
      <c r="A307" s="554" t="s">
        <v>1409</v>
      </c>
      <c r="B307" s="169" t="s">
        <v>463</v>
      </c>
      <c r="C307" s="169" t="s">
        <v>464</v>
      </c>
      <c r="D307" s="169" t="s">
        <v>465</v>
      </c>
      <c r="E307" s="169" t="s">
        <v>629</v>
      </c>
      <c r="F307" s="402">
        <f>ROUND(WWWW[[#This Row],[Total PoP ]]/5,0)</f>
        <v>51</v>
      </c>
      <c r="G307" s="732">
        <v>256</v>
      </c>
      <c r="H307" s="169"/>
      <c r="I307" s="169"/>
      <c r="J307" s="170"/>
      <c r="K307" s="169"/>
      <c r="L307" s="169"/>
      <c r="M307" s="171"/>
      <c r="N307" s="171"/>
      <c r="O307" s="609">
        <v>0</v>
      </c>
      <c r="P307" s="609">
        <v>1</v>
      </c>
      <c r="Q307" s="610"/>
      <c r="R307" s="611"/>
      <c r="S307" s="611"/>
      <c r="T307" s="611"/>
      <c r="U307" s="611"/>
      <c r="V307" s="611"/>
      <c r="W307" s="611"/>
      <c r="X307" s="604"/>
      <c r="Y307" s="607"/>
      <c r="Z307" s="598">
        <v>0</v>
      </c>
      <c r="AA307" s="599"/>
      <c r="AB307" s="629"/>
      <c r="AC307" s="632"/>
      <c r="AD307" s="80" t="s">
        <v>296</v>
      </c>
      <c r="AE307" s="80" t="s">
        <v>296</v>
      </c>
      <c r="AF307" s="80"/>
      <c r="AG307" s="80"/>
      <c r="AH307" s="633"/>
      <c r="AI307" s="652"/>
      <c r="AJ307" s="653"/>
      <c r="AK307" s="651"/>
      <c r="AL307" s="645"/>
      <c r="AM307" s="645"/>
      <c r="AN307" s="600"/>
      <c r="AO307" s="600"/>
      <c r="AP307" s="600"/>
      <c r="AQ307" s="654"/>
      <c r="AR307" s="235" t="str">
        <f>IFERROR(WWWW[[#This Row],['# of Water passed at source]]/WWWW[[#This Row],['# of Water tested at source]],"no test")</f>
        <v>no test</v>
      </c>
      <c r="AS307" s="237" t="str">
        <f>IFERROR(WWWW[[#This Row],['# of Water passed at HH]]/WWWW[[#This Row],['# of Water tested at HH]],"no test")</f>
        <v>no test</v>
      </c>
      <c r="AT307" s="237">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U307" s="237">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0.9765625</v>
      </c>
      <c r="AV307" s="237">
        <f>IF(WWWW[[#This Row],[Location Type 1]]="Village",WWWW[[#This Row],[Access to safe drinking water for Village]],WWWW[[#This Row],[Access to safe drinking water for Camp]])</f>
        <v>0.9765625</v>
      </c>
      <c r="AW307" s="414">
        <f>WWWW[[#This Row],[%Equitable and continuous access to sufficient quantity of safe drinking water]]*WWWW[[#This Row],[Total PoP ]]</f>
        <v>250</v>
      </c>
      <c r="AX307" s="237">
        <f>IF((WWWW[[#This Row],['# Existing protected/fenced ponds ]]*250)/WWWW[[#This Row],[Total PoP ]]&gt;1,1,WWWW[[#This Row],['# Existing protected/fenced ponds ]]*250/WWWW[[#This Row],[Total PoP ]])</f>
        <v>0</v>
      </c>
      <c r="AY307" s="414">
        <f>WWWW[[#This Row],[Access to unimproved water points]]*WWWW[[#This Row],[Total PoP ]]</f>
        <v>0</v>
      </c>
      <c r="AZ307" s="237">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0.9765625</v>
      </c>
      <c r="BA307" s="414">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250</v>
      </c>
      <c r="BB307" s="414">
        <f>WWWW[[#This Row],['#people Equitable and continuous access to sufficient quantity of domestic water borehole n ponds_2]]/500</f>
        <v>0.5</v>
      </c>
      <c r="BC307" s="235">
        <f>1-WWWW[[#This Row],[%Equitable and continuous access to sufficient quantity of domestic water borehole n ponds]]</f>
        <v>2.34375E-2</v>
      </c>
      <c r="BD307" s="414">
        <f>WWWW[[#This Row],[%equitable and continuous access to sufficient quantity of safe drinking and domestic water''s GAP]]*WWWW[[#This Row],[Total PoP ]]</f>
        <v>6</v>
      </c>
      <c r="BE307" s="238">
        <f>IF(WWWW[[#This Row],[Total required water points]]-WWWW[[#This Row],['#Water points coverage]]&lt;0,0,WWWW[[#This Row],[Total required water points]]-WWWW[[#This Row],['#Water points coverage]])</f>
        <v>0.5</v>
      </c>
      <c r="BF307" s="238">
        <f>ROUND(IF(WWWW[[#This Row],[Total PoP ]]&lt;500,1,WWWW[[#This Row],[Total PoP ]]/500),0)</f>
        <v>1</v>
      </c>
      <c r="BG307" s="238" t="str">
        <f>IF(AND(WWWW[[#This Row],[%of Water samples which passed at water source]]="no test",WWWW[[#This Row],[%Water samples which passed at HH]]="no test"),"No Test","Tested")</f>
        <v>No Test</v>
      </c>
      <c r="BH307" s="238">
        <f>WWWW[[#This Row],['# Existing functional latrines]]+WWWW[[#This Row],['# Existing latrines dysfunctional]]</f>
        <v>0</v>
      </c>
      <c r="BI307" s="235">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J307" s="675">
        <f>WWWW[[#This Row],[% people access to functioning Latrine]]*WWWW[[#This Row],[Total PoP ]]</f>
        <v>0</v>
      </c>
      <c r="BK307" s="235">
        <f>IF(WWWW[[#This Row],[Location Type 1]]="camp",WWWW[[#This Row],['# potential required new latrines]]/(WWWW[[#This Row],[Total PoP ]]/20),WWWW[[#This Row],['# potential required new latrines]]/(WWWW[[#This Row],[Total PoP ]]/6))</f>
        <v>1.0078125</v>
      </c>
      <c r="BL307" s="414">
        <f>IF(WWWW[[#This Row],[Total required Latrines]]-WWWW[[#This Row],[Total '# of latrine]]&lt;0,0,WWWW[[#This Row],[Total required Latrines]]-WWWW[[#This Row],[Total '# of latrine]])</f>
        <v>43</v>
      </c>
      <c r="BM307" s="238">
        <f>ROUND(IF(WWWW[[#This Row],[Location Type 1]]="camp",WWWW[[#This Row],[Total PoP ]]/20,WWWW[[#This Row],[Total PoP ]]/6),0)</f>
        <v>43</v>
      </c>
      <c r="BN307" s="239">
        <f>IF(OR(WWWW[[#This Row],['# Existing latrines dysfunctional]]="",WWWW[[#This Row],['# Existing latrines dysfunctional]]=0),0,WWWW[[#This Row],['# Existing latrines dysfunctional]]/WWWW[[#This Row],[Total '# of latrine]])</f>
        <v>0</v>
      </c>
      <c r="BO307" s="675"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P307" s="235">
        <f>WWWW[[#This Row],[People adopt basic personal and community hygiene practices]]/WWWW[[#This Row],[Total PoP ]]</f>
        <v>0</v>
      </c>
      <c r="BQ307" s="239">
        <f>1-WWWW[[#This Row],[Hygiene Coverage%]]</f>
        <v>1</v>
      </c>
      <c r="BR307" s="405">
        <f>IF(500*WWWW[[#This Row],['# Hygiene Promoters ]]&gt;WWWW[[#This Row],[Total PoP ]],WWWW[[#This Row],[Total PoP ]],500*WWWW[[#This Row],['# Hygiene Promoters ]])</f>
        <v>0</v>
      </c>
      <c r="BS307" s="405">
        <f>IF(WWWW[[#This Row],[% of HH with access to Sanitary Pad]]&gt;=100%,1,0)</f>
        <v>0</v>
      </c>
      <c r="BT307" s="405">
        <f>IF(WWWW[[#This Row],[Total PoP ]]=0,0,IF(WWWW[[#This Row],['# Hygiene Promoters ]]=0,0,IF(WWWW[[#This Row],[Location Type 1]]="Village",IF(WWWW[[#This Row],[Total PoP ]]/WWWW[[#This Row],['# Hygiene Promoters ]]&lt;1000,1,0),IF(WWWW[[#This Row],[Total PoP ]]/WWWW[[#This Row],['# Hygiene Promoters ]]&lt;600,1,0))))</f>
        <v>0</v>
      </c>
      <c r="BU307" s="405">
        <f>IF(WWWW[[#This Row],[%HH with access to soap]]&gt;=100%,1,0)</f>
        <v>0</v>
      </c>
      <c r="BV307" s="405">
        <f>IF(WWWW[[#This Row],[% of HHs with access to Sanitary pad more than '#%]]+WWWW[[#This Row],[Ratio of Hyiene promoters to people less than '#]]+WWWW[[#This Row],[% of HHs with access to soap more than '#%]]&gt;=2,WWWW[[#This Row],[Total PoP ]],0)</f>
        <v>0</v>
      </c>
      <c r="BW307" s="346">
        <f>WWWW[[#This Row],['# people reached by regular dedicated hygiene promotion_5]]/WWWW[[#This Row],[Total PoP ]]</f>
        <v>0</v>
      </c>
      <c r="BX307" s="346">
        <f>IF(WWWW[[#This Row],['# HH received soaps]]/WWWW[[#This Row],[Total HH]]&gt;1,1,WWWW[[#This Row],['# HH received soaps]]/WWWW[[#This Row],[Total HH]])</f>
        <v>0</v>
      </c>
      <c r="BY307" s="346">
        <f>IF(WWWW[[#This Row],['# HH received Sanitary Pads]]/WWWW[[#This Row],[Total HH]]&gt;1,1,WWWW[[#This Row],['# HH received Sanitary Pads]]/WWWW[[#This Row],[Total HH]])</f>
        <v>0</v>
      </c>
      <c r="BZ307" s="720">
        <f>WWWW[[#This Row],['# HH received soaps]]*5</f>
        <v>0</v>
      </c>
      <c r="CA307" s="720">
        <f>WWWW[[#This Row],['# HH received Sanitary Pads]]*5</f>
        <v>0</v>
      </c>
      <c r="CB307" s="675">
        <f>IF(WWWW[[#This Row],['# People with access to soap]]&gt;WWWW[[#This Row],['# People with access to Sanity Pads]],WWWW[[#This Row],['# People with access to soap]],WWWW[[#This Row],['# People with access to Sanity Pads]])</f>
        <v>0</v>
      </c>
      <c r="CC307" s="414">
        <f>WWWW[[#This Row],[Total HH]]*WWWW[[#This Row],[%HHs with access to functional hand washing stations]]</f>
        <v>0</v>
      </c>
      <c r="CD307" s="240">
        <f>VLOOKUP(WWWW[[#This Row],[Site Name]],SiteDB6[],8,FALSE)</f>
        <v>0</v>
      </c>
      <c r="CE307" s="240">
        <f>VLOOKUP(WWWW[[#This Row],[Site Name]],SiteDB6[],9,FALSE)</f>
        <v>0</v>
      </c>
      <c r="CF307" s="240" t="str">
        <f>VLOOKUP(WWWW[[#This Row],[Site Name]],SiteDB6[],10,FALSE)</f>
        <v>Village_Not HRP</v>
      </c>
      <c r="CG307" s="240" t="str">
        <f>VLOOKUP(WWWW[[#This Row],[Site Name]],SiteDB6[],11,FALSE)</f>
        <v>Village</v>
      </c>
      <c r="CH307" s="240" t="str">
        <f>VLOOKUP(WWWW[[#This Row],[Site Name]],SiteDB6[],12,FALSE)</f>
        <v>Village_Not HRP</v>
      </c>
      <c r="CI307" s="240" t="str">
        <f>VLOOKUP(WWWW[[#This Row],[Site Name]],SiteDB6[],13,FALSE)</f>
        <v>Rakhine</v>
      </c>
      <c r="CJ307" s="240">
        <f>VLOOKUP(WWWW[[#This Row],[Site Name]],SiteDB6[],14,FALSE)</f>
        <v>20.260789871215799</v>
      </c>
      <c r="CK307" s="240">
        <f>VLOOKUP(WWWW[[#This Row],[Site Name]],SiteDB6[],15,FALSE)</f>
        <v>92.878593444824205</v>
      </c>
      <c r="CL307" s="240">
        <f>VLOOKUP(WWWW[[#This Row],[Site Name]],SiteDB6[],4,FALSE)</f>
        <v>196178</v>
      </c>
      <c r="CM307" s="235" t="str">
        <f t="shared" si="4"/>
        <v>Covered</v>
      </c>
      <c r="CN307" s="240"/>
    </row>
    <row r="308" spans="1:92" ht="15.75" hidden="1" customHeight="1" x14ac:dyDescent="0.25">
      <c r="A308" s="554" t="s">
        <v>1409</v>
      </c>
      <c r="B308" s="402" t="s">
        <v>463</v>
      </c>
      <c r="C308" s="314" t="s">
        <v>464</v>
      </c>
      <c r="D308" s="314" t="s">
        <v>465</v>
      </c>
      <c r="E308" s="314" t="s">
        <v>632</v>
      </c>
      <c r="F308" s="402">
        <f>ROUND(WWWW[[#This Row],[Total PoP ]]/5,0)</f>
        <v>108</v>
      </c>
      <c r="G308" s="405">
        <v>541</v>
      </c>
      <c r="H308" s="402"/>
      <c r="I308" s="402"/>
      <c r="J308" s="403"/>
      <c r="K308" s="402"/>
      <c r="L308" s="402"/>
      <c r="M308" s="404"/>
      <c r="N308" s="404"/>
      <c r="O308" s="605">
        <v>0</v>
      </c>
      <c r="P308" s="606">
        <v>1</v>
      </c>
      <c r="Q308" s="606"/>
      <c r="R308" s="607"/>
      <c r="S308" s="607"/>
      <c r="T308" s="607"/>
      <c r="U308" s="607"/>
      <c r="V308" s="607"/>
      <c r="W308" s="607"/>
      <c r="X308" s="607"/>
      <c r="Y308" s="607"/>
      <c r="Z308" s="598">
        <v>0</v>
      </c>
      <c r="AA308" s="598"/>
      <c r="AB308" s="80"/>
      <c r="AC308" s="598"/>
      <c r="AD308" s="598" t="s">
        <v>296</v>
      </c>
      <c r="AE308" s="599" t="s">
        <v>296</v>
      </c>
      <c r="AF308" s="599"/>
      <c r="AG308" s="598"/>
      <c r="AH308" s="598"/>
      <c r="AI308" s="649"/>
      <c r="AJ308" s="650"/>
      <c r="AK308" s="650"/>
      <c r="AL308" s="645"/>
      <c r="AM308" s="645"/>
      <c r="AN308" s="600"/>
      <c r="AO308" s="600"/>
      <c r="AP308" s="600"/>
      <c r="AQ308" s="651"/>
      <c r="AR308" s="404" t="str">
        <f>IFERROR(WWWW[[#This Row],['# of Water passed at source]]/WWWW[[#This Row],['# of Water tested at source]],"no test")</f>
        <v>no test</v>
      </c>
      <c r="AS308" s="407" t="str">
        <f>IFERROR(WWWW[[#This Row],['# of Water passed at HH]]/WWWW[[#This Row],['# of Water tested at HH]],"no test")</f>
        <v>no test</v>
      </c>
      <c r="AT308" s="407">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U308" s="407">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0.46210720887245843</v>
      </c>
      <c r="AV308" s="407">
        <f>IF(WWWW[[#This Row],[Location Type 1]]="Village",WWWW[[#This Row],[Access to safe drinking water for Village]],WWWW[[#This Row],[Access to safe drinking water for Camp]])</f>
        <v>0.46210720887245843</v>
      </c>
      <c r="AW308" s="405">
        <f>WWWW[[#This Row],[%Equitable and continuous access to sufficient quantity of safe drinking water]]*WWWW[[#This Row],[Total PoP ]]</f>
        <v>250</v>
      </c>
      <c r="AX308" s="407">
        <f>IF((WWWW[[#This Row],['# Existing protected/fenced ponds ]]*250)/WWWW[[#This Row],[Total PoP ]]&gt;1,1,WWWW[[#This Row],['# Existing protected/fenced ponds ]]*250/WWWW[[#This Row],[Total PoP ]])</f>
        <v>0</v>
      </c>
      <c r="AY308" s="405">
        <f>WWWW[[#This Row],[Access to unimproved water points]]*WWWW[[#This Row],[Total PoP ]]</f>
        <v>0</v>
      </c>
      <c r="AZ308" s="407">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0.46210720887245843</v>
      </c>
      <c r="BA308" s="405">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250</v>
      </c>
      <c r="BB308" s="405">
        <f>WWWW[[#This Row],['#people Equitable and continuous access to sufficient quantity of domestic water borehole n ponds_2]]/500</f>
        <v>0.5</v>
      </c>
      <c r="BC308" s="404">
        <f>1-WWWW[[#This Row],[%Equitable and continuous access to sufficient quantity of domestic water borehole n ponds]]</f>
        <v>0.53789279112754151</v>
      </c>
      <c r="BD308" s="405">
        <f>WWWW[[#This Row],[%equitable and continuous access to sufficient quantity of safe drinking and domestic water''s GAP]]*WWWW[[#This Row],[Total PoP ]]</f>
        <v>290.99999999999994</v>
      </c>
      <c r="BE308" s="406">
        <f>IF(WWWW[[#This Row],[Total required water points]]-WWWW[[#This Row],['#Water points coverage]]&lt;0,0,WWWW[[#This Row],[Total required water points]]-WWWW[[#This Row],['#Water points coverage]])</f>
        <v>0.5</v>
      </c>
      <c r="BF308" s="406">
        <f>ROUND(IF(WWWW[[#This Row],[Total PoP ]]&lt;500,1,WWWW[[#This Row],[Total PoP ]]/500),0)</f>
        <v>1</v>
      </c>
      <c r="BG308" s="406" t="str">
        <f>IF(AND(WWWW[[#This Row],[%of Water samples which passed at water source]]="no test",WWWW[[#This Row],[%Water samples which passed at HH]]="no test"),"No Test","Tested")</f>
        <v>No Test</v>
      </c>
      <c r="BH308" s="406">
        <f>WWWW[[#This Row],['# Existing functional latrines]]+WWWW[[#This Row],['# Existing latrines dysfunctional]]</f>
        <v>0</v>
      </c>
      <c r="BI308" s="404">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J308" s="676">
        <f>WWWW[[#This Row],[% people access to functioning Latrine]]*WWWW[[#This Row],[Total PoP ]]</f>
        <v>0</v>
      </c>
      <c r="BK308" s="404">
        <f>IF(WWWW[[#This Row],[Location Type 1]]="camp",WWWW[[#This Row],['# potential required new latrines]]/(WWWW[[#This Row],[Total PoP ]]/20),WWWW[[#This Row],['# potential required new latrines]]/(WWWW[[#This Row],[Total PoP ]]/6))</f>
        <v>0.99815157116451014</v>
      </c>
      <c r="BL308" s="405">
        <f>IF(WWWW[[#This Row],[Total required Latrines]]-WWWW[[#This Row],[Total '# of latrine]]&lt;0,0,WWWW[[#This Row],[Total required Latrines]]-WWWW[[#This Row],[Total '# of latrine]])</f>
        <v>90</v>
      </c>
      <c r="BM308" s="406">
        <f>ROUND(IF(WWWW[[#This Row],[Location Type 1]]="camp",WWWW[[#This Row],[Total PoP ]]/20,WWWW[[#This Row],[Total PoP ]]/6),0)</f>
        <v>90</v>
      </c>
      <c r="BN308" s="408">
        <f>IF(OR(WWWW[[#This Row],['# Existing latrines dysfunctional]]="",WWWW[[#This Row],['# Existing latrines dysfunctional]]=0),0,WWWW[[#This Row],['# Existing latrines dysfunctional]]/WWWW[[#This Row],[Total '# of latrine]])</f>
        <v>0</v>
      </c>
      <c r="BO308" s="676"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P308" s="404">
        <f>WWWW[[#This Row],[People adopt basic personal and community hygiene practices]]/WWWW[[#This Row],[Total PoP ]]</f>
        <v>0</v>
      </c>
      <c r="BQ308" s="408">
        <f>1-WWWW[[#This Row],[Hygiene Coverage%]]</f>
        <v>1</v>
      </c>
      <c r="BR308" s="405">
        <f>IF(500*WWWW[[#This Row],['# Hygiene Promoters ]]&gt;WWWW[[#This Row],[Total PoP ]],WWWW[[#This Row],[Total PoP ]],500*WWWW[[#This Row],['# Hygiene Promoters ]])</f>
        <v>0</v>
      </c>
      <c r="BS308" s="405">
        <f>IF(WWWW[[#This Row],[% of HH with access to Sanitary Pad]]&gt;=100%,1,0)</f>
        <v>0</v>
      </c>
      <c r="BT308" s="405">
        <f>IF(WWWW[[#This Row],[Total PoP ]]=0,0,IF(WWWW[[#This Row],['# Hygiene Promoters ]]=0,0,IF(WWWW[[#This Row],[Location Type 1]]="Village",IF(WWWW[[#This Row],[Total PoP ]]/WWWW[[#This Row],['# Hygiene Promoters ]]&lt;1000,1,0),IF(WWWW[[#This Row],[Total PoP ]]/WWWW[[#This Row],['# Hygiene Promoters ]]&lt;600,1,0))))</f>
        <v>0</v>
      </c>
      <c r="BU308" s="405">
        <f>IF(WWWW[[#This Row],[%HH with access to soap]]&gt;=100%,1,0)</f>
        <v>0</v>
      </c>
      <c r="BV308" s="405">
        <f>IF(WWWW[[#This Row],[% of HHs with access to Sanitary pad more than '#%]]+WWWW[[#This Row],[Ratio of Hyiene promoters to people less than '#]]+WWWW[[#This Row],[% of HHs with access to soap more than '#%]]&gt;=2,WWWW[[#This Row],[Total PoP ]],0)</f>
        <v>0</v>
      </c>
      <c r="BW308" s="391">
        <f>WWWW[[#This Row],['# people reached by regular dedicated hygiene promotion_5]]/WWWW[[#This Row],[Total PoP ]]</f>
        <v>0</v>
      </c>
      <c r="BX308" s="391">
        <f>IF(WWWW[[#This Row],['# HH received soaps]]/WWWW[[#This Row],[Total HH]]&gt;1,1,WWWW[[#This Row],['# HH received soaps]]/WWWW[[#This Row],[Total HH]])</f>
        <v>0</v>
      </c>
      <c r="BY308" s="391">
        <f>IF(WWWW[[#This Row],['# HH received Sanitary Pads]]/WWWW[[#This Row],[Total HH]]&gt;1,1,WWWW[[#This Row],['# HH received Sanitary Pads]]/WWWW[[#This Row],[Total HH]])</f>
        <v>0</v>
      </c>
      <c r="BZ308" s="721">
        <f>WWWW[[#This Row],['# HH received soaps]]*5</f>
        <v>0</v>
      </c>
      <c r="CA308" s="721">
        <f>WWWW[[#This Row],['# HH received Sanitary Pads]]*5</f>
        <v>0</v>
      </c>
      <c r="CB308" s="406">
        <f>IF(WWWW[[#This Row],['# People with access to soap]]&gt;WWWW[[#This Row],['# People with access to Sanity Pads]],WWWW[[#This Row],['# People with access to soap]],WWWW[[#This Row],['# People with access to Sanity Pads]])</f>
        <v>0</v>
      </c>
      <c r="CC308" s="405">
        <f>WWWW[[#This Row],[Total HH]]*WWWW[[#This Row],[%HHs with access to functional hand washing stations]]</f>
        <v>0</v>
      </c>
      <c r="CD308" s="240">
        <f>VLOOKUP(WWWW[[#This Row],[Site Name]],SiteDB6[],8,FALSE)</f>
        <v>0</v>
      </c>
      <c r="CE308" s="240">
        <f>VLOOKUP(WWWW[[#This Row],[Site Name]],SiteDB6[],9,FALSE)</f>
        <v>0</v>
      </c>
      <c r="CF308" s="240" t="str">
        <f>VLOOKUP(WWWW[[#This Row],[Site Name]],SiteDB6[],10,FALSE)</f>
        <v>Village_Not HRP</v>
      </c>
      <c r="CG308" s="240" t="str">
        <f>VLOOKUP(WWWW[[#This Row],[Site Name]],SiteDB6[],11,FALSE)</f>
        <v>Village</v>
      </c>
      <c r="CH308" s="240" t="str">
        <f>VLOOKUP(WWWW[[#This Row],[Site Name]],SiteDB6[],12,FALSE)</f>
        <v>Village_Not HRP</v>
      </c>
      <c r="CI308" s="240" t="str">
        <f>VLOOKUP(WWWW[[#This Row],[Site Name]],SiteDB6[],13,FALSE)</f>
        <v>Rakhine</v>
      </c>
      <c r="CJ308" s="240">
        <f>VLOOKUP(WWWW[[#This Row],[Site Name]],SiteDB6[],14,FALSE)</f>
        <v>20.272630691528299</v>
      </c>
      <c r="CK308" s="240">
        <f>VLOOKUP(WWWW[[#This Row],[Site Name]],SiteDB6[],15,FALSE)</f>
        <v>92.84326171875</v>
      </c>
      <c r="CL308" s="240">
        <f>VLOOKUP(WWWW[[#This Row],[Site Name]],SiteDB6[],4,FALSE)</f>
        <v>196163</v>
      </c>
      <c r="CM308" s="404" t="str">
        <f t="shared" si="4"/>
        <v>Covered</v>
      </c>
      <c r="CN308" s="404"/>
    </row>
    <row r="309" spans="1:92" ht="15.75" hidden="1" customHeight="1" x14ac:dyDescent="0.25">
      <c r="A309" s="554" t="s">
        <v>1409</v>
      </c>
      <c r="B309" s="169" t="s">
        <v>463</v>
      </c>
      <c r="C309" s="169" t="s">
        <v>464</v>
      </c>
      <c r="D309" s="169" t="s">
        <v>465</v>
      </c>
      <c r="E309" s="169" t="s">
        <v>633</v>
      </c>
      <c r="F309" s="402">
        <f>ROUND(WWWW[[#This Row],[Total PoP ]]/5,0)</f>
        <v>21</v>
      </c>
      <c r="G309" s="732">
        <v>106</v>
      </c>
      <c r="H309" s="169"/>
      <c r="I309" s="169"/>
      <c r="J309" s="170"/>
      <c r="K309" s="169"/>
      <c r="L309" s="169"/>
      <c r="M309" s="171"/>
      <c r="N309" s="171"/>
      <c r="O309" s="608">
        <v>0</v>
      </c>
      <c r="P309" s="609">
        <v>1</v>
      </c>
      <c r="Q309" s="610"/>
      <c r="R309" s="611"/>
      <c r="S309" s="611"/>
      <c r="T309" s="611"/>
      <c r="U309" s="604"/>
      <c r="V309" s="606"/>
      <c r="W309" s="606"/>
      <c r="X309" s="604"/>
      <c r="Y309" s="607"/>
      <c r="Z309" s="598">
        <v>0</v>
      </c>
      <c r="AA309" s="599"/>
      <c r="AB309" s="629"/>
      <c r="AC309" s="632"/>
      <c r="AD309" s="80" t="s">
        <v>296</v>
      </c>
      <c r="AE309" s="80" t="s">
        <v>296</v>
      </c>
      <c r="AF309" s="80"/>
      <c r="AG309" s="80"/>
      <c r="AH309" s="633"/>
      <c r="AI309" s="652"/>
      <c r="AJ309" s="653"/>
      <c r="AK309" s="651"/>
      <c r="AL309" s="645"/>
      <c r="AM309" s="645"/>
      <c r="AN309" s="600"/>
      <c r="AO309" s="600"/>
      <c r="AP309" s="600"/>
      <c r="AQ309" s="654"/>
      <c r="AR309" s="235" t="str">
        <f>IFERROR(WWWW[[#This Row],['# of Water passed at source]]/WWWW[[#This Row],['# of Water tested at source]],"no test")</f>
        <v>no test</v>
      </c>
      <c r="AS309" s="237" t="str">
        <f>IFERROR(WWWW[[#This Row],['# of Water passed at HH]]/WWWW[[#This Row],['# of Water tested at HH]],"no test")</f>
        <v>no test</v>
      </c>
      <c r="AT309" s="237">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U309" s="237">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AV309" s="237">
        <f>IF(WWWW[[#This Row],[Location Type 1]]="Village",WWWW[[#This Row],[Access to safe drinking water for Village]],WWWW[[#This Row],[Access to safe drinking water for Camp]])</f>
        <v>1</v>
      </c>
      <c r="AW309" s="414">
        <f>WWWW[[#This Row],[%Equitable and continuous access to sufficient quantity of safe drinking water]]*WWWW[[#This Row],[Total PoP ]]</f>
        <v>106</v>
      </c>
      <c r="AX309" s="237">
        <f>IF((WWWW[[#This Row],['# Existing protected/fenced ponds ]]*250)/WWWW[[#This Row],[Total PoP ]]&gt;1,1,WWWW[[#This Row],['# Existing protected/fenced ponds ]]*250/WWWW[[#This Row],[Total PoP ]])</f>
        <v>0</v>
      </c>
      <c r="AY309" s="414">
        <f>WWWW[[#This Row],[Access to unimproved water points]]*WWWW[[#This Row],[Total PoP ]]</f>
        <v>0</v>
      </c>
      <c r="AZ309" s="237">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A309" s="414">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106</v>
      </c>
      <c r="BB309" s="414">
        <f>WWWW[[#This Row],['#people Equitable and continuous access to sufficient quantity of domestic water borehole n ponds_2]]/500</f>
        <v>0.21199999999999999</v>
      </c>
      <c r="BC309" s="235">
        <f>1-WWWW[[#This Row],[%Equitable and continuous access to sufficient quantity of domestic water borehole n ponds]]</f>
        <v>0</v>
      </c>
      <c r="BD309" s="414">
        <f>WWWW[[#This Row],[%equitable and continuous access to sufficient quantity of safe drinking and domestic water''s GAP]]*WWWW[[#This Row],[Total PoP ]]</f>
        <v>0</v>
      </c>
      <c r="BE309" s="238">
        <f>IF(WWWW[[#This Row],[Total required water points]]-WWWW[[#This Row],['#Water points coverage]]&lt;0,0,WWWW[[#This Row],[Total required water points]]-WWWW[[#This Row],['#Water points coverage]])</f>
        <v>0.78800000000000003</v>
      </c>
      <c r="BF309" s="238">
        <f>ROUND(IF(WWWW[[#This Row],[Total PoP ]]&lt;500,1,WWWW[[#This Row],[Total PoP ]]/500),0)</f>
        <v>1</v>
      </c>
      <c r="BG309" s="238" t="str">
        <f>IF(AND(WWWW[[#This Row],[%of Water samples which passed at water source]]="no test",WWWW[[#This Row],[%Water samples which passed at HH]]="no test"),"No Test","Tested")</f>
        <v>No Test</v>
      </c>
      <c r="BH309" s="238">
        <f>WWWW[[#This Row],['# Existing functional latrines]]+WWWW[[#This Row],['# Existing latrines dysfunctional]]</f>
        <v>0</v>
      </c>
      <c r="BI309" s="235">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J309" s="675">
        <f>WWWW[[#This Row],[% people access to functioning Latrine]]*WWWW[[#This Row],[Total PoP ]]</f>
        <v>0</v>
      </c>
      <c r="BK309" s="235">
        <f>IF(WWWW[[#This Row],[Location Type 1]]="camp",WWWW[[#This Row],['# potential required new latrines]]/(WWWW[[#This Row],[Total PoP ]]/20),WWWW[[#This Row],['# potential required new latrines]]/(WWWW[[#This Row],[Total PoP ]]/6))</f>
        <v>1.0188679245283019</v>
      </c>
      <c r="BL309" s="414">
        <f>IF(WWWW[[#This Row],[Total required Latrines]]-WWWW[[#This Row],[Total '# of latrine]]&lt;0,0,WWWW[[#This Row],[Total required Latrines]]-WWWW[[#This Row],[Total '# of latrine]])</f>
        <v>18</v>
      </c>
      <c r="BM309" s="238">
        <f>ROUND(IF(WWWW[[#This Row],[Location Type 1]]="camp",WWWW[[#This Row],[Total PoP ]]/20,WWWW[[#This Row],[Total PoP ]]/6),0)</f>
        <v>18</v>
      </c>
      <c r="BN309" s="239">
        <f>IF(OR(WWWW[[#This Row],['# Existing latrines dysfunctional]]="",WWWW[[#This Row],['# Existing latrines dysfunctional]]=0),0,WWWW[[#This Row],['# Existing latrines dysfunctional]]/WWWW[[#This Row],[Total '# of latrine]])</f>
        <v>0</v>
      </c>
      <c r="BO309" s="675"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P309" s="235">
        <f>WWWW[[#This Row],[People adopt basic personal and community hygiene practices]]/WWWW[[#This Row],[Total PoP ]]</f>
        <v>0</v>
      </c>
      <c r="BQ309" s="239">
        <f>1-WWWW[[#This Row],[Hygiene Coverage%]]</f>
        <v>1</v>
      </c>
      <c r="BR309" s="405">
        <f>IF(500*WWWW[[#This Row],['# Hygiene Promoters ]]&gt;WWWW[[#This Row],[Total PoP ]],WWWW[[#This Row],[Total PoP ]],500*WWWW[[#This Row],['# Hygiene Promoters ]])</f>
        <v>0</v>
      </c>
      <c r="BS309" s="405">
        <f>IF(WWWW[[#This Row],[% of HH with access to Sanitary Pad]]&gt;=100%,1,0)</f>
        <v>0</v>
      </c>
      <c r="BT309" s="405">
        <f>IF(WWWW[[#This Row],[Total PoP ]]=0,0,IF(WWWW[[#This Row],['# Hygiene Promoters ]]=0,0,IF(WWWW[[#This Row],[Location Type 1]]="Village",IF(WWWW[[#This Row],[Total PoP ]]/WWWW[[#This Row],['# Hygiene Promoters ]]&lt;1000,1,0),IF(WWWW[[#This Row],[Total PoP ]]/WWWW[[#This Row],['# Hygiene Promoters ]]&lt;600,1,0))))</f>
        <v>0</v>
      </c>
      <c r="BU309" s="405">
        <f>IF(WWWW[[#This Row],[%HH with access to soap]]&gt;=100%,1,0)</f>
        <v>0</v>
      </c>
      <c r="BV309" s="405">
        <f>IF(WWWW[[#This Row],[% of HHs with access to Sanitary pad more than '#%]]+WWWW[[#This Row],[Ratio of Hyiene promoters to people less than '#]]+WWWW[[#This Row],[% of HHs with access to soap more than '#%]]&gt;=2,WWWW[[#This Row],[Total PoP ]],0)</f>
        <v>0</v>
      </c>
      <c r="BW309" s="346">
        <f>WWWW[[#This Row],['# people reached by regular dedicated hygiene promotion_5]]/WWWW[[#This Row],[Total PoP ]]</f>
        <v>0</v>
      </c>
      <c r="BX309" s="346">
        <f>IF(WWWW[[#This Row],['# HH received soaps]]/WWWW[[#This Row],[Total HH]]&gt;1,1,WWWW[[#This Row],['# HH received soaps]]/WWWW[[#This Row],[Total HH]])</f>
        <v>0</v>
      </c>
      <c r="BY309" s="346">
        <f>IF(WWWW[[#This Row],['# HH received Sanitary Pads]]/WWWW[[#This Row],[Total HH]]&gt;1,1,WWWW[[#This Row],['# HH received Sanitary Pads]]/WWWW[[#This Row],[Total HH]])</f>
        <v>0</v>
      </c>
      <c r="BZ309" s="720">
        <f>WWWW[[#This Row],['# HH received soaps]]*5</f>
        <v>0</v>
      </c>
      <c r="CA309" s="720">
        <f>WWWW[[#This Row],['# HH received Sanitary Pads]]*5</f>
        <v>0</v>
      </c>
      <c r="CB309" s="675">
        <f>IF(WWWW[[#This Row],['# People with access to soap]]&gt;WWWW[[#This Row],['# People with access to Sanity Pads]],WWWW[[#This Row],['# People with access to soap]],WWWW[[#This Row],['# People with access to Sanity Pads]])</f>
        <v>0</v>
      </c>
      <c r="CC309" s="414">
        <f>WWWW[[#This Row],[Total HH]]*WWWW[[#This Row],[%HHs with access to functional hand washing stations]]</f>
        <v>0</v>
      </c>
      <c r="CD309" s="240">
        <f>VLOOKUP(WWWW[[#This Row],[Site Name]],SiteDB6[],8,FALSE)</f>
        <v>0</v>
      </c>
      <c r="CE309" s="240">
        <f>VLOOKUP(WWWW[[#This Row],[Site Name]],SiteDB6[],9,FALSE)</f>
        <v>0</v>
      </c>
      <c r="CF309" s="240" t="str">
        <f>VLOOKUP(WWWW[[#This Row],[Site Name]],SiteDB6[],10,FALSE)</f>
        <v>Village_Not HRP</v>
      </c>
      <c r="CG309" s="240" t="str">
        <f>VLOOKUP(WWWW[[#This Row],[Site Name]],SiteDB6[],11,FALSE)</f>
        <v>Village</v>
      </c>
      <c r="CH309" s="240" t="str">
        <f>VLOOKUP(WWWW[[#This Row],[Site Name]],SiteDB6[],12,FALSE)</f>
        <v>Village_Not HRP</v>
      </c>
      <c r="CI309" s="240" t="str">
        <f>VLOOKUP(WWWW[[#This Row],[Site Name]],SiteDB6[],13,FALSE)</f>
        <v>Rakhine</v>
      </c>
      <c r="CJ309" s="240">
        <f>VLOOKUP(WWWW[[#This Row],[Site Name]],SiteDB6[],14,FALSE)</f>
        <v>20.286720275878899</v>
      </c>
      <c r="CK309" s="240">
        <f>VLOOKUP(WWWW[[#This Row],[Site Name]],SiteDB6[],15,FALSE)</f>
        <v>92.882843017578097</v>
      </c>
      <c r="CL309" s="240">
        <f>VLOOKUP(WWWW[[#This Row],[Site Name]],SiteDB6[],4,FALSE)</f>
        <v>196172</v>
      </c>
      <c r="CM309" s="235" t="str">
        <f t="shared" si="4"/>
        <v>Covered</v>
      </c>
      <c r="CN309" s="240"/>
    </row>
    <row r="310" spans="1:92" ht="15.75" hidden="1" customHeight="1" x14ac:dyDescent="0.25">
      <c r="A310" s="548" t="s">
        <v>1409</v>
      </c>
      <c r="B310" s="595" t="s">
        <v>436</v>
      </c>
      <c r="C310" s="595" t="s">
        <v>464</v>
      </c>
      <c r="D310" s="595" t="s">
        <v>575</v>
      </c>
      <c r="E310" s="595" t="s">
        <v>585</v>
      </c>
      <c r="F310" s="402">
        <v>399</v>
      </c>
      <c r="G310" s="405">
        <v>1975</v>
      </c>
      <c r="H310" s="402"/>
      <c r="I310" s="402" t="s">
        <v>438</v>
      </c>
      <c r="J310" s="403">
        <v>43220</v>
      </c>
      <c r="K310" s="402">
        <v>36</v>
      </c>
      <c r="L310" s="402" t="s">
        <v>292</v>
      </c>
      <c r="M310" s="404">
        <v>0</v>
      </c>
      <c r="N310" s="404">
        <v>0</v>
      </c>
      <c r="O310" s="605">
        <v>0</v>
      </c>
      <c r="P310" s="606">
        <v>0</v>
      </c>
      <c r="Q310" s="606">
        <v>0</v>
      </c>
      <c r="R310" s="607">
        <v>3</v>
      </c>
      <c r="S310" s="607">
        <v>0</v>
      </c>
      <c r="T310" s="607"/>
      <c r="U310" s="607"/>
      <c r="V310" s="607"/>
      <c r="W310" s="607"/>
      <c r="X310" s="607"/>
      <c r="Y310" s="607" t="s">
        <v>2597</v>
      </c>
      <c r="Z310" s="598">
        <v>347</v>
      </c>
      <c r="AA310" s="598">
        <v>347</v>
      </c>
      <c r="AB310" s="80"/>
      <c r="AC310" s="598">
        <v>0</v>
      </c>
      <c r="AD310" s="598" t="s">
        <v>1379</v>
      </c>
      <c r="AE310" s="599" t="s">
        <v>293</v>
      </c>
      <c r="AF310" s="599"/>
      <c r="AG310" s="598"/>
      <c r="AH310" s="598" t="s">
        <v>2598</v>
      </c>
      <c r="AI310" s="649">
        <v>0</v>
      </c>
      <c r="AJ310" s="650"/>
      <c r="AK310" s="650">
        <v>0</v>
      </c>
      <c r="AL310" s="645">
        <v>0</v>
      </c>
      <c r="AM310" s="645">
        <v>3</v>
      </c>
      <c r="AN310" s="600"/>
      <c r="AO310" s="600"/>
      <c r="AP310" s="600"/>
      <c r="AQ310" s="651" t="s">
        <v>2599</v>
      </c>
      <c r="AR310" s="404" t="str">
        <f>IFERROR(WWWW[[#This Row],['# of Water passed at source]]/WWWW[[#This Row],['# of Water tested at source]],"no test")</f>
        <v>no test</v>
      </c>
      <c r="AS310" s="407" t="str">
        <f>IFERROR(WWWW[[#This Row],['# of Water passed at HH]]/WWWW[[#This Row],['# of Water tested at HH]],"no test")</f>
        <v>no test</v>
      </c>
      <c r="AT310" s="407">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U310" s="407">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AV310" s="407">
        <f>IF(WWWW[[#This Row],[Location Type 1]]="Village",WWWW[[#This Row],[Access to safe drinking water for Village]],WWWW[[#This Row],[Access to safe drinking water for Camp]])</f>
        <v>0</v>
      </c>
      <c r="AW310" s="405">
        <f>WWWW[[#This Row],[%Equitable and continuous access to sufficient quantity of safe drinking water]]*WWWW[[#This Row],[Total PoP ]]</f>
        <v>0</v>
      </c>
      <c r="AX310" s="407">
        <f>IF((WWWW[[#This Row],['# Existing protected/fenced ponds ]]*250)/WWWW[[#This Row],[Total PoP ]]&gt;1,1,WWWW[[#This Row],['# Existing protected/fenced ponds ]]*250/WWWW[[#This Row],[Total PoP ]])</f>
        <v>0.379746835443038</v>
      </c>
      <c r="AY310" s="405">
        <f>WWWW[[#This Row],[Access to unimproved water points]]*WWWW[[#This Row],[Total PoP ]]</f>
        <v>750</v>
      </c>
      <c r="AZ310" s="407">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0.379746835443038</v>
      </c>
      <c r="BA310" s="405">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750</v>
      </c>
      <c r="BB310" s="405">
        <f>WWWW[[#This Row],['#people Equitable and continuous access to sufficient quantity of domestic water borehole n ponds_2]]/500</f>
        <v>1.5</v>
      </c>
      <c r="BC310" s="404">
        <f>1-WWWW[[#This Row],[%Equitable and continuous access to sufficient quantity of domestic water borehole n ponds]]</f>
        <v>0.620253164556962</v>
      </c>
      <c r="BD310" s="405">
        <f>WWWW[[#This Row],[%equitable and continuous access to sufficient quantity of safe drinking and domestic water''s GAP]]*WWWW[[#This Row],[Total PoP ]]</f>
        <v>1225</v>
      </c>
      <c r="BE310" s="406">
        <f>IF(WWWW[[#This Row],[Total required water points]]-WWWW[[#This Row],['#Water points coverage]]&lt;0,0,WWWW[[#This Row],[Total required water points]]-WWWW[[#This Row],['#Water points coverage]])</f>
        <v>2.5</v>
      </c>
      <c r="BF310" s="406">
        <f>ROUND(IF(WWWW[[#This Row],[Total PoP ]]&lt;500,1,WWWW[[#This Row],[Total PoP ]]/500),0)</f>
        <v>4</v>
      </c>
      <c r="BG310" s="406" t="str">
        <f>IF(AND(WWWW[[#This Row],[%of Water samples which passed at water source]]="no test",WWWW[[#This Row],[%Water samples which passed at HH]]="no test"),"No Test","Tested")</f>
        <v>No Test</v>
      </c>
      <c r="BH310" s="406">
        <f>WWWW[[#This Row],['# Existing functional latrines]]+WWWW[[#This Row],['# Existing latrines dysfunctional]]</f>
        <v>694</v>
      </c>
      <c r="BI310" s="404">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1</v>
      </c>
      <c r="BJ310" s="676">
        <f>WWWW[[#This Row],[% people access to functioning Latrine]]*WWWW[[#This Row],[Total PoP ]]</f>
        <v>1975</v>
      </c>
      <c r="BK310" s="404">
        <f>IF(WWWW[[#This Row],[Location Type 1]]="camp",WWWW[[#This Row],['# potential required new latrines]]/(WWWW[[#This Row],[Total PoP ]]/20),WWWW[[#This Row],['# potential required new latrines]]/(WWWW[[#This Row],[Total PoP ]]/6))</f>
        <v>0</v>
      </c>
      <c r="BL310" s="405">
        <f>IF(WWWW[[#This Row],[Total required Latrines]]-WWWW[[#This Row],[Total '# of latrine]]&lt;0,0,WWWW[[#This Row],[Total required Latrines]]-WWWW[[#This Row],[Total '# of latrine]])</f>
        <v>0</v>
      </c>
      <c r="BM310" s="406">
        <f>ROUND(IF(WWWW[[#This Row],[Location Type 1]]="camp",WWWW[[#This Row],[Total PoP ]]/20,WWWW[[#This Row],[Total PoP ]]/6),0)</f>
        <v>329</v>
      </c>
      <c r="BN310" s="408">
        <f>IF(OR(WWWW[[#This Row],['# Existing latrines dysfunctional]]="",WWWW[[#This Row],['# Existing latrines dysfunctional]]=0),0,WWWW[[#This Row],['# Existing latrines dysfunctional]]/WWWW[[#This Row],[Total '# of latrine]])</f>
        <v>0.5</v>
      </c>
      <c r="BO310" s="676"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P310" s="404">
        <f>WWWW[[#This Row],[People adopt basic personal and community hygiene practices]]/WWWW[[#This Row],[Total PoP ]]</f>
        <v>0</v>
      </c>
      <c r="BQ310" s="408">
        <f>1-WWWW[[#This Row],[Hygiene Coverage%]]</f>
        <v>1</v>
      </c>
      <c r="BR310" s="405">
        <f>IF(500*WWWW[[#This Row],['# Hygiene Promoters ]]&gt;WWWW[[#This Row],[Total PoP ]],WWWW[[#This Row],[Total PoP ]],500*WWWW[[#This Row],['# Hygiene Promoters ]])</f>
        <v>1500</v>
      </c>
      <c r="BS310" s="405">
        <f>IF(WWWW[[#This Row],[% of HH with access to Sanitary Pad]]&gt;=100%,1,0)</f>
        <v>0</v>
      </c>
      <c r="BT310" s="405">
        <f>IF(WWWW[[#This Row],[Total PoP ]]=0,0,IF(WWWW[[#This Row],['# Hygiene Promoters ]]=0,0,IF(WWWW[[#This Row],[Location Type 1]]="Village",IF(WWWW[[#This Row],[Total PoP ]]/WWWW[[#This Row],['# Hygiene Promoters ]]&lt;1000,1,0),IF(WWWW[[#This Row],[Total PoP ]]/WWWW[[#This Row],['# Hygiene Promoters ]]&lt;600,1,0))))</f>
        <v>1</v>
      </c>
      <c r="BU310" s="405">
        <f>IF(WWWW[[#This Row],[%HH with access to soap]]&gt;=100%,1,0)</f>
        <v>0</v>
      </c>
      <c r="BV310" s="405">
        <f>IF(WWWW[[#This Row],[% of HHs with access to Sanitary pad more than '#%]]+WWWW[[#This Row],[Ratio of Hyiene promoters to people less than '#]]+WWWW[[#This Row],[% of HHs with access to soap more than '#%]]&gt;=2,WWWW[[#This Row],[Total PoP ]],0)</f>
        <v>0</v>
      </c>
      <c r="BW310" s="391">
        <f>WWWW[[#This Row],['# people reached by regular dedicated hygiene promotion_5]]/WWWW[[#This Row],[Total PoP ]]</f>
        <v>0.759493670886076</v>
      </c>
      <c r="BX310" s="391">
        <f>IF(WWWW[[#This Row],['# HH received soaps]]/WWWW[[#This Row],[Total HH]]&gt;1,1,WWWW[[#This Row],['# HH received soaps]]/WWWW[[#This Row],[Total HH]])</f>
        <v>0</v>
      </c>
      <c r="BY310" s="391">
        <f>IF(WWWW[[#This Row],['# HH received Sanitary Pads]]/WWWW[[#This Row],[Total HH]]&gt;1,1,WWWW[[#This Row],['# HH received Sanitary Pads]]/WWWW[[#This Row],[Total HH]])</f>
        <v>0</v>
      </c>
      <c r="BZ310" s="721">
        <f>WWWW[[#This Row],['# HH received soaps]]*5</f>
        <v>0</v>
      </c>
      <c r="CA310" s="721">
        <f>WWWW[[#This Row],['# HH received Sanitary Pads]]*5</f>
        <v>0</v>
      </c>
      <c r="CB310" s="406">
        <f>IF(WWWW[[#This Row],['# People with access to soap]]&gt;WWWW[[#This Row],['# People with access to Sanity Pads]],WWWW[[#This Row],['# People with access to soap]],WWWW[[#This Row],['# People with access to Sanity Pads]])</f>
        <v>0</v>
      </c>
      <c r="CC310" s="405">
        <f>WWWW[[#This Row],[Total HH]]*WWWW[[#This Row],[%HHs with access to functional hand washing stations]]</f>
        <v>0</v>
      </c>
      <c r="CD310" s="240">
        <f>VLOOKUP(WWWW[[#This Row],[Site Name]],SiteDB6[],8,FALSE)</f>
        <v>0</v>
      </c>
      <c r="CE310" s="240">
        <f>VLOOKUP(WWWW[[#This Row],[Site Name]],SiteDB6[],9,FALSE)</f>
        <v>0</v>
      </c>
      <c r="CF310" s="240" t="str">
        <f>VLOOKUP(WWWW[[#This Row],[Site Name]],SiteDB6[],10,FALSE)</f>
        <v>Village</v>
      </c>
      <c r="CG310" s="240" t="str">
        <f>VLOOKUP(WWWW[[#This Row],[Site Name]],SiteDB6[],11,FALSE)</f>
        <v>Village</v>
      </c>
      <c r="CH310" s="240" t="str">
        <f>VLOOKUP(WWWW[[#This Row],[Site Name]],SiteDB6[],12,FALSE)</f>
        <v>Village</v>
      </c>
      <c r="CI310" s="240" t="str">
        <f>VLOOKUP(WWWW[[#This Row],[Site Name]],SiteDB6[],13,FALSE)</f>
        <v>Muslim</v>
      </c>
      <c r="CJ310" s="240">
        <f>VLOOKUP(WWWW[[#This Row],[Site Name]],SiteDB6[],14,FALSE)</f>
        <v>20.099340438842798</v>
      </c>
      <c r="CK310" s="240">
        <f>VLOOKUP(WWWW[[#This Row],[Site Name]],SiteDB6[],15,FALSE)</f>
        <v>92.989143371582003</v>
      </c>
      <c r="CL310" s="240" t="str">
        <f>VLOOKUP(WWWW[[#This Row],[Site Name]],SiteDB6[],4,FALSE)</f>
        <v>197558</v>
      </c>
      <c r="CM310" s="404" t="str">
        <f t="shared" si="4"/>
        <v>Covered</v>
      </c>
      <c r="CN310" s="404"/>
    </row>
    <row r="311" spans="1:92" ht="15.75" hidden="1" customHeight="1" x14ac:dyDescent="0.25">
      <c r="A311" s="548" t="s">
        <v>1409</v>
      </c>
      <c r="B311" s="530" t="s">
        <v>470</v>
      </c>
      <c r="C311" s="531" t="s">
        <v>464</v>
      </c>
      <c r="D311" s="531" t="s">
        <v>465</v>
      </c>
      <c r="E311" s="531" t="s">
        <v>471</v>
      </c>
      <c r="F311" s="402">
        <v>87</v>
      </c>
      <c r="G311" s="405">
        <v>447</v>
      </c>
      <c r="H311" s="402"/>
      <c r="I311" s="402"/>
      <c r="J311" s="403"/>
      <c r="K311" s="402"/>
      <c r="L311" s="402" t="s">
        <v>292</v>
      </c>
      <c r="M311" s="404">
        <v>0</v>
      </c>
      <c r="N311" s="404">
        <v>0</v>
      </c>
      <c r="O311" s="605">
        <v>2</v>
      </c>
      <c r="P311" s="606">
        <v>4</v>
      </c>
      <c r="Q311" s="606">
        <v>0</v>
      </c>
      <c r="R311" s="607">
        <v>0</v>
      </c>
      <c r="S311" s="607">
        <v>0</v>
      </c>
      <c r="T311" s="607"/>
      <c r="U311" s="607"/>
      <c r="V311" s="607"/>
      <c r="W311" s="607"/>
      <c r="X311" s="607"/>
      <c r="Y311" s="607" t="s">
        <v>2585</v>
      </c>
      <c r="Z311" s="598">
        <v>72</v>
      </c>
      <c r="AA311" s="598">
        <v>0</v>
      </c>
      <c r="AB311" s="80"/>
      <c r="AC311" s="598">
        <v>0</v>
      </c>
      <c r="AD311" s="598" t="s">
        <v>1379</v>
      </c>
      <c r="AE311" s="599" t="s">
        <v>1379</v>
      </c>
      <c r="AF311" s="599"/>
      <c r="AG311" s="598"/>
      <c r="AH311" s="598"/>
      <c r="AI311" s="649">
        <v>0</v>
      </c>
      <c r="AJ311" s="650"/>
      <c r="AK311" s="650">
        <v>0</v>
      </c>
      <c r="AL311" s="645">
        <v>0</v>
      </c>
      <c r="AM311" s="645">
        <v>0</v>
      </c>
      <c r="AN311" s="600"/>
      <c r="AO311" s="600"/>
      <c r="AP311" s="600"/>
      <c r="AQ311" s="651"/>
      <c r="AR311" s="404" t="str">
        <f>IFERROR(WWWW[[#This Row],['# of Water passed at source]]/WWWW[[#This Row],['# of Water tested at source]],"no test")</f>
        <v>no test</v>
      </c>
      <c r="AS311" s="407" t="str">
        <f>IFERROR(WWWW[[#This Row],['# of Water passed at HH]]/WWWW[[#This Row],['# of Water tested at HH]],"no test")</f>
        <v>no test</v>
      </c>
      <c r="AT311" s="407">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U311" s="407">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AV311" s="407">
        <f>IF(WWWW[[#This Row],[Location Type 1]]="Village",WWWW[[#This Row],[Access to safe drinking water for Village]],WWWW[[#This Row],[Access to safe drinking water for Camp]])</f>
        <v>1</v>
      </c>
      <c r="AW311" s="405">
        <f>WWWW[[#This Row],[%Equitable and continuous access to sufficient quantity of safe drinking water]]*WWWW[[#This Row],[Total PoP ]]</f>
        <v>447</v>
      </c>
      <c r="AX311" s="407">
        <f>IF((WWWW[[#This Row],['# Existing protected/fenced ponds ]]*250)/WWWW[[#This Row],[Total PoP ]]&gt;1,1,WWWW[[#This Row],['# Existing protected/fenced ponds ]]*250/WWWW[[#This Row],[Total PoP ]])</f>
        <v>0</v>
      </c>
      <c r="AY311" s="405">
        <f>WWWW[[#This Row],[Access to unimproved water points]]*WWWW[[#This Row],[Total PoP ]]</f>
        <v>0</v>
      </c>
      <c r="AZ311" s="407">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A311" s="405">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447</v>
      </c>
      <c r="BB311" s="405">
        <f>WWWW[[#This Row],['#people Equitable and continuous access to sufficient quantity of domestic water borehole n ponds_2]]/500</f>
        <v>0.89400000000000002</v>
      </c>
      <c r="BC311" s="404">
        <f>1-WWWW[[#This Row],[%Equitable and continuous access to sufficient quantity of domestic water borehole n ponds]]</f>
        <v>0</v>
      </c>
      <c r="BD311" s="405">
        <f>WWWW[[#This Row],[%equitable and continuous access to sufficient quantity of safe drinking and domestic water''s GAP]]*WWWW[[#This Row],[Total PoP ]]</f>
        <v>0</v>
      </c>
      <c r="BE311" s="406">
        <f>IF(WWWW[[#This Row],[Total required water points]]-WWWW[[#This Row],['#Water points coverage]]&lt;0,0,WWWW[[#This Row],[Total required water points]]-WWWW[[#This Row],['#Water points coverage]])</f>
        <v>0.10599999999999998</v>
      </c>
      <c r="BF311" s="406">
        <f>ROUND(IF(WWWW[[#This Row],[Total PoP ]]&lt;500,1,WWWW[[#This Row],[Total PoP ]]/500),0)</f>
        <v>1</v>
      </c>
      <c r="BG311" s="406" t="str">
        <f>IF(AND(WWWW[[#This Row],[%of Water samples which passed at water source]]="no test",WWWW[[#This Row],[%Water samples which passed at HH]]="no test"),"No Test","Tested")</f>
        <v>No Test</v>
      </c>
      <c r="BH311" s="406">
        <f>WWWW[[#This Row],['# Existing functional latrines]]+WWWW[[#This Row],['# Existing latrines dysfunctional]]</f>
        <v>72</v>
      </c>
      <c r="BI311" s="404">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0.96644295302013428</v>
      </c>
      <c r="BJ311" s="676">
        <f>WWWW[[#This Row],[% people access to functioning Latrine]]*WWWW[[#This Row],[Total PoP ]]</f>
        <v>432</v>
      </c>
      <c r="BK311" s="404">
        <f>IF(WWWW[[#This Row],[Location Type 1]]="camp",WWWW[[#This Row],['# potential required new latrines]]/(WWWW[[#This Row],[Total PoP ]]/20),WWWW[[#This Row],['# potential required new latrines]]/(WWWW[[#This Row],[Total PoP ]]/6))</f>
        <v>4.0268456375838924E-2</v>
      </c>
      <c r="BL311" s="405">
        <f>IF(WWWW[[#This Row],[Total required Latrines]]-WWWW[[#This Row],[Total '# of latrine]]&lt;0,0,WWWW[[#This Row],[Total required Latrines]]-WWWW[[#This Row],[Total '# of latrine]])</f>
        <v>3</v>
      </c>
      <c r="BM311" s="406">
        <f>ROUND(IF(WWWW[[#This Row],[Location Type 1]]="camp",WWWW[[#This Row],[Total PoP ]]/20,WWWW[[#This Row],[Total PoP ]]/6),0)</f>
        <v>75</v>
      </c>
      <c r="BN311" s="408">
        <f>IF(OR(WWWW[[#This Row],['# Existing latrines dysfunctional]]="",WWWW[[#This Row],['# Existing latrines dysfunctional]]=0),0,WWWW[[#This Row],['# Existing latrines dysfunctional]]/WWWW[[#This Row],[Total '# of latrine]])</f>
        <v>0</v>
      </c>
      <c r="BO311" s="676"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P311" s="404">
        <f>WWWW[[#This Row],[People adopt basic personal and community hygiene practices]]/WWWW[[#This Row],[Total PoP ]]</f>
        <v>0</v>
      </c>
      <c r="BQ311" s="408">
        <f>1-WWWW[[#This Row],[Hygiene Coverage%]]</f>
        <v>1</v>
      </c>
      <c r="BR311" s="405">
        <f>IF(500*WWWW[[#This Row],['# Hygiene Promoters ]]&gt;WWWW[[#This Row],[Total PoP ]],WWWW[[#This Row],[Total PoP ]],500*WWWW[[#This Row],['# Hygiene Promoters ]])</f>
        <v>0</v>
      </c>
      <c r="BS311" s="405">
        <f>IF(WWWW[[#This Row],[% of HH with access to Sanitary Pad]]&gt;=100%,1,0)</f>
        <v>0</v>
      </c>
      <c r="BT311" s="405">
        <f>IF(WWWW[[#This Row],[Total PoP ]]=0,0,IF(WWWW[[#This Row],['# Hygiene Promoters ]]=0,0,IF(WWWW[[#This Row],[Location Type 1]]="Village",IF(WWWW[[#This Row],[Total PoP ]]/WWWW[[#This Row],['# Hygiene Promoters ]]&lt;1000,1,0),IF(WWWW[[#This Row],[Total PoP ]]/WWWW[[#This Row],['# Hygiene Promoters ]]&lt;600,1,0))))</f>
        <v>0</v>
      </c>
      <c r="BU311" s="405">
        <f>IF(WWWW[[#This Row],[%HH with access to soap]]&gt;=100%,1,0)</f>
        <v>0</v>
      </c>
      <c r="BV311" s="405">
        <f>IF(WWWW[[#This Row],[% of HHs with access to Sanitary pad more than '#%]]+WWWW[[#This Row],[Ratio of Hyiene promoters to people less than '#]]+WWWW[[#This Row],[% of HHs with access to soap more than '#%]]&gt;=2,WWWW[[#This Row],[Total PoP ]],0)</f>
        <v>0</v>
      </c>
      <c r="BW311" s="391">
        <f>WWWW[[#This Row],['# people reached by regular dedicated hygiene promotion_5]]/WWWW[[#This Row],[Total PoP ]]</f>
        <v>0</v>
      </c>
      <c r="BX311" s="391">
        <f>IF(WWWW[[#This Row],['# HH received soaps]]/WWWW[[#This Row],[Total HH]]&gt;1,1,WWWW[[#This Row],['# HH received soaps]]/WWWW[[#This Row],[Total HH]])</f>
        <v>0</v>
      </c>
      <c r="BY311" s="391">
        <f>IF(WWWW[[#This Row],['# HH received Sanitary Pads]]/WWWW[[#This Row],[Total HH]]&gt;1,1,WWWW[[#This Row],['# HH received Sanitary Pads]]/WWWW[[#This Row],[Total HH]])</f>
        <v>0</v>
      </c>
      <c r="BZ311" s="721">
        <f>WWWW[[#This Row],['# HH received soaps]]*5</f>
        <v>0</v>
      </c>
      <c r="CA311" s="721">
        <f>WWWW[[#This Row],['# HH received Sanitary Pads]]*5</f>
        <v>0</v>
      </c>
      <c r="CB311" s="406">
        <f>IF(WWWW[[#This Row],['# People with access to soap]]&gt;WWWW[[#This Row],['# People with access to Sanity Pads]],WWWW[[#This Row],['# People with access to soap]],WWWW[[#This Row],['# People with access to Sanity Pads]])</f>
        <v>0</v>
      </c>
      <c r="CC311" s="405">
        <f>WWWW[[#This Row],[Total HH]]*WWWW[[#This Row],[%HHs with access to functional hand washing stations]]</f>
        <v>0</v>
      </c>
      <c r="CD311" s="240">
        <f>VLOOKUP(WWWW[[#This Row],[Site Name]],SiteDB6[],8,FALSE)</f>
        <v>0</v>
      </c>
      <c r="CE311" s="240">
        <f>VLOOKUP(WWWW[[#This Row],[Site Name]],SiteDB6[],9,FALSE)</f>
        <v>0</v>
      </c>
      <c r="CF311" s="240" t="str">
        <f>VLOOKUP(WWWW[[#This Row],[Site Name]],SiteDB6[],10,FALSE)</f>
        <v>Village</v>
      </c>
      <c r="CG311" s="240" t="str">
        <f>VLOOKUP(WWWW[[#This Row],[Site Name]],SiteDB6[],11,FALSE)</f>
        <v>Village</v>
      </c>
      <c r="CH311" s="240" t="str">
        <f>VLOOKUP(WWWW[[#This Row],[Site Name]],SiteDB6[],12,FALSE)</f>
        <v>Village</v>
      </c>
      <c r="CI311" s="240" t="str">
        <f>VLOOKUP(WWWW[[#This Row],[Site Name]],SiteDB6[],13,FALSE)</f>
        <v>Muslim</v>
      </c>
      <c r="CJ311" s="240">
        <f>VLOOKUP(WWWW[[#This Row],[Site Name]],SiteDB6[],14,FALSE)</f>
        <v>0</v>
      </c>
      <c r="CK311" s="240">
        <f>VLOOKUP(WWWW[[#This Row],[Site Name]],SiteDB6[],15,FALSE)</f>
        <v>0</v>
      </c>
      <c r="CL311" s="240" t="str">
        <f>VLOOKUP(WWWW[[#This Row],[Site Name]],SiteDB6[],4,FALSE)</f>
        <v/>
      </c>
      <c r="CM311" s="404" t="str">
        <f t="shared" si="4"/>
        <v>Notcovered</v>
      </c>
      <c r="CN311" s="404"/>
    </row>
    <row r="312" spans="1:92" ht="15.75" hidden="1" customHeight="1" x14ac:dyDescent="0.25">
      <c r="A312" s="548" t="s">
        <v>1409</v>
      </c>
      <c r="B312" s="531" t="s">
        <v>470</v>
      </c>
      <c r="C312" s="531" t="s">
        <v>464</v>
      </c>
      <c r="D312" s="531" t="s">
        <v>465</v>
      </c>
      <c r="E312" s="531" t="s">
        <v>626</v>
      </c>
      <c r="F312" s="402">
        <f>ROUND(WWWW[[#This Row],[Total PoP ]]/5,0)</f>
        <v>373</v>
      </c>
      <c r="G312" s="731">
        <v>1867</v>
      </c>
      <c r="H312" s="314"/>
      <c r="I312" s="314"/>
      <c r="J312" s="315"/>
      <c r="K312" s="314"/>
      <c r="L312" s="402" t="s">
        <v>292</v>
      </c>
      <c r="M312" s="404">
        <v>0</v>
      </c>
      <c r="N312" s="404">
        <v>0</v>
      </c>
      <c r="O312" s="608">
        <v>10</v>
      </c>
      <c r="P312" s="609">
        <v>6</v>
      </c>
      <c r="Q312" s="613"/>
      <c r="R312" s="614"/>
      <c r="S312" s="614">
        <v>0</v>
      </c>
      <c r="T312" s="604"/>
      <c r="U312" s="604"/>
      <c r="V312" s="604"/>
      <c r="W312" s="604"/>
      <c r="X312" s="604"/>
      <c r="Y312" s="604"/>
      <c r="Z312" s="628">
        <v>68</v>
      </c>
      <c r="AA312" s="628"/>
      <c r="AB312" s="634"/>
      <c r="AC312" s="634">
        <v>0</v>
      </c>
      <c r="AD312" s="634" t="s">
        <v>342</v>
      </c>
      <c r="AE312" s="631" t="s">
        <v>342</v>
      </c>
      <c r="AF312" s="629"/>
      <c r="AG312" s="629"/>
      <c r="AH312" s="634"/>
      <c r="AI312" s="655">
        <v>0</v>
      </c>
      <c r="AJ312" s="656"/>
      <c r="AK312" s="644">
        <v>0</v>
      </c>
      <c r="AL312" s="645"/>
      <c r="AM312" s="645">
        <v>0</v>
      </c>
      <c r="AN312" s="600"/>
      <c r="AO312" s="647"/>
      <c r="AP312" s="647"/>
      <c r="AQ312" s="657"/>
      <c r="AR312" s="235" t="str">
        <f>IFERROR(WWWW[[#This Row],['# of Water passed at source]]/WWWW[[#This Row],['# of Water tested at source]],"no test")</f>
        <v>no test</v>
      </c>
      <c r="AS312" s="237" t="str">
        <f>IFERROR(WWWW[[#This Row],['# of Water passed at HH]]/WWWW[[#This Row],['# of Water tested at HH]],"no test")</f>
        <v>no test</v>
      </c>
      <c r="AT312" s="237">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U312" s="237">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AV312" s="237">
        <f>IF(WWWW[[#This Row],[Location Type 1]]="Village",WWWW[[#This Row],[Access to safe drinking water for Village]],WWWW[[#This Row],[Access to safe drinking water for Camp]])</f>
        <v>1</v>
      </c>
      <c r="AW312" s="414">
        <f>WWWW[[#This Row],[%Equitable and continuous access to sufficient quantity of safe drinking water]]*WWWW[[#This Row],[Total PoP ]]</f>
        <v>1867</v>
      </c>
      <c r="AX312" s="237">
        <f>IF((WWWW[[#This Row],['# Existing protected/fenced ponds ]]*250)/WWWW[[#This Row],[Total PoP ]]&gt;1,1,WWWW[[#This Row],['# Existing protected/fenced ponds ]]*250/WWWW[[#This Row],[Total PoP ]])</f>
        <v>0</v>
      </c>
      <c r="AY312" s="414">
        <f>WWWW[[#This Row],[Access to unimproved water points]]*WWWW[[#This Row],[Total PoP ]]</f>
        <v>0</v>
      </c>
      <c r="AZ312" s="237">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A312" s="414">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1867</v>
      </c>
      <c r="BB312" s="414">
        <f>WWWW[[#This Row],['#people Equitable and continuous access to sufficient quantity of domestic water borehole n ponds_2]]/500</f>
        <v>3.734</v>
      </c>
      <c r="BC312" s="235">
        <f>1-WWWW[[#This Row],[%Equitable and continuous access to sufficient quantity of domestic water borehole n ponds]]</f>
        <v>0</v>
      </c>
      <c r="BD312" s="414">
        <f>WWWW[[#This Row],[%equitable and continuous access to sufficient quantity of safe drinking and domestic water''s GAP]]*WWWW[[#This Row],[Total PoP ]]</f>
        <v>0</v>
      </c>
      <c r="BE312" s="238">
        <f>IF(WWWW[[#This Row],[Total required water points]]-WWWW[[#This Row],['#Water points coverage]]&lt;0,0,WWWW[[#This Row],[Total required water points]]-WWWW[[#This Row],['#Water points coverage]])</f>
        <v>0.26600000000000001</v>
      </c>
      <c r="BF312" s="238">
        <f>ROUND(IF(WWWW[[#This Row],[Total PoP ]]&lt;500,1,WWWW[[#This Row],[Total PoP ]]/500),0)</f>
        <v>4</v>
      </c>
      <c r="BG312" s="238" t="str">
        <f>IF(AND(WWWW[[#This Row],[%of Water samples which passed at water source]]="no test",WWWW[[#This Row],[%Water samples which passed at HH]]="no test"),"No Test","Tested")</f>
        <v>No Test</v>
      </c>
      <c r="BH312" s="238">
        <f>WWWW[[#This Row],['# Existing functional latrines]]+WWWW[[#This Row],['# Existing latrines dysfunctional]]</f>
        <v>68</v>
      </c>
      <c r="BI312" s="235">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0.21853240492769149</v>
      </c>
      <c r="BJ312" s="675">
        <f>WWWW[[#This Row],[% people access to functioning Latrine]]*WWWW[[#This Row],[Total PoP ]]</f>
        <v>408</v>
      </c>
      <c r="BK312" s="235">
        <f>IF(WWWW[[#This Row],[Location Type 1]]="camp",WWWW[[#This Row],['# potential required new latrines]]/(WWWW[[#This Row],[Total PoP ]]/20),WWWW[[#This Row],['# potential required new latrines]]/(WWWW[[#This Row],[Total PoP ]]/6))</f>
        <v>0.78093197643277978</v>
      </c>
      <c r="BL312" s="414">
        <f>IF(WWWW[[#This Row],[Total required Latrines]]-WWWW[[#This Row],[Total '# of latrine]]&lt;0,0,WWWW[[#This Row],[Total required Latrines]]-WWWW[[#This Row],[Total '# of latrine]])</f>
        <v>243</v>
      </c>
      <c r="BM312" s="238">
        <f>ROUND(IF(WWWW[[#This Row],[Location Type 1]]="camp",WWWW[[#This Row],[Total PoP ]]/20,WWWW[[#This Row],[Total PoP ]]/6),0)</f>
        <v>311</v>
      </c>
      <c r="BN312" s="239">
        <f>IF(OR(WWWW[[#This Row],['# Existing latrines dysfunctional]]="",WWWW[[#This Row],['# Existing latrines dysfunctional]]=0),0,WWWW[[#This Row],['# Existing latrines dysfunctional]]/WWWW[[#This Row],[Total '# of latrine]])</f>
        <v>0</v>
      </c>
      <c r="BO312" s="675"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P312" s="235">
        <f>WWWW[[#This Row],[People adopt basic personal and community hygiene practices]]/WWWW[[#This Row],[Total PoP ]]</f>
        <v>0</v>
      </c>
      <c r="BQ312" s="239">
        <f>1-WWWW[[#This Row],[Hygiene Coverage%]]</f>
        <v>1</v>
      </c>
      <c r="BR312" s="405">
        <f>IF(500*WWWW[[#This Row],['# Hygiene Promoters ]]&gt;WWWW[[#This Row],[Total PoP ]],WWWW[[#This Row],[Total PoP ]],500*WWWW[[#This Row],['# Hygiene Promoters ]])</f>
        <v>0</v>
      </c>
      <c r="BS312" s="405">
        <f>IF(WWWW[[#This Row],[% of HH with access to Sanitary Pad]]&gt;=100%,1,0)</f>
        <v>0</v>
      </c>
      <c r="BT312" s="405">
        <f>IF(WWWW[[#This Row],[Total PoP ]]=0,0,IF(WWWW[[#This Row],['# Hygiene Promoters ]]=0,0,IF(WWWW[[#This Row],[Location Type 1]]="Village",IF(WWWW[[#This Row],[Total PoP ]]/WWWW[[#This Row],['# Hygiene Promoters ]]&lt;1000,1,0),IF(WWWW[[#This Row],[Total PoP ]]/WWWW[[#This Row],['# Hygiene Promoters ]]&lt;600,1,0))))</f>
        <v>0</v>
      </c>
      <c r="BU312" s="405">
        <f>IF(WWWW[[#This Row],[%HH with access to soap]]&gt;=100%,1,0)</f>
        <v>0</v>
      </c>
      <c r="BV312" s="405">
        <f>IF(WWWW[[#This Row],[% of HHs with access to Sanitary pad more than '#%]]+WWWW[[#This Row],[Ratio of Hyiene promoters to people less than '#]]+WWWW[[#This Row],[% of HHs with access to soap more than '#%]]&gt;=2,WWWW[[#This Row],[Total PoP ]],0)</f>
        <v>0</v>
      </c>
      <c r="BW312" s="346">
        <f>WWWW[[#This Row],['# people reached by regular dedicated hygiene promotion_5]]/WWWW[[#This Row],[Total PoP ]]</f>
        <v>0</v>
      </c>
      <c r="BX312" s="346">
        <f>IF(WWWW[[#This Row],['# HH received soaps]]/WWWW[[#This Row],[Total HH]]&gt;1,1,WWWW[[#This Row],['# HH received soaps]]/WWWW[[#This Row],[Total HH]])</f>
        <v>0</v>
      </c>
      <c r="BY312" s="346">
        <f>IF(WWWW[[#This Row],['# HH received Sanitary Pads]]/WWWW[[#This Row],[Total HH]]&gt;1,1,WWWW[[#This Row],['# HH received Sanitary Pads]]/WWWW[[#This Row],[Total HH]])</f>
        <v>0</v>
      </c>
      <c r="BZ312" s="720">
        <f>WWWW[[#This Row],['# HH received soaps]]*5</f>
        <v>0</v>
      </c>
      <c r="CA312" s="720">
        <f>WWWW[[#This Row],['# HH received Sanitary Pads]]*5</f>
        <v>0</v>
      </c>
      <c r="CB312" s="675">
        <f>IF(WWWW[[#This Row],['# People with access to soap]]&gt;WWWW[[#This Row],['# People with access to Sanity Pads]],WWWW[[#This Row],['# People with access to soap]],WWWW[[#This Row],['# People with access to Sanity Pads]])</f>
        <v>0</v>
      </c>
      <c r="CC312" s="414">
        <f>WWWW[[#This Row],[Total HH]]*WWWW[[#This Row],[%HHs with access to functional hand washing stations]]</f>
        <v>0</v>
      </c>
      <c r="CD312" s="240">
        <f>VLOOKUP(WWWW[[#This Row],[Site Name]],SiteDB6[],8,FALSE)</f>
        <v>0</v>
      </c>
      <c r="CE312" s="240">
        <f>VLOOKUP(WWWW[[#This Row],[Site Name]],SiteDB6[],9,FALSE)</f>
        <v>0</v>
      </c>
      <c r="CF312" s="240" t="str">
        <f>VLOOKUP(WWWW[[#This Row],[Site Name]],SiteDB6[],10,FALSE)</f>
        <v>Village</v>
      </c>
      <c r="CG312" s="240" t="str">
        <f>VLOOKUP(WWWW[[#This Row],[Site Name]],SiteDB6[],11,FALSE)</f>
        <v>Village</v>
      </c>
      <c r="CH312" s="240" t="str">
        <f>VLOOKUP(WWWW[[#This Row],[Site Name]],SiteDB6[],12,FALSE)</f>
        <v>Village</v>
      </c>
      <c r="CI312" s="240" t="str">
        <f>VLOOKUP(WWWW[[#This Row],[Site Name]],SiteDB6[],13,FALSE)</f>
        <v>Muslim</v>
      </c>
      <c r="CJ312" s="240">
        <f>VLOOKUP(WWWW[[#This Row],[Site Name]],SiteDB6[],14,FALSE)</f>
        <v>20.235199999999999</v>
      </c>
      <c r="CK312" s="240">
        <f>VLOOKUP(WWWW[[#This Row],[Site Name]],SiteDB6[],15,FALSE)</f>
        <v>92.805000000000007</v>
      </c>
      <c r="CL312" s="240" t="str">
        <f>VLOOKUP(WWWW[[#This Row],[Site Name]],SiteDB6[],4,FALSE)</f>
        <v>196143</v>
      </c>
      <c r="CM312" s="235" t="str">
        <f t="shared" si="4"/>
        <v>Notcovered</v>
      </c>
      <c r="CN312" s="240"/>
    </row>
    <row r="313" spans="1:92" ht="15.75" hidden="1" customHeight="1" x14ac:dyDescent="0.25">
      <c r="A313" s="548" t="s">
        <v>1409</v>
      </c>
      <c r="B313" s="531" t="s">
        <v>470</v>
      </c>
      <c r="C313" s="531" t="s">
        <v>464</v>
      </c>
      <c r="D313" s="531" t="s">
        <v>465</v>
      </c>
      <c r="E313" s="531" t="s">
        <v>628</v>
      </c>
      <c r="F313" s="314">
        <v>197</v>
      </c>
      <c r="G313" s="731">
        <v>488</v>
      </c>
      <c r="H313" s="314"/>
      <c r="I313" s="314"/>
      <c r="J313" s="315"/>
      <c r="K313" s="314"/>
      <c r="L313" s="402" t="s">
        <v>292</v>
      </c>
      <c r="M313" s="404">
        <v>0</v>
      </c>
      <c r="N313" s="404">
        <v>0</v>
      </c>
      <c r="O313" s="608">
        <v>9</v>
      </c>
      <c r="P313" s="609">
        <v>4</v>
      </c>
      <c r="Q313" s="613">
        <v>0</v>
      </c>
      <c r="R313" s="614">
        <v>0</v>
      </c>
      <c r="S313" s="614">
        <v>0</v>
      </c>
      <c r="T313" s="604"/>
      <c r="U313" s="604"/>
      <c r="V313" s="604"/>
      <c r="W313" s="604"/>
      <c r="X313" s="604"/>
      <c r="Y313" s="604" t="s">
        <v>2585</v>
      </c>
      <c r="Z313" s="628">
        <v>146</v>
      </c>
      <c r="AA313" s="628">
        <v>0</v>
      </c>
      <c r="AB313" s="634"/>
      <c r="AC313" s="634">
        <v>0</v>
      </c>
      <c r="AD313" s="598" t="s">
        <v>1379</v>
      </c>
      <c r="AE313" s="599" t="s">
        <v>1379</v>
      </c>
      <c r="AF313" s="629"/>
      <c r="AG313" s="629"/>
      <c r="AH313" s="634"/>
      <c r="AI313" s="655">
        <v>0</v>
      </c>
      <c r="AJ313" s="656"/>
      <c r="AK313" s="644">
        <v>0</v>
      </c>
      <c r="AL313" s="645">
        <v>0</v>
      </c>
      <c r="AM313" s="645">
        <v>0</v>
      </c>
      <c r="AN313" s="600"/>
      <c r="AO313" s="647"/>
      <c r="AP313" s="647"/>
      <c r="AQ313" s="657"/>
      <c r="AR313" s="235" t="str">
        <f>IFERROR(WWWW[[#This Row],['# of Water passed at source]]/WWWW[[#This Row],['# of Water tested at source]],"no test")</f>
        <v>no test</v>
      </c>
      <c r="AS313" s="237" t="str">
        <f>IFERROR(WWWW[[#This Row],['# of Water passed at HH]]/WWWW[[#This Row],['# of Water tested at HH]],"no test")</f>
        <v>no test</v>
      </c>
      <c r="AT313" s="237">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U313" s="237">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AV313" s="237">
        <f>IF(WWWW[[#This Row],[Location Type 1]]="Village",WWWW[[#This Row],[Access to safe drinking water for Village]],WWWW[[#This Row],[Access to safe drinking water for Camp]])</f>
        <v>1</v>
      </c>
      <c r="AW313" s="414">
        <f>WWWW[[#This Row],[%Equitable and continuous access to sufficient quantity of safe drinking water]]*WWWW[[#This Row],[Total PoP ]]</f>
        <v>488</v>
      </c>
      <c r="AX313" s="237">
        <f>IF((WWWW[[#This Row],['# Existing protected/fenced ponds ]]*250)/WWWW[[#This Row],[Total PoP ]]&gt;1,1,WWWW[[#This Row],['# Existing protected/fenced ponds ]]*250/WWWW[[#This Row],[Total PoP ]])</f>
        <v>0</v>
      </c>
      <c r="AY313" s="414">
        <f>WWWW[[#This Row],[Access to unimproved water points]]*WWWW[[#This Row],[Total PoP ]]</f>
        <v>0</v>
      </c>
      <c r="AZ313" s="237">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A313" s="414">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488</v>
      </c>
      <c r="BB313" s="414">
        <f>WWWW[[#This Row],['#people Equitable and continuous access to sufficient quantity of domestic water borehole n ponds_2]]/500</f>
        <v>0.97599999999999998</v>
      </c>
      <c r="BC313" s="235">
        <f>1-WWWW[[#This Row],[%Equitable and continuous access to sufficient quantity of domestic water borehole n ponds]]</f>
        <v>0</v>
      </c>
      <c r="BD313" s="414">
        <f>WWWW[[#This Row],[%equitable and continuous access to sufficient quantity of safe drinking and domestic water''s GAP]]*WWWW[[#This Row],[Total PoP ]]</f>
        <v>0</v>
      </c>
      <c r="BE313" s="238">
        <f>IF(WWWW[[#This Row],[Total required water points]]-WWWW[[#This Row],['#Water points coverage]]&lt;0,0,WWWW[[#This Row],[Total required water points]]-WWWW[[#This Row],['#Water points coverage]])</f>
        <v>2.4000000000000021E-2</v>
      </c>
      <c r="BF313" s="238">
        <f>ROUND(IF(WWWW[[#This Row],[Total PoP ]]&lt;500,1,WWWW[[#This Row],[Total PoP ]]/500),0)</f>
        <v>1</v>
      </c>
      <c r="BG313" s="238" t="str">
        <f>IF(AND(WWWW[[#This Row],[%of Water samples which passed at water source]]="no test",WWWW[[#This Row],[%Water samples which passed at HH]]="no test"),"No Test","Tested")</f>
        <v>No Test</v>
      </c>
      <c r="BH313" s="238">
        <f>WWWW[[#This Row],['# Existing functional latrines]]+WWWW[[#This Row],['# Existing latrines dysfunctional]]</f>
        <v>146</v>
      </c>
      <c r="BI313" s="235">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1</v>
      </c>
      <c r="BJ313" s="675">
        <f>WWWW[[#This Row],[% people access to functioning Latrine]]*WWWW[[#This Row],[Total PoP ]]</f>
        <v>488</v>
      </c>
      <c r="BK313" s="235">
        <f>IF(WWWW[[#This Row],[Location Type 1]]="camp",WWWW[[#This Row],['# potential required new latrines]]/(WWWW[[#This Row],[Total PoP ]]/20),WWWW[[#This Row],['# potential required new latrines]]/(WWWW[[#This Row],[Total PoP ]]/6))</f>
        <v>0</v>
      </c>
      <c r="BL313" s="414">
        <f>IF(WWWW[[#This Row],[Total required Latrines]]-WWWW[[#This Row],[Total '# of latrine]]&lt;0,0,WWWW[[#This Row],[Total required Latrines]]-WWWW[[#This Row],[Total '# of latrine]])</f>
        <v>0</v>
      </c>
      <c r="BM313" s="238">
        <f>ROUND(IF(WWWW[[#This Row],[Location Type 1]]="camp",WWWW[[#This Row],[Total PoP ]]/20,WWWW[[#This Row],[Total PoP ]]/6),0)</f>
        <v>81</v>
      </c>
      <c r="BN313" s="239">
        <f>IF(OR(WWWW[[#This Row],['# Existing latrines dysfunctional]]="",WWWW[[#This Row],['# Existing latrines dysfunctional]]=0),0,WWWW[[#This Row],['# Existing latrines dysfunctional]]/WWWW[[#This Row],[Total '# of latrine]])</f>
        <v>0</v>
      </c>
      <c r="BO313" s="675"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P313" s="235">
        <f>WWWW[[#This Row],[People adopt basic personal and community hygiene practices]]/WWWW[[#This Row],[Total PoP ]]</f>
        <v>0</v>
      </c>
      <c r="BQ313" s="239">
        <f>1-WWWW[[#This Row],[Hygiene Coverage%]]</f>
        <v>1</v>
      </c>
      <c r="BR313" s="405">
        <f>IF(500*WWWW[[#This Row],['# Hygiene Promoters ]]&gt;WWWW[[#This Row],[Total PoP ]],WWWW[[#This Row],[Total PoP ]],500*WWWW[[#This Row],['# Hygiene Promoters ]])</f>
        <v>0</v>
      </c>
      <c r="BS313" s="405">
        <f>IF(WWWW[[#This Row],[% of HH with access to Sanitary Pad]]&gt;=100%,1,0)</f>
        <v>0</v>
      </c>
      <c r="BT313" s="405">
        <f>IF(WWWW[[#This Row],[Total PoP ]]=0,0,IF(WWWW[[#This Row],['# Hygiene Promoters ]]=0,0,IF(WWWW[[#This Row],[Location Type 1]]="Village",IF(WWWW[[#This Row],[Total PoP ]]/WWWW[[#This Row],['# Hygiene Promoters ]]&lt;1000,1,0),IF(WWWW[[#This Row],[Total PoP ]]/WWWW[[#This Row],['# Hygiene Promoters ]]&lt;600,1,0))))</f>
        <v>0</v>
      </c>
      <c r="BU313" s="405">
        <f>IF(WWWW[[#This Row],[%HH with access to soap]]&gt;=100%,1,0)</f>
        <v>0</v>
      </c>
      <c r="BV313" s="405">
        <f>IF(WWWW[[#This Row],[% of HHs with access to Sanitary pad more than '#%]]+WWWW[[#This Row],[Ratio of Hyiene promoters to people less than '#]]+WWWW[[#This Row],[% of HHs with access to soap more than '#%]]&gt;=2,WWWW[[#This Row],[Total PoP ]],0)</f>
        <v>0</v>
      </c>
      <c r="BW313" s="346">
        <f>WWWW[[#This Row],['# people reached by regular dedicated hygiene promotion_5]]/WWWW[[#This Row],[Total PoP ]]</f>
        <v>0</v>
      </c>
      <c r="BX313" s="346">
        <f>IF(WWWW[[#This Row],['# HH received soaps]]/WWWW[[#This Row],[Total HH]]&gt;1,1,WWWW[[#This Row],['# HH received soaps]]/WWWW[[#This Row],[Total HH]])</f>
        <v>0</v>
      </c>
      <c r="BY313" s="346">
        <f>IF(WWWW[[#This Row],['# HH received Sanitary Pads]]/WWWW[[#This Row],[Total HH]]&gt;1,1,WWWW[[#This Row],['# HH received Sanitary Pads]]/WWWW[[#This Row],[Total HH]])</f>
        <v>0</v>
      </c>
      <c r="BZ313" s="720">
        <f>WWWW[[#This Row],['# HH received soaps]]*5</f>
        <v>0</v>
      </c>
      <c r="CA313" s="720">
        <f>WWWW[[#This Row],['# HH received Sanitary Pads]]*5</f>
        <v>0</v>
      </c>
      <c r="CB313" s="675">
        <f>IF(WWWW[[#This Row],['# People with access to soap]]&gt;WWWW[[#This Row],['# People with access to Sanity Pads]],WWWW[[#This Row],['# People with access to soap]],WWWW[[#This Row],['# People with access to Sanity Pads]])</f>
        <v>0</v>
      </c>
      <c r="CC313" s="414">
        <f>WWWW[[#This Row],[Total HH]]*WWWW[[#This Row],[%HHs with access to functional hand washing stations]]</f>
        <v>0</v>
      </c>
      <c r="CD313" s="240">
        <f>VLOOKUP(WWWW[[#This Row],[Site Name]],SiteDB6[],8,FALSE)</f>
        <v>0</v>
      </c>
      <c r="CE313" s="240">
        <f>VLOOKUP(WWWW[[#This Row],[Site Name]],SiteDB6[],9,FALSE)</f>
        <v>0</v>
      </c>
      <c r="CF313" s="240" t="str">
        <f>VLOOKUP(WWWW[[#This Row],[Site Name]],SiteDB6[],10,FALSE)</f>
        <v>Village</v>
      </c>
      <c r="CG313" s="240" t="str">
        <f>VLOOKUP(WWWW[[#This Row],[Site Name]],SiteDB6[],11,FALSE)</f>
        <v>Village</v>
      </c>
      <c r="CH313" s="240" t="str">
        <f>VLOOKUP(WWWW[[#This Row],[Site Name]],SiteDB6[],12,FALSE)</f>
        <v>Village</v>
      </c>
      <c r="CI313" s="240" t="str">
        <f>VLOOKUP(WWWW[[#This Row],[Site Name]],SiteDB6[],13,FALSE)</f>
        <v>Rakhine</v>
      </c>
      <c r="CJ313" s="240">
        <f>VLOOKUP(WWWW[[#This Row],[Site Name]],SiteDB6[],14,FALSE)</f>
        <v>20.245159149169901</v>
      </c>
      <c r="CK313" s="240">
        <f>VLOOKUP(WWWW[[#This Row],[Site Name]],SiteDB6[],15,FALSE)</f>
        <v>92.807418823242202</v>
      </c>
      <c r="CL313" s="240" t="str">
        <f>VLOOKUP(WWWW[[#This Row],[Site Name]],SiteDB6[],4,FALSE)</f>
        <v>196137</v>
      </c>
      <c r="CM313" s="235" t="str">
        <f t="shared" si="4"/>
        <v>Notcovered</v>
      </c>
      <c r="CN313" s="240"/>
    </row>
    <row r="314" spans="1:92" ht="15.75" customHeight="1" x14ac:dyDescent="0.25">
      <c r="A314" s="548" t="s">
        <v>1409</v>
      </c>
      <c r="B314" s="533" t="s">
        <v>539</v>
      </c>
      <c r="C314" s="533" t="s">
        <v>464</v>
      </c>
      <c r="D314" s="533" t="s">
        <v>465</v>
      </c>
      <c r="E314" s="533" t="s">
        <v>608</v>
      </c>
      <c r="F314" s="233">
        <v>656</v>
      </c>
      <c r="G314" s="405">
        <v>3486</v>
      </c>
      <c r="H314" s="233">
        <v>0</v>
      </c>
      <c r="I314" s="233" t="s">
        <v>47</v>
      </c>
      <c r="J314" s="234">
        <v>44104</v>
      </c>
      <c r="K314" s="233">
        <v>0</v>
      </c>
      <c r="L314" s="233" t="s">
        <v>292</v>
      </c>
      <c r="M314" s="235">
        <v>0</v>
      </c>
      <c r="N314" s="235">
        <v>0</v>
      </c>
      <c r="O314" s="609">
        <v>0</v>
      </c>
      <c r="P314" s="615">
        <v>37</v>
      </c>
      <c r="Q314" s="615"/>
      <c r="R314" s="604">
        <v>0</v>
      </c>
      <c r="S314" s="604">
        <v>46</v>
      </c>
      <c r="T314" s="604">
        <v>35</v>
      </c>
      <c r="U314" s="604">
        <v>24</v>
      </c>
      <c r="V314" s="604">
        <v>84</v>
      </c>
      <c r="W314" s="604">
        <v>51</v>
      </c>
      <c r="X314" s="604">
        <v>8</v>
      </c>
      <c r="Y314" s="604"/>
      <c r="Z314" s="628">
        <v>109</v>
      </c>
      <c r="AA314" s="628">
        <v>126</v>
      </c>
      <c r="AB314" s="629">
        <v>0</v>
      </c>
      <c r="AC314" s="628">
        <v>235</v>
      </c>
      <c r="AD314" s="628" t="s">
        <v>293</v>
      </c>
      <c r="AE314" s="631" t="s">
        <v>1379</v>
      </c>
      <c r="AF314" s="631">
        <v>0</v>
      </c>
      <c r="AG314" s="628">
        <v>2</v>
      </c>
      <c r="AH314" s="628"/>
      <c r="AI314" s="659">
        <v>1</v>
      </c>
      <c r="AJ314" s="644" t="s">
        <v>294</v>
      </c>
      <c r="AK314" s="644">
        <v>656</v>
      </c>
      <c r="AL314" s="645">
        <v>0</v>
      </c>
      <c r="AM314" s="645">
        <v>5</v>
      </c>
      <c r="AN314" s="647">
        <v>656</v>
      </c>
      <c r="AO314" s="647">
        <v>656</v>
      </c>
      <c r="AP314" s="647" t="s">
        <v>292</v>
      </c>
      <c r="AQ314" s="658"/>
      <c r="AR314" s="235">
        <f>IFERROR(WWWW[[#This Row],['# of Water passed at source]]/WWWW[[#This Row],['# of Water tested at source]],"no test")</f>
        <v>0.68571428571428572</v>
      </c>
      <c r="AS314" s="237">
        <f>IFERROR(WWWW[[#This Row],['# of Water passed at HH]]/WWWW[[#This Row],['# of Water tested at HH]],"no test")</f>
        <v>0.6071428571428571</v>
      </c>
      <c r="AT314" s="237">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U314" s="237">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AV314" s="237">
        <f>IF(WWWW[[#This Row],[Location Type 1]]="Village",WWWW[[#This Row],[Access to safe drinking water for Village]],WWWW[[#This Row],[Access to safe drinking water for Camp]])</f>
        <v>1</v>
      </c>
      <c r="AW314" s="414">
        <f>WWWW[[#This Row],[%Equitable and continuous access to sufficient quantity of safe drinking water]]*WWWW[[#This Row],[Total PoP ]]</f>
        <v>3486</v>
      </c>
      <c r="AX314" s="237">
        <f>IF((WWWW[[#This Row],['# Existing protected/fenced ponds ]]*250)/WWWW[[#This Row],[Total PoP ]]&gt;1,1,WWWW[[#This Row],['# Existing protected/fenced ponds ]]*250/WWWW[[#This Row],[Total PoP ]])</f>
        <v>0</v>
      </c>
      <c r="AY314" s="414">
        <f>WWWW[[#This Row],[Access to unimproved water points]]*WWWW[[#This Row],[Total PoP ]]</f>
        <v>0</v>
      </c>
      <c r="AZ314" s="237">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A314" s="414">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3486</v>
      </c>
      <c r="BB314" s="414">
        <f>WWWW[[#This Row],['#people Equitable and continuous access to sufficient quantity of domestic water borehole n ponds_2]]/500</f>
        <v>6.9720000000000004</v>
      </c>
      <c r="BC314" s="235">
        <f>1-WWWW[[#This Row],[%Equitable and continuous access to sufficient quantity of domestic water borehole n ponds]]</f>
        <v>0</v>
      </c>
      <c r="BD314" s="414">
        <f>WWWW[[#This Row],[%equitable and continuous access to sufficient quantity of safe drinking and domestic water''s GAP]]*WWWW[[#This Row],[Total PoP ]]</f>
        <v>0</v>
      </c>
      <c r="BE314" s="238">
        <f>IF(WWWW[[#This Row],[Total required water points]]-WWWW[[#This Row],['#Water points coverage]]&lt;0,0,WWWW[[#This Row],[Total required water points]]-WWWW[[#This Row],['#Water points coverage]])</f>
        <v>2.7999999999999581E-2</v>
      </c>
      <c r="BF314" s="238">
        <f>ROUND(IF(WWWW[[#This Row],[Total PoP ]]&lt;500,1,WWWW[[#This Row],[Total PoP ]]/500),0)</f>
        <v>7</v>
      </c>
      <c r="BG314" s="238" t="str">
        <f>IF(AND(WWWW[[#This Row],[%of Water samples which passed at water source]]="no test",WWWW[[#This Row],[%Water samples which passed at HH]]="no test"),"No Test","Tested")</f>
        <v>Tested</v>
      </c>
      <c r="BH314" s="238">
        <f>WWWW[[#This Row],['# Existing functional latrines]]+WWWW[[#This Row],['# Existing latrines dysfunctional]]</f>
        <v>235</v>
      </c>
      <c r="BI314" s="235">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0.62535857716580612</v>
      </c>
      <c r="BJ314" s="675">
        <f>WWWW[[#This Row],[% people access to functioning Latrine]]*WWWW[[#This Row],[Total PoP ]]</f>
        <v>2180</v>
      </c>
      <c r="BK314" s="235">
        <f>IF(WWWW[[#This Row],[Location Type 1]]="camp",WWWW[[#This Row],['# potential required new latrines]]/(WWWW[[#This Row],[Total PoP ]]/20),WWWW[[#This Row],['# potential required new latrines]]/(WWWW[[#This Row],[Total PoP ]]/6))</f>
        <v>0</v>
      </c>
      <c r="BL314" s="414">
        <f>IF(WWWW[[#This Row],[Total required Latrines]]-WWWW[[#This Row],[Total '# of latrine]]&lt;0,0,WWWW[[#This Row],[Total required Latrines]]-WWWW[[#This Row],[Total '# of latrine]])</f>
        <v>0</v>
      </c>
      <c r="BM314" s="238">
        <f>ROUND(IF(WWWW[[#This Row],[Location Type 1]]="camp",WWWW[[#This Row],[Total PoP ]]/20,WWWW[[#This Row],[Total PoP ]]/6),0)</f>
        <v>174</v>
      </c>
      <c r="BN314" s="239">
        <f>IF(OR(WWWW[[#This Row],['# Existing latrines dysfunctional]]="",WWWW[[#This Row],['# Existing latrines dysfunctional]]=0),0,WWWW[[#This Row],['# Existing latrines dysfunctional]]/WWWW[[#This Row],[Total '# of latrine]])</f>
        <v>0.53617021276595744</v>
      </c>
      <c r="BO314" s="675">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P314" s="235">
        <f>WWWW[[#This Row],[People adopt basic personal and community hygiene practices]]/WWWW[[#This Row],[Total PoP ]]</f>
        <v>1</v>
      </c>
      <c r="BQ314" s="239">
        <f>1-WWWW[[#This Row],[Hygiene Coverage%]]</f>
        <v>0</v>
      </c>
      <c r="BR314" s="414">
        <f>IF(500*WWWW[[#This Row],['# Hygiene Promoters ]]&gt;WWWW[[#This Row],[Total PoP ]],WWWW[[#This Row],[Total PoP ]],500*WWWW[[#This Row],['# Hygiene Promoters ]])</f>
        <v>2500</v>
      </c>
      <c r="BS314" s="414">
        <f>IF(WWWW[[#This Row],[% of HH with access to Sanitary Pad]]&gt;=100%,1,0)</f>
        <v>1</v>
      </c>
      <c r="BT314" s="414">
        <f>IF(WWWW[[#This Row],[Total PoP ]]=0,0,IF(WWWW[[#This Row],['# Hygiene Promoters ]]=0,0,IF(WWWW[[#This Row],[Location Type 1]]="Village",IF(WWWW[[#This Row],[Total PoP ]]/WWWW[[#This Row],['# Hygiene Promoters ]]&lt;1000,1,0),IF(WWWW[[#This Row],[Total PoP ]]/WWWW[[#This Row],['# Hygiene Promoters ]]&lt;600,1,0))))</f>
        <v>0</v>
      </c>
      <c r="BU314" s="414">
        <f>IF(WWWW[[#This Row],[%HH with access to soap]]&gt;=100%,1,0)</f>
        <v>1</v>
      </c>
      <c r="BV314" s="414">
        <f>IF(WWWW[[#This Row],[% of HHs with access to Sanitary pad more than '#%]]+WWWW[[#This Row],[Ratio of Hyiene promoters to people less than '#]]+WWWW[[#This Row],[% of HHs with access to soap more than '#%]]&gt;=2,WWWW[[#This Row],[Total PoP ]],0)</f>
        <v>3486</v>
      </c>
      <c r="BW314" s="346">
        <f>WWWW[[#This Row],['# people reached by regular dedicated hygiene promotion_5]]/WWWW[[#This Row],[Total PoP ]]</f>
        <v>0.71715433161216291</v>
      </c>
      <c r="BX314" s="346">
        <f>IF(WWWW[[#This Row],['# HH received soaps]]/WWWW[[#This Row],[Total HH]]&gt;1,1,WWWW[[#This Row],['# HH received soaps]]/WWWW[[#This Row],[Total HH]])</f>
        <v>1</v>
      </c>
      <c r="BY314" s="346">
        <f>IF(WWWW[[#This Row],['# HH received Sanitary Pads]]/WWWW[[#This Row],[Total HH]]&gt;1,1,WWWW[[#This Row],['# HH received Sanitary Pads]]/WWWW[[#This Row],[Total HH]])</f>
        <v>1</v>
      </c>
      <c r="BZ314" s="720">
        <f>WWWW[[#This Row],['# HH received soaps]]*5</f>
        <v>3280</v>
      </c>
      <c r="CA314" s="720">
        <f>WWWW[[#This Row],['# HH received Sanitary Pads]]*5</f>
        <v>3280</v>
      </c>
      <c r="CB314" s="238">
        <f>IF(WWWW[[#This Row],['# People with access to soap]]&gt;WWWW[[#This Row],['# People with access to Sanity Pads]],WWWW[[#This Row],['# People with access to soap]],WWWW[[#This Row],['# People with access to Sanity Pads]])</f>
        <v>3280</v>
      </c>
      <c r="CC314" s="414">
        <f>WWWW[[#This Row],[Total HH]]*WWWW[[#This Row],[%HHs with access to functional hand washing stations]]</f>
        <v>656</v>
      </c>
      <c r="CD314" s="240" t="str">
        <f>VLOOKUP(WWWW[[#This Row],[Site Name]],SiteDB6[],8,FALSE)</f>
        <v>Yes</v>
      </c>
      <c r="CE314" s="240" t="str">
        <f>VLOOKUP(WWWW[[#This Row],[Site Name]],SiteDB6[],9,FALSE)</f>
        <v>NRC</v>
      </c>
      <c r="CF314" s="240" t="str">
        <f>VLOOKUP(WWWW[[#This Row],[Site Name]],SiteDB6[],10,FALSE)</f>
        <v>Camp</v>
      </c>
      <c r="CG314" s="240" t="str">
        <f>VLOOKUP(WWWW[[#This Row],[Site Name]],SiteDB6[],11,FALSE)</f>
        <v>Camp</v>
      </c>
      <c r="CH314" s="240" t="str">
        <f>VLOOKUP(WWWW[[#This Row],[Site Name]],SiteDB6[],12,FALSE)</f>
        <v>Planned Camp</v>
      </c>
      <c r="CI314" s="240" t="str">
        <f>VLOOKUP(WWWW[[#This Row],[Site Name]],SiteDB6[],13,FALSE)</f>
        <v>Muslim</v>
      </c>
      <c r="CJ314" s="240">
        <f>VLOOKUP(WWWW[[#This Row],[Site Name]],SiteDB6[],14,FALSE)</f>
        <v>20.185917</v>
      </c>
      <c r="CK314" s="240">
        <f>VLOOKUP(WWWW[[#This Row],[Site Name]],SiteDB6[],15,FALSE)</f>
        <v>92.831000000000003</v>
      </c>
      <c r="CL314" s="240" t="str">
        <f>VLOOKUP(WWWW[[#This Row],[Site Name]],SiteDB6[],4,FALSE)</f>
        <v>MMR012CMP092</v>
      </c>
      <c r="CM314" s="235" t="str">
        <f t="shared" si="4"/>
        <v>Covered</v>
      </c>
      <c r="CN314" s="235"/>
    </row>
    <row r="315" spans="1:92" ht="15.75" hidden="1" customHeight="1" x14ac:dyDescent="0.25">
      <c r="A315" s="548" t="s">
        <v>1409</v>
      </c>
      <c r="B315" s="533" t="s">
        <v>539</v>
      </c>
      <c r="C315" s="533" t="s">
        <v>464</v>
      </c>
      <c r="D315" s="533" t="s">
        <v>465</v>
      </c>
      <c r="E315" s="533" t="s">
        <v>613</v>
      </c>
      <c r="F315" s="233">
        <v>200</v>
      </c>
      <c r="G315" s="405">
        <v>1065</v>
      </c>
      <c r="H315" s="233">
        <v>0</v>
      </c>
      <c r="I315" s="233" t="s">
        <v>47</v>
      </c>
      <c r="J315" s="234">
        <v>44104</v>
      </c>
      <c r="K315" s="233">
        <v>0</v>
      </c>
      <c r="L315" s="233" t="s">
        <v>292</v>
      </c>
      <c r="M315" s="235">
        <v>0</v>
      </c>
      <c r="N315" s="235">
        <v>0</v>
      </c>
      <c r="O315" s="609">
        <v>0</v>
      </c>
      <c r="P315" s="615">
        <v>0</v>
      </c>
      <c r="Q315" s="615">
        <v>0</v>
      </c>
      <c r="R315" s="604">
        <v>2</v>
      </c>
      <c r="S315" s="604">
        <v>0</v>
      </c>
      <c r="T315" s="604">
        <v>0</v>
      </c>
      <c r="U315" s="604">
        <v>0</v>
      </c>
      <c r="V315" s="604">
        <v>0</v>
      </c>
      <c r="W315" s="604">
        <v>0</v>
      </c>
      <c r="X315" s="604">
        <v>0</v>
      </c>
      <c r="Y315" s="604"/>
      <c r="Z315" s="628">
        <v>0</v>
      </c>
      <c r="AA315" s="628">
        <v>0</v>
      </c>
      <c r="AB315" s="629">
        <v>0</v>
      </c>
      <c r="AC315" s="628">
        <v>0</v>
      </c>
      <c r="AD315" s="628" t="s">
        <v>293</v>
      </c>
      <c r="AE315" s="631" t="s">
        <v>1379</v>
      </c>
      <c r="AF315" s="631">
        <v>0</v>
      </c>
      <c r="AG315" s="628">
        <v>0</v>
      </c>
      <c r="AH315" s="628"/>
      <c r="AI315" s="659">
        <v>0</v>
      </c>
      <c r="AJ315" s="644"/>
      <c r="AK315" s="644">
        <v>0</v>
      </c>
      <c r="AL315" s="645">
        <v>0</v>
      </c>
      <c r="AM315" s="645">
        <v>0</v>
      </c>
      <c r="AN315" s="647">
        <v>0</v>
      </c>
      <c r="AO315" s="647">
        <v>0</v>
      </c>
      <c r="AP315" s="647"/>
      <c r="AQ315" s="658"/>
      <c r="AR315" s="235" t="str">
        <f>IFERROR(WWWW[[#This Row],['# of Water passed at source]]/WWWW[[#This Row],['# of Water tested at source]],"no test")</f>
        <v>no test</v>
      </c>
      <c r="AS315" s="237" t="str">
        <f>IFERROR(WWWW[[#This Row],['# of Water passed at HH]]/WWWW[[#This Row],['# of Water tested at HH]],"no test")</f>
        <v>no test</v>
      </c>
      <c r="AT315" s="237">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U315" s="237">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AV315" s="237">
        <f>IF(WWWW[[#This Row],[Location Type 1]]="Village",WWWW[[#This Row],[Access to safe drinking water for Village]],WWWW[[#This Row],[Access to safe drinking water for Camp]])</f>
        <v>0</v>
      </c>
      <c r="AW315" s="414">
        <f>WWWW[[#This Row],[%Equitable and continuous access to sufficient quantity of safe drinking water]]*WWWW[[#This Row],[Total PoP ]]</f>
        <v>0</v>
      </c>
      <c r="AX315" s="237">
        <f>IF((WWWW[[#This Row],['# Existing protected/fenced ponds ]]*250)/WWWW[[#This Row],[Total PoP ]]&gt;1,1,WWWW[[#This Row],['# Existing protected/fenced ponds ]]*250/WWWW[[#This Row],[Total PoP ]])</f>
        <v>0.46948356807511737</v>
      </c>
      <c r="AY315" s="414">
        <f>WWWW[[#This Row],[Access to unimproved water points]]*WWWW[[#This Row],[Total PoP ]]</f>
        <v>500</v>
      </c>
      <c r="AZ315" s="237">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0.46948356807511737</v>
      </c>
      <c r="BA315" s="414">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500</v>
      </c>
      <c r="BB315" s="414">
        <f>WWWW[[#This Row],['#people Equitable and continuous access to sufficient quantity of domestic water borehole n ponds_2]]/500</f>
        <v>1</v>
      </c>
      <c r="BC315" s="235">
        <f>1-WWWW[[#This Row],[%Equitable and continuous access to sufficient quantity of domestic water borehole n ponds]]</f>
        <v>0.53051643192488263</v>
      </c>
      <c r="BD315" s="414">
        <f>WWWW[[#This Row],[%equitable and continuous access to sufficient quantity of safe drinking and domestic water''s GAP]]*WWWW[[#This Row],[Total PoP ]]</f>
        <v>565</v>
      </c>
      <c r="BE315" s="238">
        <f>IF(WWWW[[#This Row],[Total required water points]]-WWWW[[#This Row],['#Water points coverage]]&lt;0,0,WWWW[[#This Row],[Total required water points]]-WWWW[[#This Row],['#Water points coverage]])</f>
        <v>1</v>
      </c>
      <c r="BF315" s="238">
        <f>ROUND(IF(WWWW[[#This Row],[Total PoP ]]&lt;500,1,WWWW[[#This Row],[Total PoP ]]/500),0)</f>
        <v>2</v>
      </c>
      <c r="BG315" s="238" t="str">
        <f>IF(AND(WWWW[[#This Row],[%of Water samples which passed at water source]]="no test",WWWW[[#This Row],[%Water samples which passed at HH]]="no test"),"No Test","Tested")</f>
        <v>No Test</v>
      </c>
      <c r="BH315" s="238">
        <f>WWWW[[#This Row],['# Existing functional latrines]]+WWWW[[#This Row],['# Existing latrines dysfunctional]]</f>
        <v>0</v>
      </c>
      <c r="BI315" s="235">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J315" s="675">
        <f>WWWW[[#This Row],[% people access to functioning Latrine]]*WWWW[[#This Row],[Total PoP ]]</f>
        <v>0</v>
      </c>
      <c r="BK315" s="235">
        <f>IF(WWWW[[#This Row],[Location Type 1]]="camp",WWWW[[#This Row],['# potential required new latrines]]/(WWWW[[#This Row],[Total PoP ]]/20),WWWW[[#This Row],['# potential required new latrines]]/(WWWW[[#This Row],[Total PoP ]]/6))</f>
        <v>1.0028169014084507</v>
      </c>
      <c r="BL315" s="414">
        <f>IF(WWWW[[#This Row],[Total required Latrines]]-WWWW[[#This Row],[Total '# of latrine]]&lt;0,0,WWWW[[#This Row],[Total required Latrines]]-WWWW[[#This Row],[Total '# of latrine]])</f>
        <v>178</v>
      </c>
      <c r="BM315" s="238">
        <f>ROUND(IF(WWWW[[#This Row],[Location Type 1]]="camp",WWWW[[#This Row],[Total PoP ]]/20,WWWW[[#This Row],[Total PoP ]]/6),0)</f>
        <v>178</v>
      </c>
      <c r="BN315" s="239">
        <f>IF(OR(WWWW[[#This Row],['# Existing latrines dysfunctional]]="",WWWW[[#This Row],['# Existing latrines dysfunctional]]=0),0,WWWW[[#This Row],['# Existing latrines dysfunctional]]/WWWW[[#This Row],[Total '# of latrine]])</f>
        <v>0</v>
      </c>
      <c r="BO315" s="675"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P315" s="235">
        <f>WWWW[[#This Row],[People adopt basic personal and community hygiene practices]]/WWWW[[#This Row],[Total PoP ]]</f>
        <v>0</v>
      </c>
      <c r="BQ315" s="239">
        <f>1-WWWW[[#This Row],[Hygiene Coverage%]]</f>
        <v>1</v>
      </c>
      <c r="BR315" s="414">
        <f>IF(500*WWWW[[#This Row],['# Hygiene Promoters ]]&gt;WWWW[[#This Row],[Total PoP ]],WWWW[[#This Row],[Total PoP ]],500*WWWW[[#This Row],['# Hygiene Promoters ]])</f>
        <v>0</v>
      </c>
      <c r="BS315" s="414">
        <f>IF(WWWW[[#This Row],[% of HH with access to Sanitary Pad]]&gt;=100%,1,0)</f>
        <v>0</v>
      </c>
      <c r="BT315" s="414">
        <f>IF(WWWW[[#This Row],[Total PoP ]]=0,0,IF(WWWW[[#This Row],['# Hygiene Promoters ]]=0,0,IF(WWWW[[#This Row],[Location Type 1]]="Village",IF(WWWW[[#This Row],[Total PoP ]]/WWWW[[#This Row],['# Hygiene Promoters ]]&lt;1000,1,0),IF(WWWW[[#This Row],[Total PoP ]]/WWWW[[#This Row],['# Hygiene Promoters ]]&lt;600,1,0))))</f>
        <v>0</v>
      </c>
      <c r="BU315" s="414">
        <f>IF(WWWW[[#This Row],[%HH with access to soap]]&gt;=100%,1,0)</f>
        <v>0</v>
      </c>
      <c r="BV315" s="414">
        <f>IF(WWWW[[#This Row],[% of HHs with access to Sanitary pad more than '#%]]+WWWW[[#This Row],[Ratio of Hyiene promoters to people less than '#]]+WWWW[[#This Row],[% of HHs with access to soap more than '#%]]&gt;=2,WWWW[[#This Row],[Total PoP ]],0)</f>
        <v>0</v>
      </c>
      <c r="BW315" s="346">
        <f>WWWW[[#This Row],['# people reached by regular dedicated hygiene promotion_5]]/WWWW[[#This Row],[Total PoP ]]</f>
        <v>0</v>
      </c>
      <c r="BX315" s="346">
        <f>IF(WWWW[[#This Row],['# HH received soaps]]/WWWW[[#This Row],[Total HH]]&gt;1,1,WWWW[[#This Row],['# HH received soaps]]/WWWW[[#This Row],[Total HH]])</f>
        <v>0</v>
      </c>
      <c r="BY315" s="346">
        <f>IF(WWWW[[#This Row],['# HH received Sanitary Pads]]/WWWW[[#This Row],[Total HH]]&gt;1,1,WWWW[[#This Row],['# HH received Sanitary Pads]]/WWWW[[#This Row],[Total HH]])</f>
        <v>0</v>
      </c>
      <c r="BZ315" s="720">
        <f>WWWW[[#This Row],['# HH received soaps]]*5</f>
        <v>0</v>
      </c>
      <c r="CA315" s="720">
        <f>WWWW[[#This Row],['# HH received Sanitary Pads]]*5</f>
        <v>0</v>
      </c>
      <c r="CB315" s="238">
        <f>IF(WWWW[[#This Row],['# People with access to soap]]&gt;WWWW[[#This Row],['# People with access to Sanity Pads]],WWWW[[#This Row],['# People with access to soap]],WWWW[[#This Row],['# People with access to Sanity Pads]])</f>
        <v>0</v>
      </c>
      <c r="CC315" s="414">
        <f>WWWW[[#This Row],[Total HH]]*WWWW[[#This Row],[%HHs with access to functional hand washing stations]]</f>
        <v>0</v>
      </c>
      <c r="CD315" s="240">
        <f>VLOOKUP(WWWW[[#This Row],[Site Name]],SiteDB6[],8,FALSE)</f>
        <v>0</v>
      </c>
      <c r="CE315" s="240">
        <f>VLOOKUP(WWWW[[#This Row],[Site Name]],SiteDB6[],9,FALSE)</f>
        <v>0</v>
      </c>
      <c r="CF315" s="240" t="str">
        <f>VLOOKUP(WWWW[[#This Row],[Site Name]],SiteDB6[],10,FALSE)</f>
        <v>Village</v>
      </c>
      <c r="CG315" s="240" t="str">
        <f>VLOOKUP(WWWW[[#This Row],[Site Name]],SiteDB6[],11,FALSE)</f>
        <v>Village</v>
      </c>
      <c r="CH315" s="240" t="str">
        <f>VLOOKUP(WWWW[[#This Row],[Site Name]],SiteDB6[],12,FALSE)</f>
        <v>Village</v>
      </c>
      <c r="CI315" s="240" t="str">
        <f>VLOOKUP(WWWW[[#This Row],[Site Name]],SiteDB6[],13,FALSE)</f>
        <v>Muslim</v>
      </c>
      <c r="CJ315" s="240">
        <f>VLOOKUP(WWWW[[#This Row],[Site Name]],SiteDB6[],14,FALSE)</f>
        <v>20.1975498199463</v>
      </c>
      <c r="CK315" s="240">
        <f>VLOOKUP(WWWW[[#This Row],[Site Name]],SiteDB6[],15,FALSE)</f>
        <v>92.785682678222699</v>
      </c>
      <c r="CL315" s="240" t="str">
        <f>VLOOKUP(WWWW[[#This Row],[Site Name]],SiteDB6[],4,FALSE)</f>
        <v>196156</v>
      </c>
      <c r="CM315" s="235" t="str">
        <f t="shared" si="4"/>
        <v>Covered</v>
      </c>
      <c r="CN315" s="235"/>
    </row>
    <row r="316" spans="1:92" ht="15.75" customHeight="1" x14ac:dyDescent="0.25">
      <c r="A316" s="548" t="s">
        <v>1409</v>
      </c>
      <c r="B316" s="533" t="s">
        <v>539</v>
      </c>
      <c r="C316" s="533" t="s">
        <v>464</v>
      </c>
      <c r="D316" s="533" t="s">
        <v>465</v>
      </c>
      <c r="E316" s="533" t="s">
        <v>609</v>
      </c>
      <c r="F316" s="233">
        <v>2428</v>
      </c>
      <c r="G316" s="405">
        <v>13302</v>
      </c>
      <c r="H316" s="233"/>
      <c r="I316" s="233" t="s">
        <v>47</v>
      </c>
      <c r="J316" s="234">
        <v>44104</v>
      </c>
      <c r="K316" s="233">
        <v>0</v>
      </c>
      <c r="L316" s="233" t="s">
        <v>292</v>
      </c>
      <c r="M316" s="235">
        <v>0</v>
      </c>
      <c r="N316" s="235">
        <v>0</v>
      </c>
      <c r="O316" s="609">
        <v>0</v>
      </c>
      <c r="P316" s="615">
        <v>128</v>
      </c>
      <c r="Q316" s="615"/>
      <c r="R316" s="604">
        <v>0</v>
      </c>
      <c r="S316" s="604">
        <v>234</v>
      </c>
      <c r="T316" s="604">
        <v>201</v>
      </c>
      <c r="U316" s="604">
        <v>182</v>
      </c>
      <c r="V316" s="604">
        <v>142</v>
      </c>
      <c r="W316" s="604">
        <v>86</v>
      </c>
      <c r="X316" s="604">
        <v>9</v>
      </c>
      <c r="Y316" s="604"/>
      <c r="Z316" s="628">
        <v>577</v>
      </c>
      <c r="AA316" s="628">
        <v>211</v>
      </c>
      <c r="AB316" s="629">
        <v>0</v>
      </c>
      <c r="AC316" s="628">
        <v>788</v>
      </c>
      <c r="AD316" s="628" t="s">
        <v>293</v>
      </c>
      <c r="AE316" s="631" t="s">
        <v>1379</v>
      </c>
      <c r="AF316" s="631">
        <v>0</v>
      </c>
      <c r="AG316" s="628">
        <v>18</v>
      </c>
      <c r="AH316" s="628"/>
      <c r="AI316" s="659">
        <v>1</v>
      </c>
      <c r="AJ316" s="644" t="s">
        <v>294</v>
      </c>
      <c r="AK316" s="644">
        <v>2428</v>
      </c>
      <c r="AL316" s="645">
        <v>0</v>
      </c>
      <c r="AM316" s="645">
        <v>24</v>
      </c>
      <c r="AN316" s="647">
        <v>2428</v>
      </c>
      <c r="AO316" s="647">
        <v>2428</v>
      </c>
      <c r="AP316" s="647" t="s">
        <v>292</v>
      </c>
      <c r="AQ316" s="658"/>
      <c r="AR316" s="235">
        <f>IFERROR(WWWW[[#This Row],['# of Water passed at source]]/WWWW[[#This Row],['# of Water tested at source]],"no test")</f>
        <v>0.90547263681592038</v>
      </c>
      <c r="AS316" s="237">
        <f>IFERROR(WWWW[[#This Row],['# of Water passed at HH]]/WWWW[[#This Row],['# of Water tested at HH]],"no test")</f>
        <v>0.60563380281690138</v>
      </c>
      <c r="AT316" s="237">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U316" s="237">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AV316" s="237">
        <f>IF(WWWW[[#This Row],[Location Type 1]]="Village",WWWW[[#This Row],[Access to safe drinking water for Village]],WWWW[[#This Row],[Access to safe drinking water for Camp]])</f>
        <v>1</v>
      </c>
      <c r="AW316" s="414">
        <f>WWWW[[#This Row],[%Equitable and continuous access to sufficient quantity of safe drinking water]]*WWWW[[#This Row],[Total PoP ]]</f>
        <v>13302</v>
      </c>
      <c r="AX316" s="237">
        <f>IF((WWWW[[#This Row],['# Existing protected/fenced ponds ]]*250)/WWWW[[#This Row],[Total PoP ]]&gt;1,1,WWWW[[#This Row],['# Existing protected/fenced ponds ]]*250/WWWW[[#This Row],[Total PoP ]])</f>
        <v>0</v>
      </c>
      <c r="AY316" s="414">
        <f>WWWW[[#This Row],[Access to unimproved water points]]*WWWW[[#This Row],[Total PoP ]]</f>
        <v>0</v>
      </c>
      <c r="AZ316" s="237">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A316" s="414">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13302</v>
      </c>
      <c r="BB316" s="414">
        <f>WWWW[[#This Row],['#people Equitable and continuous access to sufficient quantity of domestic water borehole n ponds_2]]/500</f>
        <v>26.603999999999999</v>
      </c>
      <c r="BC316" s="235">
        <f>1-WWWW[[#This Row],[%Equitable and continuous access to sufficient quantity of domestic water borehole n ponds]]</f>
        <v>0</v>
      </c>
      <c r="BD316" s="414">
        <f>WWWW[[#This Row],[%equitable and continuous access to sufficient quantity of safe drinking and domestic water''s GAP]]*WWWW[[#This Row],[Total PoP ]]</f>
        <v>0</v>
      </c>
      <c r="BE316" s="238">
        <f>IF(WWWW[[#This Row],[Total required water points]]-WWWW[[#This Row],['#Water points coverage]]&lt;0,0,WWWW[[#This Row],[Total required water points]]-WWWW[[#This Row],['#Water points coverage]])</f>
        <v>0.3960000000000008</v>
      </c>
      <c r="BF316" s="238">
        <f>ROUND(IF(WWWW[[#This Row],[Total PoP ]]&lt;500,1,WWWW[[#This Row],[Total PoP ]]/500),0)</f>
        <v>27</v>
      </c>
      <c r="BG316" s="238" t="str">
        <f>IF(AND(WWWW[[#This Row],[%of Water samples which passed at water source]]="no test",WWWW[[#This Row],[%Water samples which passed at HH]]="no test"),"No Test","Tested")</f>
        <v>Tested</v>
      </c>
      <c r="BH316" s="238">
        <f>WWWW[[#This Row],['# Existing functional latrines]]+WWWW[[#This Row],['# Existing latrines dysfunctional]]</f>
        <v>788</v>
      </c>
      <c r="BI316" s="235">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0.86753871598255905</v>
      </c>
      <c r="BJ316" s="675">
        <f>WWWW[[#This Row],[% people access to functioning Latrine]]*WWWW[[#This Row],[Total PoP ]]</f>
        <v>11540</v>
      </c>
      <c r="BK316" s="235">
        <f>IF(WWWW[[#This Row],[Location Type 1]]="camp",WWWW[[#This Row],['# potential required new latrines]]/(WWWW[[#This Row],[Total PoP ]]/20),WWWW[[#This Row],['# potential required new latrines]]/(WWWW[[#This Row],[Total PoP ]]/6))</f>
        <v>0</v>
      </c>
      <c r="BL316" s="414">
        <f>IF(WWWW[[#This Row],[Total required Latrines]]-WWWW[[#This Row],[Total '# of latrine]]&lt;0,0,WWWW[[#This Row],[Total required Latrines]]-WWWW[[#This Row],[Total '# of latrine]])</f>
        <v>0</v>
      </c>
      <c r="BM316" s="238">
        <f>ROUND(IF(WWWW[[#This Row],[Location Type 1]]="camp",WWWW[[#This Row],[Total PoP ]]/20,WWWW[[#This Row],[Total PoP ]]/6),0)</f>
        <v>665</v>
      </c>
      <c r="BN316" s="239">
        <f>IF(OR(WWWW[[#This Row],['# Existing latrines dysfunctional]]="",WWWW[[#This Row],['# Existing latrines dysfunctional]]=0),0,WWWW[[#This Row],['# Existing latrines dysfunctional]]/WWWW[[#This Row],[Total '# of latrine]])</f>
        <v>0.26776649746192893</v>
      </c>
      <c r="BO316" s="675">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P316" s="235">
        <f>WWWW[[#This Row],[People adopt basic personal and community hygiene practices]]/WWWW[[#This Row],[Total PoP ]]</f>
        <v>1</v>
      </c>
      <c r="BQ316" s="239">
        <f>1-WWWW[[#This Row],[Hygiene Coverage%]]</f>
        <v>0</v>
      </c>
      <c r="BR316" s="414">
        <f>IF(500*WWWW[[#This Row],['# Hygiene Promoters ]]&gt;WWWW[[#This Row],[Total PoP ]],WWWW[[#This Row],[Total PoP ]],500*WWWW[[#This Row],['# Hygiene Promoters ]])</f>
        <v>12000</v>
      </c>
      <c r="BS316" s="414">
        <f>IF(WWWW[[#This Row],[% of HH with access to Sanitary Pad]]&gt;=100%,1,0)</f>
        <v>1</v>
      </c>
      <c r="BT316" s="414">
        <f>IF(WWWW[[#This Row],[Total PoP ]]=0,0,IF(WWWW[[#This Row],['# Hygiene Promoters ]]=0,0,IF(WWWW[[#This Row],[Location Type 1]]="Village",IF(WWWW[[#This Row],[Total PoP ]]/WWWW[[#This Row],['# Hygiene Promoters ]]&lt;1000,1,0),IF(WWWW[[#This Row],[Total PoP ]]/WWWW[[#This Row],['# Hygiene Promoters ]]&lt;600,1,0))))</f>
        <v>1</v>
      </c>
      <c r="BU316" s="414">
        <f>IF(WWWW[[#This Row],[%HH with access to soap]]&gt;=100%,1,0)</f>
        <v>1</v>
      </c>
      <c r="BV316" s="414">
        <f>IF(WWWW[[#This Row],[% of HHs with access to Sanitary pad more than '#%]]+WWWW[[#This Row],[Ratio of Hyiene promoters to people less than '#]]+WWWW[[#This Row],[% of HHs with access to soap more than '#%]]&gt;=2,WWWW[[#This Row],[Total PoP ]],0)</f>
        <v>13302</v>
      </c>
      <c r="BW316" s="346">
        <f>WWWW[[#This Row],['# people reached by regular dedicated hygiene promotion_5]]/WWWW[[#This Row],[Total PoP ]]</f>
        <v>0.90211998195760035</v>
      </c>
      <c r="BX316" s="346">
        <f>IF(WWWW[[#This Row],['# HH received soaps]]/WWWW[[#This Row],[Total HH]]&gt;1,1,WWWW[[#This Row],['# HH received soaps]]/WWWW[[#This Row],[Total HH]])</f>
        <v>1</v>
      </c>
      <c r="BY316" s="346">
        <f>IF(WWWW[[#This Row],['# HH received Sanitary Pads]]/WWWW[[#This Row],[Total HH]]&gt;1,1,WWWW[[#This Row],['# HH received Sanitary Pads]]/WWWW[[#This Row],[Total HH]])</f>
        <v>1</v>
      </c>
      <c r="BZ316" s="720">
        <f>WWWW[[#This Row],['# HH received soaps]]*5</f>
        <v>12140</v>
      </c>
      <c r="CA316" s="720">
        <f>WWWW[[#This Row],['# HH received Sanitary Pads]]*5</f>
        <v>12140</v>
      </c>
      <c r="CB316" s="238">
        <f>IF(WWWW[[#This Row],['# People with access to soap]]&gt;WWWW[[#This Row],['# People with access to Sanity Pads]],WWWW[[#This Row],['# People with access to soap]],WWWW[[#This Row],['# People with access to Sanity Pads]])</f>
        <v>12140</v>
      </c>
      <c r="CC316" s="414">
        <f>WWWW[[#This Row],[Total HH]]*WWWW[[#This Row],[%HHs with access to functional hand washing stations]]</f>
        <v>2428</v>
      </c>
      <c r="CD316" s="240" t="str">
        <f>VLOOKUP(WWWW[[#This Row],[Site Name]],SiteDB6[],8,FALSE)</f>
        <v>Yes</v>
      </c>
      <c r="CE316" s="240" t="str">
        <f>VLOOKUP(WWWW[[#This Row],[Site Name]],SiteDB6[],9,FALSE)</f>
        <v>DRC</v>
      </c>
      <c r="CF316" s="240" t="str">
        <f>VLOOKUP(WWWW[[#This Row],[Site Name]],SiteDB6[],10,FALSE)</f>
        <v>Camp</v>
      </c>
      <c r="CG316" s="240" t="str">
        <f>VLOOKUP(WWWW[[#This Row],[Site Name]],SiteDB6[],11,FALSE)</f>
        <v>Camp</v>
      </c>
      <c r="CH316" s="240" t="str">
        <f>VLOOKUP(WWWW[[#This Row],[Site Name]],SiteDB6[],12,FALSE)</f>
        <v>Planned Camp</v>
      </c>
      <c r="CI316" s="240" t="str">
        <f>VLOOKUP(WWWW[[#This Row],[Site Name]],SiteDB6[],13,FALSE)</f>
        <v>Muslim</v>
      </c>
      <c r="CJ316" s="240">
        <f>VLOOKUP(WWWW[[#This Row],[Site Name]],SiteDB6[],14,FALSE)</f>
        <v>20.18994</v>
      </c>
      <c r="CK316" s="240">
        <f>VLOOKUP(WWWW[[#This Row],[Site Name]],SiteDB6[],15,FALSE)</f>
        <v>92.798880999999994</v>
      </c>
      <c r="CL316" s="240" t="str">
        <f>VLOOKUP(WWWW[[#This Row],[Site Name]],SiteDB6[],4,FALSE)</f>
        <v>MMR012CMP115</v>
      </c>
      <c r="CM316" s="235" t="str">
        <f t="shared" si="4"/>
        <v>Covered</v>
      </c>
      <c r="CN316" s="235"/>
    </row>
    <row r="317" spans="1:92" ht="15.75" hidden="1" customHeight="1" x14ac:dyDescent="0.25">
      <c r="A317" s="548" t="s">
        <v>1409</v>
      </c>
      <c r="B317" s="533" t="s">
        <v>539</v>
      </c>
      <c r="C317" s="533" t="s">
        <v>464</v>
      </c>
      <c r="D317" s="533" t="s">
        <v>465</v>
      </c>
      <c r="E317" s="533" t="s">
        <v>593</v>
      </c>
      <c r="F317" s="233">
        <v>420</v>
      </c>
      <c r="G317" s="405">
        <v>1984</v>
      </c>
      <c r="H317" s="233">
        <v>0</v>
      </c>
      <c r="I317" s="233" t="s">
        <v>47</v>
      </c>
      <c r="J317" s="234">
        <v>44104</v>
      </c>
      <c r="K317" s="233">
        <v>0</v>
      </c>
      <c r="L317" s="233" t="s">
        <v>292</v>
      </c>
      <c r="M317" s="235">
        <v>0</v>
      </c>
      <c r="N317" s="235">
        <v>0</v>
      </c>
      <c r="O317" s="609">
        <v>0</v>
      </c>
      <c r="P317" s="615">
        <v>0</v>
      </c>
      <c r="Q317" s="615">
        <v>0</v>
      </c>
      <c r="R317" s="604">
        <v>1</v>
      </c>
      <c r="S317" s="604">
        <v>0</v>
      </c>
      <c r="T317" s="604">
        <v>0</v>
      </c>
      <c r="U317" s="604">
        <v>0</v>
      </c>
      <c r="V317" s="604">
        <v>0</v>
      </c>
      <c r="W317" s="604">
        <v>0</v>
      </c>
      <c r="X317" s="604">
        <v>0</v>
      </c>
      <c r="Y317" s="604"/>
      <c r="Z317" s="628">
        <v>420</v>
      </c>
      <c r="AA317" s="628">
        <v>0</v>
      </c>
      <c r="AB317" s="629">
        <v>0</v>
      </c>
      <c r="AC317" s="628">
        <v>420</v>
      </c>
      <c r="AD317" s="628" t="s">
        <v>293</v>
      </c>
      <c r="AE317" s="631" t="s">
        <v>1379</v>
      </c>
      <c r="AF317" s="631">
        <v>0</v>
      </c>
      <c r="AG317" s="628">
        <v>0</v>
      </c>
      <c r="AH317" s="628"/>
      <c r="AI317" s="659">
        <v>1</v>
      </c>
      <c r="AJ317" s="644" t="s">
        <v>294</v>
      </c>
      <c r="AK317" s="644">
        <v>420</v>
      </c>
      <c r="AL317" s="645">
        <v>0</v>
      </c>
      <c r="AM317" s="645">
        <v>1</v>
      </c>
      <c r="AN317" s="647">
        <v>0</v>
      </c>
      <c r="AO317" s="647">
        <v>0</v>
      </c>
      <c r="AP317" s="647"/>
      <c r="AQ317" s="658"/>
      <c r="AR317" s="235" t="str">
        <f>IFERROR(WWWW[[#This Row],['# of Water passed at source]]/WWWW[[#This Row],['# of Water tested at source]],"no test")</f>
        <v>no test</v>
      </c>
      <c r="AS317" s="237" t="str">
        <f>IFERROR(WWWW[[#This Row],['# of Water passed at HH]]/WWWW[[#This Row],['# of Water tested at HH]],"no test")</f>
        <v>no test</v>
      </c>
      <c r="AT317" s="237">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U317" s="237">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AV317" s="237">
        <f>IF(WWWW[[#This Row],[Location Type 1]]="Village",WWWW[[#This Row],[Access to safe drinking water for Village]],WWWW[[#This Row],[Access to safe drinking water for Camp]])</f>
        <v>0</v>
      </c>
      <c r="AW317" s="414">
        <f>WWWW[[#This Row],[%Equitable and continuous access to sufficient quantity of safe drinking water]]*WWWW[[#This Row],[Total PoP ]]</f>
        <v>0</v>
      </c>
      <c r="AX317" s="237">
        <f>IF((WWWW[[#This Row],['# Existing protected/fenced ponds ]]*250)/WWWW[[#This Row],[Total PoP ]]&gt;1,1,WWWW[[#This Row],['# Existing protected/fenced ponds ]]*250/WWWW[[#This Row],[Total PoP ]])</f>
        <v>0.12600806451612903</v>
      </c>
      <c r="AY317" s="414">
        <f>WWWW[[#This Row],[Access to unimproved water points]]*WWWW[[#This Row],[Total PoP ]]</f>
        <v>250</v>
      </c>
      <c r="AZ317" s="237">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0.12600806451612903</v>
      </c>
      <c r="BA317" s="414">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250</v>
      </c>
      <c r="BB317" s="414">
        <f>WWWW[[#This Row],['#people Equitable and continuous access to sufficient quantity of domestic water borehole n ponds_2]]/500</f>
        <v>0.5</v>
      </c>
      <c r="BC317" s="235">
        <f>1-WWWW[[#This Row],[%Equitable and continuous access to sufficient quantity of domestic water borehole n ponds]]</f>
        <v>0.873991935483871</v>
      </c>
      <c r="BD317" s="414">
        <f>WWWW[[#This Row],[%equitable and continuous access to sufficient quantity of safe drinking and domestic water''s GAP]]*WWWW[[#This Row],[Total PoP ]]</f>
        <v>1734</v>
      </c>
      <c r="BE317" s="238">
        <f>IF(WWWW[[#This Row],[Total required water points]]-WWWW[[#This Row],['#Water points coverage]]&lt;0,0,WWWW[[#This Row],[Total required water points]]-WWWW[[#This Row],['#Water points coverage]])</f>
        <v>3.5</v>
      </c>
      <c r="BF317" s="238">
        <f>ROUND(IF(WWWW[[#This Row],[Total PoP ]]&lt;500,1,WWWW[[#This Row],[Total PoP ]]/500),0)</f>
        <v>4</v>
      </c>
      <c r="BG317" s="238" t="str">
        <f>IF(AND(WWWW[[#This Row],[%of Water samples which passed at water source]]="no test",WWWW[[#This Row],[%Water samples which passed at HH]]="no test"),"No Test","Tested")</f>
        <v>No Test</v>
      </c>
      <c r="BH317" s="238">
        <f>WWWW[[#This Row],['# Existing functional latrines]]+WWWW[[#This Row],['# Existing latrines dysfunctional]]</f>
        <v>420</v>
      </c>
      <c r="BI317" s="235">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1</v>
      </c>
      <c r="BJ317" s="675">
        <f>WWWW[[#This Row],[% people access to functioning Latrine]]*WWWW[[#This Row],[Total PoP ]]</f>
        <v>1984</v>
      </c>
      <c r="BK317" s="235">
        <f>IF(WWWW[[#This Row],[Location Type 1]]="camp",WWWW[[#This Row],['# potential required new latrines]]/(WWWW[[#This Row],[Total PoP ]]/20),WWWW[[#This Row],['# potential required new latrines]]/(WWWW[[#This Row],[Total PoP ]]/6))</f>
        <v>0</v>
      </c>
      <c r="BL317" s="414">
        <f>IF(WWWW[[#This Row],[Total required Latrines]]-WWWW[[#This Row],[Total '# of latrine]]&lt;0,0,WWWW[[#This Row],[Total required Latrines]]-WWWW[[#This Row],[Total '# of latrine]])</f>
        <v>0</v>
      </c>
      <c r="BM317" s="238">
        <f>ROUND(IF(WWWW[[#This Row],[Location Type 1]]="camp",WWWW[[#This Row],[Total PoP ]]/20,WWWW[[#This Row],[Total PoP ]]/6),0)</f>
        <v>331</v>
      </c>
      <c r="BN317" s="239">
        <f>IF(OR(WWWW[[#This Row],['# Existing latrines dysfunctional]]="",WWWW[[#This Row],['# Existing latrines dysfunctional]]=0),0,WWWW[[#This Row],['# Existing latrines dysfunctional]]/WWWW[[#This Row],[Total '# of latrine]])</f>
        <v>0</v>
      </c>
      <c r="BO317" s="675"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P317" s="235">
        <f>WWWW[[#This Row],[People adopt basic personal and community hygiene practices]]/WWWW[[#This Row],[Total PoP ]]</f>
        <v>0</v>
      </c>
      <c r="BQ317" s="239">
        <f>1-WWWW[[#This Row],[Hygiene Coverage%]]</f>
        <v>1</v>
      </c>
      <c r="BR317" s="414">
        <f>IF(500*WWWW[[#This Row],['# Hygiene Promoters ]]&gt;WWWW[[#This Row],[Total PoP ]],WWWW[[#This Row],[Total PoP ]],500*WWWW[[#This Row],['# Hygiene Promoters ]])</f>
        <v>500</v>
      </c>
      <c r="BS317" s="414">
        <f>IF(WWWW[[#This Row],[% of HH with access to Sanitary Pad]]&gt;=100%,1,0)</f>
        <v>0</v>
      </c>
      <c r="BT317" s="414">
        <f>IF(WWWW[[#This Row],[Total PoP ]]=0,0,IF(WWWW[[#This Row],['# Hygiene Promoters ]]=0,0,IF(WWWW[[#This Row],[Location Type 1]]="Village",IF(WWWW[[#This Row],[Total PoP ]]/WWWW[[#This Row],['# Hygiene Promoters ]]&lt;1000,1,0),IF(WWWW[[#This Row],[Total PoP ]]/WWWW[[#This Row],['# Hygiene Promoters ]]&lt;600,1,0))))</f>
        <v>0</v>
      </c>
      <c r="BU317" s="414">
        <f>IF(WWWW[[#This Row],[%HH with access to soap]]&gt;=100%,1,0)</f>
        <v>0</v>
      </c>
      <c r="BV317" s="414">
        <f>IF(WWWW[[#This Row],[% of HHs with access to Sanitary pad more than '#%]]+WWWW[[#This Row],[Ratio of Hyiene promoters to people less than '#]]+WWWW[[#This Row],[% of HHs with access to soap more than '#%]]&gt;=2,WWWW[[#This Row],[Total PoP ]],0)</f>
        <v>0</v>
      </c>
      <c r="BW317" s="346">
        <f>WWWW[[#This Row],['# people reached by regular dedicated hygiene promotion_5]]/WWWW[[#This Row],[Total PoP ]]</f>
        <v>0.25201612903225806</v>
      </c>
      <c r="BX317" s="346">
        <f>IF(WWWW[[#This Row],['# HH received soaps]]/WWWW[[#This Row],[Total HH]]&gt;1,1,WWWW[[#This Row],['# HH received soaps]]/WWWW[[#This Row],[Total HH]])</f>
        <v>0</v>
      </c>
      <c r="BY317" s="346">
        <f>IF(WWWW[[#This Row],['# HH received Sanitary Pads]]/WWWW[[#This Row],[Total HH]]&gt;1,1,WWWW[[#This Row],['# HH received Sanitary Pads]]/WWWW[[#This Row],[Total HH]])</f>
        <v>0</v>
      </c>
      <c r="BZ317" s="720">
        <f>WWWW[[#This Row],['# HH received soaps]]*5</f>
        <v>0</v>
      </c>
      <c r="CA317" s="720">
        <f>WWWW[[#This Row],['# HH received Sanitary Pads]]*5</f>
        <v>0</v>
      </c>
      <c r="CB317" s="238">
        <f>IF(WWWW[[#This Row],['# People with access to soap]]&gt;WWWW[[#This Row],['# People with access to Sanity Pads]],WWWW[[#This Row],['# People with access to soap]],WWWW[[#This Row],['# People with access to Sanity Pads]])</f>
        <v>0</v>
      </c>
      <c r="CC317" s="414">
        <f>WWWW[[#This Row],[Total HH]]*WWWW[[#This Row],[%HHs with access to functional hand washing stations]]</f>
        <v>420</v>
      </c>
      <c r="CD317" s="240">
        <f>VLOOKUP(WWWW[[#This Row],[Site Name]],SiteDB6[],8,FALSE)</f>
        <v>0</v>
      </c>
      <c r="CE317" s="240">
        <f>VLOOKUP(WWWW[[#This Row],[Site Name]],SiteDB6[],9,FALSE)</f>
        <v>0</v>
      </c>
      <c r="CF317" s="240" t="str">
        <f>VLOOKUP(WWWW[[#This Row],[Site Name]],SiteDB6[],10,FALSE)</f>
        <v>Village</v>
      </c>
      <c r="CG317" s="240" t="str">
        <f>VLOOKUP(WWWW[[#This Row],[Site Name]],SiteDB6[],11,FALSE)</f>
        <v>Village</v>
      </c>
      <c r="CH317" s="240" t="str">
        <f>VLOOKUP(WWWW[[#This Row],[Site Name]],SiteDB6[],12,FALSE)</f>
        <v>Relocated</v>
      </c>
      <c r="CI317" s="240" t="str">
        <f>VLOOKUP(WWWW[[#This Row],[Site Name]],SiteDB6[],13,FALSE)</f>
        <v>Rakhine</v>
      </c>
      <c r="CJ317" s="240">
        <f>VLOOKUP(WWWW[[#This Row],[Site Name]],SiteDB6[],14,FALSE)</f>
        <v>20.151471999999998</v>
      </c>
      <c r="CK317" s="240">
        <f>VLOOKUP(WWWW[[#This Row],[Site Name]],SiteDB6[],15,FALSE)</f>
        <v>92.887277999999995</v>
      </c>
      <c r="CL317" s="240" t="str">
        <f>VLOOKUP(WWWW[[#This Row],[Site Name]],SiteDB6[],4,FALSE)</f>
        <v>MMR012CMP112</v>
      </c>
      <c r="CM317" s="235" t="str">
        <f t="shared" si="4"/>
        <v>Covered</v>
      </c>
      <c r="CN317" s="235"/>
    </row>
    <row r="318" spans="1:92" ht="15.75" customHeight="1" x14ac:dyDescent="0.25">
      <c r="A318" s="548" t="s">
        <v>1409</v>
      </c>
      <c r="B318" s="533" t="s">
        <v>539</v>
      </c>
      <c r="C318" s="533" t="s">
        <v>464</v>
      </c>
      <c r="D318" s="533" t="s">
        <v>465</v>
      </c>
      <c r="E318" s="533" t="s">
        <v>616</v>
      </c>
      <c r="F318" s="233">
        <v>2280</v>
      </c>
      <c r="G318" s="405">
        <v>11564</v>
      </c>
      <c r="H318" s="233">
        <v>0</v>
      </c>
      <c r="I318" s="233" t="s">
        <v>47</v>
      </c>
      <c r="J318" s="234">
        <v>44104</v>
      </c>
      <c r="K318" s="233">
        <v>0</v>
      </c>
      <c r="L318" s="233" t="s">
        <v>292</v>
      </c>
      <c r="M318" s="235">
        <v>0</v>
      </c>
      <c r="N318" s="235">
        <v>0</v>
      </c>
      <c r="O318" s="609">
        <v>0</v>
      </c>
      <c r="P318" s="615">
        <v>172</v>
      </c>
      <c r="Q318" s="615">
        <v>0</v>
      </c>
      <c r="R318" s="604">
        <v>0</v>
      </c>
      <c r="S318" s="604">
        <v>196</v>
      </c>
      <c r="T318" s="604">
        <v>211</v>
      </c>
      <c r="U318" s="604">
        <v>198</v>
      </c>
      <c r="V318" s="604">
        <v>204</v>
      </c>
      <c r="W318" s="604">
        <v>156</v>
      </c>
      <c r="X318" s="604">
        <v>13</v>
      </c>
      <c r="Y318" s="604"/>
      <c r="Z318" s="628">
        <v>505</v>
      </c>
      <c r="AA318" s="628">
        <v>11</v>
      </c>
      <c r="AB318" s="629">
        <v>0</v>
      </c>
      <c r="AC318" s="628">
        <v>516</v>
      </c>
      <c r="AD318" s="628" t="s">
        <v>293</v>
      </c>
      <c r="AE318" s="631" t="s">
        <v>1379</v>
      </c>
      <c r="AF318" s="631">
        <v>0</v>
      </c>
      <c r="AG318" s="628">
        <v>26</v>
      </c>
      <c r="AH318" s="628"/>
      <c r="AI318" s="659">
        <v>1</v>
      </c>
      <c r="AJ318" s="644" t="s">
        <v>294</v>
      </c>
      <c r="AK318" s="644">
        <v>2280</v>
      </c>
      <c r="AL318" s="645">
        <v>0</v>
      </c>
      <c r="AM318" s="645">
        <v>26</v>
      </c>
      <c r="AN318" s="647">
        <v>2280</v>
      </c>
      <c r="AO318" s="647">
        <v>2280</v>
      </c>
      <c r="AP318" s="647" t="s">
        <v>292</v>
      </c>
      <c r="AQ318" s="658"/>
      <c r="AR318" s="235">
        <f>IFERROR(WWWW[[#This Row],['# of Water passed at source]]/WWWW[[#This Row],['# of Water tested at source]],"no test")</f>
        <v>0.93838862559241709</v>
      </c>
      <c r="AS318" s="237">
        <f>IFERROR(WWWW[[#This Row],['# of Water passed at HH]]/WWWW[[#This Row],['# of Water tested at HH]],"no test")</f>
        <v>0.76470588235294112</v>
      </c>
      <c r="AT318" s="237">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U318" s="237">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AV318" s="237">
        <f>IF(WWWW[[#This Row],[Location Type 1]]="Village",WWWW[[#This Row],[Access to safe drinking water for Village]],WWWW[[#This Row],[Access to safe drinking water for Camp]])</f>
        <v>1</v>
      </c>
      <c r="AW318" s="414">
        <f>WWWW[[#This Row],[%Equitable and continuous access to sufficient quantity of safe drinking water]]*WWWW[[#This Row],[Total PoP ]]</f>
        <v>11564</v>
      </c>
      <c r="AX318" s="237">
        <f>IF((WWWW[[#This Row],['# Existing protected/fenced ponds ]]*250)/WWWW[[#This Row],[Total PoP ]]&gt;1,1,WWWW[[#This Row],['# Existing protected/fenced ponds ]]*250/WWWW[[#This Row],[Total PoP ]])</f>
        <v>0</v>
      </c>
      <c r="AY318" s="414">
        <f>WWWW[[#This Row],[Access to unimproved water points]]*WWWW[[#This Row],[Total PoP ]]</f>
        <v>0</v>
      </c>
      <c r="AZ318" s="237">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A318" s="414">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11564</v>
      </c>
      <c r="BB318" s="414">
        <f>WWWW[[#This Row],['#people Equitable and continuous access to sufficient quantity of domestic water borehole n ponds_2]]/500</f>
        <v>23.128</v>
      </c>
      <c r="BC318" s="235">
        <f>1-WWWW[[#This Row],[%Equitable and continuous access to sufficient quantity of domestic water borehole n ponds]]</f>
        <v>0</v>
      </c>
      <c r="BD318" s="414">
        <f>WWWW[[#This Row],[%equitable and continuous access to sufficient quantity of safe drinking and domestic water''s GAP]]*WWWW[[#This Row],[Total PoP ]]</f>
        <v>0</v>
      </c>
      <c r="BE318" s="238">
        <f>IF(WWWW[[#This Row],[Total required water points]]-WWWW[[#This Row],['#Water points coverage]]&lt;0,0,WWWW[[#This Row],[Total required water points]]-WWWW[[#This Row],['#Water points coverage]])</f>
        <v>0</v>
      </c>
      <c r="BF318" s="238">
        <f>ROUND(IF(WWWW[[#This Row],[Total PoP ]]&lt;500,1,WWWW[[#This Row],[Total PoP ]]/500),0)</f>
        <v>23</v>
      </c>
      <c r="BG318" s="238" t="str">
        <f>IF(AND(WWWW[[#This Row],[%of Water samples which passed at water source]]="no test",WWWW[[#This Row],[%Water samples which passed at HH]]="no test"),"No Test","Tested")</f>
        <v>Tested</v>
      </c>
      <c r="BH318" s="238">
        <f>WWWW[[#This Row],['# Existing functional latrines]]+WWWW[[#This Row],['# Existing latrines dysfunctional]]</f>
        <v>516</v>
      </c>
      <c r="BI318" s="235">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0.8734002075406434</v>
      </c>
      <c r="BJ318" s="675">
        <f>WWWW[[#This Row],[% people access to functioning Latrine]]*WWWW[[#This Row],[Total PoP ]]</f>
        <v>10100</v>
      </c>
      <c r="BK318" s="235">
        <f>IF(WWWW[[#This Row],[Location Type 1]]="camp",WWWW[[#This Row],['# potential required new latrines]]/(WWWW[[#This Row],[Total PoP ]]/20),WWWW[[#This Row],['# potential required new latrines]]/(WWWW[[#This Row],[Total PoP ]]/6))</f>
        <v>0.10722933241093047</v>
      </c>
      <c r="BL318" s="414">
        <f>IF(WWWW[[#This Row],[Total required Latrines]]-WWWW[[#This Row],[Total '# of latrine]]&lt;0,0,WWWW[[#This Row],[Total required Latrines]]-WWWW[[#This Row],[Total '# of latrine]])</f>
        <v>62</v>
      </c>
      <c r="BM318" s="238">
        <f>ROUND(IF(WWWW[[#This Row],[Location Type 1]]="camp",WWWW[[#This Row],[Total PoP ]]/20,WWWW[[#This Row],[Total PoP ]]/6),0)</f>
        <v>578</v>
      </c>
      <c r="BN318" s="239">
        <f>IF(OR(WWWW[[#This Row],['# Existing latrines dysfunctional]]="",WWWW[[#This Row],['# Existing latrines dysfunctional]]=0),0,WWWW[[#This Row],['# Existing latrines dysfunctional]]/WWWW[[#This Row],[Total '# of latrine]])</f>
        <v>2.1317829457364341E-2</v>
      </c>
      <c r="BO318" s="675">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P318" s="235">
        <f>WWWW[[#This Row],[People adopt basic personal and community hygiene practices]]/WWWW[[#This Row],[Total PoP ]]</f>
        <v>1</v>
      </c>
      <c r="BQ318" s="239">
        <f>1-WWWW[[#This Row],[Hygiene Coverage%]]</f>
        <v>0</v>
      </c>
      <c r="BR318" s="414">
        <f>IF(500*WWWW[[#This Row],['# Hygiene Promoters ]]&gt;WWWW[[#This Row],[Total PoP ]],WWWW[[#This Row],[Total PoP ]],500*WWWW[[#This Row],['# Hygiene Promoters ]])</f>
        <v>11564</v>
      </c>
      <c r="BS318" s="414">
        <f>IF(WWWW[[#This Row],[% of HH with access to Sanitary Pad]]&gt;=100%,1,0)</f>
        <v>1</v>
      </c>
      <c r="BT318" s="414">
        <f>IF(WWWW[[#This Row],[Total PoP ]]=0,0,IF(WWWW[[#This Row],['# Hygiene Promoters ]]=0,0,IF(WWWW[[#This Row],[Location Type 1]]="Village",IF(WWWW[[#This Row],[Total PoP ]]/WWWW[[#This Row],['# Hygiene Promoters ]]&lt;1000,1,0),IF(WWWW[[#This Row],[Total PoP ]]/WWWW[[#This Row],['# Hygiene Promoters ]]&lt;600,1,0))))</f>
        <v>1</v>
      </c>
      <c r="BU318" s="414">
        <f>IF(WWWW[[#This Row],[%HH with access to soap]]&gt;=100%,1,0)</f>
        <v>1</v>
      </c>
      <c r="BV318" s="414">
        <f>IF(WWWW[[#This Row],[% of HHs with access to Sanitary pad more than '#%]]+WWWW[[#This Row],[Ratio of Hyiene promoters to people less than '#]]+WWWW[[#This Row],[% of HHs with access to soap more than '#%]]&gt;=2,WWWW[[#This Row],[Total PoP ]],0)</f>
        <v>11564</v>
      </c>
      <c r="BW318" s="346">
        <f>WWWW[[#This Row],['# people reached by regular dedicated hygiene promotion_5]]/WWWW[[#This Row],[Total PoP ]]</f>
        <v>1</v>
      </c>
      <c r="BX318" s="346">
        <f>IF(WWWW[[#This Row],['# HH received soaps]]/WWWW[[#This Row],[Total HH]]&gt;1,1,WWWW[[#This Row],['# HH received soaps]]/WWWW[[#This Row],[Total HH]])</f>
        <v>1</v>
      </c>
      <c r="BY318" s="346">
        <f>IF(WWWW[[#This Row],['# HH received Sanitary Pads]]/WWWW[[#This Row],[Total HH]]&gt;1,1,WWWW[[#This Row],['# HH received Sanitary Pads]]/WWWW[[#This Row],[Total HH]])</f>
        <v>1</v>
      </c>
      <c r="BZ318" s="720">
        <f>WWWW[[#This Row],['# HH received soaps]]*5</f>
        <v>11400</v>
      </c>
      <c r="CA318" s="720">
        <f>WWWW[[#This Row],['# HH received Sanitary Pads]]*5</f>
        <v>11400</v>
      </c>
      <c r="CB318" s="238">
        <f>IF(WWWW[[#This Row],['# People with access to soap]]&gt;WWWW[[#This Row],['# People with access to Sanity Pads]],WWWW[[#This Row],['# People with access to soap]],WWWW[[#This Row],['# People with access to Sanity Pads]])</f>
        <v>11400</v>
      </c>
      <c r="CC318" s="414">
        <f>WWWW[[#This Row],[Total HH]]*WWWW[[#This Row],[%HHs with access to functional hand washing stations]]</f>
        <v>2280</v>
      </c>
      <c r="CD318" s="240" t="str">
        <f>VLOOKUP(WWWW[[#This Row],[Site Name]],SiteDB6[],8,FALSE)</f>
        <v>Yes</v>
      </c>
      <c r="CE318" s="240" t="str">
        <f>VLOOKUP(WWWW[[#This Row],[Site Name]],SiteDB6[],9,FALSE)</f>
        <v>DRC</v>
      </c>
      <c r="CF318" s="240" t="str">
        <f>VLOOKUP(WWWW[[#This Row],[Site Name]],SiteDB6[],10,FALSE)</f>
        <v>Camp</v>
      </c>
      <c r="CG318" s="240" t="str">
        <f>VLOOKUP(WWWW[[#This Row],[Site Name]],SiteDB6[],11,FALSE)</f>
        <v>Camp</v>
      </c>
      <c r="CH318" s="240" t="str">
        <f>VLOOKUP(WWWW[[#This Row],[Site Name]],SiteDB6[],12,FALSE)</f>
        <v>Planned Camp</v>
      </c>
      <c r="CI318" s="240" t="str">
        <f>VLOOKUP(WWWW[[#This Row],[Site Name]],SiteDB6[],13,FALSE)</f>
        <v>Muslim</v>
      </c>
      <c r="CJ318" s="240">
        <f>VLOOKUP(WWWW[[#This Row],[Site Name]],SiteDB6[],14,FALSE)</f>
        <v>20.202525000000001</v>
      </c>
      <c r="CK318" s="240">
        <f>VLOOKUP(WWWW[[#This Row],[Site Name]],SiteDB6[],15,FALSE)</f>
        <v>92.792479999999998</v>
      </c>
      <c r="CL318" s="240" t="str">
        <f>VLOOKUP(WWWW[[#This Row],[Site Name]],SiteDB6[],4,FALSE)</f>
        <v>MMR012CMP045</v>
      </c>
      <c r="CM318" s="235" t="str">
        <f t="shared" si="4"/>
        <v>Covered</v>
      </c>
      <c r="CN318" s="235"/>
    </row>
    <row r="319" spans="1:92" ht="15.75" hidden="1" customHeight="1" x14ac:dyDescent="0.25">
      <c r="A319" s="548" t="s">
        <v>1409</v>
      </c>
      <c r="B319" s="533" t="s">
        <v>539</v>
      </c>
      <c r="C319" s="533" t="s">
        <v>464</v>
      </c>
      <c r="D319" s="533" t="s">
        <v>465</v>
      </c>
      <c r="E319" s="533" t="s">
        <v>614</v>
      </c>
      <c r="F319" s="233">
        <v>235</v>
      </c>
      <c r="G319" s="405">
        <v>1390</v>
      </c>
      <c r="H319" s="233">
        <v>0</v>
      </c>
      <c r="I319" s="233" t="s">
        <v>47</v>
      </c>
      <c r="J319" s="234">
        <v>44104</v>
      </c>
      <c r="K319" s="233">
        <v>0</v>
      </c>
      <c r="L319" s="233" t="s">
        <v>292</v>
      </c>
      <c r="M319" s="235">
        <v>0</v>
      </c>
      <c r="N319" s="235">
        <v>0</v>
      </c>
      <c r="O319" s="609">
        <v>0</v>
      </c>
      <c r="P319" s="615">
        <v>10</v>
      </c>
      <c r="Q319" s="615">
        <v>0</v>
      </c>
      <c r="R319" s="604">
        <v>0</v>
      </c>
      <c r="S319" s="604">
        <v>0</v>
      </c>
      <c r="T319" s="604">
        <v>0</v>
      </c>
      <c r="U319" s="604">
        <v>0</v>
      </c>
      <c r="V319" s="604">
        <v>0</v>
      </c>
      <c r="W319" s="604">
        <v>0</v>
      </c>
      <c r="X319" s="604">
        <v>0</v>
      </c>
      <c r="Y319" s="604"/>
      <c r="Z319" s="628">
        <v>0</v>
      </c>
      <c r="AA319" s="628">
        <v>0</v>
      </c>
      <c r="AB319" s="629">
        <v>0</v>
      </c>
      <c r="AC319" s="628">
        <v>0</v>
      </c>
      <c r="AD319" s="628" t="s">
        <v>293</v>
      </c>
      <c r="AE319" s="631" t="s">
        <v>1379</v>
      </c>
      <c r="AF319" s="631">
        <v>0</v>
      </c>
      <c r="AG319" s="628">
        <v>0</v>
      </c>
      <c r="AH319" s="628"/>
      <c r="AI319" s="659">
        <v>1</v>
      </c>
      <c r="AJ319" s="644" t="s">
        <v>294</v>
      </c>
      <c r="AK319" s="644">
        <v>235</v>
      </c>
      <c r="AL319" s="645">
        <v>0</v>
      </c>
      <c r="AM319" s="645">
        <v>1</v>
      </c>
      <c r="AN319" s="647">
        <v>0</v>
      </c>
      <c r="AO319" s="647">
        <v>0</v>
      </c>
      <c r="AP319" s="647"/>
      <c r="AQ319" s="658"/>
      <c r="AR319" s="235" t="str">
        <f>IFERROR(WWWW[[#This Row],['# of Water passed at source]]/WWWW[[#This Row],['# of Water tested at source]],"no test")</f>
        <v>no test</v>
      </c>
      <c r="AS319" s="237" t="str">
        <f>IFERROR(WWWW[[#This Row],['# of Water passed at HH]]/WWWW[[#This Row],['# of Water tested at HH]],"no test")</f>
        <v>no test</v>
      </c>
      <c r="AT319" s="237">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U319" s="237">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AV319" s="237">
        <f>IF(WWWW[[#This Row],[Location Type 1]]="Village",WWWW[[#This Row],[Access to safe drinking water for Village]],WWWW[[#This Row],[Access to safe drinking water for Camp]])</f>
        <v>1</v>
      </c>
      <c r="AW319" s="414">
        <f>WWWW[[#This Row],[%Equitable and continuous access to sufficient quantity of safe drinking water]]*WWWW[[#This Row],[Total PoP ]]</f>
        <v>1390</v>
      </c>
      <c r="AX319" s="237">
        <f>IF((WWWW[[#This Row],['# Existing protected/fenced ponds ]]*250)/WWWW[[#This Row],[Total PoP ]]&gt;1,1,WWWW[[#This Row],['# Existing protected/fenced ponds ]]*250/WWWW[[#This Row],[Total PoP ]])</f>
        <v>0</v>
      </c>
      <c r="AY319" s="414">
        <f>WWWW[[#This Row],[Access to unimproved water points]]*WWWW[[#This Row],[Total PoP ]]</f>
        <v>0</v>
      </c>
      <c r="AZ319" s="237">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A319" s="414">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1390</v>
      </c>
      <c r="BB319" s="414">
        <f>WWWW[[#This Row],['#people Equitable and continuous access to sufficient quantity of domestic water borehole n ponds_2]]/500</f>
        <v>2.78</v>
      </c>
      <c r="BC319" s="235">
        <f>1-WWWW[[#This Row],[%Equitable and continuous access to sufficient quantity of domestic water borehole n ponds]]</f>
        <v>0</v>
      </c>
      <c r="BD319" s="414">
        <f>WWWW[[#This Row],[%equitable and continuous access to sufficient quantity of safe drinking and domestic water''s GAP]]*WWWW[[#This Row],[Total PoP ]]</f>
        <v>0</v>
      </c>
      <c r="BE319" s="238">
        <f>IF(WWWW[[#This Row],[Total required water points]]-WWWW[[#This Row],['#Water points coverage]]&lt;0,0,WWWW[[#This Row],[Total required water points]]-WWWW[[#This Row],['#Water points coverage]])</f>
        <v>0.2200000000000002</v>
      </c>
      <c r="BF319" s="238">
        <f>ROUND(IF(WWWW[[#This Row],[Total PoP ]]&lt;500,1,WWWW[[#This Row],[Total PoP ]]/500),0)</f>
        <v>3</v>
      </c>
      <c r="BG319" s="238" t="str">
        <f>IF(AND(WWWW[[#This Row],[%of Water samples which passed at water source]]="no test",WWWW[[#This Row],[%Water samples which passed at HH]]="no test"),"No Test","Tested")</f>
        <v>No Test</v>
      </c>
      <c r="BH319" s="238">
        <f>WWWW[[#This Row],['# Existing functional latrines]]+WWWW[[#This Row],['# Existing latrines dysfunctional]]</f>
        <v>0</v>
      </c>
      <c r="BI319" s="235">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J319" s="675">
        <f>WWWW[[#This Row],[% people access to functioning Latrine]]*WWWW[[#This Row],[Total PoP ]]</f>
        <v>0</v>
      </c>
      <c r="BK319" s="235">
        <f>IF(WWWW[[#This Row],[Location Type 1]]="camp",WWWW[[#This Row],['# potential required new latrines]]/(WWWW[[#This Row],[Total PoP ]]/20),WWWW[[#This Row],['# potential required new latrines]]/(WWWW[[#This Row],[Total PoP ]]/6))</f>
        <v>1.0014388489208634</v>
      </c>
      <c r="BL319" s="414">
        <f>IF(WWWW[[#This Row],[Total required Latrines]]-WWWW[[#This Row],[Total '# of latrine]]&lt;0,0,WWWW[[#This Row],[Total required Latrines]]-WWWW[[#This Row],[Total '# of latrine]])</f>
        <v>232</v>
      </c>
      <c r="BM319" s="238">
        <f>ROUND(IF(WWWW[[#This Row],[Location Type 1]]="camp",WWWW[[#This Row],[Total PoP ]]/20,WWWW[[#This Row],[Total PoP ]]/6),0)</f>
        <v>232</v>
      </c>
      <c r="BN319" s="239">
        <f>IF(OR(WWWW[[#This Row],['# Existing latrines dysfunctional]]="",WWWW[[#This Row],['# Existing latrines dysfunctional]]=0),0,WWWW[[#This Row],['# Existing latrines dysfunctional]]/WWWW[[#This Row],[Total '# of latrine]])</f>
        <v>0</v>
      </c>
      <c r="BO319" s="675"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P319" s="235">
        <f>WWWW[[#This Row],[People adopt basic personal and community hygiene practices]]/WWWW[[#This Row],[Total PoP ]]</f>
        <v>0</v>
      </c>
      <c r="BQ319" s="239">
        <f>1-WWWW[[#This Row],[Hygiene Coverage%]]</f>
        <v>1</v>
      </c>
      <c r="BR319" s="414">
        <f>IF(500*WWWW[[#This Row],['# Hygiene Promoters ]]&gt;WWWW[[#This Row],[Total PoP ]],WWWW[[#This Row],[Total PoP ]],500*WWWW[[#This Row],['# Hygiene Promoters ]])</f>
        <v>500</v>
      </c>
      <c r="BS319" s="414">
        <f>IF(WWWW[[#This Row],[% of HH with access to Sanitary Pad]]&gt;=100%,1,0)</f>
        <v>0</v>
      </c>
      <c r="BT319" s="414">
        <f>IF(WWWW[[#This Row],[Total PoP ]]=0,0,IF(WWWW[[#This Row],['# Hygiene Promoters ]]=0,0,IF(WWWW[[#This Row],[Location Type 1]]="Village",IF(WWWW[[#This Row],[Total PoP ]]/WWWW[[#This Row],['# Hygiene Promoters ]]&lt;1000,1,0),IF(WWWW[[#This Row],[Total PoP ]]/WWWW[[#This Row],['# Hygiene Promoters ]]&lt;600,1,0))))</f>
        <v>0</v>
      </c>
      <c r="BU319" s="414">
        <f>IF(WWWW[[#This Row],[%HH with access to soap]]&gt;=100%,1,0)</f>
        <v>0</v>
      </c>
      <c r="BV319" s="414">
        <f>IF(WWWW[[#This Row],[% of HHs with access to Sanitary pad more than '#%]]+WWWW[[#This Row],[Ratio of Hyiene promoters to people less than '#]]+WWWW[[#This Row],[% of HHs with access to soap more than '#%]]&gt;=2,WWWW[[#This Row],[Total PoP ]],0)</f>
        <v>0</v>
      </c>
      <c r="BW319" s="346">
        <f>WWWW[[#This Row],['# people reached by regular dedicated hygiene promotion_5]]/WWWW[[#This Row],[Total PoP ]]</f>
        <v>0.35971223021582732</v>
      </c>
      <c r="BX319" s="346">
        <f>IF(WWWW[[#This Row],['# HH received soaps]]/WWWW[[#This Row],[Total HH]]&gt;1,1,WWWW[[#This Row],['# HH received soaps]]/WWWW[[#This Row],[Total HH]])</f>
        <v>0</v>
      </c>
      <c r="BY319" s="346">
        <f>IF(WWWW[[#This Row],['# HH received Sanitary Pads]]/WWWW[[#This Row],[Total HH]]&gt;1,1,WWWW[[#This Row],['# HH received Sanitary Pads]]/WWWW[[#This Row],[Total HH]])</f>
        <v>0</v>
      </c>
      <c r="BZ319" s="720">
        <f>WWWW[[#This Row],['# HH received soaps]]*5</f>
        <v>0</v>
      </c>
      <c r="CA319" s="720">
        <f>WWWW[[#This Row],['# HH received Sanitary Pads]]*5</f>
        <v>0</v>
      </c>
      <c r="CB319" s="238">
        <f>IF(WWWW[[#This Row],['# People with access to soap]]&gt;WWWW[[#This Row],['# People with access to Sanity Pads]],WWWW[[#This Row],['# People with access to soap]],WWWW[[#This Row],['# People with access to Sanity Pads]])</f>
        <v>0</v>
      </c>
      <c r="CC319" s="414">
        <f>WWWW[[#This Row],[Total HH]]*WWWW[[#This Row],[%HHs with access to functional hand washing stations]]</f>
        <v>235</v>
      </c>
      <c r="CD319" s="240">
        <f>VLOOKUP(WWWW[[#This Row],[Site Name]],SiteDB6[],8,FALSE)</f>
        <v>0</v>
      </c>
      <c r="CE319" s="240">
        <f>VLOOKUP(WWWW[[#This Row],[Site Name]],SiteDB6[],9,FALSE)</f>
        <v>0</v>
      </c>
      <c r="CF319" s="240" t="str">
        <f>VLOOKUP(WWWW[[#This Row],[Site Name]],SiteDB6[],10,FALSE)</f>
        <v>Village</v>
      </c>
      <c r="CG319" s="240" t="str">
        <f>VLOOKUP(WWWW[[#This Row],[Site Name]],SiteDB6[],11,FALSE)</f>
        <v>Village</v>
      </c>
      <c r="CH319" s="240" t="str">
        <f>VLOOKUP(WWWW[[#This Row],[Site Name]],SiteDB6[],12,FALSE)</f>
        <v>Village</v>
      </c>
      <c r="CI319" s="240" t="str">
        <f>VLOOKUP(WWWW[[#This Row],[Site Name]],SiteDB6[],13,FALSE)</f>
        <v>Muslim</v>
      </c>
      <c r="CJ319" s="240">
        <f>VLOOKUP(WWWW[[#This Row],[Site Name]],SiteDB6[],14,FALSE)</f>
        <v>20.201499999999999</v>
      </c>
      <c r="CK319" s="240">
        <f>VLOOKUP(WWWW[[#This Row],[Site Name]],SiteDB6[],15,FALSE)</f>
        <v>92.796599999999998</v>
      </c>
      <c r="CL319" s="240">
        <f>VLOOKUP(WWWW[[#This Row],[Site Name]],SiteDB6[],4,FALSE)</f>
        <v>196154</v>
      </c>
      <c r="CM319" s="235" t="str">
        <f t="shared" si="4"/>
        <v>Covered</v>
      </c>
      <c r="CN319" s="235"/>
    </row>
    <row r="320" spans="1:92" ht="15.75" hidden="1" customHeight="1" x14ac:dyDescent="0.25">
      <c r="A320" s="548" t="s">
        <v>1409</v>
      </c>
      <c r="B320" s="533" t="s">
        <v>539</v>
      </c>
      <c r="C320" s="533" t="s">
        <v>464</v>
      </c>
      <c r="D320" s="533" t="s">
        <v>465</v>
      </c>
      <c r="E320" s="533" t="s">
        <v>610</v>
      </c>
      <c r="F320" s="233">
        <v>92</v>
      </c>
      <c r="G320" s="405">
        <v>469</v>
      </c>
      <c r="H320" s="233">
        <v>0</v>
      </c>
      <c r="I320" s="233" t="s">
        <v>47</v>
      </c>
      <c r="J320" s="234">
        <v>44104</v>
      </c>
      <c r="K320" s="233">
        <v>0</v>
      </c>
      <c r="L320" s="233" t="s">
        <v>292</v>
      </c>
      <c r="M320" s="235">
        <v>0</v>
      </c>
      <c r="N320" s="235">
        <v>0</v>
      </c>
      <c r="O320" s="609">
        <v>12</v>
      </c>
      <c r="P320" s="615">
        <v>7</v>
      </c>
      <c r="Q320" s="615">
        <v>0</v>
      </c>
      <c r="R320" s="604">
        <v>0</v>
      </c>
      <c r="S320" s="604">
        <v>0</v>
      </c>
      <c r="T320" s="604">
        <v>0</v>
      </c>
      <c r="U320" s="604">
        <v>0</v>
      </c>
      <c r="V320" s="604">
        <v>0</v>
      </c>
      <c r="W320" s="604">
        <v>0</v>
      </c>
      <c r="X320" s="604">
        <v>0</v>
      </c>
      <c r="Y320" s="604"/>
      <c r="Z320" s="628">
        <v>0</v>
      </c>
      <c r="AA320" s="628">
        <v>0</v>
      </c>
      <c r="AB320" s="629">
        <v>0</v>
      </c>
      <c r="AC320" s="628">
        <v>0</v>
      </c>
      <c r="AD320" s="628" t="s">
        <v>293</v>
      </c>
      <c r="AE320" s="631" t="s">
        <v>1379</v>
      </c>
      <c r="AF320" s="631">
        <v>0</v>
      </c>
      <c r="AG320" s="628">
        <v>0</v>
      </c>
      <c r="AH320" s="628"/>
      <c r="AI320" s="659">
        <v>1</v>
      </c>
      <c r="AJ320" s="644" t="s">
        <v>294</v>
      </c>
      <c r="AK320" s="644">
        <v>92</v>
      </c>
      <c r="AL320" s="645">
        <v>0</v>
      </c>
      <c r="AM320" s="645">
        <v>1</v>
      </c>
      <c r="AN320" s="647">
        <v>0</v>
      </c>
      <c r="AO320" s="647">
        <v>0</v>
      </c>
      <c r="AP320" s="647"/>
      <c r="AQ320" s="658"/>
      <c r="AR320" s="235" t="str">
        <f>IFERROR(WWWW[[#This Row],['# of Water passed at source]]/WWWW[[#This Row],['# of Water tested at source]],"no test")</f>
        <v>no test</v>
      </c>
      <c r="AS320" s="237" t="str">
        <f>IFERROR(WWWW[[#This Row],['# of Water passed at HH]]/WWWW[[#This Row],['# of Water tested at HH]],"no test")</f>
        <v>no test</v>
      </c>
      <c r="AT320" s="237">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U320" s="237">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AV320" s="237">
        <f>IF(WWWW[[#This Row],[Location Type 1]]="Village",WWWW[[#This Row],[Access to safe drinking water for Village]],WWWW[[#This Row],[Access to safe drinking water for Camp]])</f>
        <v>1</v>
      </c>
      <c r="AW320" s="414">
        <f>WWWW[[#This Row],[%Equitable and continuous access to sufficient quantity of safe drinking water]]*WWWW[[#This Row],[Total PoP ]]</f>
        <v>469</v>
      </c>
      <c r="AX320" s="237">
        <f>IF((WWWW[[#This Row],['# Existing protected/fenced ponds ]]*250)/WWWW[[#This Row],[Total PoP ]]&gt;1,1,WWWW[[#This Row],['# Existing protected/fenced ponds ]]*250/WWWW[[#This Row],[Total PoP ]])</f>
        <v>0</v>
      </c>
      <c r="AY320" s="414">
        <f>WWWW[[#This Row],[Access to unimproved water points]]*WWWW[[#This Row],[Total PoP ]]</f>
        <v>0</v>
      </c>
      <c r="AZ320" s="237">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A320" s="414">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469</v>
      </c>
      <c r="BB320" s="414">
        <f>WWWW[[#This Row],['#people Equitable and continuous access to sufficient quantity of domestic water borehole n ponds_2]]/500</f>
        <v>0.93799999999999994</v>
      </c>
      <c r="BC320" s="235">
        <f>1-WWWW[[#This Row],[%Equitable and continuous access to sufficient quantity of domestic water borehole n ponds]]</f>
        <v>0</v>
      </c>
      <c r="BD320" s="414">
        <f>WWWW[[#This Row],[%equitable and continuous access to sufficient quantity of safe drinking and domestic water''s GAP]]*WWWW[[#This Row],[Total PoP ]]</f>
        <v>0</v>
      </c>
      <c r="BE320" s="238">
        <f>IF(WWWW[[#This Row],[Total required water points]]-WWWW[[#This Row],['#Water points coverage]]&lt;0,0,WWWW[[#This Row],[Total required water points]]-WWWW[[#This Row],['#Water points coverage]])</f>
        <v>6.2000000000000055E-2</v>
      </c>
      <c r="BF320" s="238">
        <f>ROUND(IF(WWWW[[#This Row],[Total PoP ]]&lt;500,1,WWWW[[#This Row],[Total PoP ]]/500),0)</f>
        <v>1</v>
      </c>
      <c r="BG320" s="238" t="str">
        <f>IF(AND(WWWW[[#This Row],[%of Water samples which passed at water source]]="no test",WWWW[[#This Row],[%Water samples which passed at HH]]="no test"),"No Test","Tested")</f>
        <v>No Test</v>
      </c>
      <c r="BH320" s="238">
        <f>WWWW[[#This Row],['# Existing functional latrines]]+WWWW[[#This Row],['# Existing latrines dysfunctional]]</f>
        <v>0</v>
      </c>
      <c r="BI320" s="235">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J320" s="675">
        <f>WWWW[[#This Row],[% people access to functioning Latrine]]*WWWW[[#This Row],[Total PoP ]]</f>
        <v>0</v>
      </c>
      <c r="BK320" s="235">
        <f>IF(WWWW[[#This Row],[Location Type 1]]="camp",WWWW[[#This Row],['# potential required new latrines]]/(WWWW[[#This Row],[Total PoP ]]/20),WWWW[[#This Row],['# potential required new latrines]]/(WWWW[[#This Row],[Total PoP ]]/6))</f>
        <v>0.99786780383795304</v>
      </c>
      <c r="BL320" s="414">
        <f>IF(WWWW[[#This Row],[Total required Latrines]]-WWWW[[#This Row],[Total '# of latrine]]&lt;0,0,WWWW[[#This Row],[Total required Latrines]]-WWWW[[#This Row],[Total '# of latrine]])</f>
        <v>78</v>
      </c>
      <c r="BM320" s="238">
        <f>ROUND(IF(WWWW[[#This Row],[Location Type 1]]="camp",WWWW[[#This Row],[Total PoP ]]/20,WWWW[[#This Row],[Total PoP ]]/6),0)</f>
        <v>78</v>
      </c>
      <c r="BN320" s="239">
        <f>IF(OR(WWWW[[#This Row],['# Existing latrines dysfunctional]]="",WWWW[[#This Row],['# Existing latrines dysfunctional]]=0),0,WWWW[[#This Row],['# Existing latrines dysfunctional]]/WWWW[[#This Row],[Total '# of latrine]])</f>
        <v>0</v>
      </c>
      <c r="BO320" s="675"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P320" s="235">
        <f>WWWW[[#This Row],[People adopt basic personal and community hygiene practices]]/WWWW[[#This Row],[Total PoP ]]</f>
        <v>0</v>
      </c>
      <c r="BQ320" s="239">
        <f>1-WWWW[[#This Row],[Hygiene Coverage%]]</f>
        <v>1</v>
      </c>
      <c r="BR320" s="414">
        <f>IF(500*WWWW[[#This Row],['# Hygiene Promoters ]]&gt;WWWW[[#This Row],[Total PoP ]],WWWW[[#This Row],[Total PoP ]],500*WWWW[[#This Row],['# Hygiene Promoters ]])</f>
        <v>469</v>
      </c>
      <c r="BS320" s="414">
        <f>IF(WWWW[[#This Row],[% of HH with access to Sanitary Pad]]&gt;=100%,1,0)</f>
        <v>0</v>
      </c>
      <c r="BT320" s="414">
        <f>IF(WWWW[[#This Row],[Total PoP ]]=0,0,IF(WWWW[[#This Row],['# Hygiene Promoters ]]=0,0,IF(WWWW[[#This Row],[Location Type 1]]="Village",IF(WWWW[[#This Row],[Total PoP ]]/WWWW[[#This Row],['# Hygiene Promoters ]]&lt;1000,1,0),IF(WWWW[[#This Row],[Total PoP ]]/WWWW[[#This Row],['# Hygiene Promoters ]]&lt;600,1,0))))</f>
        <v>1</v>
      </c>
      <c r="BU320" s="414">
        <f>IF(WWWW[[#This Row],[%HH with access to soap]]&gt;=100%,1,0)</f>
        <v>0</v>
      </c>
      <c r="BV320" s="414">
        <f>IF(WWWW[[#This Row],[% of HHs with access to Sanitary pad more than '#%]]+WWWW[[#This Row],[Ratio of Hyiene promoters to people less than '#]]+WWWW[[#This Row],[% of HHs with access to soap more than '#%]]&gt;=2,WWWW[[#This Row],[Total PoP ]],0)</f>
        <v>0</v>
      </c>
      <c r="BW320" s="346">
        <f>WWWW[[#This Row],['# people reached by regular dedicated hygiene promotion_5]]/WWWW[[#This Row],[Total PoP ]]</f>
        <v>1</v>
      </c>
      <c r="BX320" s="346">
        <f>IF(WWWW[[#This Row],['# HH received soaps]]/WWWW[[#This Row],[Total HH]]&gt;1,1,WWWW[[#This Row],['# HH received soaps]]/WWWW[[#This Row],[Total HH]])</f>
        <v>0</v>
      </c>
      <c r="BY320" s="346">
        <f>IF(WWWW[[#This Row],['# HH received Sanitary Pads]]/WWWW[[#This Row],[Total HH]]&gt;1,1,WWWW[[#This Row],['# HH received Sanitary Pads]]/WWWW[[#This Row],[Total HH]])</f>
        <v>0</v>
      </c>
      <c r="BZ320" s="720">
        <f>WWWW[[#This Row],['# HH received soaps]]*5</f>
        <v>0</v>
      </c>
      <c r="CA320" s="720">
        <f>WWWW[[#This Row],['# HH received Sanitary Pads]]*5</f>
        <v>0</v>
      </c>
      <c r="CB320" s="238">
        <f>IF(WWWW[[#This Row],['# People with access to soap]]&gt;WWWW[[#This Row],['# People with access to Sanity Pads]],WWWW[[#This Row],['# People with access to soap]],WWWW[[#This Row],['# People with access to Sanity Pads]])</f>
        <v>0</v>
      </c>
      <c r="CC320" s="414">
        <f>WWWW[[#This Row],[Total HH]]*WWWW[[#This Row],[%HHs with access to functional hand washing stations]]</f>
        <v>92</v>
      </c>
      <c r="CD320" s="240">
        <f>VLOOKUP(WWWW[[#This Row],[Site Name]],SiteDB6[],8,FALSE)</f>
        <v>0</v>
      </c>
      <c r="CE320" s="240">
        <f>VLOOKUP(WWWW[[#This Row],[Site Name]],SiteDB6[],9,FALSE)</f>
        <v>0</v>
      </c>
      <c r="CF320" s="240" t="str">
        <f>VLOOKUP(WWWW[[#This Row],[Site Name]],SiteDB6[],10,FALSE)</f>
        <v>Village</v>
      </c>
      <c r="CG320" s="240" t="str">
        <f>VLOOKUP(WWWW[[#This Row],[Site Name]],SiteDB6[],11,FALSE)</f>
        <v>Village</v>
      </c>
      <c r="CH320" s="240" t="str">
        <f>VLOOKUP(WWWW[[#This Row],[Site Name]],SiteDB6[],12,FALSE)</f>
        <v>Village</v>
      </c>
      <c r="CI320" s="240" t="str">
        <f>VLOOKUP(WWWW[[#This Row],[Site Name]],SiteDB6[],13,FALSE)</f>
        <v>Muslim</v>
      </c>
      <c r="CJ320" s="240">
        <f>VLOOKUP(WWWW[[#This Row],[Site Name]],SiteDB6[],14,FALSE)</f>
        <v>20.191719055175799</v>
      </c>
      <c r="CK320" s="240">
        <f>VLOOKUP(WWWW[[#This Row],[Site Name]],SiteDB6[],15,FALSE)</f>
        <v>92.808166503906307</v>
      </c>
      <c r="CL320" s="240" t="str">
        <f>VLOOKUP(WWWW[[#This Row],[Site Name]],SiteDB6[],4,FALSE)</f>
        <v>196155</v>
      </c>
      <c r="CM320" s="235" t="str">
        <f t="shared" si="4"/>
        <v>Covered</v>
      </c>
      <c r="CN320" s="235"/>
    </row>
    <row r="321" spans="1:92" ht="15.75" hidden="1" customHeight="1" x14ac:dyDescent="0.25">
      <c r="A321" s="548" t="s">
        <v>1409</v>
      </c>
      <c r="B321" s="533" t="s">
        <v>539</v>
      </c>
      <c r="C321" s="533" t="s">
        <v>464</v>
      </c>
      <c r="D321" s="533" t="s">
        <v>465</v>
      </c>
      <c r="E321" s="533" t="s">
        <v>590</v>
      </c>
      <c r="F321" s="233">
        <v>72</v>
      </c>
      <c r="G321" s="405">
        <v>447</v>
      </c>
      <c r="H321" s="233">
        <v>0</v>
      </c>
      <c r="I321" s="233" t="s">
        <v>47</v>
      </c>
      <c r="J321" s="234">
        <v>44104</v>
      </c>
      <c r="K321" s="233">
        <v>0</v>
      </c>
      <c r="L321" s="233" t="s">
        <v>292</v>
      </c>
      <c r="M321" s="235">
        <v>0</v>
      </c>
      <c r="N321" s="235">
        <v>0</v>
      </c>
      <c r="O321" s="609">
        <v>0</v>
      </c>
      <c r="P321" s="615">
        <v>0</v>
      </c>
      <c r="Q321" s="615">
        <v>0</v>
      </c>
      <c r="R321" s="604">
        <v>1</v>
      </c>
      <c r="S321" s="604">
        <v>0</v>
      </c>
      <c r="T321" s="604">
        <v>0</v>
      </c>
      <c r="U321" s="604">
        <v>0</v>
      </c>
      <c r="V321" s="604">
        <v>0</v>
      </c>
      <c r="W321" s="604">
        <v>0</v>
      </c>
      <c r="X321" s="604">
        <v>0</v>
      </c>
      <c r="Y321" s="604"/>
      <c r="Z321" s="628">
        <v>72</v>
      </c>
      <c r="AA321" s="628">
        <v>0</v>
      </c>
      <c r="AB321" s="629">
        <v>0</v>
      </c>
      <c r="AC321" s="628">
        <v>0</v>
      </c>
      <c r="AD321" s="628" t="s">
        <v>293</v>
      </c>
      <c r="AE321" s="631" t="s">
        <v>1379</v>
      </c>
      <c r="AF321" s="631">
        <v>0</v>
      </c>
      <c r="AG321" s="628">
        <v>0</v>
      </c>
      <c r="AH321" s="628"/>
      <c r="AI321" s="659">
        <v>1</v>
      </c>
      <c r="AJ321" s="644" t="s">
        <v>294</v>
      </c>
      <c r="AK321" s="644">
        <v>72</v>
      </c>
      <c r="AL321" s="645">
        <v>0</v>
      </c>
      <c r="AM321" s="645">
        <v>1</v>
      </c>
      <c r="AN321" s="647">
        <v>0</v>
      </c>
      <c r="AO321" s="647">
        <v>0</v>
      </c>
      <c r="AP321" s="647"/>
      <c r="AQ321" s="658"/>
      <c r="AR321" s="235" t="str">
        <f>IFERROR(WWWW[[#This Row],['# of Water passed at source]]/WWWW[[#This Row],['# of Water tested at source]],"no test")</f>
        <v>no test</v>
      </c>
      <c r="AS321" s="237" t="str">
        <f>IFERROR(WWWW[[#This Row],['# of Water passed at HH]]/WWWW[[#This Row],['# of Water tested at HH]],"no test")</f>
        <v>no test</v>
      </c>
      <c r="AT321" s="237">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U321" s="237">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AV321" s="237">
        <f>IF(WWWW[[#This Row],[Location Type 1]]="Village",WWWW[[#This Row],[Access to safe drinking water for Village]],WWWW[[#This Row],[Access to safe drinking water for Camp]])</f>
        <v>0</v>
      </c>
      <c r="AW321" s="414">
        <f>WWWW[[#This Row],[%Equitable and continuous access to sufficient quantity of safe drinking water]]*WWWW[[#This Row],[Total PoP ]]</f>
        <v>0</v>
      </c>
      <c r="AX321" s="237">
        <f>IF((WWWW[[#This Row],['# Existing protected/fenced ponds ]]*250)/WWWW[[#This Row],[Total PoP ]]&gt;1,1,WWWW[[#This Row],['# Existing protected/fenced ponds ]]*250/WWWW[[#This Row],[Total PoP ]])</f>
        <v>0.5592841163310962</v>
      </c>
      <c r="AY321" s="414">
        <f>WWWW[[#This Row],[Access to unimproved water points]]*WWWW[[#This Row],[Total PoP ]]</f>
        <v>250</v>
      </c>
      <c r="AZ321" s="237">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0.5592841163310962</v>
      </c>
      <c r="BA321" s="414">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250</v>
      </c>
      <c r="BB321" s="414">
        <f>WWWW[[#This Row],['#people Equitable and continuous access to sufficient quantity of domestic water borehole n ponds_2]]/500</f>
        <v>0.5</v>
      </c>
      <c r="BC321" s="235">
        <f>1-WWWW[[#This Row],[%Equitable and continuous access to sufficient quantity of domestic water borehole n ponds]]</f>
        <v>0.4407158836689038</v>
      </c>
      <c r="BD321" s="414">
        <f>WWWW[[#This Row],[%equitable and continuous access to sufficient quantity of safe drinking and domestic water''s GAP]]*WWWW[[#This Row],[Total PoP ]]</f>
        <v>197</v>
      </c>
      <c r="BE321" s="238">
        <f>IF(WWWW[[#This Row],[Total required water points]]-WWWW[[#This Row],['#Water points coverage]]&lt;0,0,WWWW[[#This Row],[Total required water points]]-WWWW[[#This Row],['#Water points coverage]])</f>
        <v>0.5</v>
      </c>
      <c r="BF321" s="238">
        <f>ROUND(IF(WWWW[[#This Row],[Total PoP ]]&lt;500,1,WWWW[[#This Row],[Total PoP ]]/500),0)</f>
        <v>1</v>
      </c>
      <c r="BG321" s="238" t="str">
        <f>IF(AND(WWWW[[#This Row],[%of Water samples which passed at water source]]="no test",WWWW[[#This Row],[%Water samples which passed at HH]]="no test"),"No Test","Tested")</f>
        <v>No Test</v>
      </c>
      <c r="BH321" s="238">
        <f>WWWW[[#This Row],['# Existing functional latrines]]+WWWW[[#This Row],['# Existing latrines dysfunctional]]</f>
        <v>72</v>
      </c>
      <c r="BI321" s="235">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0.96644295302013428</v>
      </c>
      <c r="BJ321" s="675">
        <f>WWWW[[#This Row],[% people access to functioning Latrine]]*WWWW[[#This Row],[Total PoP ]]</f>
        <v>432</v>
      </c>
      <c r="BK321" s="235">
        <f>IF(WWWW[[#This Row],[Location Type 1]]="camp",WWWW[[#This Row],['# potential required new latrines]]/(WWWW[[#This Row],[Total PoP ]]/20),WWWW[[#This Row],['# potential required new latrines]]/(WWWW[[#This Row],[Total PoP ]]/6))</f>
        <v>4.0268456375838924E-2</v>
      </c>
      <c r="BL321" s="414">
        <f>IF(WWWW[[#This Row],[Total required Latrines]]-WWWW[[#This Row],[Total '# of latrine]]&lt;0,0,WWWW[[#This Row],[Total required Latrines]]-WWWW[[#This Row],[Total '# of latrine]])</f>
        <v>3</v>
      </c>
      <c r="BM321" s="238">
        <f>ROUND(IF(WWWW[[#This Row],[Location Type 1]]="camp",WWWW[[#This Row],[Total PoP ]]/20,WWWW[[#This Row],[Total PoP ]]/6),0)</f>
        <v>75</v>
      </c>
      <c r="BN321" s="239">
        <f>IF(OR(WWWW[[#This Row],['# Existing latrines dysfunctional]]="",WWWW[[#This Row],['# Existing latrines dysfunctional]]=0),0,WWWW[[#This Row],['# Existing latrines dysfunctional]]/WWWW[[#This Row],[Total '# of latrine]])</f>
        <v>0</v>
      </c>
      <c r="BO321" s="675"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P321" s="235">
        <f>WWWW[[#This Row],[People adopt basic personal and community hygiene practices]]/WWWW[[#This Row],[Total PoP ]]</f>
        <v>0</v>
      </c>
      <c r="BQ321" s="239">
        <f>1-WWWW[[#This Row],[Hygiene Coverage%]]</f>
        <v>1</v>
      </c>
      <c r="BR321" s="414">
        <f>IF(500*WWWW[[#This Row],['# Hygiene Promoters ]]&gt;WWWW[[#This Row],[Total PoP ]],WWWW[[#This Row],[Total PoP ]],500*WWWW[[#This Row],['# Hygiene Promoters ]])</f>
        <v>447</v>
      </c>
      <c r="BS321" s="414">
        <f>IF(WWWW[[#This Row],[% of HH with access to Sanitary Pad]]&gt;=100%,1,0)</f>
        <v>0</v>
      </c>
      <c r="BT321" s="414">
        <f>IF(WWWW[[#This Row],[Total PoP ]]=0,0,IF(WWWW[[#This Row],['# Hygiene Promoters ]]=0,0,IF(WWWW[[#This Row],[Location Type 1]]="Village",IF(WWWW[[#This Row],[Total PoP ]]/WWWW[[#This Row],['# Hygiene Promoters ]]&lt;1000,1,0),IF(WWWW[[#This Row],[Total PoP ]]/WWWW[[#This Row],['# Hygiene Promoters ]]&lt;600,1,0))))</f>
        <v>1</v>
      </c>
      <c r="BU321" s="414">
        <f>IF(WWWW[[#This Row],[%HH with access to soap]]&gt;=100%,1,0)</f>
        <v>0</v>
      </c>
      <c r="BV321" s="414">
        <f>IF(WWWW[[#This Row],[% of HHs with access to Sanitary pad more than '#%]]+WWWW[[#This Row],[Ratio of Hyiene promoters to people less than '#]]+WWWW[[#This Row],[% of HHs with access to soap more than '#%]]&gt;=2,WWWW[[#This Row],[Total PoP ]],0)</f>
        <v>0</v>
      </c>
      <c r="BW321" s="346">
        <f>WWWW[[#This Row],['# people reached by regular dedicated hygiene promotion_5]]/WWWW[[#This Row],[Total PoP ]]</f>
        <v>1</v>
      </c>
      <c r="BX321" s="346">
        <f>IF(WWWW[[#This Row],['# HH received soaps]]/WWWW[[#This Row],[Total HH]]&gt;1,1,WWWW[[#This Row],['# HH received soaps]]/WWWW[[#This Row],[Total HH]])</f>
        <v>0</v>
      </c>
      <c r="BY321" s="346">
        <f>IF(WWWW[[#This Row],['# HH received Sanitary Pads]]/WWWW[[#This Row],[Total HH]]&gt;1,1,WWWW[[#This Row],['# HH received Sanitary Pads]]/WWWW[[#This Row],[Total HH]])</f>
        <v>0</v>
      </c>
      <c r="BZ321" s="720">
        <f>WWWW[[#This Row],['# HH received soaps]]*5</f>
        <v>0</v>
      </c>
      <c r="CA321" s="720">
        <f>WWWW[[#This Row],['# HH received Sanitary Pads]]*5</f>
        <v>0</v>
      </c>
      <c r="CB321" s="238">
        <f>IF(WWWW[[#This Row],['# People with access to soap]]&gt;WWWW[[#This Row],['# People with access to Sanity Pads]],WWWW[[#This Row],['# People with access to soap]],WWWW[[#This Row],['# People with access to Sanity Pads]])</f>
        <v>0</v>
      </c>
      <c r="CC321" s="414">
        <f>WWWW[[#This Row],[Total HH]]*WWWW[[#This Row],[%HHs with access to functional hand washing stations]]</f>
        <v>72</v>
      </c>
      <c r="CD321" s="240">
        <f>VLOOKUP(WWWW[[#This Row],[Site Name]],SiteDB6[],8,FALSE)</f>
        <v>0</v>
      </c>
      <c r="CE321" s="240">
        <f>VLOOKUP(WWWW[[#This Row],[Site Name]],SiteDB6[],9,FALSE)</f>
        <v>0</v>
      </c>
      <c r="CF321" s="240" t="str">
        <f>VLOOKUP(WWWW[[#This Row],[Site Name]],SiteDB6[],10,FALSE)</f>
        <v>Village</v>
      </c>
      <c r="CG321" s="240" t="str">
        <f>VLOOKUP(WWWW[[#This Row],[Site Name]],SiteDB6[],11,FALSE)</f>
        <v>Village</v>
      </c>
      <c r="CH321" s="240" t="str">
        <f>VLOOKUP(WWWW[[#This Row],[Site Name]],SiteDB6[],12,FALSE)</f>
        <v>Relocated</v>
      </c>
      <c r="CI321" s="240" t="str">
        <f>VLOOKUP(WWWW[[#This Row],[Site Name]],SiteDB6[],13,FALSE)</f>
        <v>Maramargyi</v>
      </c>
      <c r="CJ321" s="240">
        <f>VLOOKUP(WWWW[[#This Row],[Site Name]],SiteDB6[],14,FALSE)</f>
        <v>20.148584</v>
      </c>
      <c r="CK321" s="240">
        <f>VLOOKUP(WWWW[[#This Row],[Site Name]],SiteDB6[],15,FALSE)</f>
        <v>92.880319999999998</v>
      </c>
      <c r="CL321" s="240" t="str">
        <f>VLOOKUP(WWWW[[#This Row],[Site Name]],SiteDB6[],4,FALSE)</f>
        <v>MMR012CMP056</v>
      </c>
      <c r="CM321" s="235" t="str">
        <f t="shared" si="4"/>
        <v>Covered</v>
      </c>
      <c r="CN321" s="235"/>
    </row>
    <row r="322" spans="1:92" ht="15.75" hidden="1" customHeight="1" x14ac:dyDescent="0.25">
      <c r="A322" s="532" t="s">
        <v>1409</v>
      </c>
      <c r="B322" s="533" t="s">
        <v>539</v>
      </c>
      <c r="C322" s="533" t="s">
        <v>464</v>
      </c>
      <c r="D322" s="533" t="s">
        <v>465</v>
      </c>
      <c r="E322" s="533" t="s">
        <v>2636</v>
      </c>
      <c r="F322" s="233">
        <v>152</v>
      </c>
      <c r="G322" s="414">
        <v>614</v>
      </c>
      <c r="H322" s="233">
        <v>0</v>
      </c>
      <c r="I322" s="233" t="s">
        <v>47</v>
      </c>
      <c r="J322" s="234">
        <v>44104</v>
      </c>
      <c r="K322" s="233">
        <v>0</v>
      </c>
      <c r="L322" s="233" t="s">
        <v>292</v>
      </c>
      <c r="M322" s="235">
        <v>0</v>
      </c>
      <c r="N322" s="235">
        <v>0</v>
      </c>
      <c r="O322" s="609">
        <v>0</v>
      </c>
      <c r="P322" s="615">
        <v>12</v>
      </c>
      <c r="Q322" s="615">
        <v>0</v>
      </c>
      <c r="R322" s="604">
        <v>0</v>
      </c>
      <c r="S322" s="604">
        <v>0</v>
      </c>
      <c r="T322" s="604">
        <v>0</v>
      </c>
      <c r="U322" s="604">
        <v>0</v>
      </c>
      <c r="V322" s="604">
        <v>0</v>
      </c>
      <c r="W322" s="604">
        <v>0</v>
      </c>
      <c r="X322" s="604">
        <v>0</v>
      </c>
      <c r="Y322" s="604"/>
      <c r="Z322" s="628">
        <v>152</v>
      </c>
      <c r="AA322" s="628">
        <v>0</v>
      </c>
      <c r="AB322" s="629">
        <v>0</v>
      </c>
      <c r="AC322" s="628">
        <v>0</v>
      </c>
      <c r="AD322" s="628" t="s">
        <v>293</v>
      </c>
      <c r="AE322" s="631" t="s">
        <v>1379</v>
      </c>
      <c r="AF322" s="631">
        <v>0</v>
      </c>
      <c r="AG322" s="628">
        <v>0</v>
      </c>
      <c r="AH322" s="628"/>
      <c r="AI322" s="659">
        <v>1</v>
      </c>
      <c r="AJ322" s="644" t="s">
        <v>294</v>
      </c>
      <c r="AK322" s="644">
        <v>152</v>
      </c>
      <c r="AL322" s="645">
        <v>0</v>
      </c>
      <c r="AM322" s="645">
        <v>1</v>
      </c>
      <c r="AN322" s="647">
        <v>0</v>
      </c>
      <c r="AO322" s="647">
        <v>0</v>
      </c>
      <c r="AP322" s="647"/>
      <c r="AQ322" s="658"/>
      <c r="AR322" s="235" t="str">
        <f>IFERROR(WWWW[[#This Row],['# of Water passed at source]]/WWWW[[#This Row],['# of Water tested at source]],"no test")</f>
        <v>no test</v>
      </c>
      <c r="AS322" s="237" t="str">
        <f>IFERROR(WWWW[[#This Row],['# of Water passed at HH]]/WWWW[[#This Row],['# of Water tested at HH]],"no test")</f>
        <v>no test</v>
      </c>
      <c r="AT322" s="237">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U322" s="237">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AV322" s="237">
        <f>IF(WWWW[[#This Row],[Location Type 1]]="Village",WWWW[[#This Row],[Access to safe drinking water for Village]],WWWW[[#This Row],[Access to safe drinking water for Camp]])</f>
        <v>1</v>
      </c>
      <c r="AW322" s="414">
        <f>WWWW[[#This Row],[%Equitable and continuous access to sufficient quantity of safe drinking water]]*WWWW[[#This Row],[Total PoP ]]</f>
        <v>614</v>
      </c>
      <c r="AX322" s="237">
        <f>IF((WWWW[[#This Row],['# Existing protected/fenced ponds ]]*250)/WWWW[[#This Row],[Total PoP ]]&gt;1,1,WWWW[[#This Row],['# Existing protected/fenced ponds ]]*250/WWWW[[#This Row],[Total PoP ]])</f>
        <v>0</v>
      </c>
      <c r="AY322" s="414">
        <f>WWWW[[#This Row],[Access to unimproved water points]]*WWWW[[#This Row],[Total PoP ]]</f>
        <v>0</v>
      </c>
      <c r="AZ322" s="237">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A322" s="414">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614</v>
      </c>
      <c r="BB322" s="414">
        <f>WWWW[[#This Row],['#people Equitable and continuous access to sufficient quantity of domestic water borehole n ponds_2]]/500</f>
        <v>1.228</v>
      </c>
      <c r="BC322" s="235">
        <f>1-WWWW[[#This Row],[%Equitable and continuous access to sufficient quantity of domestic water borehole n ponds]]</f>
        <v>0</v>
      </c>
      <c r="BD322" s="414">
        <f>WWWW[[#This Row],[%equitable and continuous access to sufficient quantity of safe drinking and domestic water''s GAP]]*WWWW[[#This Row],[Total PoP ]]</f>
        <v>0</v>
      </c>
      <c r="BE322" s="238">
        <f>IF(WWWW[[#This Row],[Total required water points]]-WWWW[[#This Row],['#Water points coverage]]&lt;0,0,WWWW[[#This Row],[Total required water points]]-WWWW[[#This Row],['#Water points coverage]])</f>
        <v>0</v>
      </c>
      <c r="BF322" s="238">
        <f>ROUND(IF(WWWW[[#This Row],[Total PoP ]]&lt;500,1,WWWW[[#This Row],[Total PoP ]]/500),0)</f>
        <v>1</v>
      </c>
      <c r="BG322" s="238" t="str">
        <f>IF(AND(WWWW[[#This Row],[%of Water samples which passed at water source]]="no test",WWWW[[#This Row],[%Water samples which passed at HH]]="no test"),"No Test","Tested")</f>
        <v>No Test</v>
      </c>
      <c r="BH322" s="238">
        <f>WWWW[[#This Row],['# Existing functional latrines]]+WWWW[[#This Row],['# Existing latrines dysfunctional]]</f>
        <v>152</v>
      </c>
      <c r="BI322" s="235">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1</v>
      </c>
      <c r="BJ322" s="675">
        <f>WWWW[[#This Row],[% people access to functioning Latrine]]*WWWW[[#This Row],[Total PoP ]]</f>
        <v>614</v>
      </c>
      <c r="BK322" s="235">
        <f>IF(WWWW[[#This Row],[Location Type 1]]="camp",WWWW[[#This Row],['# potential required new latrines]]/(WWWW[[#This Row],[Total PoP ]]/20),WWWW[[#This Row],['# potential required new latrines]]/(WWWW[[#This Row],[Total PoP ]]/6))</f>
        <v>0</v>
      </c>
      <c r="BL322" s="414">
        <f>IF(WWWW[[#This Row],[Total required Latrines]]-WWWW[[#This Row],[Total '# of latrine]]&lt;0,0,WWWW[[#This Row],[Total required Latrines]]-WWWW[[#This Row],[Total '# of latrine]])</f>
        <v>0</v>
      </c>
      <c r="BM322" s="238">
        <f>ROUND(IF(WWWW[[#This Row],[Location Type 1]]="camp",WWWW[[#This Row],[Total PoP ]]/20,WWWW[[#This Row],[Total PoP ]]/6),0)</f>
        <v>102</v>
      </c>
      <c r="BN322" s="239">
        <f>IF(OR(WWWW[[#This Row],['# Existing latrines dysfunctional]]="",WWWW[[#This Row],['# Existing latrines dysfunctional]]=0),0,WWWW[[#This Row],['# Existing latrines dysfunctional]]/WWWW[[#This Row],[Total '# of latrine]])</f>
        <v>0</v>
      </c>
      <c r="BO322" s="675"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P322" s="235">
        <f>WWWW[[#This Row],[People adopt basic personal and community hygiene practices]]/WWWW[[#This Row],[Total PoP ]]</f>
        <v>0</v>
      </c>
      <c r="BQ322" s="239">
        <f>1-WWWW[[#This Row],[Hygiene Coverage%]]</f>
        <v>1</v>
      </c>
      <c r="BR322" s="414">
        <f>IF(500*WWWW[[#This Row],['# Hygiene Promoters ]]&gt;WWWW[[#This Row],[Total PoP ]],WWWW[[#This Row],[Total PoP ]],500*WWWW[[#This Row],['# Hygiene Promoters ]])</f>
        <v>500</v>
      </c>
      <c r="BS322" s="414">
        <f>IF(WWWW[[#This Row],[% of HH with access to Sanitary Pad]]&gt;=100%,1,0)</f>
        <v>0</v>
      </c>
      <c r="BT322" s="414">
        <f>IF(WWWW[[#This Row],[Total PoP ]]=0,0,IF(WWWW[[#This Row],['# Hygiene Promoters ]]=0,0,IF(WWWW[[#This Row],[Location Type 1]]="Village",IF(WWWW[[#This Row],[Total PoP ]]/WWWW[[#This Row],['# Hygiene Promoters ]]&lt;1000,1,0),IF(WWWW[[#This Row],[Total PoP ]]/WWWW[[#This Row],['# Hygiene Promoters ]]&lt;600,1,0))))</f>
        <v>1</v>
      </c>
      <c r="BU322" s="414">
        <f>IF(WWWW[[#This Row],[%HH with access to soap]]&gt;=100%,1,0)</f>
        <v>0</v>
      </c>
      <c r="BV322" s="414">
        <f>IF(WWWW[[#This Row],[% of HHs with access to Sanitary pad more than '#%]]+WWWW[[#This Row],[Ratio of Hyiene promoters to people less than '#]]+WWWW[[#This Row],[% of HHs with access to soap more than '#%]]&gt;=2,WWWW[[#This Row],[Total PoP ]],0)</f>
        <v>0</v>
      </c>
      <c r="BW322" s="346">
        <f>WWWW[[#This Row],['# people reached by regular dedicated hygiene promotion_5]]/WWWW[[#This Row],[Total PoP ]]</f>
        <v>0.81433224755700329</v>
      </c>
      <c r="BX322" s="346">
        <f>IF(WWWW[[#This Row],['# HH received soaps]]/WWWW[[#This Row],[Total HH]]&gt;1,1,WWWW[[#This Row],['# HH received soaps]]/WWWW[[#This Row],[Total HH]])</f>
        <v>0</v>
      </c>
      <c r="BY322" s="346">
        <f>IF(WWWW[[#This Row],['# HH received Sanitary Pads]]/WWWW[[#This Row],[Total HH]]&gt;1,1,WWWW[[#This Row],['# HH received Sanitary Pads]]/WWWW[[#This Row],[Total HH]])</f>
        <v>0</v>
      </c>
      <c r="BZ322" s="720">
        <f>WWWW[[#This Row],['# HH received soaps]]*5</f>
        <v>0</v>
      </c>
      <c r="CA322" s="720">
        <f>WWWW[[#This Row],['# HH received Sanitary Pads]]*5</f>
        <v>0</v>
      </c>
      <c r="CB322" s="238">
        <f>IF(WWWW[[#This Row],['# People with access to soap]]&gt;WWWW[[#This Row],['# People with access to Sanity Pads]],WWWW[[#This Row],['# People with access to soap]],WWWW[[#This Row],['# People with access to Sanity Pads]])</f>
        <v>0</v>
      </c>
      <c r="CC322" s="414">
        <f>WWWW[[#This Row],[Total HH]]*WWWW[[#This Row],[%HHs with access to functional hand washing stations]]</f>
        <v>152</v>
      </c>
      <c r="CD322" s="240">
        <f>VLOOKUP(WWWW[[#This Row],[Site Name]],SiteDB6[],8,FALSE)</f>
        <v>0</v>
      </c>
      <c r="CE322" s="240">
        <f>VLOOKUP(WWWW[[#This Row],[Site Name]],SiteDB6[],9,FALSE)</f>
        <v>0</v>
      </c>
      <c r="CF322" s="240" t="str">
        <f>VLOOKUP(WWWW[[#This Row],[Site Name]],SiteDB6[],10,FALSE)</f>
        <v>Village</v>
      </c>
      <c r="CG322" s="240" t="str">
        <f>VLOOKUP(WWWW[[#This Row],[Site Name]],SiteDB6[],11,FALSE)</f>
        <v>Village</v>
      </c>
      <c r="CH322" s="240" t="str">
        <f>VLOOKUP(WWWW[[#This Row],[Site Name]],SiteDB6[],12,FALSE)</f>
        <v>Relocated</v>
      </c>
      <c r="CI322" s="240" t="str">
        <f>VLOOKUP(WWWW[[#This Row],[Site Name]],SiteDB6[],13,FALSE)</f>
        <v>Rakhine</v>
      </c>
      <c r="CJ322" s="240">
        <f>VLOOKUP(WWWW[[#This Row],[Site Name]],SiteDB6[],14,FALSE)</f>
        <v>20.155805999999998</v>
      </c>
      <c r="CK322" s="240">
        <f>VLOOKUP(WWWW[[#This Row],[Site Name]],SiteDB6[],15,FALSE)</f>
        <v>92.879138999999995</v>
      </c>
      <c r="CL322" s="240" t="str">
        <f>VLOOKUP(WWWW[[#This Row],[Site Name]],SiteDB6[],4,FALSE)</f>
        <v>MMR012CMP093</v>
      </c>
      <c r="CM322" s="235" t="str">
        <f t="shared" si="4"/>
        <v>Covered</v>
      </c>
      <c r="CN322" s="235"/>
    </row>
    <row r="323" spans="1:92" ht="15.75" customHeight="1" x14ac:dyDescent="0.25">
      <c r="A323" s="532" t="s">
        <v>1409</v>
      </c>
      <c r="B323" s="533" t="s">
        <v>539</v>
      </c>
      <c r="C323" s="533" t="s">
        <v>464</v>
      </c>
      <c r="D323" s="533" t="s">
        <v>465</v>
      </c>
      <c r="E323" s="533" t="s">
        <v>600</v>
      </c>
      <c r="F323" s="233">
        <v>1013</v>
      </c>
      <c r="G323" s="414">
        <v>5950</v>
      </c>
      <c r="H323" s="233"/>
      <c r="I323" s="233" t="s">
        <v>47</v>
      </c>
      <c r="J323" s="234">
        <v>44104</v>
      </c>
      <c r="K323" s="233">
        <v>0</v>
      </c>
      <c r="L323" s="233" t="s">
        <v>292</v>
      </c>
      <c r="M323" s="235">
        <v>0</v>
      </c>
      <c r="N323" s="235">
        <v>0</v>
      </c>
      <c r="O323" s="609">
        <v>0</v>
      </c>
      <c r="P323" s="615">
        <v>73</v>
      </c>
      <c r="Q323" s="615"/>
      <c r="R323" s="604">
        <v>0</v>
      </c>
      <c r="S323" s="604">
        <v>93</v>
      </c>
      <c r="T323" s="604">
        <v>24</v>
      </c>
      <c r="U323" s="604">
        <v>23</v>
      </c>
      <c r="V323" s="604">
        <v>26</v>
      </c>
      <c r="W323" s="604">
        <v>21</v>
      </c>
      <c r="X323" s="604">
        <v>4</v>
      </c>
      <c r="Y323" s="604"/>
      <c r="Z323" s="628">
        <v>245</v>
      </c>
      <c r="AA323" s="628">
        <v>127</v>
      </c>
      <c r="AB323" s="629">
        <v>0</v>
      </c>
      <c r="AC323" s="628">
        <v>372</v>
      </c>
      <c r="AD323" s="628" t="s">
        <v>293</v>
      </c>
      <c r="AE323" s="631" t="s">
        <v>1379</v>
      </c>
      <c r="AF323" s="631">
        <v>0</v>
      </c>
      <c r="AG323" s="628">
        <v>17</v>
      </c>
      <c r="AH323" s="628"/>
      <c r="AI323" s="659">
        <v>1</v>
      </c>
      <c r="AJ323" s="644" t="s">
        <v>294</v>
      </c>
      <c r="AK323" s="644">
        <v>1013</v>
      </c>
      <c r="AL323" s="645">
        <v>0</v>
      </c>
      <c r="AM323" s="645">
        <v>10</v>
      </c>
      <c r="AN323" s="647">
        <v>1013</v>
      </c>
      <c r="AO323" s="647">
        <v>1013</v>
      </c>
      <c r="AP323" s="647" t="s">
        <v>292</v>
      </c>
      <c r="AQ323" s="658"/>
      <c r="AR323" s="235">
        <f>IFERROR(WWWW[[#This Row],['# of Water passed at source]]/WWWW[[#This Row],['# of Water tested at source]],"no test")</f>
        <v>0.95833333333333337</v>
      </c>
      <c r="AS323" s="237">
        <f>IFERROR(WWWW[[#This Row],['# of Water passed at HH]]/WWWW[[#This Row],['# of Water tested at HH]],"no test")</f>
        <v>0.80769230769230771</v>
      </c>
      <c r="AT323" s="237">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U323" s="237">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AV323" s="237">
        <f>IF(WWWW[[#This Row],[Location Type 1]]="Village",WWWW[[#This Row],[Access to safe drinking water for Village]],WWWW[[#This Row],[Access to safe drinking water for Camp]])</f>
        <v>1</v>
      </c>
      <c r="AW323" s="414">
        <f>WWWW[[#This Row],[%Equitable and continuous access to sufficient quantity of safe drinking water]]*WWWW[[#This Row],[Total PoP ]]</f>
        <v>5950</v>
      </c>
      <c r="AX323" s="237">
        <f>IF((WWWW[[#This Row],['# Existing protected/fenced ponds ]]*250)/WWWW[[#This Row],[Total PoP ]]&gt;1,1,WWWW[[#This Row],['# Existing protected/fenced ponds ]]*250/WWWW[[#This Row],[Total PoP ]])</f>
        <v>0</v>
      </c>
      <c r="AY323" s="414">
        <f>WWWW[[#This Row],[Access to unimproved water points]]*WWWW[[#This Row],[Total PoP ]]</f>
        <v>0</v>
      </c>
      <c r="AZ323" s="237">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A323" s="414">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5950</v>
      </c>
      <c r="BB323" s="414">
        <f>WWWW[[#This Row],['#people Equitable and continuous access to sufficient quantity of domestic water borehole n ponds_2]]/500</f>
        <v>11.9</v>
      </c>
      <c r="BC323" s="235">
        <f>1-WWWW[[#This Row],[%Equitable and continuous access to sufficient quantity of domestic water borehole n ponds]]</f>
        <v>0</v>
      </c>
      <c r="BD323" s="414">
        <f>WWWW[[#This Row],[%equitable and continuous access to sufficient quantity of safe drinking and domestic water''s GAP]]*WWWW[[#This Row],[Total PoP ]]</f>
        <v>0</v>
      </c>
      <c r="BE323" s="238">
        <f>IF(WWWW[[#This Row],[Total required water points]]-WWWW[[#This Row],['#Water points coverage]]&lt;0,0,WWWW[[#This Row],[Total required water points]]-WWWW[[#This Row],['#Water points coverage]])</f>
        <v>9.9999999999999645E-2</v>
      </c>
      <c r="BF323" s="238">
        <f>ROUND(IF(WWWW[[#This Row],[Total PoP ]]&lt;500,1,WWWW[[#This Row],[Total PoP ]]/500),0)</f>
        <v>12</v>
      </c>
      <c r="BG323" s="238" t="str">
        <f>IF(AND(WWWW[[#This Row],[%of Water samples which passed at water source]]="no test",WWWW[[#This Row],[%Water samples which passed at HH]]="no test"),"No Test","Tested")</f>
        <v>Tested</v>
      </c>
      <c r="BH323" s="238">
        <f>WWWW[[#This Row],['# Existing functional latrines]]+WWWW[[#This Row],['# Existing latrines dysfunctional]]</f>
        <v>372</v>
      </c>
      <c r="BI323" s="235">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0.82352941176470584</v>
      </c>
      <c r="BJ323" s="675">
        <f>WWWW[[#This Row],[% people access to functioning Latrine]]*WWWW[[#This Row],[Total PoP ]]</f>
        <v>4900</v>
      </c>
      <c r="BK323" s="235">
        <f>IF(WWWW[[#This Row],[Location Type 1]]="camp",WWWW[[#This Row],['# potential required new latrines]]/(WWWW[[#This Row],[Total PoP ]]/20),WWWW[[#This Row],['# potential required new latrines]]/(WWWW[[#This Row],[Total PoP ]]/6))</f>
        <v>0</v>
      </c>
      <c r="BL323" s="414">
        <f>IF(WWWW[[#This Row],[Total required Latrines]]-WWWW[[#This Row],[Total '# of latrine]]&lt;0,0,WWWW[[#This Row],[Total required Latrines]]-WWWW[[#This Row],[Total '# of latrine]])</f>
        <v>0</v>
      </c>
      <c r="BM323" s="238">
        <f>ROUND(IF(WWWW[[#This Row],[Location Type 1]]="camp",WWWW[[#This Row],[Total PoP ]]/20,WWWW[[#This Row],[Total PoP ]]/6),0)</f>
        <v>298</v>
      </c>
      <c r="BN323" s="239">
        <f>IF(OR(WWWW[[#This Row],['# Existing latrines dysfunctional]]="",WWWW[[#This Row],['# Existing latrines dysfunctional]]=0),0,WWWW[[#This Row],['# Existing latrines dysfunctional]]/WWWW[[#This Row],[Total '# of latrine]])</f>
        <v>0.34139784946236557</v>
      </c>
      <c r="BO323" s="675">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P323" s="235">
        <f>WWWW[[#This Row],[People adopt basic personal and community hygiene practices]]/WWWW[[#This Row],[Total PoP ]]</f>
        <v>1</v>
      </c>
      <c r="BQ323" s="239">
        <f>1-WWWW[[#This Row],[Hygiene Coverage%]]</f>
        <v>0</v>
      </c>
      <c r="BR323" s="414">
        <f>IF(500*WWWW[[#This Row],['# Hygiene Promoters ]]&gt;WWWW[[#This Row],[Total PoP ]],WWWW[[#This Row],[Total PoP ]],500*WWWW[[#This Row],['# Hygiene Promoters ]])</f>
        <v>5000</v>
      </c>
      <c r="BS323" s="414">
        <f>IF(WWWW[[#This Row],[% of HH with access to Sanitary Pad]]&gt;=100%,1,0)</f>
        <v>1</v>
      </c>
      <c r="BT323" s="414">
        <f>IF(WWWW[[#This Row],[Total PoP ]]=0,0,IF(WWWW[[#This Row],['# Hygiene Promoters ]]=0,0,IF(WWWW[[#This Row],[Location Type 1]]="Village",IF(WWWW[[#This Row],[Total PoP ]]/WWWW[[#This Row],['# Hygiene Promoters ]]&lt;1000,1,0),IF(WWWW[[#This Row],[Total PoP ]]/WWWW[[#This Row],['# Hygiene Promoters ]]&lt;600,1,0))))</f>
        <v>1</v>
      </c>
      <c r="BU323" s="414">
        <f>IF(WWWW[[#This Row],[%HH with access to soap]]&gt;=100%,1,0)</f>
        <v>1</v>
      </c>
      <c r="BV323" s="414">
        <f>IF(WWWW[[#This Row],[% of HHs with access to Sanitary pad more than '#%]]+WWWW[[#This Row],[Ratio of Hyiene promoters to people less than '#]]+WWWW[[#This Row],[% of HHs with access to soap more than '#%]]&gt;=2,WWWW[[#This Row],[Total PoP ]],0)</f>
        <v>5950</v>
      </c>
      <c r="BW323" s="346">
        <f>WWWW[[#This Row],['# people reached by regular dedicated hygiene promotion_5]]/WWWW[[#This Row],[Total PoP ]]</f>
        <v>0.84033613445378152</v>
      </c>
      <c r="BX323" s="346">
        <f>IF(WWWW[[#This Row],['# HH received soaps]]/WWWW[[#This Row],[Total HH]]&gt;1,1,WWWW[[#This Row],['# HH received soaps]]/WWWW[[#This Row],[Total HH]])</f>
        <v>1</v>
      </c>
      <c r="BY323" s="346">
        <f>IF(WWWW[[#This Row],['# HH received Sanitary Pads]]/WWWW[[#This Row],[Total HH]]&gt;1,1,WWWW[[#This Row],['# HH received Sanitary Pads]]/WWWW[[#This Row],[Total HH]])</f>
        <v>1</v>
      </c>
      <c r="BZ323" s="720">
        <f>WWWW[[#This Row],['# HH received soaps]]*5</f>
        <v>5065</v>
      </c>
      <c r="CA323" s="720">
        <f>WWWW[[#This Row],['# HH received Sanitary Pads]]*5</f>
        <v>5065</v>
      </c>
      <c r="CB323" s="238">
        <f>IF(WWWW[[#This Row],['# People with access to soap]]&gt;WWWW[[#This Row],['# People with access to Sanity Pads]],WWWW[[#This Row],['# People with access to soap]],WWWW[[#This Row],['# People with access to Sanity Pads]])</f>
        <v>5065</v>
      </c>
      <c r="CC323" s="414">
        <f>WWWW[[#This Row],[Total HH]]*WWWW[[#This Row],[%HHs with access to functional hand washing stations]]</f>
        <v>1013</v>
      </c>
      <c r="CD323" s="240" t="str">
        <f>VLOOKUP(WWWW[[#This Row],[Site Name]],SiteDB6[],8,FALSE)</f>
        <v>Yes</v>
      </c>
      <c r="CE323" s="240" t="str">
        <f>VLOOKUP(WWWW[[#This Row],[Site Name]],SiteDB6[],9,FALSE)</f>
        <v>NRC</v>
      </c>
      <c r="CF323" s="240" t="str">
        <f>VLOOKUP(WWWW[[#This Row],[Site Name]],SiteDB6[],10,FALSE)</f>
        <v>Camp</v>
      </c>
      <c r="CG323" s="240" t="str">
        <f>VLOOKUP(WWWW[[#This Row],[Site Name]],SiteDB6[],11,FALSE)</f>
        <v>Camp</v>
      </c>
      <c r="CH323" s="240" t="str">
        <f>VLOOKUP(WWWW[[#This Row],[Site Name]],SiteDB6[],12,FALSE)</f>
        <v>Planned Camp</v>
      </c>
      <c r="CI323" s="240" t="str">
        <f>VLOOKUP(WWWW[[#This Row],[Site Name]],SiteDB6[],13,FALSE)</f>
        <v>Muslim</v>
      </c>
      <c r="CJ323" s="240">
        <f>VLOOKUP(WWWW[[#This Row],[Site Name]],SiteDB6[],14,FALSE)</f>
        <v>20.179939999999998</v>
      </c>
      <c r="CK323" s="240">
        <f>VLOOKUP(WWWW[[#This Row],[Site Name]],SiteDB6[],15,FALSE)</f>
        <v>92.831879000000001</v>
      </c>
      <c r="CL323" s="240" t="str">
        <f>VLOOKUP(WWWW[[#This Row],[Site Name]],SiteDB6[],4,FALSE)</f>
        <v>MMR012CMP048</v>
      </c>
      <c r="CM323" s="235" t="str">
        <f t="shared" si="4"/>
        <v>Covered</v>
      </c>
      <c r="CN323" s="235"/>
    </row>
    <row r="324" spans="1:92" ht="15.75" customHeight="1" x14ac:dyDescent="0.25">
      <c r="A324" s="532" t="s">
        <v>1409</v>
      </c>
      <c r="B324" s="533" t="s">
        <v>539</v>
      </c>
      <c r="C324" s="533" t="s">
        <v>464</v>
      </c>
      <c r="D324" s="533" t="s">
        <v>465</v>
      </c>
      <c r="E324" s="533" t="s">
        <v>603</v>
      </c>
      <c r="F324" s="233">
        <v>299</v>
      </c>
      <c r="G324" s="414">
        <v>1670</v>
      </c>
      <c r="H324" s="233"/>
      <c r="I324" s="233" t="s">
        <v>47</v>
      </c>
      <c r="J324" s="234">
        <v>44104</v>
      </c>
      <c r="K324" s="233">
        <v>0</v>
      </c>
      <c r="L324" s="233" t="s">
        <v>292</v>
      </c>
      <c r="M324" s="235">
        <v>0</v>
      </c>
      <c r="N324" s="235">
        <v>0</v>
      </c>
      <c r="O324" s="609">
        <v>0</v>
      </c>
      <c r="P324" s="615">
        <v>0</v>
      </c>
      <c r="Q324" s="615"/>
      <c r="R324" s="604">
        <v>0</v>
      </c>
      <c r="S324" s="604">
        <v>79</v>
      </c>
      <c r="T324" s="604">
        <v>39</v>
      </c>
      <c r="U324" s="604">
        <v>35</v>
      </c>
      <c r="V324" s="604">
        <v>42</v>
      </c>
      <c r="W324" s="604">
        <v>33</v>
      </c>
      <c r="X324" s="604">
        <v>7</v>
      </c>
      <c r="Y324" s="604"/>
      <c r="Z324" s="628">
        <v>192</v>
      </c>
      <c r="AA324" s="628">
        <v>0</v>
      </c>
      <c r="AB324" s="629">
        <v>0</v>
      </c>
      <c r="AC324" s="628">
        <v>192</v>
      </c>
      <c r="AD324" s="628" t="s">
        <v>293</v>
      </c>
      <c r="AE324" s="631" t="s">
        <v>1379</v>
      </c>
      <c r="AF324" s="631">
        <v>0</v>
      </c>
      <c r="AG324" s="628">
        <v>11</v>
      </c>
      <c r="AH324" s="628"/>
      <c r="AI324" s="659">
        <v>1</v>
      </c>
      <c r="AJ324" s="644" t="s">
        <v>294</v>
      </c>
      <c r="AK324" s="644">
        <v>299</v>
      </c>
      <c r="AL324" s="645">
        <v>0</v>
      </c>
      <c r="AM324" s="645">
        <v>15</v>
      </c>
      <c r="AN324" s="647">
        <v>299</v>
      </c>
      <c r="AO324" s="647">
        <v>299</v>
      </c>
      <c r="AP324" s="647" t="s">
        <v>292</v>
      </c>
      <c r="AQ324" s="658"/>
      <c r="AR324" s="235">
        <f>IFERROR(WWWW[[#This Row],['# of Water passed at source]]/WWWW[[#This Row],['# of Water tested at source]],"no test")</f>
        <v>0.89743589743589747</v>
      </c>
      <c r="AS324" s="237">
        <f>IFERROR(WWWW[[#This Row],['# of Water passed at HH]]/WWWW[[#This Row],['# of Water tested at HH]],"no test")</f>
        <v>0.7857142857142857</v>
      </c>
      <c r="AT324" s="237">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U324" s="237">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AV324" s="237">
        <f>IF(WWWW[[#This Row],[Location Type 1]]="Village",WWWW[[#This Row],[Access to safe drinking water for Village]],WWWW[[#This Row],[Access to safe drinking water for Camp]])</f>
        <v>0</v>
      </c>
      <c r="AW324" s="414">
        <f>WWWW[[#This Row],[%Equitable and continuous access to sufficient quantity of safe drinking water]]*WWWW[[#This Row],[Total PoP ]]</f>
        <v>0</v>
      </c>
      <c r="AX324" s="237">
        <f>IF((WWWW[[#This Row],['# Existing protected/fenced ponds ]]*250)/WWWW[[#This Row],[Total PoP ]]&gt;1,1,WWWW[[#This Row],['# Existing protected/fenced ponds ]]*250/WWWW[[#This Row],[Total PoP ]])</f>
        <v>0</v>
      </c>
      <c r="AY324" s="414">
        <f>WWWW[[#This Row],[Access to unimproved water points]]*WWWW[[#This Row],[Total PoP ]]</f>
        <v>0</v>
      </c>
      <c r="AZ324" s="237">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A324" s="414">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B324" s="414">
        <f>WWWW[[#This Row],['#people Equitable and continuous access to sufficient quantity of domestic water borehole n ponds_2]]/500</f>
        <v>0</v>
      </c>
      <c r="BC324" s="235">
        <f>1-WWWW[[#This Row],[%Equitable and continuous access to sufficient quantity of domestic water borehole n ponds]]</f>
        <v>1</v>
      </c>
      <c r="BD324" s="414">
        <f>WWWW[[#This Row],[%equitable and continuous access to sufficient quantity of safe drinking and domestic water''s GAP]]*WWWW[[#This Row],[Total PoP ]]</f>
        <v>1670</v>
      </c>
      <c r="BE324" s="238">
        <f>IF(WWWW[[#This Row],[Total required water points]]-WWWW[[#This Row],['#Water points coverage]]&lt;0,0,WWWW[[#This Row],[Total required water points]]-WWWW[[#This Row],['#Water points coverage]])</f>
        <v>3</v>
      </c>
      <c r="BF324" s="238">
        <f>ROUND(IF(WWWW[[#This Row],[Total PoP ]]&lt;500,1,WWWW[[#This Row],[Total PoP ]]/500),0)</f>
        <v>3</v>
      </c>
      <c r="BG324" s="238" t="str">
        <f>IF(AND(WWWW[[#This Row],[%of Water samples which passed at water source]]="no test",WWWW[[#This Row],[%Water samples which passed at HH]]="no test"),"No Test","Tested")</f>
        <v>Tested</v>
      </c>
      <c r="BH324" s="238">
        <f>WWWW[[#This Row],['# Existing functional latrines]]+WWWW[[#This Row],['# Existing latrines dysfunctional]]</f>
        <v>192</v>
      </c>
      <c r="BI324" s="235">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1</v>
      </c>
      <c r="BJ324" s="675">
        <f>WWWW[[#This Row],[% people access to functioning Latrine]]*WWWW[[#This Row],[Total PoP ]]</f>
        <v>1670</v>
      </c>
      <c r="BK324" s="235">
        <f>IF(WWWW[[#This Row],[Location Type 1]]="camp",WWWW[[#This Row],['# potential required new latrines]]/(WWWW[[#This Row],[Total PoP ]]/20),WWWW[[#This Row],['# potential required new latrines]]/(WWWW[[#This Row],[Total PoP ]]/6))</f>
        <v>0</v>
      </c>
      <c r="BL324" s="414">
        <f>IF(WWWW[[#This Row],[Total required Latrines]]-WWWW[[#This Row],[Total '# of latrine]]&lt;0,0,WWWW[[#This Row],[Total required Latrines]]-WWWW[[#This Row],[Total '# of latrine]])</f>
        <v>0</v>
      </c>
      <c r="BM324" s="238">
        <f>ROUND(IF(WWWW[[#This Row],[Location Type 1]]="camp",WWWW[[#This Row],[Total PoP ]]/20,WWWW[[#This Row],[Total PoP ]]/6),0)</f>
        <v>84</v>
      </c>
      <c r="BN324" s="239">
        <f>IF(OR(WWWW[[#This Row],['# Existing latrines dysfunctional]]="",WWWW[[#This Row],['# Existing latrines dysfunctional]]=0),0,WWWW[[#This Row],['# Existing latrines dysfunctional]]/WWWW[[#This Row],[Total '# of latrine]])</f>
        <v>0</v>
      </c>
      <c r="BO324" s="675">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P324" s="235">
        <f>WWWW[[#This Row],[People adopt basic personal and community hygiene practices]]/WWWW[[#This Row],[Total PoP ]]</f>
        <v>1</v>
      </c>
      <c r="BQ324" s="239">
        <f>1-WWWW[[#This Row],[Hygiene Coverage%]]</f>
        <v>0</v>
      </c>
      <c r="BR324" s="414">
        <f>IF(500*WWWW[[#This Row],['# Hygiene Promoters ]]&gt;WWWW[[#This Row],[Total PoP ]],WWWW[[#This Row],[Total PoP ]],500*WWWW[[#This Row],['# Hygiene Promoters ]])</f>
        <v>1670</v>
      </c>
      <c r="BS324" s="414">
        <f>IF(WWWW[[#This Row],[% of HH with access to Sanitary Pad]]&gt;=100%,1,0)</f>
        <v>1</v>
      </c>
      <c r="BT324" s="414">
        <f>IF(WWWW[[#This Row],[Total PoP ]]=0,0,IF(WWWW[[#This Row],['# Hygiene Promoters ]]=0,0,IF(WWWW[[#This Row],[Location Type 1]]="Village",IF(WWWW[[#This Row],[Total PoP ]]/WWWW[[#This Row],['# Hygiene Promoters ]]&lt;1000,1,0),IF(WWWW[[#This Row],[Total PoP ]]/WWWW[[#This Row],['# Hygiene Promoters ]]&lt;600,1,0))))</f>
        <v>1</v>
      </c>
      <c r="BU324" s="414">
        <f>IF(WWWW[[#This Row],[%HH with access to soap]]&gt;=100%,1,0)</f>
        <v>1</v>
      </c>
      <c r="BV324" s="414">
        <f>IF(WWWW[[#This Row],[% of HHs with access to Sanitary pad more than '#%]]+WWWW[[#This Row],[Ratio of Hyiene promoters to people less than '#]]+WWWW[[#This Row],[% of HHs with access to soap more than '#%]]&gt;=2,WWWW[[#This Row],[Total PoP ]],0)</f>
        <v>1670</v>
      </c>
      <c r="BW324" s="346">
        <f>WWWW[[#This Row],['# people reached by regular dedicated hygiene promotion_5]]/WWWW[[#This Row],[Total PoP ]]</f>
        <v>1</v>
      </c>
      <c r="BX324" s="346">
        <f>IF(WWWW[[#This Row],['# HH received soaps]]/WWWW[[#This Row],[Total HH]]&gt;1,1,WWWW[[#This Row],['# HH received soaps]]/WWWW[[#This Row],[Total HH]])</f>
        <v>1</v>
      </c>
      <c r="BY324" s="346">
        <f>IF(WWWW[[#This Row],['# HH received Sanitary Pads]]/WWWW[[#This Row],[Total HH]]&gt;1,1,WWWW[[#This Row],['# HH received Sanitary Pads]]/WWWW[[#This Row],[Total HH]])</f>
        <v>1</v>
      </c>
      <c r="BZ324" s="720">
        <f>WWWW[[#This Row],['# HH received soaps]]*5</f>
        <v>1495</v>
      </c>
      <c r="CA324" s="720">
        <f>WWWW[[#This Row],['# HH received Sanitary Pads]]*5</f>
        <v>1495</v>
      </c>
      <c r="CB324" s="238">
        <f>IF(WWWW[[#This Row],['# People with access to soap]]&gt;WWWW[[#This Row],['# People with access to Sanity Pads]],WWWW[[#This Row],['# People with access to soap]],WWWW[[#This Row],['# People with access to Sanity Pads]])</f>
        <v>1495</v>
      </c>
      <c r="CC324" s="414">
        <f>WWWW[[#This Row],[Total HH]]*WWWW[[#This Row],[%HHs with access to functional hand washing stations]]</f>
        <v>299</v>
      </c>
      <c r="CD324" s="240" t="str">
        <f>VLOOKUP(WWWW[[#This Row],[Site Name]],SiteDB6[],8,FALSE)</f>
        <v>Yes</v>
      </c>
      <c r="CE324" s="240" t="str">
        <f>VLOOKUP(WWWW[[#This Row],[Site Name]],SiteDB6[],9,FALSE)</f>
        <v>UNHCR</v>
      </c>
      <c r="CF324" s="240" t="str">
        <f>VLOOKUP(WWWW[[#This Row],[Site Name]],SiteDB6[],10,FALSE)</f>
        <v>Camp</v>
      </c>
      <c r="CG324" s="240" t="str">
        <f>VLOOKUP(WWWW[[#This Row],[Site Name]],SiteDB6[],11,FALSE)</f>
        <v>Camp</v>
      </c>
      <c r="CH324" s="240" t="str">
        <f>VLOOKUP(WWWW[[#This Row],[Site Name]],SiteDB6[],12,FALSE)</f>
        <v>Host Families</v>
      </c>
      <c r="CI324" s="240" t="str">
        <f>VLOOKUP(WWWW[[#This Row],[Site Name]],SiteDB6[],13,FALSE)</f>
        <v>Muslim</v>
      </c>
      <c r="CJ324" s="240">
        <f>VLOOKUP(WWWW[[#This Row],[Site Name]],SiteDB6[],14,FALSE)</f>
        <v>20.181742</v>
      </c>
      <c r="CK324" s="240">
        <f>VLOOKUP(WWWW[[#This Row],[Site Name]],SiteDB6[],15,FALSE)</f>
        <v>92.842230000000001</v>
      </c>
      <c r="CL324" s="240" t="str">
        <f>VLOOKUP(WWWW[[#This Row],[Site Name]],SiteDB6[],4,FALSE)</f>
        <v>MMR012CMP091</v>
      </c>
      <c r="CM324" s="235" t="str">
        <f t="shared" si="4"/>
        <v>Covered</v>
      </c>
      <c r="CN324" s="235"/>
    </row>
    <row r="325" spans="1:92" ht="15.75" hidden="1" customHeight="1" x14ac:dyDescent="0.25">
      <c r="A325" s="532" t="s">
        <v>1409</v>
      </c>
      <c r="B325" s="533" t="s">
        <v>457</v>
      </c>
      <c r="C325" s="533" t="s">
        <v>464</v>
      </c>
      <c r="D325" s="533" t="s">
        <v>465</v>
      </c>
      <c r="E325" s="533" t="s">
        <v>627</v>
      </c>
      <c r="F325" s="233">
        <v>380</v>
      </c>
      <c r="G325" s="414">
        <v>1813</v>
      </c>
      <c r="H325" s="233"/>
      <c r="I325" s="233" t="s">
        <v>459</v>
      </c>
      <c r="J325" s="234">
        <v>43356</v>
      </c>
      <c r="K325" s="233">
        <v>0</v>
      </c>
      <c r="L325" s="233" t="s">
        <v>292</v>
      </c>
      <c r="M325" s="235">
        <v>0</v>
      </c>
      <c r="N325" s="235">
        <v>0</v>
      </c>
      <c r="O325" s="609">
        <v>8</v>
      </c>
      <c r="P325" s="615">
        <v>30</v>
      </c>
      <c r="Q325" s="615">
        <v>0</v>
      </c>
      <c r="R325" s="604">
        <v>0</v>
      </c>
      <c r="S325" s="604">
        <v>0</v>
      </c>
      <c r="T325" s="604">
        <v>0</v>
      </c>
      <c r="U325" s="604">
        <v>0</v>
      </c>
      <c r="V325" s="604">
        <v>0</v>
      </c>
      <c r="W325" s="604">
        <v>0</v>
      </c>
      <c r="X325" s="604">
        <v>0</v>
      </c>
      <c r="Y325" s="604"/>
      <c r="Z325" s="628">
        <v>113</v>
      </c>
      <c r="AA325" s="628">
        <v>0</v>
      </c>
      <c r="AB325" s="629">
        <v>0</v>
      </c>
      <c r="AC325" s="628">
        <v>0</v>
      </c>
      <c r="AD325" s="628" t="s">
        <v>296</v>
      </c>
      <c r="AE325" s="631" t="s">
        <v>296</v>
      </c>
      <c r="AF325" s="631">
        <v>0</v>
      </c>
      <c r="AG325" s="628">
        <v>0</v>
      </c>
      <c r="AH325" s="628"/>
      <c r="AI325" s="659">
        <v>0</v>
      </c>
      <c r="AJ325" s="644" t="s">
        <v>294</v>
      </c>
      <c r="AK325" s="644">
        <v>0</v>
      </c>
      <c r="AL325" s="645">
        <v>0</v>
      </c>
      <c r="AM325" s="645">
        <v>1</v>
      </c>
      <c r="AN325" s="647">
        <v>0</v>
      </c>
      <c r="AO325" s="647">
        <v>0</v>
      </c>
      <c r="AP325" s="647"/>
      <c r="AQ325" s="658"/>
      <c r="AR325" s="235" t="str">
        <f>IFERROR(WWWW[[#This Row],['# of Water passed at source]]/WWWW[[#This Row],['# of Water tested at source]],"no test")</f>
        <v>no test</v>
      </c>
      <c r="AS325" s="237" t="str">
        <f>IFERROR(WWWW[[#This Row],['# of Water passed at HH]]/WWWW[[#This Row],['# of Water tested at HH]],"no test")</f>
        <v>no test</v>
      </c>
      <c r="AT325" s="237">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U325" s="237">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AV325" s="237">
        <f>IF(WWWW[[#This Row],[Location Type 1]]="Village",WWWW[[#This Row],[Access to safe drinking water for Village]],WWWW[[#This Row],[Access to safe drinking water for Camp]])</f>
        <v>1</v>
      </c>
      <c r="AW325" s="414">
        <f>WWWW[[#This Row],[%Equitable and continuous access to sufficient quantity of safe drinking water]]*WWWW[[#This Row],[Total PoP ]]</f>
        <v>1813</v>
      </c>
      <c r="AX325" s="237">
        <f>IF((WWWW[[#This Row],['# Existing protected/fenced ponds ]]*250)/WWWW[[#This Row],[Total PoP ]]&gt;1,1,WWWW[[#This Row],['# Existing protected/fenced ponds ]]*250/WWWW[[#This Row],[Total PoP ]])</f>
        <v>0</v>
      </c>
      <c r="AY325" s="414">
        <f>WWWW[[#This Row],[Access to unimproved water points]]*WWWW[[#This Row],[Total PoP ]]</f>
        <v>0</v>
      </c>
      <c r="AZ325" s="237">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A325" s="414">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1813</v>
      </c>
      <c r="BB325" s="414">
        <f>WWWW[[#This Row],['#people Equitable and continuous access to sufficient quantity of domestic water borehole n ponds_2]]/500</f>
        <v>3.6259999999999999</v>
      </c>
      <c r="BC325" s="235">
        <f>1-WWWW[[#This Row],[%Equitable and continuous access to sufficient quantity of domestic water borehole n ponds]]</f>
        <v>0</v>
      </c>
      <c r="BD325" s="414">
        <f>WWWW[[#This Row],[%equitable and continuous access to sufficient quantity of safe drinking and domestic water''s GAP]]*WWWW[[#This Row],[Total PoP ]]</f>
        <v>0</v>
      </c>
      <c r="BE325" s="238">
        <f>IF(WWWW[[#This Row],[Total required water points]]-WWWW[[#This Row],['#Water points coverage]]&lt;0,0,WWWW[[#This Row],[Total required water points]]-WWWW[[#This Row],['#Water points coverage]])</f>
        <v>0.37400000000000011</v>
      </c>
      <c r="BF325" s="238">
        <f>ROUND(IF(WWWW[[#This Row],[Total PoP ]]&lt;500,1,WWWW[[#This Row],[Total PoP ]]/500),0)</f>
        <v>4</v>
      </c>
      <c r="BG325" s="238" t="str">
        <f>IF(AND(WWWW[[#This Row],[%of Water samples which passed at water source]]="no test",WWWW[[#This Row],[%Water samples which passed at HH]]="no test"),"No Test","Tested")</f>
        <v>No Test</v>
      </c>
      <c r="BH325" s="238">
        <f>WWWW[[#This Row],['# Existing functional latrines]]+WWWW[[#This Row],['# Existing latrines dysfunctional]]</f>
        <v>113</v>
      </c>
      <c r="BI325" s="235">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0.37396580253723111</v>
      </c>
      <c r="BJ325" s="675">
        <f>WWWW[[#This Row],[% people access to functioning Latrine]]*WWWW[[#This Row],[Total PoP ]]</f>
        <v>678</v>
      </c>
      <c r="BK325" s="235">
        <f>IF(WWWW[[#This Row],[Location Type 1]]="camp",WWWW[[#This Row],['# potential required new latrines]]/(WWWW[[#This Row],[Total PoP ]]/20),WWWW[[#This Row],['# potential required new latrines]]/(WWWW[[#This Row],[Total PoP ]]/6))</f>
        <v>0.62548262548262545</v>
      </c>
      <c r="BL325" s="414">
        <f>IF(WWWW[[#This Row],[Total required Latrines]]-WWWW[[#This Row],[Total '# of latrine]]&lt;0,0,WWWW[[#This Row],[Total required Latrines]]-WWWW[[#This Row],[Total '# of latrine]])</f>
        <v>189</v>
      </c>
      <c r="BM325" s="238">
        <f>ROUND(IF(WWWW[[#This Row],[Location Type 1]]="camp",WWWW[[#This Row],[Total PoP ]]/20,WWWW[[#This Row],[Total PoP ]]/6),0)</f>
        <v>302</v>
      </c>
      <c r="BN325" s="239">
        <f>IF(OR(WWWW[[#This Row],['# Existing latrines dysfunctional]]="",WWWW[[#This Row],['# Existing latrines dysfunctional]]=0),0,WWWW[[#This Row],['# Existing latrines dysfunctional]]/WWWW[[#This Row],[Total '# of latrine]])</f>
        <v>0</v>
      </c>
      <c r="BO325" s="675"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P325" s="235">
        <f>WWWW[[#This Row],[People adopt basic personal and community hygiene practices]]/WWWW[[#This Row],[Total PoP ]]</f>
        <v>0</v>
      </c>
      <c r="BQ325" s="239">
        <f>1-WWWW[[#This Row],[Hygiene Coverage%]]</f>
        <v>1</v>
      </c>
      <c r="BR325" s="414">
        <f>IF(500*WWWW[[#This Row],['# Hygiene Promoters ]]&gt;WWWW[[#This Row],[Total PoP ]],WWWW[[#This Row],[Total PoP ]],500*WWWW[[#This Row],['# Hygiene Promoters ]])</f>
        <v>500</v>
      </c>
      <c r="BS325" s="414">
        <f>IF(WWWW[[#This Row],[% of HH with access to Sanitary Pad]]&gt;=100%,1,0)</f>
        <v>0</v>
      </c>
      <c r="BT325" s="414">
        <f>IF(WWWW[[#This Row],[Total PoP ]]=0,0,IF(WWWW[[#This Row],['# Hygiene Promoters ]]=0,0,IF(WWWW[[#This Row],[Location Type 1]]="Village",IF(WWWW[[#This Row],[Total PoP ]]/WWWW[[#This Row],['# Hygiene Promoters ]]&lt;1000,1,0),IF(WWWW[[#This Row],[Total PoP ]]/WWWW[[#This Row],['# Hygiene Promoters ]]&lt;600,1,0))))</f>
        <v>0</v>
      </c>
      <c r="BU325" s="414">
        <f>IF(WWWW[[#This Row],[%HH with access to soap]]&gt;=100%,1,0)</f>
        <v>0</v>
      </c>
      <c r="BV325" s="414">
        <f>IF(WWWW[[#This Row],[% of HHs with access to Sanitary pad more than '#%]]+WWWW[[#This Row],[Ratio of Hyiene promoters to people less than '#]]+WWWW[[#This Row],[% of HHs with access to soap more than '#%]]&gt;=2,WWWW[[#This Row],[Total PoP ]],0)</f>
        <v>0</v>
      </c>
      <c r="BW325" s="346">
        <f>WWWW[[#This Row],['# people reached by regular dedicated hygiene promotion_5]]/WWWW[[#This Row],[Total PoP ]]</f>
        <v>0.27578599007170435</v>
      </c>
      <c r="BX325" s="346">
        <f>IF(WWWW[[#This Row],['# HH received soaps]]/WWWW[[#This Row],[Total HH]]&gt;1,1,WWWW[[#This Row],['# HH received soaps]]/WWWW[[#This Row],[Total HH]])</f>
        <v>0</v>
      </c>
      <c r="BY325" s="346">
        <f>IF(WWWW[[#This Row],['# HH received Sanitary Pads]]/WWWW[[#This Row],[Total HH]]&gt;1,1,WWWW[[#This Row],['# HH received Sanitary Pads]]/WWWW[[#This Row],[Total HH]])</f>
        <v>0</v>
      </c>
      <c r="BZ325" s="720">
        <f>WWWW[[#This Row],['# HH received soaps]]*5</f>
        <v>0</v>
      </c>
      <c r="CA325" s="720">
        <f>WWWW[[#This Row],['# HH received Sanitary Pads]]*5</f>
        <v>0</v>
      </c>
      <c r="CB325" s="238">
        <f>IF(WWWW[[#This Row],['# People with access to soap]]&gt;WWWW[[#This Row],['# People with access to Sanity Pads]],WWWW[[#This Row],['# People with access to soap]],WWWW[[#This Row],['# People with access to Sanity Pads]])</f>
        <v>0</v>
      </c>
      <c r="CC325" s="414">
        <f>WWWW[[#This Row],[Total HH]]*WWWW[[#This Row],[%HHs with access to functional hand washing stations]]</f>
        <v>0</v>
      </c>
      <c r="CD325" s="240">
        <f>VLOOKUP(WWWW[[#This Row],[Site Name]],SiteDB6[],8,FALSE)</f>
        <v>0</v>
      </c>
      <c r="CE325" s="240">
        <f>VLOOKUP(WWWW[[#This Row],[Site Name]],SiteDB6[],9,FALSE)</f>
        <v>0</v>
      </c>
      <c r="CF325" s="240" t="str">
        <f>VLOOKUP(WWWW[[#This Row],[Site Name]],SiteDB6[],10,FALSE)</f>
        <v>Village</v>
      </c>
      <c r="CG325" s="240" t="str">
        <f>VLOOKUP(WWWW[[#This Row],[Site Name]],SiteDB6[],11,FALSE)</f>
        <v>Village</v>
      </c>
      <c r="CH325" s="240" t="str">
        <f>VLOOKUP(WWWW[[#This Row],[Site Name]],SiteDB6[],12,FALSE)</f>
        <v>Village</v>
      </c>
      <c r="CI325" s="240" t="str">
        <f>VLOOKUP(WWWW[[#This Row],[Site Name]],SiteDB6[],13,FALSE)</f>
        <v>Rakhine</v>
      </c>
      <c r="CJ325" s="240">
        <f>VLOOKUP(WWWW[[#This Row],[Site Name]],SiteDB6[],14,FALSE)</f>
        <v>20.235199999999999</v>
      </c>
      <c r="CK325" s="240">
        <f>VLOOKUP(WWWW[[#This Row],[Site Name]],SiteDB6[],15,FALSE)</f>
        <v>92.790199999999999</v>
      </c>
      <c r="CL325" s="240" t="str">
        <f>VLOOKUP(WWWW[[#This Row],[Site Name]],SiteDB6[],4,FALSE)</f>
        <v>196138</v>
      </c>
      <c r="CM325" s="235" t="str">
        <f t="shared" si="4"/>
        <v>Covered</v>
      </c>
      <c r="CN325" s="235"/>
    </row>
    <row r="326" spans="1:92" ht="15.75" hidden="1" customHeight="1" x14ac:dyDescent="0.25">
      <c r="A326" s="532" t="s">
        <v>1409</v>
      </c>
      <c r="B326" s="533" t="s">
        <v>457</v>
      </c>
      <c r="C326" s="533" t="s">
        <v>464</v>
      </c>
      <c r="D326" s="533" t="s">
        <v>465</v>
      </c>
      <c r="E326" s="533" t="s">
        <v>587</v>
      </c>
      <c r="F326" s="233">
        <v>615</v>
      </c>
      <c r="G326" s="414">
        <v>2985</v>
      </c>
      <c r="H326" s="233"/>
      <c r="I326" s="233" t="s">
        <v>459</v>
      </c>
      <c r="J326" s="234">
        <v>43356</v>
      </c>
      <c r="K326" s="233">
        <v>0</v>
      </c>
      <c r="L326" s="233" t="s">
        <v>292</v>
      </c>
      <c r="M326" s="235">
        <v>0</v>
      </c>
      <c r="N326" s="235">
        <v>0</v>
      </c>
      <c r="O326" s="609">
        <v>9</v>
      </c>
      <c r="P326" s="615">
        <v>62</v>
      </c>
      <c r="Q326" s="615">
        <v>0</v>
      </c>
      <c r="R326" s="604">
        <v>0</v>
      </c>
      <c r="S326" s="604">
        <v>0</v>
      </c>
      <c r="T326" s="604">
        <v>0</v>
      </c>
      <c r="U326" s="604">
        <v>0</v>
      </c>
      <c r="V326" s="604">
        <v>0</v>
      </c>
      <c r="W326" s="604">
        <v>0</v>
      </c>
      <c r="X326" s="604">
        <v>0</v>
      </c>
      <c r="Y326" s="604"/>
      <c r="Z326" s="628">
        <v>2</v>
      </c>
      <c r="AA326" s="628">
        <v>0</v>
      </c>
      <c r="AB326" s="629">
        <v>0</v>
      </c>
      <c r="AC326" s="628">
        <v>0</v>
      </c>
      <c r="AD326" s="628" t="s">
        <v>296</v>
      </c>
      <c r="AE326" s="631" t="s">
        <v>296</v>
      </c>
      <c r="AF326" s="631">
        <v>0</v>
      </c>
      <c r="AG326" s="628">
        <v>0</v>
      </c>
      <c r="AH326" s="628"/>
      <c r="AI326" s="659">
        <v>0</v>
      </c>
      <c r="AJ326" s="644" t="s">
        <v>294</v>
      </c>
      <c r="AK326" s="644">
        <v>0</v>
      </c>
      <c r="AL326" s="645">
        <v>0</v>
      </c>
      <c r="AM326" s="645">
        <v>1</v>
      </c>
      <c r="AN326" s="647">
        <v>0</v>
      </c>
      <c r="AO326" s="647">
        <v>0</v>
      </c>
      <c r="AP326" s="647"/>
      <c r="AQ326" s="658"/>
      <c r="AR326" s="235" t="str">
        <f>IFERROR(WWWW[[#This Row],['# of Water passed at source]]/WWWW[[#This Row],['# of Water tested at source]],"no test")</f>
        <v>no test</v>
      </c>
      <c r="AS326" s="237" t="str">
        <f>IFERROR(WWWW[[#This Row],['# of Water passed at HH]]/WWWW[[#This Row],['# of Water tested at HH]],"no test")</f>
        <v>no test</v>
      </c>
      <c r="AT326" s="237">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U326" s="237">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AV326" s="237">
        <f>IF(WWWW[[#This Row],[Location Type 1]]="Village",WWWW[[#This Row],[Access to safe drinking water for Village]],WWWW[[#This Row],[Access to safe drinking water for Camp]])</f>
        <v>1</v>
      </c>
      <c r="AW326" s="414">
        <f>WWWW[[#This Row],[%Equitable and continuous access to sufficient quantity of safe drinking water]]*WWWW[[#This Row],[Total PoP ]]</f>
        <v>2985</v>
      </c>
      <c r="AX326" s="237">
        <f>IF((WWWW[[#This Row],['# Existing protected/fenced ponds ]]*250)/WWWW[[#This Row],[Total PoP ]]&gt;1,1,WWWW[[#This Row],['# Existing protected/fenced ponds ]]*250/WWWW[[#This Row],[Total PoP ]])</f>
        <v>0</v>
      </c>
      <c r="AY326" s="414">
        <f>WWWW[[#This Row],[Access to unimproved water points]]*WWWW[[#This Row],[Total PoP ]]</f>
        <v>0</v>
      </c>
      <c r="AZ326" s="237">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A326" s="414">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2985</v>
      </c>
      <c r="BB326" s="414">
        <f>WWWW[[#This Row],['#people Equitable and continuous access to sufficient quantity of domestic water borehole n ponds_2]]/500</f>
        <v>5.97</v>
      </c>
      <c r="BC326" s="235">
        <f>1-WWWW[[#This Row],[%Equitable and continuous access to sufficient quantity of domestic water borehole n ponds]]</f>
        <v>0</v>
      </c>
      <c r="BD326" s="414">
        <f>WWWW[[#This Row],[%equitable and continuous access to sufficient quantity of safe drinking and domestic water''s GAP]]*WWWW[[#This Row],[Total PoP ]]</f>
        <v>0</v>
      </c>
      <c r="BE326" s="238">
        <f>IF(WWWW[[#This Row],[Total required water points]]-WWWW[[#This Row],['#Water points coverage]]&lt;0,0,WWWW[[#This Row],[Total required water points]]-WWWW[[#This Row],['#Water points coverage]])</f>
        <v>3.0000000000000249E-2</v>
      </c>
      <c r="BF326" s="238">
        <f>ROUND(IF(WWWW[[#This Row],[Total PoP ]]&lt;500,1,WWWW[[#This Row],[Total PoP ]]/500),0)</f>
        <v>6</v>
      </c>
      <c r="BG326" s="238" t="str">
        <f>IF(AND(WWWW[[#This Row],[%of Water samples which passed at water source]]="no test",WWWW[[#This Row],[%Water samples which passed at HH]]="no test"),"No Test","Tested")</f>
        <v>No Test</v>
      </c>
      <c r="BH326" s="238">
        <f>WWWW[[#This Row],['# Existing functional latrines]]+WWWW[[#This Row],['# Existing latrines dysfunctional]]</f>
        <v>2</v>
      </c>
      <c r="BI326" s="235">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4.0201005025125632E-3</v>
      </c>
      <c r="BJ326" s="675">
        <f>WWWW[[#This Row],[% people access to functioning Latrine]]*WWWW[[#This Row],[Total PoP ]]</f>
        <v>12.000000000000002</v>
      </c>
      <c r="BK326" s="235">
        <f>IF(WWWW[[#This Row],[Location Type 1]]="camp",WWWW[[#This Row],['# potential required new latrines]]/(WWWW[[#This Row],[Total PoP ]]/20),WWWW[[#This Row],['# potential required new latrines]]/(WWWW[[#This Row],[Total PoP ]]/6))</f>
        <v>0.99698492462311561</v>
      </c>
      <c r="BL326" s="414">
        <f>IF(WWWW[[#This Row],[Total required Latrines]]-WWWW[[#This Row],[Total '# of latrine]]&lt;0,0,WWWW[[#This Row],[Total required Latrines]]-WWWW[[#This Row],[Total '# of latrine]])</f>
        <v>496</v>
      </c>
      <c r="BM326" s="238">
        <f>ROUND(IF(WWWW[[#This Row],[Location Type 1]]="camp",WWWW[[#This Row],[Total PoP ]]/20,WWWW[[#This Row],[Total PoP ]]/6),0)</f>
        <v>498</v>
      </c>
      <c r="BN326" s="239">
        <f>IF(OR(WWWW[[#This Row],['# Existing latrines dysfunctional]]="",WWWW[[#This Row],['# Existing latrines dysfunctional]]=0),0,WWWW[[#This Row],['# Existing latrines dysfunctional]]/WWWW[[#This Row],[Total '# of latrine]])</f>
        <v>0</v>
      </c>
      <c r="BO326" s="675"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P326" s="235">
        <f>WWWW[[#This Row],[People adopt basic personal and community hygiene practices]]/WWWW[[#This Row],[Total PoP ]]</f>
        <v>0</v>
      </c>
      <c r="BQ326" s="239">
        <f>1-WWWW[[#This Row],[Hygiene Coverage%]]</f>
        <v>1</v>
      </c>
      <c r="BR326" s="414">
        <f>IF(500*WWWW[[#This Row],['# Hygiene Promoters ]]&gt;WWWW[[#This Row],[Total PoP ]],WWWW[[#This Row],[Total PoP ]],500*WWWW[[#This Row],['# Hygiene Promoters ]])</f>
        <v>500</v>
      </c>
      <c r="BS326" s="414">
        <f>IF(WWWW[[#This Row],[% of HH with access to Sanitary Pad]]&gt;=100%,1,0)</f>
        <v>0</v>
      </c>
      <c r="BT326" s="414">
        <f>IF(WWWW[[#This Row],[Total PoP ]]=0,0,IF(WWWW[[#This Row],['# Hygiene Promoters ]]=0,0,IF(WWWW[[#This Row],[Location Type 1]]="Village",IF(WWWW[[#This Row],[Total PoP ]]/WWWW[[#This Row],['# Hygiene Promoters ]]&lt;1000,1,0),IF(WWWW[[#This Row],[Total PoP ]]/WWWW[[#This Row],['# Hygiene Promoters ]]&lt;600,1,0))))</f>
        <v>0</v>
      </c>
      <c r="BU326" s="414">
        <f>IF(WWWW[[#This Row],[%HH with access to soap]]&gt;=100%,1,0)</f>
        <v>0</v>
      </c>
      <c r="BV326" s="414">
        <f>IF(WWWW[[#This Row],[% of HHs with access to Sanitary pad more than '#%]]+WWWW[[#This Row],[Ratio of Hyiene promoters to people less than '#]]+WWWW[[#This Row],[% of HHs with access to soap more than '#%]]&gt;=2,WWWW[[#This Row],[Total PoP ]],0)</f>
        <v>0</v>
      </c>
      <c r="BW326" s="346">
        <f>WWWW[[#This Row],['# people reached by regular dedicated hygiene promotion_5]]/WWWW[[#This Row],[Total PoP ]]</f>
        <v>0.16750418760469013</v>
      </c>
      <c r="BX326" s="346">
        <f>IF(WWWW[[#This Row],['# HH received soaps]]/WWWW[[#This Row],[Total HH]]&gt;1,1,WWWW[[#This Row],['# HH received soaps]]/WWWW[[#This Row],[Total HH]])</f>
        <v>0</v>
      </c>
      <c r="BY326" s="346">
        <f>IF(WWWW[[#This Row],['# HH received Sanitary Pads]]/WWWW[[#This Row],[Total HH]]&gt;1,1,WWWW[[#This Row],['# HH received Sanitary Pads]]/WWWW[[#This Row],[Total HH]])</f>
        <v>0</v>
      </c>
      <c r="BZ326" s="720">
        <f>WWWW[[#This Row],['# HH received soaps]]*5</f>
        <v>0</v>
      </c>
      <c r="CA326" s="720">
        <f>WWWW[[#This Row],['# HH received Sanitary Pads]]*5</f>
        <v>0</v>
      </c>
      <c r="CB326" s="238">
        <f>IF(WWWW[[#This Row],['# People with access to soap]]&gt;WWWW[[#This Row],['# People with access to Sanity Pads]],WWWW[[#This Row],['# People with access to soap]],WWWW[[#This Row],['# People with access to Sanity Pads]])</f>
        <v>0</v>
      </c>
      <c r="CC326" s="414">
        <f>WWWW[[#This Row],[Total HH]]*WWWW[[#This Row],[%HHs with access to functional hand washing stations]]</f>
        <v>0</v>
      </c>
      <c r="CD326" s="240">
        <f>VLOOKUP(WWWW[[#This Row],[Site Name]],SiteDB6[],8,FALSE)</f>
        <v>0</v>
      </c>
      <c r="CE326" s="240">
        <f>VLOOKUP(WWWW[[#This Row],[Site Name]],SiteDB6[],9,FALSE)</f>
        <v>0</v>
      </c>
      <c r="CF326" s="240" t="str">
        <f>VLOOKUP(WWWW[[#This Row],[Site Name]],SiteDB6[],10,FALSE)</f>
        <v>Village</v>
      </c>
      <c r="CG326" s="240" t="str">
        <f>VLOOKUP(WWWW[[#This Row],[Site Name]],SiteDB6[],11,FALSE)</f>
        <v>Village</v>
      </c>
      <c r="CH326" s="240" t="str">
        <f>VLOOKUP(WWWW[[#This Row],[Site Name]],SiteDB6[],12,FALSE)</f>
        <v>Village</v>
      </c>
      <c r="CI326" s="240" t="str">
        <f>VLOOKUP(WWWW[[#This Row],[Site Name]],SiteDB6[],13,FALSE)</f>
        <v>Muslim</v>
      </c>
      <c r="CJ326" s="240">
        <f>VLOOKUP(WWWW[[#This Row],[Site Name]],SiteDB6[],14,FALSE)</f>
        <v>20.127127999999999</v>
      </c>
      <c r="CK326" s="240">
        <f>VLOOKUP(WWWW[[#This Row],[Site Name]],SiteDB6[],15,FALSE)</f>
        <v>92.875450000000001</v>
      </c>
      <c r="CL326" s="240" t="str">
        <f>VLOOKUP(WWWW[[#This Row],[Site Name]],SiteDB6[],4,FALSE)</f>
        <v>196208</v>
      </c>
      <c r="CM326" s="235" t="str">
        <f t="shared" si="4"/>
        <v>Covered</v>
      </c>
      <c r="CN326" s="235"/>
    </row>
    <row r="327" spans="1:92" ht="15.75" hidden="1" customHeight="1" x14ac:dyDescent="0.25">
      <c r="A327" s="532" t="s">
        <v>1409</v>
      </c>
      <c r="B327" s="533" t="s">
        <v>457</v>
      </c>
      <c r="C327" s="533" t="s">
        <v>464</v>
      </c>
      <c r="D327" s="533" t="s">
        <v>465</v>
      </c>
      <c r="E327" s="533" t="s">
        <v>621</v>
      </c>
      <c r="F327" s="233">
        <v>22</v>
      </c>
      <c r="G327" s="414">
        <v>113</v>
      </c>
      <c r="H327" s="233"/>
      <c r="I327" s="233" t="s">
        <v>459</v>
      </c>
      <c r="J327" s="234">
        <v>43356</v>
      </c>
      <c r="K327" s="233">
        <v>0</v>
      </c>
      <c r="L327" s="233" t="s">
        <v>292</v>
      </c>
      <c r="M327" s="235">
        <v>0</v>
      </c>
      <c r="N327" s="235">
        <v>0</v>
      </c>
      <c r="O327" s="609">
        <v>2</v>
      </c>
      <c r="P327" s="615">
        <v>1</v>
      </c>
      <c r="Q327" s="615">
        <v>0</v>
      </c>
      <c r="R327" s="604">
        <v>0</v>
      </c>
      <c r="S327" s="604">
        <v>0</v>
      </c>
      <c r="T327" s="604">
        <v>0</v>
      </c>
      <c r="U327" s="604">
        <v>0</v>
      </c>
      <c r="V327" s="604">
        <v>0</v>
      </c>
      <c r="W327" s="604">
        <v>0</v>
      </c>
      <c r="X327" s="604">
        <v>0</v>
      </c>
      <c r="Y327" s="604"/>
      <c r="Z327" s="628">
        <v>22</v>
      </c>
      <c r="AA327" s="628">
        <v>0</v>
      </c>
      <c r="AB327" s="629">
        <v>0</v>
      </c>
      <c r="AC327" s="628">
        <v>0</v>
      </c>
      <c r="AD327" s="628" t="s">
        <v>296</v>
      </c>
      <c r="AE327" s="631" t="s">
        <v>296</v>
      </c>
      <c r="AF327" s="631">
        <v>0</v>
      </c>
      <c r="AG327" s="628">
        <v>0</v>
      </c>
      <c r="AH327" s="628"/>
      <c r="AI327" s="659">
        <v>0</v>
      </c>
      <c r="AJ327" s="644" t="s">
        <v>294</v>
      </c>
      <c r="AK327" s="644">
        <v>0</v>
      </c>
      <c r="AL327" s="645">
        <v>0</v>
      </c>
      <c r="AM327" s="645">
        <v>1</v>
      </c>
      <c r="AN327" s="647">
        <v>0</v>
      </c>
      <c r="AO327" s="647">
        <v>0</v>
      </c>
      <c r="AP327" s="647"/>
      <c r="AQ327" s="658"/>
      <c r="AR327" s="235" t="str">
        <f>IFERROR(WWWW[[#This Row],['# of Water passed at source]]/WWWW[[#This Row],['# of Water tested at source]],"no test")</f>
        <v>no test</v>
      </c>
      <c r="AS327" s="237" t="str">
        <f>IFERROR(WWWW[[#This Row],['# of Water passed at HH]]/WWWW[[#This Row],['# of Water tested at HH]],"no test")</f>
        <v>no test</v>
      </c>
      <c r="AT327" s="237">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U327" s="237">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AV327" s="237">
        <f>IF(WWWW[[#This Row],[Location Type 1]]="Village",WWWW[[#This Row],[Access to safe drinking water for Village]],WWWW[[#This Row],[Access to safe drinking water for Camp]])</f>
        <v>1</v>
      </c>
      <c r="AW327" s="414">
        <f>WWWW[[#This Row],[%Equitable and continuous access to sufficient quantity of safe drinking water]]*WWWW[[#This Row],[Total PoP ]]</f>
        <v>113</v>
      </c>
      <c r="AX327" s="237">
        <f>IF((WWWW[[#This Row],['# Existing protected/fenced ponds ]]*250)/WWWW[[#This Row],[Total PoP ]]&gt;1,1,WWWW[[#This Row],['# Existing protected/fenced ponds ]]*250/WWWW[[#This Row],[Total PoP ]])</f>
        <v>0</v>
      </c>
      <c r="AY327" s="414">
        <f>WWWW[[#This Row],[Access to unimproved water points]]*WWWW[[#This Row],[Total PoP ]]</f>
        <v>0</v>
      </c>
      <c r="AZ327" s="237">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A327" s="414">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113</v>
      </c>
      <c r="BB327" s="414">
        <f>WWWW[[#This Row],['#people Equitable and continuous access to sufficient quantity of domestic water borehole n ponds_2]]/500</f>
        <v>0.22600000000000001</v>
      </c>
      <c r="BC327" s="235">
        <f>1-WWWW[[#This Row],[%Equitable and continuous access to sufficient quantity of domestic water borehole n ponds]]</f>
        <v>0</v>
      </c>
      <c r="BD327" s="414">
        <f>WWWW[[#This Row],[%equitable and continuous access to sufficient quantity of safe drinking and domestic water''s GAP]]*WWWW[[#This Row],[Total PoP ]]</f>
        <v>0</v>
      </c>
      <c r="BE327" s="238">
        <f>IF(WWWW[[#This Row],[Total required water points]]-WWWW[[#This Row],['#Water points coverage]]&lt;0,0,WWWW[[#This Row],[Total required water points]]-WWWW[[#This Row],['#Water points coverage]])</f>
        <v>0.77400000000000002</v>
      </c>
      <c r="BF327" s="238">
        <f>ROUND(IF(WWWW[[#This Row],[Total PoP ]]&lt;500,1,WWWW[[#This Row],[Total PoP ]]/500),0)</f>
        <v>1</v>
      </c>
      <c r="BG327" s="238" t="str">
        <f>IF(AND(WWWW[[#This Row],[%of Water samples which passed at water source]]="no test",WWWW[[#This Row],[%Water samples which passed at HH]]="no test"),"No Test","Tested")</f>
        <v>No Test</v>
      </c>
      <c r="BH327" s="238">
        <f>WWWW[[#This Row],['# Existing functional latrines]]+WWWW[[#This Row],['# Existing latrines dysfunctional]]</f>
        <v>22</v>
      </c>
      <c r="BI327" s="235">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1</v>
      </c>
      <c r="BJ327" s="675">
        <f>WWWW[[#This Row],[% people access to functioning Latrine]]*WWWW[[#This Row],[Total PoP ]]</f>
        <v>113</v>
      </c>
      <c r="BK327" s="235">
        <f>IF(WWWW[[#This Row],[Location Type 1]]="camp",WWWW[[#This Row],['# potential required new latrines]]/(WWWW[[#This Row],[Total PoP ]]/20),WWWW[[#This Row],['# potential required new latrines]]/(WWWW[[#This Row],[Total PoP ]]/6))</f>
        <v>0</v>
      </c>
      <c r="BL327" s="414">
        <f>IF(WWWW[[#This Row],[Total required Latrines]]-WWWW[[#This Row],[Total '# of latrine]]&lt;0,0,WWWW[[#This Row],[Total required Latrines]]-WWWW[[#This Row],[Total '# of latrine]])</f>
        <v>0</v>
      </c>
      <c r="BM327" s="238">
        <f>ROUND(IF(WWWW[[#This Row],[Location Type 1]]="camp",WWWW[[#This Row],[Total PoP ]]/20,WWWW[[#This Row],[Total PoP ]]/6),0)</f>
        <v>19</v>
      </c>
      <c r="BN327" s="239">
        <f>IF(OR(WWWW[[#This Row],['# Existing latrines dysfunctional]]="",WWWW[[#This Row],['# Existing latrines dysfunctional]]=0),0,WWWW[[#This Row],['# Existing latrines dysfunctional]]/WWWW[[#This Row],[Total '# of latrine]])</f>
        <v>0</v>
      </c>
      <c r="BO327" s="675"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P327" s="235">
        <f>WWWW[[#This Row],[People adopt basic personal and community hygiene practices]]/WWWW[[#This Row],[Total PoP ]]</f>
        <v>0</v>
      </c>
      <c r="BQ327" s="239">
        <f>1-WWWW[[#This Row],[Hygiene Coverage%]]</f>
        <v>1</v>
      </c>
      <c r="BR327" s="414">
        <f>IF(500*WWWW[[#This Row],['# Hygiene Promoters ]]&gt;WWWW[[#This Row],[Total PoP ]],WWWW[[#This Row],[Total PoP ]],500*WWWW[[#This Row],['# Hygiene Promoters ]])</f>
        <v>113</v>
      </c>
      <c r="BS327" s="414">
        <f>IF(WWWW[[#This Row],[% of HH with access to Sanitary Pad]]&gt;=100%,1,0)</f>
        <v>0</v>
      </c>
      <c r="BT327" s="414">
        <f>IF(WWWW[[#This Row],[Total PoP ]]=0,0,IF(WWWW[[#This Row],['# Hygiene Promoters ]]=0,0,IF(WWWW[[#This Row],[Location Type 1]]="Village",IF(WWWW[[#This Row],[Total PoP ]]/WWWW[[#This Row],['# Hygiene Promoters ]]&lt;1000,1,0),IF(WWWW[[#This Row],[Total PoP ]]/WWWW[[#This Row],['# Hygiene Promoters ]]&lt;600,1,0))))</f>
        <v>1</v>
      </c>
      <c r="BU327" s="414">
        <f>IF(WWWW[[#This Row],[%HH with access to soap]]&gt;=100%,1,0)</f>
        <v>0</v>
      </c>
      <c r="BV327" s="414">
        <f>IF(WWWW[[#This Row],[% of HHs with access to Sanitary pad more than '#%]]+WWWW[[#This Row],[Ratio of Hyiene promoters to people less than '#]]+WWWW[[#This Row],[% of HHs with access to soap more than '#%]]&gt;=2,WWWW[[#This Row],[Total PoP ]],0)</f>
        <v>0</v>
      </c>
      <c r="BW327" s="346">
        <f>WWWW[[#This Row],['# people reached by regular dedicated hygiene promotion_5]]/WWWW[[#This Row],[Total PoP ]]</f>
        <v>1</v>
      </c>
      <c r="BX327" s="346">
        <f>IF(WWWW[[#This Row],['# HH received soaps]]/WWWW[[#This Row],[Total HH]]&gt;1,1,WWWW[[#This Row],['# HH received soaps]]/WWWW[[#This Row],[Total HH]])</f>
        <v>0</v>
      </c>
      <c r="BY327" s="346">
        <f>IF(WWWW[[#This Row],['# HH received Sanitary Pads]]/WWWW[[#This Row],[Total HH]]&gt;1,1,WWWW[[#This Row],['# HH received Sanitary Pads]]/WWWW[[#This Row],[Total HH]])</f>
        <v>0</v>
      </c>
      <c r="BZ327" s="720">
        <f>WWWW[[#This Row],['# HH received soaps]]*5</f>
        <v>0</v>
      </c>
      <c r="CA327" s="720">
        <f>WWWW[[#This Row],['# HH received Sanitary Pads]]*5</f>
        <v>0</v>
      </c>
      <c r="CB327" s="238">
        <f>IF(WWWW[[#This Row],['# People with access to soap]]&gt;WWWW[[#This Row],['# People with access to Sanity Pads]],WWWW[[#This Row],['# People with access to soap]],WWWW[[#This Row],['# People with access to Sanity Pads]])</f>
        <v>0</v>
      </c>
      <c r="CC327" s="414">
        <f>WWWW[[#This Row],[Total HH]]*WWWW[[#This Row],[%HHs with access to functional hand washing stations]]</f>
        <v>0</v>
      </c>
      <c r="CD327" s="240">
        <f>VLOOKUP(WWWW[[#This Row],[Site Name]],SiteDB6[],8,FALSE)</f>
        <v>0</v>
      </c>
      <c r="CE327" s="240">
        <f>VLOOKUP(WWWW[[#This Row],[Site Name]],SiteDB6[],9,FALSE)</f>
        <v>0</v>
      </c>
      <c r="CF327" s="240" t="str">
        <f>VLOOKUP(WWWW[[#This Row],[Site Name]],SiteDB6[],10,FALSE)</f>
        <v>Village</v>
      </c>
      <c r="CG327" s="240" t="str">
        <f>VLOOKUP(WWWW[[#This Row],[Site Name]],SiteDB6[],11,FALSE)</f>
        <v>Village</v>
      </c>
      <c r="CH327" s="240" t="str">
        <f>VLOOKUP(WWWW[[#This Row],[Site Name]],SiteDB6[],12,FALSE)</f>
        <v>Village</v>
      </c>
      <c r="CI327" s="240" t="str">
        <f>VLOOKUP(WWWW[[#This Row],[Site Name]],SiteDB6[],13,FALSE)</f>
        <v>Rakhine</v>
      </c>
      <c r="CJ327" s="240">
        <f>VLOOKUP(WWWW[[#This Row],[Site Name]],SiteDB6[],14,FALSE)</f>
        <v>20.218299999999999</v>
      </c>
      <c r="CK327" s="240">
        <f>VLOOKUP(WWWW[[#This Row],[Site Name]],SiteDB6[],15,FALSE)</f>
        <v>92.805999999999997</v>
      </c>
      <c r="CL327" s="240" t="str">
        <f>VLOOKUP(WWWW[[#This Row],[Site Name]],SiteDB6[],4,FALSE)</f>
        <v>196140</v>
      </c>
      <c r="CM327" s="235" t="str">
        <f t="shared" ref="CM327:CM389" si="5">IF(B327="none","Notcovered","Covered")</f>
        <v>Covered</v>
      </c>
      <c r="CN327" s="235"/>
    </row>
    <row r="328" spans="1:92" ht="15.75" hidden="1" customHeight="1" x14ac:dyDescent="0.25">
      <c r="A328" s="532" t="s">
        <v>1409</v>
      </c>
      <c r="B328" s="533" t="s">
        <v>457</v>
      </c>
      <c r="C328" s="533" t="s">
        <v>464</v>
      </c>
      <c r="D328" s="533" t="s">
        <v>465</v>
      </c>
      <c r="E328" s="533" t="s">
        <v>625</v>
      </c>
      <c r="F328" s="233">
        <v>250</v>
      </c>
      <c r="G328" s="414">
        <v>1183</v>
      </c>
      <c r="H328" s="233"/>
      <c r="I328" s="233" t="s">
        <v>459</v>
      </c>
      <c r="J328" s="234">
        <v>43356</v>
      </c>
      <c r="K328" s="233">
        <v>0</v>
      </c>
      <c r="L328" s="233" t="s">
        <v>292</v>
      </c>
      <c r="M328" s="235">
        <v>0</v>
      </c>
      <c r="N328" s="235">
        <v>0</v>
      </c>
      <c r="O328" s="609">
        <v>11</v>
      </c>
      <c r="P328" s="615">
        <v>21</v>
      </c>
      <c r="Q328" s="615">
        <v>0</v>
      </c>
      <c r="R328" s="604">
        <v>0</v>
      </c>
      <c r="S328" s="604">
        <v>0</v>
      </c>
      <c r="T328" s="604">
        <v>0</v>
      </c>
      <c r="U328" s="604">
        <v>0</v>
      </c>
      <c r="V328" s="604">
        <v>0</v>
      </c>
      <c r="W328" s="604">
        <v>0</v>
      </c>
      <c r="X328" s="604">
        <v>0</v>
      </c>
      <c r="Y328" s="604"/>
      <c r="Z328" s="628">
        <v>65</v>
      </c>
      <c r="AA328" s="628">
        <v>0</v>
      </c>
      <c r="AB328" s="629">
        <v>0</v>
      </c>
      <c r="AC328" s="628">
        <v>0</v>
      </c>
      <c r="AD328" s="628" t="s">
        <v>296</v>
      </c>
      <c r="AE328" s="631" t="s">
        <v>296</v>
      </c>
      <c r="AF328" s="631">
        <v>0</v>
      </c>
      <c r="AG328" s="628">
        <v>0</v>
      </c>
      <c r="AH328" s="628"/>
      <c r="AI328" s="659">
        <v>0</v>
      </c>
      <c r="AJ328" s="644" t="s">
        <v>294</v>
      </c>
      <c r="AK328" s="644">
        <v>0</v>
      </c>
      <c r="AL328" s="645">
        <v>0</v>
      </c>
      <c r="AM328" s="645">
        <v>1</v>
      </c>
      <c r="AN328" s="647">
        <v>0</v>
      </c>
      <c r="AO328" s="647">
        <v>0</v>
      </c>
      <c r="AP328" s="647"/>
      <c r="AQ328" s="658"/>
      <c r="AR328" s="235" t="str">
        <f>IFERROR(WWWW[[#This Row],['# of Water passed at source]]/WWWW[[#This Row],['# of Water tested at source]],"no test")</f>
        <v>no test</v>
      </c>
      <c r="AS328" s="237" t="str">
        <f>IFERROR(WWWW[[#This Row],['# of Water passed at HH]]/WWWW[[#This Row],['# of Water tested at HH]],"no test")</f>
        <v>no test</v>
      </c>
      <c r="AT328" s="237">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U328" s="237">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AV328" s="237">
        <f>IF(WWWW[[#This Row],[Location Type 1]]="Village",WWWW[[#This Row],[Access to safe drinking water for Village]],WWWW[[#This Row],[Access to safe drinking water for Camp]])</f>
        <v>1</v>
      </c>
      <c r="AW328" s="414">
        <f>WWWW[[#This Row],[%Equitable and continuous access to sufficient quantity of safe drinking water]]*WWWW[[#This Row],[Total PoP ]]</f>
        <v>1183</v>
      </c>
      <c r="AX328" s="237">
        <f>IF((WWWW[[#This Row],['# Existing protected/fenced ponds ]]*250)/WWWW[[#This Row],[Total PoP ]]&gt;1,1,WWWW[[#This Row],['# Existing protected/fenced ponds ]]*250/WWWW[[#This Row],[Total PoP ]])</f>
        <v>0</v>
      </c>
      <c r="AY328" s="414">
        <f>WWWW[[#This Row],[Access to unimproved water points]]*WWWW[[#This Row],[Total PoP ]]</f>
        <v>0</v>
      </c>
      <c r="AZ328" s="237">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A328" s="414">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1183</v>
      </c>
      <c r="BB328" s="414">
        <f>WWWW[[#This Row],['#people Equitable and continuous access to sufficient quantity of domestic water borehole n ponds_2]]/500</f>
        <v>2.3660000000000001</v>
      </c>
      <c r="BC328" s="235">
        <f>1-WWWW[[#This Row],[%Equitable and continuous access to sufficient quantity of domestic water borehole n ponds]]</f>
        <v>0</v>
      </c>
      <c r="BD328" s="414">
        <f>WWWW[[#This Row],[%equitable and continuous access to sufficient quantity of safe drinking and domestic water''s GAP]]*WWWW[[#This Row],[Total PoP ]]</f>
        <v>0</v>
      </c>
      <c r="BE328" s="238">
        <f>IF(WWWW[[#This Row],[Total required water points]]-WWWW[[#This Row],['#Water points coverage]]&lt;0,0,WWWW[[#This Row],[Total required water points]]-WWWW[[#This Row],['#Water points coverage]])</f>
        <v>0</v>
      </c>
      <c r="BF328" s="238">
        <f>ROUND(IF(WWWW[[#This Row],[Total PoP ]]&lt;500,1,WWWW[[#This Row],[Total PoP ]]/500),0)</f>
        <v>2</v>
      </c>
      <c r="BG328" s="238" t="str">
        <f>IF(AND(WWWW[[#This Row],[%of Water samples which passed at water source]]="no test",WWWW[[#This Row],[%Water samples which passed at HH]]="no test"),"No Test","Tested")</f>
        <v>No Test</v>
      </c>
      <c r="BH328" s="238">
        <f>WWWW[[#This Row],['# Existing functional latrines]]+WWWW[[#This Row],['# Existing latrines dysfunctional]]</f>
        <v>65</v>
      </c>
      <c r="BI328" s="235">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0.32967032967032966</v>
      </c>
      <c r="BJ328" s="675">
        <f>WWWW[[#This Row],[% people access to functioning Latrine]]*WWWW[[#This Row],[Total PoP ]]</f>
        <v>390</v>
      </c>
      <c r="BK328" s="235">
        <f>IF(WWWW[[#This Row],[Location Type 1]]="camp",WWWW[[#This Row],['# potential required new latrines]]/(WWWW[[#This Row],[Total PoP ]]/20),WWWW[[#This Row],['# potential required new latrines]]/(WWWW[[#This Row],[Total PoP ]]/6))</f>
        <v>0.66948436179205417</v>
      </c>
      <c r="BL328" s="414">
        <f>IF(WWWW[[#This Row],[Total required Latrines]]-WWWW[[#This Row],[Total '# of latrine]]&lt;0,0,WWWW[[#This Row],[Total required Latrines]]-WWWW[[#This Row],[Total '# of latrine]])</f>
        <v>132</v>
      </c>
      <c r="BM328" s="238">
        <f>ROUND(IF(WWWW[[#This Row],[Location Type 1]]="camp",WWWW[[#This Row],[Total PoP ]]/20,WWWW[[#This Row],[Total PoP ]]/6),0)</f>
        <v>197</v>
      </c>
      <c r="BN328" s="239">
        <f>IF(OR(WWWW[[#This Row],['# Existing latrines dysfunctional]]="",WWWW[[#This Row],['# Existing latrines dysfunctional]]=0),0,WWWW[[#This Row],['# Existing latrines dysfunctional]]/WWWW[[#This Row],[Total '# of latrine]])</f>
        <v>0</v>
      </c>
      <c r="BO328" s="675"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P328" s="235">
        <f>WWWW[[#This Row],[People adopt basic personal and community hygiene practices]]/WWWW[[#This Row],[Total PoP ]]</f>
        <v>0</v>
      </c>
      <c r="BQ328" s="239">
        <f>1-WWWW[[#This Row],[Hygiene Coverage%]]</f>
        <v>1</v>
      </c>
      <c r="BR328" s="414">
        <f>IF(500*WWWW[[#This Row],['# Hygiene Promoters ]]&gt;WWWW[[#This Row],[Total PoP ]],WWWW[[#This Row],[Total PoP ]],500*WWWW[[#This Row],['# Hygiene Promoters ]])</f>
        <v>500</v>
      </c>
      <c r="BS328" s="414">
        <f>IF(WWWW[[#This Row],[% of HH with access to Sanitary Pad]]&gt;=100%,1,0)</f>
        <v>0</v>
      </c>
      <c r="BT328" s="414">
        <f>IF(WWWW[[#This Row],[Total PoP ]]=0,0,IF(WWWW[[#This Row],['# Hygiene Promoters ]]=0,0,IF(WWWW[[#This Row],[Location Type 1]]="Village",IF(WWWW[[#This Row],[Total PoP ]]/WWWW[[#This Row],['# Hygiene Promoters ]]&lt;1000,1,0),IF(WWWW[[#This Row],[Total PoP ]]/WWWW[[#This Row],['# Hygiene Promoters ]]&lt;600,1,0))))</f>
        <v>0</v>
      </c>
      <c r="BU328" s="414">
        <f>IF(WWWW[[#This Row],[%HH with access to soap]]&gt;=100%,1,0)</f>
        <v>0</v>
      </c>
      <c r="BV328" s="414">
        <f>IF(WWWW[[#This Row],[% of HHs with access to Sanitary pad more than '#%]]+WWWW[[#This Row],[Ratio of Hyiene promoters to people less than '#]]+WWWW[[#This Row],[% of HHs with access to soap more than '#%]]&gt;=2,WWWW[[#This Row],[Total PoP ]],0)</f>
        <v>0</v>
      </c>
      <c r="BW328" s="346">
        <f>WWWW[[#This Row],['# people reached by regular dedicated hygiene promotion_5]]/WWWW[[#This Row],[Total PoP ]]</f>
        <v>0.42265426880811496</v>
      </c>
      <c r="BX328" s="346">
        <f>IF(WWWW[[#This Row],['# HH received soaps]]/WWWW[[#This Row],[Total HH]]&gt;1,1,WWWW[[#This Row],['# HH received soaps]]/WWWW[[#This Row],[Total HH]])</f>
        <v>0</v>
      </c>
      <c r="BY328" s="346">
        <f>IF(WWWW[[#This Row],['# HH received Sanitary Pads]]/WWWW[[#This Row],[Total HH]]&gt;1,1,WWWW[[#This Row],['# HH received Sanitary Pads]]/WWWW[[#This Row],[Total HH]])</f>
        <v>0</v>
      </c>
      <c r="BZ328" s="720">
        <f>WWWW[[#This Row],['# HH received soaps]]*5</f>
        <v>0</v>
      </c>
      <c r="CA328" s="720">
        <f>WWWW[[#This Row],['# HH received Sanitary Pads]]*5</f>
        <v>0</v>
      </c>
      <c r="CB328" s="238">
        <f>IF(WWWW[[#This Row],['# People with access to soap]]&gt;WWWW[[#This Row],['# People with access to Sanity Pads]],WWWW[[#This Row],['# People with access to soap]],WWWW[[#This Row],['# People with access to Sanity Pads]])</f>
        <v>0</v>
      </c>
      <c r="CC328" s="414">
        <f>WWWW[[#This Row],[Total HH]]*WWWW[[#This Row],[%HHs with access to functional hand washing stations]]</f>
        <v>0</v>
      </c>
      <c r="CD328" s="240">
        <f>VLOOKUP(WWWW[[#This Row],[Site Name]],SiteDB6[],8,FALSE)</f>
        <v>0</v>
      </c>
      <c r="CE328" s="240">
        <f>VLOOKUP(WWWW[[#This Row],[Site Name]],SiteDB6[],9,FALSE)</f>
        <v>0</v>
      </c>
      <c r="CF328" s="240" t="str">
        <f>VLOOKUP(WWWW[[#This Row],[Site Name]],SiteDB6[],10,FALSE)</f>
        <v>Village</v>
      </c>
      <c r="CG328" s="240" t="str">
        <f>VLOOKUP(WWWW[[#This Row],[Site Name]],SiteDB6[],11,FALSE)</f>
        <v>Village</v>
      </c>
      <c r="CH328" s="240" t="str">
        <f>VLOOKUP(WWWW[[#This Row],[Site Name]],SiteDB6[],12,FALSE)</f>
        <v>Village</v>
      </c>
      <c r="CI328" s="240" t="str">
        <f>VLOOKUP(WWWW[[#This Row],[Site Name]],SiteDB6[],13,FALSE)</f>
        <v>Muslim</v>
      </c>
      <c r="CJ328" s="240">
        <f>VLOOKUP(WWWW[[#This Row],[Site Name]],SiteDB6[],14,FALSE)</f>
        <v>20.2302</v>
      </c>
      <c r="CK328" s="240">
        <f>VLOOKUP(WWWW[[#This Row],[Site Name]],SiteDB6[],15,FALSE)</f>
        <v>92.817999999999998</v>
      </c>
      <c r="CL328" s="240" t="str">
        <f>VLOOKUP(WWWW[[#This Row],[Site Name]],SiteDB6[],4,FALSE)</f>
        <v>196139</v>
      </c>
      <c r="CM328" s="235" t="str">
        <f t="shared" si="5"/>
        <v>Covered</v>
      </c>
      <c r="CN328" s="235"/>
    </row>
    <row r="329" spans="1:92" ht="15.75" hidden="1" customHeight="1" x14ac:dyDescent="0.25">
      <c r="A329" s="532" t="s">
        <v>1409</v>
      </c>
      <c r="B329" s="533" t="s">
        <v>457</v>
      </c>
      <c r="C329" s="533" t="s">
        <v>464</v>
      </c>
      <c r="D329" s="533" t="s">
        <v>465</v>
      </c>
      <c r="E329" s="533" t="s">
        <v>623</v>
      </c>
      <c r="F329" s="233">
        <v>325</v>
      </c>
      <c r="G329" s="414">
        <v>1857</v>
      </c>
      <c r="H329" s="233"/>
      <c r="I329" s="233" t="s">
        <v>459</v>
      </c>
      <c r="J329" s="234">
        <v>43356</v>
      </c>
      <c r="K329" s="233">
        <v>0</v>
      </c>
      <c r="L329" s="233" t="s">
        <v>292</v>
      </c>
      <c r="M329" s="235">
        <v>0</v>
      </c>
      <c r="N329" s="235">
        <v>0</v>
      </c>
      <c r="O329" s="609">
        <v>20</v>
      </c>
      <c r="P329" s="615">
        <v>30</v>
      </c>
      <c r="Q329" s="615">
        <v>0</v>
      </c>
      <c r="R329" s="604">
        <v>0</v>
      </c>
      <c r="S329" s="604">
        <v>0</v>
      </c>
      <c r="T329" s="604">
        <v>0</v>
      </c>
      <c r="U329" s="604">
        <v>0</v>
      </c>
      <c r="V329" s="604">
        <v>0</v>
      </c>
      <c r="W329" s="604">
        <v>0</v>
      </c>
      <c r="X329" s="604">
        <v>0</v>
      </c>
      <c r="Y329" s="604"/>
      <c r="Z329" s="628">
        <v>64</v>
      </c>
      <c r="AA329" s="628">
        <v>0</v>
      </c>
      <c r="AB329" s="629">
        <v>0</v>
      </c>
      <c r="AC329" s="628">
        <v>0</v>
      </c>
      <c r="AD329" s="628" t="s">
        <v>296</v>
      </c>
      <c r="AE329" s="631" t="s">
        <v>296</v>
      </c>
      <c r="AF329" s="631">
        <v>0</v>
      </c>
      <c r="AG329" s="628">
        <v>0</v>
      </c>
      <c r="AH329" s="628"/>
      <c r="AI329" s="659">
        <v>0</v>
      </c>
      <c r="AJ329" s="644" t="s">
        <v>294</v>
      </c>
      <c r="AK329" s="644">
        <v>0</v>
      </c>
      <c r="AL329" s="645">
        <v>0</v>
      </c>
      <c r="AM329" s="645">
        <v>1</v>
      </c>
      <c r="AN329" s="647">
        <v>0</v>
      </c>
      <c r="AO329" s="647">
        <v>0</v>
      </c>
      <c r="AP329" s="647"/>
      <c r="AQ329" s="658"/>
      <c r="AR329" s="235" t="str">
        <f>IFERROR(WWWW[[#This Row],['# of Water passed at source]]/WWWW[[#This Row],['# of Water tested at source]],"no test")</f>
        <v>no test</v>
      </c>
      <c r="AS329" s="237" t="str">
        <f>IFERROR(WWWW[[#This Row],['# of Water passed at HH]]/WWWW[[#This Row],['# of Water tested at HH]],"no test")</f>
        <v>no test</v>
      </c>
      <c r="AT329" s="237">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U329" s="237">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AV329" s="237">
        <f>IF(WWWW[[#This Row],[Location Type 1]]="Village",WWWW[[#This Row],[Access to safe drinking water for Village]],WWWW[[#This Row],[Access to safe drinking water for Camp]])</f>
        <v>1</v>
      </c>
      <c r="AW329" s="414">
        <f>WWWW[[#This Row],[%Equitable and continuous access to sufficient quantity of safe drinking water]]*WWWW[[#This Row],[Total PoP ]]</f>
        <v>1857</v>
      </c>
      <c r="AX329" s="237">
        <f>IF((WWWW[[#This Row],['# Existing protected/fenced ponds ]]*250)/WWWW[[#This Row],[Total PoP ]]&gt;1,1,WWWW[[#This Row],['# Existing protected/fenced ponds ]]*250/WWWW[[#This Row],[Total PoP ]])</f>
        <v>0</v>
      </c>
      <c r="AY329" s="414">
        <f>WWWW[[#This Row],[Access to unimproved water points]]*WWWW[[#This Row],[Total PoP ]]</f>
        <v>0</v>
      </c>
      <c r="AZ329" s="237">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A329" s="414">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1857</v>
      </c>
      <c r="BB329" s="414">
        <f>WWWW[[#This Row],['#people Equitable and continuous access to sufficient quantity of domestic water borehole n ponds_2]]/500</f>
        <v>3.714</v>
      </c>
      <c r="BC329" s="235">
        <f>1-WWWW[[#This Row],[%Equitable and continuous access to sufficient quantity of domestic water borehole n ponds]]</f>
        <v>0</v>
      </c>
      <c r="BD329" s="414">
        <f>WWWW[[#This Row],[%equitable and continuous access to sufficient quantity of safe drinking and domestic water''s GAP]]*WWWW[[#This Row],[Total PoP ]]</f>
        <v>0</v>
      </c>
      <c r="BE329" s="238">
        <f>IF(WWWW[[#This Row],[Total required water points]]-WWWW[[#This Row],['#Water points coverage]]&lt;0,0,WWWW[[#This Row],[Total required water points]]-WWWW[[#This Row],['#Water points coverage]])</f>
        <v>0.28600000000000003</v>
      </c>
      <c r="BF329" s="238">
        <f>ROUND(IF(WWWW[[#This Row],[Total PoP ]]&lt;500,1,WWWW[[#This Row],[Total PoP ]]/500),0)</f>
        <v>4</v>
      </c>
      <c r="BG329" s="238" t="str">
        <f>IF(AND(WWWW[[#This Row],[%of Water samples which passed at water source]]="no test",WWWW[[#This Row],[%Water samples which passed at HH]]="no test"),"No Test","Tested")</f>
        <v>No Test</v>
      </c>
      <c r="BH329" s="238">
        <f>WWWW[[#This Row],['# Existing functional latrines]]+WWWW[[#This Row],['# Existing latrines dysfunctional]]</f>
        <v>64</v>
      </c>
      <c r="BI329" s="235">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0.20678513731825526</v>
      </c>
      <c r="BJ329" s="675">
        <f>WWWW[[#This Row],[% people access to functioning Latrine]]*WWWW[[#This Row],[Total PoP ]]</f>
        <v>384</v>
      </c>
      <c r="BK329" s="235">
        <f>IF(WWWW[[#This Row],[Location Type 1]]="camp",WWWW[[#This Row],['# potential required new latrines]]/(WWWW[[#This Row],[Total PoP ]]/20),WWWW[[#This Row],['# potential required new latrines]]/(WWWW[[#This Row],[Total PoP ]]/6))</f>
        <v>0.79483037156704361</v>
      </c>
      <c r="BL329" s="414">
        <f>IF(WWWW[[#This Row],[Total required Latrines]]-WWWW[[#This Row],[Total '# of latrine]]&lt;0,0,WWWW[[#This Row],[Total required Latrines]]-WWWW[[#This Row],[Total '# of latrine]])</f>
        <v>246</v>
      </c>
      <c r="BM329" s="238">
        <f>ROUND(IF(WWWW[[#This Row],[Location Type 1]]="camp",WWWW[[#This Row],[Total PoP ]]/20,WWWW[[#This Row],[Total PoP ]]/6),0)</f>
        <v>310</v>
      </c>
      <c r="BN329" s="239">
        <f>IF(OR(WWWW[[#This Row],['# Existing latrines dysfunctional]]="",WWWW[[#This Row],['# Existing latrines dysfunctional]]=0),0,WWWW[[#This Row],['# Existing latrines dysfunctional]]/WWWW[[#This Row],[Total '# of latrine]])</f>
        <v>0</v>
      </c>
      <c r="BO329" s="675"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P329" s="235">
        <f>WWWW[[#This Row],[People adopt basic personal and community hygiene practices]]/WWWW[[#This Row],[Total PoP ]]</f>
        <v>0</v>
      </c>
      <c r="BQ329" s="239">
        <f>1-WWWW[[#This Row],[Hygiene Coverage%]]</f>
        <v>1</v>
      </c>
      <c r="BR329" s="414">
        <f>IF(500*WWWW[[#This Row],['# Hygiene Promoters ]]&gt;WWWW[[#This Row],[Total PoP ]],WWWW[[#This Row],[Total PoP ]],500*WWWW[[#This Row],['# Hygiene Promoters ]])</f>
        <v>500</v>
      </c>
      <c r="BS329" s="414">
        <f>IF(WWWW[[#This Row],[% of HH with access to Sanitary Pad]]&gt;=100%,1,0)</f>
        <v>0</v>
      </c>
      <c r="BT329" s="414">
        <f>IF(WWWW[[#This Row],[Total PoP ]]=0,0,IF(WWWW[[#This Row],['# Hygiene Promoters ]]=0,0,IF(WWWW[[#This Row],[Location Type 1]]="Village",IF(WWWW[[#This Row],[Total PoP ]]/WWWW[[#This Row],['# Hygiene Promoters ]]&lt;1000,1,0),IF(WWWW[[#This Row],[Total PoP ]]/WWWW[[#This Row],['# Hygiene Promoters ]]&lt;600,1,0))))</f>
        <v>0</v>
      </c>
      <c r="BU329" s="414">
        <f>IF(WWWW[[#This Row],[%HH with access to soap]]&gt;=100%,1,0)</f>
        <v>0</v>
      </c>
      <c r="BV329" s="414">
        <f>IF(WWWW[[#This Row],[% of HHs with access to Sanitary pad more than '#%]]+WWWW[[#This Row],[Ratio of Hyiene promoters to people less than '#]]+WWWW[[#This Row],[% of HHs with access to soap more than '#%]]&gt;=2,WWWW[[#This Row],[Total PoP ]],0)</f>
        <v>0</v>
      </c>
      <c r="BW329" s="346">
        <f>WWWW[[#This Row],['# people reached by regular dedicated hygiene promotion_5]]/WWWW[[#This Row],[Total PoP ]]</f>
        <v>0.26925148088314488</v>
      </c>
      <c r="BX329" s="346">
        <f>IF(WWWW[[#This Row],['# HH received soaps]]/WWWW[[#This Row],[Total HH]]&gt;1,1,WWWW[[#This Row],['# HH received soaps]]/WWWW[[#This Row],[Total HH]])</f>
        <v>0</v>
      </c>
      <c r="BY329" s="346">
        <f>IF(WWWW[[#This Row],['# HH received Sanitary Pads]]/WWWW[[#This Row],[Total HH]]&gt;1,1,WWWW[[#This Row],['# HH received Sanitary Pads]]/WWWW[[#This Row],[Total HH]])</f>
        <v>0</v>
      </c>
      <c r="BZ329" s="720">
        <f>WWWW[[#This Row],['# HH received soaps]]*5</f>
        <v>0</v>
      </c>
      <c r="CA329" s="720">
        <f>WWWW[[#This Row],['# HH received Sanitary Pads]]*5</f>
        <v>0</v>
      </c>
      <c r="CB329" s="238">
        <f>IF(WWWW[[#This Row],['# People with access to soap]]&gt;WWWW[[#This Row],['# People with access to Sanity Pads]],WWWW[[#This Row],['# People with access to soap]],WWWW[[#This Row],['# People with access to Sanity Pads]])</f>
        <v>0</v>
      </c>
      <c r="CC329" s="414">
        <f>WWWW[[#This Row],[Total HH]]*WWWW[[#This Row],[%HHs with access to functional hand washing stations]]</f>
        <v>0</v>
      </c>
      <c r="CD329" s="240">
        <f>VLOOKUP(WWWW[[#This Row],[Site Name]],SiteDB6[],8,FALSE)</f>
        <v>0</v>
      </c>
      <c r="CE329" s="240">
        <f>VLOOKUP(WWWW[[#This Row],[Site Name]],SiteDB6[],9,FALSE)</f>
        <v>0</v>
      </c>
      <c r="CF329" s="240" t="str">
        <f>VLOOKUP(WWWW[[#This Row],[Site Name]],SiteDB6[],10,FALSE)</f>
        <v>Village</v>
      </c>
      <c r="CG329" s="240" t="str">
        <f>VLOOKUP(WWWW[[#This Row],[Site Name]],SiteDB6[],11,FALSE)</f>
        <v>Village</v>
      </c>
      <c r="CH329" s="240" t="str">
        <f>VLOOKUP(WWWW[[#This Row],[Site Name]],SiteDB6[],12,FALSE)</f>
        <v>Village</v>
      </c>
      <c r="CI329" s="240" t="str">
        <f>VLOOKUP(WWWW[[#This Row],[Site Name]],SiteDB6[],13,FALSE)</f>
        <v>Muslim</v>
      </c>
      <c r="CJ329" s="240">
        <f>VLOOKUP(WWWW[[#This Row],[Site Name]],SiteDB6[],14,FALSE)</f>
        <v>20.2195</v>
      </c>
      <c r="CK329" s="240">
        <f>VLOOKUP(WWWW[[#This Row],[Site Name]],SiteDB6[],15,FALSE)</f>
        <v>92.811300000000003</v>
      </c>
      <c r="CL329" s="240" t="str">
        <f>VLOOKUP(WWWW[[#This Row],[Site Name]],SiteDB6[],4,FALSE)</f>
        <v>196145</v>
      </c>
      <c r="CM329" s="235" t="str">
        <f t="shared" si="5"/>
        <v>Covered</v>
      </c>
      <c r="CN329" s="235"/>
    </row>
    <row r="330" spans="1:92" ht="15.75" hidden="1" customHeight="1" x14ac:dyDescent="0.25">
      <c r="A330" s="532" t="s">
        <v>1409</v>
      </c>
      <c r="B330" s="533" t="s">
        <v>457</v>
      </c>
      <c r="C330" s="533" t="s">
        <v>464</v>
      </c>
      <c r="D330" s="533" t="s">
        <v>465</v>
      </c>
      <c r="E330" s="533" t="s">
        <v>620</v>
      </c>
      <c r="F330" s="233">
        <v>164</v>
      </c>
      <c r="G330" s="414">
        <v>908</v>
      </c>
      <c r="H330" s="233"/>
      <c r="I330" s="233" t="s">
        <v>459</v>
      </c>
      <c r="J330" s="234">
        <v>43356</v>
      </c>
      <c r="K330" s="233">
        <v>0</v>
      </c>
      <c r="L330" s="233" t="s">
        <v>292</v>
      </c>
      <c r="M330" s="235">
        <v>0</v>
      </c>
      <c r="N330" s="235">
        <v>0</v>
      </c>
      <c r="O330" s="609">
        <v>20</v>
      </c>
      <c r="P330" s="615">
        <v>35</v>
      </c>
      <c r="Q330" s="615">
        <v>0</v>
      </c>
      <c r="R330" s="604">
        <v>0</v>
      </c>
      <c r="S330" s="604">
        <v>0</v>
      </c>
      <c r="T330" s="604">
        <v>0</v>
      </c>
      <c r="U330" s="604">
        <v>0</v>
      </c>
      <c r="V330" s="604">
        <v>0</v>
      </c>
      <c r="W330" s="604">
        <v>0</v>
      </c>
      <c r="X330" s="604">
        <v>0</v>
      </c>
      <c r="Y330" s="604"/>
      <c r="Z330" s="628">
        <v>48</v>
      </c>
      <c r="AA330" s="628">
        <v>0</v>
      </c>
      <c r="AB330" s="629">
        <v>0</v>
      </c>
      <c r="AC330" s="628">
        <v>0</v>
      </c>
      <c r="AD330" s="628" t="s">
        <v>296</v>
      </c>
      <c r="AE330" s="631" t="s">
        <v>296</v>
      </c>
      <c r="AF330" s="631">
        <v>0</v>
      </c>
      <c r="AG330" s="628">
        <v>0</v>
      </c>
      <c r="AH330" s="628"/>
      <c r="AI330" s="659">
        <v>0</v>
      </c>
      <c r="AJ330" s="644" t="s">
        <v>294</v>
      </c>
      <c r="AK330" s="644">
        <v>0</v>
      </c>
      <c r="AL330" s="645">
        <v>0</v>
      </c>
      <c r="AM330" s="645">
        <v>1</v>
      </c>
      <c r="AN330" s="647">
        <v>0</v>
      </c>
      <c r="AO330" s="647">
        <v>0</v>
      </c>
      <c r="AP330" s="647"/>
      <c r="AQ330" s="658"/>
      <c r="AR330" s="235" t="str">
        <f>IFERROR(WWWW[[#This Row],['# of Water passed at source]]/WWWW[[#This Row],['# of Water tested at source]],"no test")</f>
        <v>no test</v>
      </c>
      <c r="AS330" s="237" t="str">
        <f>IFERROR(WWWW[[#This Row],['# of Water passed at HH]]/WWWW[[#This Row],['# of Water tested at HH]],"no test")</f>
        <v>no test</v>
      </c>
      <c r="AT330" s="237">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U330" s="237">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AV330" s="237">
        <f>IF(WWWW[[#This Row],[Location Type 1]]="Village",WWWW[[#This Row],[Access to safe drinking water for Village]],WWWW[[#This Row],[Access to safe drinking water for Camp]])</f>
        <v>1</v>
      </c>
      <c r="AW330" s="414">
        <f>WWWW[[#This Row],[%Equitable and continuous access to sufficient quantity of safe drinking water]]*WWWW[[#This Row],[Total PoP ]]</f>
        <v>908</v>
      </c>
      <c r="AX330" s="237">
        <f>IF((WWWW[[#This Row],['# Existing protected/fenced ponds ]]*250)/WWWW[[#This Row],[Total PoP ]]&gt;1,1,WWWW[[#This Row],['# Existing protected/fenced ponds ]]*250/WWWW[[#This Row],[Total PoP ]])</f>
        <v>0</v>
      </c>
      <c r="AY330" s="414">
        <f>WWWW[[#This Row],[Access to unimproved water points]]*WWWW[[#This Row],[Total PoP ]]</f>
        <v>0</v>
      </c>
      <c r="AZ330" s="237">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A330" s="414">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908</v>
      </c>
      <c r="BB330" s="414">
        <f>WWWW[[#This Row],['#people Equitable and continuous access to sufficient quantity of domestic water borehole n ponds_2]]/500</f>
        <v>1.8160000000000001</v>
      </c>
      <c r="BC330" s="235">
        <f>1-WWWW[[#This Row],[%Equitable and continuous access to sufficient quantity of domestic water borehole n ponds]]</f>
        <v>0</v>
      </c>
      <c r="BD330" s="414">
        <f>WWWW[[#This Row],[%equitable and continuous access to sufficient quantity of safe drinking and domestic water''s GAP]]*WWWW[[#This Row],[Total PoP ]]</f>
        <v>0</v>
      </c>
      <c r="BE330" s="238">
        <f>IF(WWWW[[#This Row],[Total required water points]]-WWWW[[#This Row],['#Water points coverage]]&lt;0,0,WWWW[[#This Row],[Total required water points]]-WWWW[[#This Row],['#Water points coverage]])</f>
        <v>0.18399999999999994</v>
      </c>
      <c r="BF330" s="238">
        <f>ROUND(IF(WWWW[[#This Row],[Total PoP ]]&lt;500,1,WWWW[[#This Row],[Total PoP ]]/500),0)</f>
        <v>2</v>
      </c>
      <c r="BG330" s="238" t="str">
        <f>IF(AND(WWWW[[#This Row],[%of Water samples which passed at water source]]="no test",WWWW[[#This Row],[%Water samples which passed at HH]]="no test"),"No Test","Tested")</f>
        <v>No Test</v>
      </c>
      <c r="BH330" s="238">
        <f>WWWW[[#This Row],['# Existing functional latrines]]+WWWW[[#This Row],['# Existing latrines dysfunctional]]</f>
        <v>48</v>
      </c>
      <c r="BI330" s="235">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0.31718061674008813</v>
      </c>
      <c r="BJ330" s="675">
        <f>WWWW[[#This Row],[% people access to functioning Latrine]]*WWWW[[#This Row],[Total PoP ]]</f>
        <v>288</v>
      </c>
      <c r="BK330" s="235">
        <f>IF(WWWW[[#This Row],[Location Type 1]]="camp",WWWW[[#This Row],['# potential required new latrines]]/(WWWW[[#This Row],[Total PoP ]]/20),WWWW[[#This Row],['# potential required new latrines]]/(WWWW[[#This Row],[Total PoP ]]/6))</f>
        <v>0.68061674008810569</v>
      </c>
      <c r="BL330" s="414">
        <f>IF(WWWW[[#This Row],[Total required Latrines]]-WWWW[[#This Row],[Total '# of latrine]]&lt;0,0,WWWW[[#This Row],[Total required Latrines]]-WWWW[[#This Row],[Total '# of latrine]])</f>
        <v>103</v>
      </c>
      <c r="BM330" s="238">
        <f>ROUND(IF(WWWW[[#This Row],[Location Type 1]]="camp",WWWW[[#This Row],[Total PoP ]]/20,WWWW[[#This Row],[Total PoP ]]/6),0)</f>
        <v>151</v>
      </c>
      <c r="BN330" s="239">
        <f>IF(OR(WWWW[[#This Row],['# Existing latrines dysfunctional]]="",WWWW[[#This Row],['# Existing latrines dysfunctional]]=0),0,WWWW[[#This Row],['# Existing latrines dysfunctional]]/WWWW[[#This Row],[Total '# of latrine]])</f>
        <v>0</v>
      </c>
      <c r="BO330" s="675"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P330" s="235">
        <f>WWWW[[#This Row],[People adopt basic personal and community hygiene practices]]/WWWW[[#This Row],[Total PoP ]]</f>
        <v>0</v>
      </c>
      <c r="BQ330" s="239">
        <f>1-WWWW[[#This Row],[Hygiene Coverage%]]</f>
        <v>1</v>
      </c>
      <c r="BR330" s="414">
        <f>IF(500*WWWW[[#This Row],['# Hygiene Promoters ]]&gt;WWWW[[#This Row],[Total PoP ]],WWWW[[#This Row],[Total PoP ]],500*WWWW[[#This Row],['# Hygiene Promoters ]])</f>
        <v>500</v>
      </c>
      <c r="BS330" s="414">
        <f>IF(WWWW[[#This Row],[% of HH with access to Sanitary Pad]]&gt;=100%,1,0)</f>
        <v>0</v>
      </c>
      <c r="BT330" s="414">
        <f>IF(WWWW[[#This Row],[Total PoP ]]=0,0,IF(WWWW[[#This Row],['# Hygiene Promoters ]]=0,0,IF(WWWW[[#This Row],[Location Type 1]]="Village",IF(WWWW[[#This Row],[Total PoP ]]/WWWW[[#This Row],['# Hygiene Promoters ]]&lt;1000,1,0),IF(WWWW[[#This Row],[Total PoP ]]/WWWW[[#This Row],['# Hygiene Promoters ]]&lt;600,1,0))))</f>
        <v>1</v>
      </c>
      <c r="BU330" s="414">
        <f>IF(WWWW[[#This Row],[%HH with access to soap]]&gt;=100%,1,0)</f>
        <v>0</v>
      </c>
      <c r="BV330" s="414">
        <f>IF(WWWW[[#This Row],[% of HHs with access to Sanitary pad more than '#%]]+WWWW[[#This Row],[Ratio of Hyiene promoters to people less than '#]]+WWWW[[#This Row],[% of HHs with access to soap more than '#%]]&gt;=2,WWWW[[#This Row],[Total PoP ]],0)</f>
        <v>0</v>
      </c>
      <c r="BW330" s="346">
        <f>WWWW[[#This Row],['# people reached by regular dedicated hygiene promotion_5]]/WWWW[[#This Row],[Total PoP ]]</f>
        <v>0.5506607929515418</v>
      </c>
      <c r="BX330" s="346">
        <f>IF(WWWW[[#This Row],['# HH received soaps]]/WWWW[[#This Row],[Total HH]]&gt;1,1,WWWW[[#This Row],['# HH received soaps]]/WWWW[[#This Row],[Total HH]])</f>
        <v>0</v>
      </c>
      <c r="BY330" s="346">
        <f>IF(WWWW[[#This Row],['# HH received Sanitary Pads]]/WWWW[[#This Row],[Total HH]]&gt;1,1,WWWW[[#This Row],['# HH received Sanitary Pads]]/WWWW[[#This Row],[Total HH]])</f>
        <v>0</v>
      </c>
      <c r="BZ330" s="720">
        <f>WWWW[[#This Row],['# HH received soaps]]*5</f>
        <v>0</v>
      </c>
      <c r="CA330" s="720">
        <f>WWWW[[#This Row],['# HH received Sanitary Pads]]*5</f>
        <v>0</v>
      </c>
      <c r="CB330" s="238">
        <f>IF(WWWW[[#This Row],['# People with access to soap]]&gt;WWWW[[#This Row],['# People with access to Sanity Pads]],WWWW[[#This Row],['# People with access to soap]],WWWW[[#This Row],['# People with access to Sanity Pads]])</f>
        <v>0</v>
      </c>
      <c r="CC330" s="414">
        <f>WWWW[[#This Row],[Total HH]]*WWWW[[#This Row],[%HHs with access to functional hand washing stations]]</f>
        <v>0</v>
      </c>
      <c r="CD330" s="240">
        <f>VLOOKUP(WWWW[[#This Row],[Site Name]],SiteDB6[],8,FALSE)</f>
        <v>0</v>
      </c>
      <c r="CE330" s="240">
        <f>VLOOKUP(WWWW[[#This Row],[Site Name]],SiteDB6[],9,FALSE)</f>
        <v>0</v>
      </c>
      <c r="CF330" s="240" t="str">
        <f>VLOOKUP(WWWW[[#This Row],[Site Name]],SiteDB6[],10,FALSE)</f>
        <v>Village</v>
      </c>
      <c r="CG330" s="240" t="str">
        <f>VLOOKUP(WWWW[[#This Row],[Site Name]],SiteDB6[],11,FALSE)</f>
        <v>Village</v>
      </c>
      <c r="CH330" s="240" t="str">
        <f>VLOOKUP(WWWW[[#This Row],[Site Name]],SiteDB6[],12,FALSE)</f>
        <v>Village</v>
      </c>
      <c r="CI330" s="240" t="str">
        <f>VLOOKUP(WWWW[[#This Row],[Site Name]],SiteDB6[],13,FALSE)</f>
        <v>Muslim</v>
      </c>
      <c r="CJ330" s="240">
        <f>VLOOKUP(WWWW[[#This Row],[Site Name]],SiteDB6[],14,FALSE)</f>
        <v>20.212700000000002</v>
      </c>
      <c r="CK330" s="240">
        <f>VLOOKUP(WWWW[[#This Row],[Site Name]],SiteDB6[],15,FALSE)</f>
        <v>92.820800000000006</v>
      </c>
      <c r="CL330" s="240" t="str">
        <f>VLOOKUP(WWWW[[#This Row],[Site Name]],SiteDB6[],4,FALSE)</f>
        <v>196144</v>
      </c>
      <c r="CM330" s="235" t="str">
        <f t="shared" si="5"/>
        <v>Covered</v>
      </c>
      <c r="CN330" s="235"/>
    </row>
    <row r="331" spans="1:92" ht="15.75" hidden="1" customHeight="1" x14ac:dyDescent="0.25">
      <c r="A331" s="532" t="s">
        <v>1409</v>
      </c>
      <c r="B331" s="533" t="s">
        <v>457</v>
      </c>
      <c r="C331" s="533" t="s">
        <v>464</v>
      </c>
      <c r="D331" s="533" t="s">
        <v>465</v>
      </c>
      <c r="E331" s="533" t="s">
        <v>615</v>
      </c>
      <c r="F331" s="233">
        <v>80</v>
      </c>
      <c r="G331" s="414">
        <v>359</v>
      </c>
      <c r="H331" s="233"/>
      <c r="I331" s="233" t="s">
        <v>459</v>
      </c>
      <c r="J331" s="234">
        <v>43356</v>
      </c>
      <c r="K331" s="233">
        <v>0</v>
      </c>
      <c r="L331" s="233" t="s">
        <v>292</v>
      </c>
      <c r="M331" s="235">
        <v>0</v>
      </c>
      <c r="N331" s="235">
        <v>0</v>
      </c>
      <c r="O331" s="609">
        <v>7</v>
      </c>
      <c r="P331" s="615">
        <v>13</v>
      </c>
      <c r="Q331" s="615">
        <v>0</v>
      </c>
      <c r="R331" s="604">
        <v>0</v>
      </c>
      <c r="S331" s="604">
        <v>0</v>
      </c>
      <c r="T331" s="604">
        <v>0</v>
      </c>
      <c r="U331" s="604">
        <v>0</v>
      </c>
      <c r="V331" s="604">
        <v>0</v>
      </c>
      <c r="W331" s="604">
        <v>0</v>
      </c>
      <c r="X331" s="604">
        <v>0</v>
      </c>
      <c r="Y331" s="604"/>
      <c r="Z331" s="628">
        <v>80</v>
      </c>
      <c r="AA331" s="628">
        <v>0</v>
      </c>
      <c r="AB331" s="629">
        <v>0</v>
      </c>
      <c r="AC331" s="628">
        <v>0</v>
      </c>
      <c r="AD331" s="628" t="s">
        <v>296</v>
      </c>
      <c r="AE331" s="631" t="s">
        <v>296</v>
      </c>
      <c r="AF331" s="631">
        <v>0</v>
      </c>
      <c r="AG331" s="628">
        <v>0</v>
      </c>
      <c r="AH331" s="628"/>
      <c r="AI331" s="659">
        <v>0</v>
      </c>
      <c r="AJ331" s="644" t="s">
        <v>294</v>
      </c>
      <c r="AK331" s="644">
        <v>0</v>
      </c>
      <c r="AL331" s="645">
        <v>0</v>
      </c>
      <c r="AM331" s="645">
        <v>1</v>
      </c>
      <c r="AN331" s="647">
        <v>0</v>
      </c>
      <c r="AO331" s="647">
        <v>0</v>
      </c>
      <c r="AP331" s="647"/>
      <c r="AQ331" s="658"/>
      <c r="AR331" s="235" t="str">
        <f>IFERROR(WWWW[[#This Row],['# of Water passed at source]]/WWWW[[#This Row],['# of Water tested at source]],"no test")</f>
        <v>no test</v>
      </c>
      <c r="AS331" s="237" t="str">
        <f>IFERROR(WWWW[[#This Row],['# of Water passed at HH]]/WWWW[[#This Row],['# of Water tested at HH]],"no test")</f>
        <v>no test</v>
      </c>
      <c r="AT331" s="237">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U331" s="237">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AV331" s="237">
        <f>IF(WWWW[[#This Row],[Location Type 1]]="Village",WWWW[[#This Row],[Access to safe drinking water for Village]],WWWW[[#This Row],[Access to safe drinking water for Camp]])</f>
        <v>1</v>
      </c>
      <c r="AW331" s="414">
        <f>WWWW[[#This Row],[%Equitable and continuous access to sufficient quantity of safe drinking water]]*WWWW[[#This Row],[Total PoP ]]</f>
        <v>359</v>
      </c>
      <c r="AX331" s="237">
        <f>IF((WWWW[[#This Row],['# Existing protected/fenced ponds ]]*250)/WWWW[[#This Row],[Total PoP ]]&gt;1,1,WWWW[[#This Row],['# Existing protected/fenced ponds ]]*250/WWWW[[#This Row],[Total PoP ]])</f>
        <v>0</v>
      </c>
      <c r="AY331" s="414">
        <f>WWWW[[#This Row],[Access to unimproved water points]]*WWWW[[#This Row],[Total PoP ]]</f>
        <v>0</v>
      </c>
      <c r="AZ331" s="237">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A331" s="414">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359</v>
      </c>
      <c r="BB331" s="414">
        <f>WWWW[[#This Row],['#people Equitable and continuous access to sufficient quantity of domestic water borehole n ponds_2]]/500</f>
        <v>0.71799999999999997</v>
      </c>
      <c r="BC331" s="235">
        <f>1-WWWW[[#This Row],[%Equitable and continuous access to sufficient quantity of domestic water borehole n ponds]]</f>
        <v>0</v>
      </c>
      <c r="BD331" s="414">
        <f>WWWW[[#This Row],[%equitable and continuous access to sufficient quantity of safe drinking and domestic water''s GAP]]*WWWW[[#This Row],[Total PoP ]]</f>
        <v>0</v>
      </c>
      <c r="BE331" s="238">
        <f>IF(WWWW[[#This Row],[Total required water points]]-WWWW[[#This Row],['#Water points coverage]]&lt;0,0,WWWW[[#This Row],[Total required water points]]-WWWW[[#This Row],['#Water points coverage]])</f>
        <v>0.28200000000000003</v>
      </c>
      <c r="BF331" s="238">
        <f>ROUND(IF(WWWW[[#This Row],[Total PoP ]]&lt;500,1,WWWW[[#This Row],[Total PoP ]]/500),0)</f>
        <v>1</v>
      </c>
      <c r="BG331" s="238" t="str">
        <f>IF(AND(WWWW[[#This Row],[%of Water samples which passed at water source]]="no test",WWWW[[#This Row],[%Water samples which passed at HH]]="no test"),"No Test","Tested")</f>
        <v>No Test</v>
      </c>
      <c r="BH331" s="238">
        <f>WWWW[[#This Row],['# Existing functional latrines]]+WWWW[[#This Row],['# Existing latrines dysfunctional]]</f>
        <v>80</v>
      </c>
      <c r="BI331" s="235">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1</v>
      </c>
      <c r="BJ331" s="675">
        <f>WWWW[[#This Row],[% people access to functioning Latrine]]*WWWW[[#This Row],[Total PoP ]]</f>
        <v>359</v>
      </c>
      <c r="BK331" s="235">
        <f>IF(WWWW[[#This Row],[Location Type 1]]="camp",WWWW[[#This Row],['# potential required new latrines]]/(WWWW[[#This Row],[Total PoP ]]/20),WWWW[[#This Row],['# potential required new latrines]]/(WWWW[[#This Row],[Total PoP ]]/6))</f>
        <v>0</v>
      </c>
      <c r="BL331" s="414">
        <f>IF(WWWW[[#This Row],[Total required Latrines]]-WWWW[[#This Row],[Total '# of latrine]]&lt;0,0,WWWW[[#This Row],[Total required Latrines]]-WWWW[[#This Row],[Total '# of latrine]])</f>
        <v>0</v>
      </c>
      <c r="BM331" s="238">
        <f>ROUND(IF(WWWW[[#This Row],[Location Type 1]]="camp",WWWW[[#This Row],[Total PoP ]]/20,WWWW[[#This Row],[Total PoP ]]/6),0)</f>
        <v>60</v>
      </c>
      <c r="BN331" s="239">
        <f>IF(OR(WWWW[[#This Row],['# Existing latrines dysfunctional]]="",WWWW[[#This Row],['# Existing latrines dysfunctional]]=0),0,WWWW[[#This Row],['# Existing latrines dysfunctional]]/WWWW[[#This Row],[Total '# of latrine]])</f>
        <v>0</v>
      </c>
      <c r="BO331" s="675"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P331" s="235">
        <f>WWWW[[#This Row],[People adopt basic personal and community hygiene practices]]/WWWW[[#This Row],[Total PoP ]]</f>
        <v>0</v>
      </c>
      <c r="BQ331" s="239">
        <f>1-WWWW[[#This Row],[Hygiene Coverage%]]</f>
        <v>1</v>
      </c>
      <c r="BR331" s="414">
        <f>IF(500*WWWW[[#This Row],['# Hygiene Promoters ]]&gt;WWWW[[#This Row],[Total PoP ]],WWWW[[#This Row],[Total PoP ]],500*WWWW[[#This Row],['# Hygiene Promoters ]])</f>
        <v>359</v>
      </c>
      <c r="BS331" s="414">
        <f>IF(WWWW[[#This Row],[% of HH with access to Sanitary Pad]]&gt;=100%,1,0)</f>
        <v>0</v>
      </c>
      <c r="BT331" s="414">
        <f>IF(WWWW[[#This Row],[Total PoP ]]=0,0,IF(WWWW[[#This Row],['# Hygiene Promoters ]]=0,0,IF(WWWW[[#This Row],[Location Type 1]]="Village",IF(WWWW[[#This Row],[Total PoP ]]/WWWW[[#This Row],['# Hygiene Promoters ]]&lt;1000,1,0),IF(WWWW[[#This Row],[Total PoP ]]/WWWW[[#This Row],['# Hygiene Promoters ]]&lt;600,1,0))))</f>
        <v>1</v>
      </c>
      <c r="BU331" s="414">
        <f>IF(WWWW[[#This Row],[%HH with access to soap]]&gt;=100%,1,0)</f>
        <v>0</v>
      </c>
      <c r="BV331" s="414">
        <f>IF(WWWW[[#This Row],[% of HHs with access to Sanitary pad more than '#%]]+WWWW[[#This Row],[Ratio of Hyiene promoters to people less than '#]]+WWWW[[#This Row],[% of HHs with access to soap more than '#%]]&gt;=2,WWWW[[#This Row],[Total PoP ]],0)</f>
        <v>0</v>
      </c>
      <c r="BW331" s="346">
        <f>WWWW[[#This Row],['# people reached by regular dedicated hygiene promotion_5]]/WWWW[[#This Row],[Total PoP ]]</f>
        <v>1</v>
      </c>
      <c r="BX331" s="346">
        <f>IF(WWWW[[#This Row],['# HH received soaps]]/WWWW[[#This Row],[Total HH]]&gt;1,1,WWWW[[#This Row],['# HH received soaps]]/WWWW[[#This Row],[Total HH]])</f>
        <v>0</v>
      </c>
      <c r="BY331" s="346">
        <f>IF(WWWW[[#This Row],['# HH received Sanitary Pads]]/WWWW[[#This Row],[Total HH]]&gt;1,1,WWWW[[#This Row],['# HH received Sanitary Pads]]/WWWW[[#This Row],[Total HH]])</f>
        <v>0</v>
      </c>
      <c r="BZ331" s="720">
        <f>WWWW[[#This Row],['# HH received soaps]]*5</f>
        <v>0</v>
      </c>
      <c r="CA331" s="720">
        <f>WWWW[[#This Row],['# HH received Sanitary Pads]]*5</f>
        <v>0</v>
      </c>
      <c r="CB331" s="238">
        <f>IF(WWWW[[#This Row],['# People with access to soap]]&gt;WWWW[[#This Row],['# People with access to Sanity Pads]],WWWW[[#This Row],['# People with access to soap]],WWWW[[#This Row],['# People with access to Sanity Pads]])</f>
        <v>0</v>
      </c>
      <c r="CC331" s="414">
        <f>WWWW[[#This Row],[Total HH]]*WWWW[[#This Row],[%HHs with access to functional hand washing stations]]</f>
        <v>0</v>
      </c>
      <c r="CD331" s="240">
        <f>VLOOKUP(WWWW[[#This Row],[Site Name]],SiteDB6[],8,FALSE)</f>
        <v>0</v>
      </c>
      <c r="CE331" s="240">
        <f>VLOOKUP(WWWW[[#This Row],[Site Name]],SiteDB6[],9,FALSE)</f>
        <v>0</v>
      </c>
      <c r="CF331" s="240" t="str">
        <f>VLOOKUP(WWWW[[#This Row],[Site Name]],SiteDB6[],10,FALSE)</f>
        <v>Village</v>
      </c>
      <c r="CG331" s="240" t="str">
        <f>VLOOKUP(WWWW[[#This Row],[Site Name]],SiteDB6[],11,FALSE)</f>
        <v>Village</v>
      </c>
      <c r="CH331" s="240" t="str">
        <f>VLOOKUP(WWWW[[#This Row],[Site Name]],SiteDB6[],12,FALSE)</f>
        <v>Village</v>
      </c>
      <c r="CI331" s="240" t="str">
        <f>VLOOKUP(WWWW[[#This Row],[Site Name]],SiteDB6[],13,FALSE)</f>
        <v>Rakhine</v>
      </c>
      <c r="CJ331" s="240">
        <f>VLOOKUP(WWWW[[#This Row],[Site Name]],SiteDB6[],14,FALSE)</f>
        <v>20.202400000000001</v>
      </c>
      <c r="CK331" s="240">
        <f>VLOOKUP(WWWW[[#This Row],[Site Name]],SiteDB6[],15,FALSE)</f>
        <v>92.812799999999996</v>
      </c>
      <c r="CL331" s="240" t="str">
        <f>VLOOKUP(WWWW[[#This Row],[Site Name]],SiteDB6[],4,FALSE)</f>
        <v>196159</v>
      </c>
      <c r="CM331" s="235" t="str">
        <f t="shared" si="5"/>
        <v>Covered</v>
      </c>
      <c r="CN331" s="235"/>
    </row>
    <row r="332" spans="1:92" ht="15.75" hidden="1" customHeight="1" x14ac:dyDescent="0.25">
      <c r="A332" s="532" t="s">
        <v>1409</v>
      </c>
      <c r="B332" s="530" t="s">
        <v>470</v>
      </c>
      <c r="C332" s="531" t="s">
        <v>464</v>
      </c>
      <c r="D332" s="531" t="s">
        <v>465</v>
      </c>
      <c r="E332" s="531" t="s">
        <v>2573</v>
      </c>
      <c r="F332" s="402">
        <v>14</v>
      </c>
      <c r="G332" s="405">
        <v>93</v>
      </c>
      <c r="H332" s="402"/>
      <c r="I332" s="402"/>
      <c r="J332" s="403"/>
      <c r="K332" s="402"/>
      <c r="L332" s="402" t="s">
        <v>292</v>
      </c>
      <c r="M332" s="404">
        <v>0</v>
      </c>
      <c r="N332" s="404">
        <v>0</v>
      </c>
      <c r="O332" s="605">
        <v>0</v>
      </c>
      <c r="P332" s="606">
        <v>0</v>
      </c>
      <c r="Q332" s="606">
        <v>0</v>
      </c>
      <c r="R332" s="607">
        <v>0</v>
      </c>
      <c r="S332" s="607">
        <v>0</v>
      </c>
      <c r="T332" s="607"/>
      <c r="U332" s="607"/>
      <c r="V332" s="607"/>
      <c r="W332" s="607"/>
      <c r="X332" s="607"/>
      <c r="Y332" s="607"/>
      <c r="Z332" s="598">
        <v>0</v>
      </c>
      <c r="AA332" s="598">
        <v>0</v>
      </c>
      <c r="AB332" s="80"/>
      <c r="AC332" s="598">
        <v>0</v>
      </c>
      <c r="AD332" s="598" t="s">
        <v>342</v>
      </c>
      <c r="AE332" s="599" t="s">
        <v>342</v>
      </c>
      <c r="AF332" s="599"/>
      <c r="AG332" s="598"/>
      <c r="AH332" s="598"/>
      <c r="AI332" s="649">
        <v>0</v>
      </c>
      <c r="AJ332" s="650" t="s">
        <v>294</v>
      </c>
      <c r="AK332" s="650">
        <v>0</v>
      </c>
      <c r="AL332" s="645">
        <v>0</v>
      </c>
      <c r="AM332" s="645">
        <v>0</v>
      </c>
      <c r="AN332" s="600"/>
      <c r="AO332" s="600"/>
      <c r="AP332" s="600"/>
      <c r="AQ332" s="651"/>
      <c r="AR332" s="404" t="str">
        <f>IFERROR(WWWW[[#This Row],['# of Water passed at source]]/WWWW[[#This Row],['# of Water tested at source]],"no test")</f>
        <v>no test</v>
      </c>
      <c r="AS332" s="407" t="str">
        <f>IFERROR(WWWW[[#This Row],['# of Water passed at HH]]/WWWW[[#This Row],['# of Water tested at HH]],"no test")</f>
        <v>no test</v>
      </c>
      <c r="AT332" s="407">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U332" s="407">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AV332" s="407">
        <f>IF(WWWW[[#This Row],[Location Type 1]]="Village",WWWW[[#This Row],[Access to safe drinking water for Village]],WWWW[[#This Row],[Access to safe drinking water for Camp]])</f>
        <v>0</v>
      </c>
      <c r="AW332" s="405">
        <f>WWWW[[#This Row],[%Equitable and continuous access to sufficient quantity of safe drinking water]]*WWWW[[#This Row],[Total PoP ]]</f>
        <v>0</v>
      </c>
      <c r="AX332" s="407">
        <f>IF((WWWW[[#This Row],['# Existing protected/fenced ponds ]]*250)/WWWW[[#This Row],[Total PoP ]]&gt;1,1,WWWW[[#This Row],['# Existing protected/fenced ponds ]]*250/WWWW[[#This Row],[Total PoP ]])</f>
        <v>0</v>
      </c>
      <c r="AY332" s="405">
        <f>WWWW[[#This Row],[Access to unimproved water points]]*WWWW[[#This Row],[Total PoP ]]</f>
        <v>0</v>
      </c>
      <c r="AZ332" s="407">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A332" s="405">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B332" s="405">
        <f>WWWW[[#This Row],['#people Equitable and continuous access to sufficient quantity of domestic water borehole n ponds_2]]/500</f>
        <v>0</v>
      </c>
      <c r="BC332" s="404">
        <f>1-WWWW[[#This Row],[%Equitable and continuous access to sufficient quantity of domestic water borehole n ponds]]</f>
        <v>1</v>
      </c>
      <c r="BD332" s="405">
        <f>WWWW[[#This Row],[%equitable and continuous access to sufficient quantity of safe drinking and domestic water''s GAP]]*WWWW[[#This Row],[Total PoP ]]</f>
        <v>93</v>
      </c>
      <c r="BE332" s="406">
        <f>IF(WWWW[[#This Row],[Total required water points]]-WWWW[[#This Row],['#Water points coverage]]&lt;0,0,WWWW[[#This Row],[Total required water points]]-WWWW[[#This Row],['#Water points coverage]])</f>
        <v>1</v>
      </c>
      <c r="BF332" s="406">
        <f>ROUND(IF(WWWW[[#This Row],[Total PoP ]]&lt;500,1,WWWW[[#This Row],[Total PoP ]]/500),0)</f>
        <v>1</v>
      </c>
      <c r="BG332" s="406" t="str">
        <f>IF(AND(WWWW[[#This Row],[%of Water samples which passed at water source]]="no test",WWWW[[#This Row],[%Water samples which passed at HH]]="no test"),"No Test","Tested")</f>
        <v>No Test</v>
      </c>
      <c r="BH332" s="406">
        <f>WWWW[[#This Row],['# Existing functional latrines]]+WWWW[[#This Row],['# Existing latrines dysfunctional]]</f>
        <v>0</v>
      </c>
      <c r="BI332" s="404">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J332" s="676">
        <f>WWWW[[#This Row],[% people access to functioning Latrine]]*WWWW[[#This Row],[Total PoP ]]</f>
        <v>0</v>
      </c>
      <c r="BK332" s="404">
        <f>IF(WWWW[[#This Row],[Location Type 1]]="camp",WWWW[[#This Row],['# potential required new latrines]]/(WWWW[[#This Row],[Total PoP ]]/20),WWWW[[#This Row],['# potential required new latrines]]/(WWWW[[#This Row],[Total PoP ]]/6))</f>
        <v>1.032258064516129</v>
      </c>
      <c r="BL332" s="405">
        <f>IF(WWWW[[#This Row],[Total required Latrines]]-WWWW[[#This Row],[Total '# of latrine]]&lt;0,0,WWWW[[#This Row],[Total required Latrines]]-WWWW[[#This Row],[Total '# of latrine]])</f>
        <v>16</v>
      </c>
      <c r="BM332" s="406">
        <f>ROUND(IF(WWWW[[#This Row],[Location Type 1]]="camp",WWWW[[#This Row],[Total PoP ]]/20,WWWW[[#This Row],[Total PoP ]]/6),0)</f>
        <v>16</v>
      </c>
      <c r="BN332" s="408">
        <f>IF(OR(WWWW[[#This Row],['# Existing latrines dysfunctional]]="",WWWW[[#This Row],['# Existing latrines dysfunctional]]=0),0,WWWW[[#This Row],['# Existing latrines dysfunctional]]/WWWW[[#This Row],[Total '# of latrine]])</f>
        <v>0</v>
      </c>
      <c r="BO332" s="676"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P332" s="404">
        <f>WWWW[[#This Row],[People adopt basic personal and community hygiene practices]]/WWWW[[#This Row],[Total PoP ]]</f>
        <v>0</v>
      </c>
      <c r="BQ332" s="408">
        <f>1-WWWW[[#This Row],[Hygiene Coverage%]]</f>
        <v>1</v>
      </c>
      <c r="BR332" s="405">
        <f>IF(500*WWWW[[#This Row],['# Hygiene Promoters ]]&gt;WWWW[[#This Row],[Total PoP ]],WWWW[[#This Row],[Total PoP ]],500*WWWW[[#This Row],['# Hygiene Promoters ]])</f>
        <v>0</v>
      </c>
      <c r="BS332" s="405">
        <f>IF(WWWW[[#This Row],[% of HH with access to Sanitary Pad]]&gt;=100%,1,0)</f>
        <v>0</v>
      </c>
      <c r="BT332" s="405">
        <f>IF(WWWW[[#This Row],[Total PoP ]]=0,0,IF(WWWW[[#This Row],['# Hygiene Promoters ]]=0,0,IF(WWWW[[#This Row],[Location Type 1]]="Village",IF(WWWW[[#This Row],[Total PoP ]]/WWWW[[#This Row],['# Hygiene Promoters ]]&lt;1000,1,0),IF(WWWW[[#This Row],[Total PoP ]]/WWWW[[#This Row],['# Hygiene Promoters ]]&lt;600,1,0))))</f>
        <v>0</v>
      </c>
      <c r="BU332" s="405">
        <f>IF(WWWW[[#This Row],[%HH with access to soap]]&gt;=100%,1,0)</f>
        <v>0</v>
      </c>
      <c r="BV332" s="405">
        <f>IF(WWWW[[#This Row],[% of HHs with access to Sanitary pad more than '#%]]+WWWW[[#This Row],[Ratio of Hyiene promoters to people less than '#]]+WWWW[[#This Row],[% of HHs with access to soap more than '#%]]&gt;=2,WWWW[[#This Row],[Total PoP ]],0)</f>
        <v>0</v>
      </c>
      <c r="BW332" s="391">
        <f>WWWW[[#This Row],['# people reached by regular dedicated hygiene promotion_5]]/WWWW[[#This Row],[Total PoP ]]</f>
        <v>0</v>
      </c>
      <c r="BX332" s="391">
        <f>IF(WWWW[[#This Row],['# HH received soaps]]/WWWW[[#This Row],[Total HH]]&gt;1,1,WWWW[[#This Row],['# HH received soaps]]/WWWW[[#This Row],[Total HH]])</f>
        <v>0</v>
      </c>
      <c r="BY332" s="391">
        <f>IF(WWWW[[#This Row],['# HH received Sanitary Pads]]/WWWW[[#This Row],[Total HH]]&gt;1,1,WWWW[[#This Row],['# HH received Sanitary Pads]]/WWWW[[#This Row],[Total HH]])</f>
        <v>0</v>
      </c>
      <c r="BZ332" s="721">
        <f>WWWW[[#This Row],['# HH received soaps]]*5</f>
        <v>0</v>
      </c>
      <c r="CA332" s="721">
        <f>WWWW[[#This Row],['# HH received Sanitary Pads]]*5</f>
        <v>0</v>
      </c>
      <c r="CB332" s="406">
        <f>IF(WWWW[[#This Row],['# People with access to soap]]&gt;WWWW[[#This Row],['# People with access to Sanity Pads]],WWWW[[#This Row],['# People with access to soap]],WWWW[[#This Row],['# People with access to Sanity Pads]])</f>
        <v>0</v>
      </c>
      <c r="CC332" s="405">
        <f>WWWW[[#This Row],[Total HH]]*WWWW[[#This Row],[%HHs with access to functional hand washing stations]]</f>
        <v>0</v>
      </c>
      <c r="CD332" s="240">
        <f>VLOOKUP(WWWW[[#This Row],[Site Name]],SiteDB6[],8,FALSE)</f>
        <v>0</v>
      </c>
      <c r="CE332" s="240">
        <f>VLOOKUP(WWWW[[#This Row],[Site Name]],SiteDB6[],9,FALSE)</f>
        <v>0</v>
      </c>
      <c r="CF332" s="240" t="str">
        <f>VLOOKUP(WWWW[[#This Row],[Site Name]],SiteDB6[],10,FALSE)</f>
        <v>Village</v>
      </c>
      <c r="CG332" s="240" t="str">
        <f>VLOOKUP(WWWW[[#This Row],[Site Name]],SiteDB6[],11,FALSE)</f>
        <v>Village</v>
      </c>
      <c r="CH332" s="240" t="str">
        <f>VLOOKUP(WWWW[[#This Row],[Site Name]],SiteDB6[],12,FALSE)</f>
        <v>Village</v>
      </c>
      <c r="CI332" s="240" t="str">
        <f>VLOOKUP(WWWW[[#This Row],[Site Name]],SiteDB6[],13,FALSE)</f>
        <v>Muslim</v>
      </c>
      <c r="CJ332" s="240">
        <f>VLOOKUP(WWWW[[#This Row],[Site Name]],SiteDB6[],14,FALSE)</f>
        <v>0</v>
      </c>
      <c r="CK332" s="240">
        <f>VLOOKUP(WWWW[[#This Row],[Site Name]],SiteDB6[],15,FALSE)</f>
        <v>0</v>
      </c>
      <c r="CL332" s="240" t="str">
        <f>VLOOKUP(WWWW[[#This Row],[Site Name]],SiteDB6[],4,FALSE)</f>
        <v/>
      </c>
      <c r="CM332" s="404" t="str">
        <f t="shared" si="5"/>
        <v>Notcovered</v>
      </c>
      <c r="CN332" s="404"/>
    </row>
    <row r="333" spans="1:92" ht="15.75" hidden="1" customHeight="1" x14ac:dyDescent="0.25">
      <c r="A333" s="532" t="s">
        <v>1409</v>
      </c>
      <c r="B333" s="530" t="s">
        <v>470</v>
      </c>
      <c r="C333" s="541" t="s">
        <v>464</v>
      </c>
      <c r="D333" s="541" t="s">
        <v>465</v>
      </c>
      <c r="E333" s="541" t="s">
        <v>605</v>
      </c>
      <c r="F333" s="233">
        <v>22</v>
      </c>
      <c r="G333" s="414">
        <v>114</v>
      </c>
      <c r="H333" s="233"/>
      <c r="I333" s="169"/>
      <c r="J333" s="234"/>
      <c r="K333" s="169"/>
      <c r="L333" s="402" t="s">
        <v>292</v>
      </c>
      <c r="M333" s="404">
        <v>0</v>
      </c>
      <c r="N333" s="404">
        <v>0</v>
      </c>
      <c r="O333" s="609">
        <v>0</v>
      </c>
      <c r="P333" s="609">
        <v>0</v>
      </c>
      <c r="Q333" s="610">
        <v>0</v>
      </c>
      <c r="R333" s="611">
        <v>0</v>
      </c>
      <c r="S333" s="611">
        <v>0</v>
      </c>
      <c r="T333" s="606"/>
      <c r="U333" s="606"/>
      <c r="V333" s="606"/>
      <c r="W333" s="606"/>
      <c r="X333" s="606"/>
      <c r="Y333" s="604"/>
      <c r="Z333" s="598">
        <v>0</v>
      </c>
      <c r="AA333" s="599">
        <v>0</v>
      </c>
      <c r="AB333" s="629"/>
      <c r="AC333" s="632">
        <v>0</v>
      </c>
      <c r="AD333" s="628" t="s">
        <v>342</v>
      </c>
      <c r="AE333" s="80" t="s">
        <v>342</v>
      </c>
      <c r="AF333" s="629"/>
      <c r="AG333" s="629"/>
      <c r="AH333" s="633"/>
      <c r="AI333" s="652">
        <v>0</v>
      </c>
      <c r="AJ333" s="653" t="s">
        <v>294</v>
      </c>
      <c r="AK333" s="651">
        <v>0</v>
      </c>
      <c r="AL333" s="645">
        <v>0</v>
      </c>
      <c r="AM333" s="645">
        <v>2</v>
      </c>
      <c r="AN333" s="600"/>
      <c r="AO333" s="600"/>
      <c r="AP333" s="600"/>
      <c r="AQ333" s="658"/>
      <c r="AR333" s="235" t="str">
        <f>IFERROR(WWWW[[#This Row],['# of Water passed at source]]/WWWW[[#This Row],['# of Water tested at source]],"no test")</f>
        <v>no test</v>
      </c>
      <c r="AS333" s="237" t="str">
        <f>IFERROR(WWWW[[#This Row],['# of Water passed at HH]]/WWWW[[#This Row],['# of Water tested at HH]],"no test")</f>
        <v>no test</v>
      </c>
      <c r="AT333" s="237">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U333" s="237">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AV333" s="237">
        <f>IF(WWWW[[#This Row],[Location Type 1]]="Village",WWWW[[#This Row],[Access to safe drinking water for Village]],WWWW[[#This Row],[Access to safe drinking water for Camp]])</f>
        <v>0</v>
      </c>
      <c r="AW333" s="414">
        <f>WWWW[[#This Row],[%Equitable and continuous access to sufficient quantity of safe drinking water]]*WWWW[[#This Row],[Total PoP ]]</f>
        <v>0</v>
      </c>
      <c r="AX333" s="237">
        <f>IF((WWWW[[#This Row],['# Existing protected/fenced ponds ]]*250)/WWWW[[#This Row],[Total PoP ]]&gt;1,1,WWWW[[#This Row],['# Existing protected/fenced ponds ]]*250/WWWW[[#This Row],[Total PoP ]])</f>
        <v>0</v>
      </c>
      <c r="AY333" s="414">
        <f>WWWW[[#This Row],[Access to unimproved water points]]*WWWW[[#This Row],[Total PoP ]]</f>
        <v>0</v>
      </c>
      <c r="AZ333" s="237">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A333" s="414">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B333" s="414">
        <f>WWWW[[#This Row],['#people Equitable and continuous access to sufficient quantity of domestic water borehole n ponds_2]]/500</f>
        <v>0</v>
      </c>
      <c r="BC333" s="235">
        <f>1-WWWW[[#This Row],[%Equitable and continuous access to sufficient quantity of domestic water borehole n ponds]]</f>
        <v>1</v>
      </c>
      <c r="BD333" s="414">
        <f>WWWW[[#This Row],[%equitable and continuous access to sufficient quantity of safe drinking and domestic water''s GAP]]*WWWW[[#This Row],[Total PoP ]]</f>
        <v>114</v>
      </c>
      <c r="BE333" s="238">
        <f>IF(WWWW[[#This Row],[Total required water points]]-WWWW[[#This Row],['#Water points coverage]]&lt;0,0,WWWW[[#This Row],[Total required water points]]-WWWW[[#This Row],['#Water points coverage]])</f>
        <v>1</v>
      </c>
      <c r="BF333" s="238">
        <f>ROUND(IF(WWWW[[#This Row],[Total PoP ]]&lt;500,1,WWWW[[#This Row],[Total PoP ]]/500),0)</f>
        <v>1</v>
      </c>
      <c r="BG333" s="238" t="str">
        <f>IF(AND(WWWW[[#This Row],[%of Water samples which passed at water source]]="no test",WWWW[[#This Row],[%Water samples which passed at HH]]="no test"),"No Test","Tested")</f>
        <v>No Test</v>
      </c>
      <c r="BH333" s="238">
        <f>WWWW[[#This Row],['# Existing functional latrines]]+WWWW[[#This Row],['# Existing latrines dysfunctional]]</f>
        <v>0</v>
      </c>
      <c r="BI333" s="235">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J333" s="675">
        <f>WWWW[[#This Row],[% people access to functioning Latrine]]*WWWW[[#This Row],[Total PoP ]]</f>
        <v>0</v>
      </c>
      <c r="BK333" s="235">
        <f>IF(WWWW[[#This Row],[Location Type 1]]="camp",WWWW[[#This Row],['# potential required new latrines]]/(WWWW[[#This Row],[Total PoP ]]/20),WWWW[[#This Row],['# potential required new latrines]]/(WWWW[[#This Row],[Total PoP ]]/6))</f>
        <v>1.0526315789473684</v>
      </c>
      <c r="BL333" s="414">
        <f>IF(WWWW[[#This Row],[Total required Latrines]]-WWWW[[#This Row],[Total '# of latrine]]&lt;0,0,WWWW[[#This Row],[Total required Latrines]]-WWWW[[#This Row],[Total '# of latrine]])</f>
        <v>6</v>
      </c>
      <c r="BM333" s="238">
        <f>ROUND(IF(WWWW[[#This Row],[Location Type 1]]="camp",WWWW[[#This Row],[Total PoP ]]/20,WWWW[[#This Row],[Total PoP ]]/6),0)</f>
        <v>6</v>
      </c>
      <c r="BN333" s="239">
        <f>IF(OR(WWWW[[#This Row],['# Existing latrines dysfunctional]]="",WWWW[[#This Row],['# Existing latrines dysfunctional]]=0),0,WWWW[[#This Row],['# Existing latrines dysfunctional]]/WWWW[[#This Row],[Total '# of latrine]])</f>
        <v>0</v>
      </c>
      <c r="BO333" s="675">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P333" s="235">
        <f>WWWW[[#This Row],[People adopt basic personal and community hygiene practices]]/WWWW[[#This Row],[Total PoP ]]</f>
        <v>0</v>
      </c>
      <c r="BQ333" s="239">
        <f>1-WWWW[[#This Row],[Hygiene Coverage%]]</f>
        <v>1</v>
      </c>
      <c r="BR333" s="405">
        <f>IF(500*WWWW[[#This Row],['# Hygiene Promoters ]]&gt;WWWW[[#This Row],[Total PoP ]],WWWW[[#This Row],[Total PoP ]],500*WWWW[[#This Row],['# Hygiene Promoters ]])</f>
        <v>114</v>
      </c>
      <c r="BS333" s="405">
        <f>IF(WWWW[[#This Row],[% of HH with access to Sanitary Pad]]&gt;=100%,1,0)</f>
        <v>0</v>
      </c>
      <c r="BT333" s="405">
        <f>IF(WWWW[[#This Row],[Total PoP ]]=0,0,IF(WWWW[[#This Row],['# Hygiene Promoters ]]=0,0,IF(WWWW[[#This Row],[Location Type 1]]="Village",IF(WWWW[[#This Row],[Total PoP ]]/WWWW[[#This Row],['# Hygiene Promoters ]]&lt;1000,1,0),IF(WWWW[[#This Row],[Total PoP ]]/WWWW[[#This Row],['# Hygiene Promoters ]]&lt;600,1,0))))</f>
        <v>1</v>
      </c>
      <c r="BU333" s="405">
        <f>IF(WWWW[[#This Row],[%HH with access to soap]]&gt;=100%,1,0)</f>
        <v>0</v>
      </c>
      <c r="BV333" s="405">
        <f>IF(WWWW[[#This Row],[% of HHs with access to Sanitary pad more than '#%]]+WWWW[[#This Row],[Ratio of Hyiene promoters to people less than '#]]+WWWW[[#This Row],[% of HHs with access to soap more than '#%]]&gt;=2,WWWW[[#This Row],[Total PoP ]],0)</f>
        <v>0</v>
      </c>
      <c r="BW333" s="346">
        <f>WWWW[[#This Row],['# people reached by regular dedicated hygiene promotion_5]]/WWWW[[#This Row],[Total PoP ]]</f>
        <v>1</v>
      </c>
      <c r="BX333" s="346">
        <f>IF(WWWW[[#This Row],['# HH received soaps]]/WWWW[[#This Row],[Total HH]]&gt;1,1,WWWW[[#This Row],['# HH received soaps]]/WWWW[[#This Row],[Total HH]])</f>
        <v>0</v>
      </c>
      <c r="BY333" s="346">
        <f>IF(WWWW[[#This Row],['# HH received Sanitary Pads]]/WWWW[[#This Row],[Total HH]]&gt;1,1,WWWW[[#This Row],['# HH received Sanitary Pads]]/WWWW[[#This Row],[Total HH]])</f>
        <v>0</v>
      </c>
      <c r="BZ333" s="720">
        <f>WWWW[[#This Row],['# HH received soaps]]*5</f>
        <v>0</v>
      </c>
      <c r="CA333" s="720">
        <f>WWWW[[#This Row],['# HH received Sanitary Pads]]*5</f>
        <v>0</v>
      </c>
      <c r="CB333" s="675">
        <f>IF(WWWW[[#This Row],['# People with access to soap]]&gt;WWWW[[#This Row],['# People with access to Sanity Pads]],WWWW[[#This Row],['# People with access to soap]],WWWW[[#This Row],['# People with access to Sanity Pads]])</f>
        <v>0</v>
      </c>
      <c r="CC333" s="414">
        <f>WWWW[[#This Row],[Total HH]]*WWWW[[#This Row],[%HHs with access to functional hand washing stations]]</f>
        <v>0</v>
      </c>
      <c r="CD333" s="240" t="str">
        <f>VLOOKUP(WWWW[[#This Row],[Site Name]],SiteDB6[],8,FALSE)</f>
        <v>Yes</v>
      </c>
      <c r="CE333" s="240" t="str">
        <f>VLOOKUP(WWWW[[#This Row],[Site Name]],SiteDB6[],9,FALSE)</f>
        <v>UNHCR</v>
      </c>
      <c r="CF333" s="240" t="str">
        <f>VLOOKUP(WWWW[[#This Row],[Site Name]],SiteDB6[],10,FALSE)</f>
        <v>Camp</v>
      </c>
      <c r="CG333" s="240" t="str">
        <f>VLOOKUP(WWWW[[#This Row],[Site Name]],SiteDB6[],11,FALSE)</f>
        <v>Camp</v>
      </c>
      <c r="CH333" s="240" t="str">
        <f>VLOOKUP(WWWW[[#This Row],[Site Name]],SiteDB6[],12,FALSE)</f>
        <v>Host Families</v>
      </c>
      <c r="CI333" s="240" t="str">
        <f>VLOOKUP(WWWW[[#This Row],[Site Name]],SiteDB6[],13,FALSE)</f>
        <v>Muslim</v>
      </c>
      <c r="CJ333" s="240">
        <f>VLOOKUP(WWWW[[#This Row],[Site Name]],SiteDB6[],14,FALSE)</f>
        <v>20.182987000000001</v>
      </c>
      <c r="CK333" s="240">
        <f>VLOOKUP(WWWW[[#This Row],[Site Name]],SiteDB6[],15,FALSE)</f>
        <v>92.804803000000007</v>
      </c>
      <c r="CL333" s="240" t="str">
        <f>VLOOKUP(WWWW[[#This Row],[Site Name]],SiteDB6[],4,FALSE)</f>
        <v>MMR012CMP103</v>
      </c>
      <c r="CM333" s="235" t="str">
        <f t="shared" si="5"/>
        <v>Notcovered</v>
      </c>
      <c r="CN333" s="240"/>
    </row>
    <row r="334" spans="1:92" ht="15.75" customHeight="1" x14ac:dyDescent="0.25">
      <c r="A334" s="532" t="s">
        <v>1409</v>
      </c>
      <c r="B334" s="533" t="s">
        <v>583</v>
      </c>
      <c r="C334" s="533" t="s">
        <v>464</v>
      </c>
      <c r="D334" s="533" t="s">
        <v>575</v>
      </c>
      <c r="E334" s="533" t="s">
        <v>584</v>
      </c>
      <c r="F334" s="233">
        <v>1341</v>
      </c>
      <c r="G334" s="414">
        <v>5938</v>
      </c>
      <c r="H334" s="233"/>
      <c r="I334" s="233" t="s">
        <v>398</v>
      </c>
      <c r="J334" s="234">
        <v>43281</v>
      </c>
      <c r="K334" s="233">
        <v>0</v>
      </c>
      <c r="L334" s="233" t="s">
        <v>292</v>
      </c>
      <c r="M334" s="235">
        <v>0</v>
      </c>
      <c r="N334" s="235">
        <v>0</v>
      </c>
      <c r="O334" s="609">
        <v>0</v>
      </c>
      <c r="P334" s="615">
        <v>0</v>
      </c>
      <c r="Q334" s="615">
        <v>81000</v>
      </c>
      <c r="R334" s="604">
        <v>2</v>
      </c>
      <c r="S334" s="604">
        <v>0</v>
      </c>
      <c r="T334" s="604">
        <v>0</v>
      </c>
      <c r="U334" s="604">
        <v>0</v>
      </c>
      <c r="V334" s="604">
        <v>0</v>
      </c>
      <c r="W334" s="604">
        <v>0</v>
      </c>
      <c r="X334" s="604">
        <v>0</v>
      </c>
      <c r="Y334" s="604"/>
      <c r="Z334" s="628">
        <v>87</v>
      </c>
      <c r="AA334" s="628">
        <v>116</v>
      </c>
      <c r="AB334" s="629">
        <v>34</v>
      </c>
      <c r="AC334" s="628">
        <v>0</v>
      </c>
      <c r="AD334" s="628" t="s">
        <v>293</v>
      </c>
      <c r="AE334" s="631" t="s">
        <v>1379</v>
      </c>
      <c r="AF334" s="631">
        <v>0</v>
      </c>
      <c r="AG334" s="628">
        <v>0</v>
      </c>
      <c r="AH334" s="628"/>
      <c r="AI334" s="659">
        <v>0</v>
      </c>
      <c r="AJ334" s="644" t="s">
        <v>294</v>
      </c>
      <c r="AK334" s="644">
        <v>0</v>
      </c>
      <c r="AL334" s="645">
        <v>0</v>
      </c>
      <c r="AM334" s="645">
        <v>20</v>
      </c>
      <c r="AN334" s="647">
        <v>1341</v>
      </c>
      <c r="AO334" s="647">
        <v>1341</v>
      </c>
      <c r="AP334" s="647" t="s">
        <v>292</v>
      </c>
      <c r="AQ334" s="658"/>
      <c r="AR334" s="235" t="str">
        <f>IFERROR(WWWW[[#This Row],['# of Water passed at source]]/WWWW[[#This Row],['# of Water tested at source]],"no test")</f>
        <v>no test</v>
      </c>
      <c r="AS334" s="237" t="str">
        <f>IFERROR(WWWW[[#This Row],['# of Water passed at HH]]/WWWW[[#This Row],['# of Water tested at HH]],"no test")</f>
        <v>no test</v>
      </c>
      <c r="AT334" s="237">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0.90939710340181878</v>
      </c>
      <c r="AU334" s="237">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0.90939710340181878</v>
      </c>
      <c r="AV334" s="237">
        <f>IF(WWWW[[#This Row],[Location Type 1]]="Village",WWWW[[#This Row],[Access to safe drinking water for Village]],WWWW[[#This Row],[Access to safe drinking water for Camp]])</f>
        <v>0.90939710340181878</v>
      </c>
      <c r="AW334" s="414">
        <f>WWWW[[#This Row],[%Equitable and continuous access to sufficient quantity of safe drinking water]]*WWWW[[#This Row],[Total PoP ]]</f>
        <v>5400</v>
      </c>
      <c r="AX334" s="237">
        <f>IF((WWWW[[#This Row],['# Existing protected/fenced ponds ]]*250)/WWWW[[#This Row],[Total PoP ]]&gt;1,1,WWWW[[#This Row],['# Existing protected/fenced ponds ]]*250/WWWW[[#This Row],[Total PoP ]])</f>
        <v>8.4203435500168414E-2</v>
      </c>
      <c r="AY334" s="414">
        <f>WWWW[[#This Row],[Access to unimproved water points]]*WWWW[[#This Row],[Total PoP ]]</f>
        <v>500.00000000000006</v>
      </c>
      <c r="AZ334" s="237">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0.99360053890198718</v>
      </c>
      <c r="BA334" s="414">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5900</v>
      </c>
      <c r="BB334" s="414">
        <f>WWWW[[#This Row],['#people Equitable and continuous access to sufficient quantity of domestic water borehole n ponds_2]]/500</f>
        <v>11.8</v>
      </c>
      <c r="BC334" s="235">
        <f>1-WWWW[[#This Row],[%Equitable and continuous access to sufficient quantity of domestic water borehole n ponds]]</f>
        <v>6.3994610980128153E-3</v>
      </c>
      <c r="BD334" s="414">
        <f>WWWW[[#This Row],[%equitable and continuous access to sufficient quantity of safe drinking and domestic water''s GAP]]*WWWW[[#This Row],[Total PoP ]]</f>
        <v>38.000000000000099</v>
      </c>
      <c r="BE334" s="238">
        <f>IF(WWWW[[#This Row],[Total required water points]]-WWWW[[#This Row],['#Water points coverage]]&lt;0,0,WWWW[[#This Row],[Total required water points]]-WWWW[[#This Row],['#Water points coverage]])</f>
        <v>0.19999999999999929</v>
      </c>
      <c r="BF334" s="238">
        <f>ROUND(IF(WWWW[[#This Row],[Total PoP ]]&lt;500,1,WWWW[[#This Row],[Total PoP ]]/500),0)</f>
        <v>12</v>
      </c>
      <c r="BG334" s="238" t="str">
        <f>IF(AND(WWWW[[#This Row],[%of Water samples which passed at water source]]="no test",WWWW[[#This Row],[%Water samples which passed at HH]]="no test"),"No Test","Tested")</f>
        <v>No Test</v>
      </c>
      <c r="BH334" s="238">
        <f>WWWW[[#This Row],['# Existing functional latrines]]+WWWW[[#This Row],['# Existing latrines dysfunctional]]</f>
        <v>203</v>
      </c>
      <c r="BI334" s="235">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0.29302795554058608</v>
      </c>
      <c r="BJ334" s="675">
        <f>WWWW[[#This Row],[% people access to functioning Latrine]]*WWWW[[#This Row],[Total PoP ]]</f>
        <v>1740.0000000000002</v>
      </c>
      <c r="BK334" s="235">
        <f>IF(WWWW[[#This Row],[Location Type 1]]="camp",WWWW[[#This Row],['# potential required new latrines]]/(WWWW[[#This Row],[Total PoP ]]/20),WWWW[[#This Row],['# potential required new latrines]]/(WWWW[[#This Row],[Total PoP ]]/6))</f>
        <v>0.31660491748063324</v>
      </c>
      <c r="BL334" s="414">
        <f>IF(WWWW[[#This Row],[Total required Latrines]]-WWWW[[#This Row],[Total '# of latrine]]&lt;0,0,WWWW[[#This Row],[Total required Latrines]]-WWWW[[#This Row],[Total '# of latrine]])</f>
        <v>94</v>
      </c>
      <c r="BM334" s="238">
        <f>ROUND(IF(WWWW[[#This Row],[Location Type 1]]="camp",WWWW[[#This Row],[Total PoP ]]/20,WWWW[[#This Row],[Total PoP ]]/6),0)</f>
        <v>297</v>
      </c>
      <c r="BN334" s="239">
        <f>IF(OR(WWWW[[#This Row],['# Existing latrines dysfunctional]]="",WWWW[[#This Row],['# Existing latrines dysfunctional]]=0),0,WWWW[[#This Row],['# Existing latrines dysfunctional]]/WWWW[[#This Row],[Total '# of latrine]])</f>
        <v>0.5714285714285714</v>
      </c>
      <c r="BO334" s="675">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680</v>
      </c>
      <c r="BP334" s="235">
        <f>WWWW[[#This Row],[People adopt basic personal and community hygiene practices]]/WWWW[[#This Row],[Total PoP ]]</f>
        <v>1</v>
      </c>
      <c r="BQ334" s="239">
        <f>1-WWWW[[#This Row],[Hygiene Coverage%]]</f>
        <v>0</v>
      </c>
      <c r="BR334" s="414">
        <f>IF(500*WWWW[[#This Row],['# Hygiene Promoters ]]&gt;WWWW[[#This Row],[Total PoP ]],WWWW[[#This Row],[Total PoP ]],500*WWWW[[#This Row],['# Hygiene Promoters ]])</f>
        <v>5938</v>
      </c>
      <c r="BS334" s="414">
        <f>IF(WWWW[[#This Row],[% of HH with access to Sanitary Pad]]&gt;=100%,1,0)</f>
        <v>1</v>
      </c>
      <c r="BT334" s="414">
        <f>IF(WWWW[[#This Row],[Total PoP ]]=0,0,IF(WWWW[[#This Row],['# Hygiene Promoters ]]=0,0,IF(WWWW[[#This Row],[Location Type 1]]="Village",IF(WWWW[[#This Row],[Total PoP ]]/WWWW[[#This Row],['# Hygiene Promoters ]]&lt;1000,1,0),IF(WWWW[[#This Row],[Total PoP ]]/WWWW[[#This Row],['# Hygiene Promoters ]]&lt;600,1,0))))</f>
        <v>1</v>
      </c>
      <c r="BU334" s="414">
        <f>IF(WWWW[[#This Row],[%HH with access to soap]]&gt;=100%,1,0)</f>
        <v>1</v>
      </c>
      <c r="BV334" s="414">
        <f>IF(WWWW[[#This Row],[% of HHs with access to Sanitary pad more than '#%]]+WWWW[[#This Row],[Ratio of Hyiene promoters to people less than '#]]+WWWW[[#This Row],[% of HHs with access to soap more than '#%]]&gt;=2,WWWW[[#This Row],[Total PoP ]],0)</f>
        <v>5938</v>
      </c>
      <c r="BW334" s="346">
        <f>WWWW[[#This Row],['# people reached by regular dedicated hygiene promotion_5]]/WWWW[[#This Row],[Total PoP ]]</f>
        <v>1</v>
      </c>
      <c r="BX334" s="346">
        <f>IF(WWWW[[#This Row],['# HH received soaps]]/WWWW[[#This Row],[Total HH]]&gt;1,1,WWWW[[#This Row],['# HH received soaps]]/WWWW[[#This Row],[Total HH]])</f>
        <v>1</v>
      </c>
      <c r="BY334" s="346">
        <f>IF(WWWW[[#This Row],['# HH received Sanitary Pads]]/WWWW[[#This Row],[Total HH]]&gt;1,1,WWWW[[#This Row],['# HH received Sanitary Pads]]/WWWW[[#This Row],[Total HH]])</f>
        <v>1</v>
      </c>
      <c r="BZ334" s="720">
        <f>WWWW[[#This Row],['# HH received soaps]]*5</f>
        <v>6705</v>
      </c>
      <c r="CA334" s="720">
        <f>WWWW[[#This Row],['# HH received Sanitary Pads]]*5</f>
        <v>6705</v>
      </c>
      <c r="CB334" s="238">
        <f>IF(WWWW[[#This Row],['# People with access to soap]]&gt;WWWW[[#This Row],['# People with access to Sanity Pads]],WWWW[[#This Row],['# People with access to soap]],WWWW[[#This Row],['# People with access to Sanity Pads]])</f>
        <v>6705</v>
      </c>
      <c r="CC334" s="414">
        <f>WWWW[[#This Row],[Total HH]]*WWWW[[#This Row],[%HHs with access to functional hand washing stations]]</f>
        <v>0</v>
      </c>
      <c r="CD334" s="240" t="str">
        <f>VLOOKUP(WWWW[[#This Row],[Site Name]],SiteDB6[],8,FALSE)</f>
        <v>Yes</v>
      </c>
      <c r="CE334" s="240" t="str">
        <f>VLOOKUP(WWWW[[#This Row],[Site Name]],SiteDB6[],9,FALSE)</f>
        <v>DRC</v>
      </c>
      <c r="CF334" s="240" t="str">
        <f>VLOOKUP(WWWW[[#This Row],[Site Name]],SiteDB6[],10,FALSE)</f>
        <v>Camp</v>
      </c>
      <c r="CG334" s="240" t="str">
        <f>VLOOKUP(WWWW[[#This Row],[Site Name]],SiteDB6[],11,FALSE)</f>
        <v>Camp</v>
      </c>
      <c r="CH334" s="240" t="str">
        <f>VLOOKUP(WWWW[[#This Row],[Site Name]],SiteDB6[],12,FALSE)</f>
        <v>Planned Camp</v>
      </c>
      <c r="CI334" s="240" t="str">
        <f>VLOOKUP(WWWW[[#This Row],[Site Name]],SiteDB6[],13,FALSE)</f>
        <v>Muslim</v>
      </c>
      <c r="CJ334" s="240">
        <f>VLOOKUP(WWWW[[#This Row],[Site Name]],SiteDB6[],14,FALSE)</f>
        <v>20.090183</v>
      </c>
      <c r="CK334" s="240">
        <f>VLOOKUP(WWWW[[#This Row],[Site Name]],SiteDB6[],15,FALSE)</f>
        <v>93.010368999999997</v>
      </c>
      <c r="CL334" s="240" t="str">
        <f>VLOOKUP(WWWW[[#This Row],[Site Name]],SiteDB6[],4,FALSE)</f>
        <v>MMR012CMP018</v>
      </c>
      <c r="CM334" s="235" t="str">
        <f t="shared" si="5"/>
        <v>Covered</v>
      </c>
      <c r="CN334" s="235"/>
    </row>
    <row r="335" spans="1:92" ht="15.75" customHeight="1" x14ac:dyDescent="0.25">
      <c r="A335" s="532" t="s">
        <v>1409</v>
      </c>
      <c r="B335" s="533" t="s">
        <v>436</v>
      </c>
      <c r="C335" s="533" t="s">
        <v>464</v>
      </c>
      <c r="D335" s="533" t="s">
        <v>465</v>
      </c>
      <c r="E335" s="533" t="s">
        <v>588</v>
      </c>
      <c r="F335" s="233">
        <v>397</v>
      </c>
      <c r="G335" s="414">
        <v>1995</v>
      </c>
      <c r="H335" s="233"/>
      <c r="I335" s="233" t="s">
        <v>884</v>
      </c>
      <c r="J335" s="234">
        <v>44104</v>
      </c>
      <c r="K335" s="233">
        <v>0</v>
      </c>
      <c r="L335" s="233" t="s">
        <v>292</v>
      </c>
      <c r="M335" s="235">
        <v>0</v>
      </c>
      <c r="N335" s="235">
        <v>0</v>
      </c>
      <c r="O335" s="609">
        <v>0</v>
      </c>
      <c r="P335" s="615">
        <v>26</v>
      </c>
      <c r="Q335" s="615">
        <v>0</v>
      </c>
      <c r="R335" s="604">
        <v>0</v>
      </c>
      <c r="S335" s="604">
        <v>29</v>
      </c>
      <c r="T335" s="604">
        <v>0</v>
      </c>
      <c r="U335" s="604">
        <v>0</v>
      </c>
      <c r="V335" s="604">
        <v>0</v>
      </c>
      <c r="W335" s="604">
        <v>0</v>
      </c>
      <c r="X335" s="604">
        <v>0</v>
      </c>
      <c r="Y335" s="604"/>
      <c r="Z335" s="598">
        <v>55</v>
      </c>
      <c r="AA335" s="599">
        <v>61</v>
      </c>
      <c r="AB335" s="629">
        <v>12</v>
      </c>
      <c r="AC335" s="628">
        <v>112</v>
      </c>
      <c r="AD335" s="628" t="s">
        <v>293</v>
      </c>
      <c r="AE335" s="631" t="s">
        <v>293</v>
      </c>
      <c r="AF335" s="631">
        <v>0</v>
      </c>
      <c r="AG335" s="628">
        <v>0</v>
      </c>
      <c r="AH335" s="628"/>
      <c r="AI335" s="659">
        <v>0</v>
      </c>
      <c r="AJ335" s="650" t="s">
        <v>386</v>
      </c>
      <c r="AK335" s="644">
        <v>0</v>
      </c>
      <c r="AL335" s="645">
        <v>0</v>
      </c>
      <c r="AM335" s="645">
        <v>2</v>
      </c>
      <c r="AN335" s="647">
        <v>397</v>
      </c>
      <c r="AO335" s="647">
        <v>397</v>
      </c>
      <c r="AP335" s="647"/>
      <c r="AQ335" s="658"/>
      <c r="AR335" s="235" t="str">
        <f>IFERROR(WWWW[[#This Row],['# of Water passed at source]]/WWWW[[#This Row],['# of Water tested at source]],"no test")</f>
        <v>no test</v>
      </c>
      <c r="AS335" s="237" t="str">
        <f>IFERROR(WWWW[[#This Row],['# of Water passed at HH]]/WWWW[[#This Row],['# of Water tested at HH]],"no test")</f>
        <v>no test</v>
      </c>
      <c r="AT335" s="237">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U335" s="237">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AV335" s="237">
        <f>IF(WWWW[[#This Row],[Location Type 1]]="Village",WWWW[[#This Row],[Access to safe drinking water for Village]],WWWW[[#This Row],[Access to safe drinking water for Camp]])</f>
        <v>1</v>
      </c>
      <c r="AW335" s="414">
        <f>WWWW[[#This Row],[%Equitable and continuous access to sufficient quantity of safe drinking water]]*WWWW[[#This Row],[Total PoP ]]</f>
        <v>1995</v>
      </c>
      <c r="AX335" s="237">
        <f>IF((WWWW[[#This Row],['# Existing protected/fenced ponds ]]*250)/WWWW[[#This Row],[Total PoP ]]&gt;1,1,WWWW[[#This Row],['# Existing protected/fenced ponds ]]*250/WWWW[[#This Row],[Total PoP ]])</f>
        <v>0</v>
      </c>
      <c r="AY335" s="414">
        <f>WWWW[[#This Row],[Access to unimproved water points]]*WWWW[[#This Row],[Total PoP ]]</f>
        <v>0</v>
      </c>
      <c r="AZ335" s="237">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A335" s="414">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1995</v>
      </c>
      <c r="BB335" s="414">
        <f>WWWW[[#This Row],['#people Equitable and continuous access to sufficient quantity of domestic water borehole n ponds_2]]/500</f>
        <v>3.99</v>
      </c>
      <c r="BC335" s="235">
        <f>1-WWWW[[#This Row],[%Equitable and continuous access to sufficient quantity of domestic water borehole n ponds]]</f>
        <v>0</v>
      </c>
      <c r="BD335" s="414">
        <f>WWWW[[#This Row],[%equitable and continuous access to sufficient quantity of safe drinking and domestic water''s GAP]]*WWWW[[#This Row],[Total PoP ]]</f>
        <v>0</v>
      </c>
      <c r="BE335" s="238">
        <f>IF(WWWW[[#This Row],[Total required water points]]-WWWW[[#This Row],['#Water points coverage]]&lt;0,0,WWWW[[#This Row],[Total required water points]]-WWWW[[#This Row],['#Water points coverage]])</f>
        <v>9.9999999999997868E-3</v>
      </c>
      <c r="BF335" s="238">
        <f>ROUND(IF(WWWW[[#This Row],[Total PoP ]]&lt;500,1,WWWW[[#This Row],[Total PoP ]]/500),0)</f>
        <v>4</v>
      </c>
      <c r="BG335" s="238" t="str">
        <f>IF(AND(WWWW[[#This Row],[%of Water samples which passed at water source]]="no test",WWWW[[#This Row],[%Water samples which passed at HH]]="no test"),"No Test","Tested")</f>
        <v>No Test</v>
      </c>
      <c r="BH335" s="238">
        <f>WWWW[[#This Row],['# Existing functional latrines]]+WWWW[[#This Row],['# Existing latrines dysfunctional]]</f>
        <v>116</v>
      </c>
      <c r="BI335" s="235">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0.55137844611528819</v>
      </c>
      <c r="BJ335" s="675">
        <f>WWWW[[#This Row],[% people access to functioning Latrine]]*WWWW[[#This Row],[Total PoP ]]</f>
        <v>1100</v>
      </c>
      <c r="BK335" s="235">
        <f>IF(WWWW[[#This Row],[Location Type 1]]="camp",WWWW[[#This Row],['# potential required new latrines]]/(WWWW[[#This Row],[Total PoP ]]/20),WWWW[[#This Row],['# potential required new latrines]]/(WWWW[[#This Row],[Total PoP ]]/6))</f>
        <v>0</v>
      </c>
      <c r="BL335" s="414">
        <f>IF(WWWW[[#This Row],[Total required Latrines]]-WWWW[[#This Row],[Total '# of latrine]]&lt;0,0,WWWW[[#This Row],[Total required Latrines]]-WWWW[[#This Row],[Total '# of latrine]])</f>
        <v>0</v>
      </c>
      <c r="BM335" s="238">
        <f>ROUND(IF(WWWW[[#This Row],[Location Type 1]]="camp",WWWW[[#This Row],[Total PoP ]]/20,WWWW[[#This Row],[Total PoP ]]/6),0)</f>
        <v>100</v>
      </c>
      <c r="BN335" s="239">
        <f>IF(OR(WWWW[[#This Row],['# Existing latrines dysfunctional]]="",WWWW[[#This Row],['# Existing latrines dysfunctional]]=0),0,WWWW[[#This Row],['# Existing latrines dysfunctional]]/WWWW[[#This Row],[Total '# of latrine]])</f>
        <v>0.52586206896551724</v>
      </c>
      <c r="BO335" s="675">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240</v>
      </c>
      <c r="BP335" s="235">
        <f>WWWW[[#This Row],[People adopt basic personal and community hygiene practices]]/WWWW[[#This Row],[Total PoP ]]</f>
        <v>1</v>
      </c>
      <c r="BQ335" s="239">
        <f>1-WWWW[[#This Row],[Hygiene Coverage%]]</f>
        <v>0</v>
      </c>
      <c r="BR335" s="414">
        <f>IF(500*WWWW[[#This Row],['# Hygiene Promoters ]]&gt;WWWW[[#This Row],[Total PoP ]],WWWW[[#This Row],[Total PoP ]],500*WWWW[[#This Row],['# Hygiene Promoters ]])</f>
        <v>1000</v>
      </c>
      <c r="BS335" s="414">
        <f>IF(WWWW[[#This Row],[% of HH with access to Sanitary Pad]]&gt;=100%,1,0)</f>
        <v>1</v>
      </c>
      <c r="BT335" s="414">
        <f>IF(WWWW[[#This Row],[Total PoP ]]=0,0,IF(WWWW[[#This Row],['# Hygiene Promoters ]]=0,0,IF(WWWW[[#This Row],[Location Type 1]]="Village",IF(WWWW[[#This Row],[Total PoP ]]/WWWW[[#This Row],['# Hygiene Promoters ]]&lt;1000,1,0),IF(WWWW[[#This Row],[Total PoP ]]/WWWW[[#This Row],['# Hygiene Promoters ]]&lt;600,1,0))))</f>
        <v>0</v>
      </c>
      <c r="BU335" s="414">
        <f>IF(WWWW[[#This Row],[%HH with access to soap]]&gt;=100%,1,0)</f>
        <v>1</v>
      </c>
      <c r="BV335" s="414">
        <f>IF(WWWW[[#This Row],[% of HHs with access to Sanitary pad more than '#%]]+WWWW[[#This Row],[Ratio of Hyiene promoters to people less than '#]]+WWWW[[#This Row],[% of HHs with access to soap more than '#%]]&gt;=2,WWWW[[#This Row],[Total PoP ]],0)</f>
        <v>1995</v>
      </c>
      <c r="BW335" s="346">
        <f>WWWW[[#This Row],['# people reached by regular dedicated hygiene promotion_5]]/WWWW[[#This Row],[Total PoP ]]</f>
        <v>0.50125313283208017</v>
      </c>
      <c r="BX335" s="346">
        <f>IF(WWWW[[#This Row],['# HH received soaps]]/WWWW[[#This Row],[Total HH]]&gt;1,1,WWWW[[#This Row],['# HH received soaps]]/WWWW[[#This Row],[Total HH]])</f>
        <v>1</v>
      </c>
      <c r="BY335" s="346">
        <f>IF(WWWW[[#This Row],['# HH received Sanitary Pads]]/WWWW[[#This Row],[Total HH]]&gt;1,1,WWWW[[#This Row],['# HH received Sanitary Pads]]/WWWW[[#This Row],[Total HH]])</f>
        <v>1</v>
      </c>
      <c r="BZ335" s="720">
        <f>WWWW[[#This Row],['# HH received soaps]]*5</f>
        <v>1985</v>
      </c>
      <c r="CA335" s="720">
        <f>WWWW[[#This Row],['# HH received Sanitary Pads]]*5</f>
        <v>1985</v>
      </c>
      <c r="CB335" s="238">
        <f>IF(WWWW[[#This Row],['# People with access to soap]]&gt;WWWW[[#This Row],['# People with access to Sanity Pads]],WWWW[[#This Row],['# People with access to soap]],WWWW[[#This Row],['# People with access to Sanity Pads]])</f>
        <v>1985</v>
      </c>
      <c r="CC335" s="414">
        <f>WWWW[[#This Row],[Total HH]]*WWWW[[#This Row],[%HHs with access to functional hand washing stations]]</f>
        <v>0</v>
      </c>
      <c r="CD335" s="240" t="str">
        <f>VLOOKUP(WWWW[[#This Row],[Site Name]],SiteDB6[],8,FALSE)</f>
        <v>Yes</v>
      </c>
      <c r="CE335" s="240" t="str">
        <f>VLOOKUP(WWWW[[#This Row],[Site Name]],SiteDB6[],9,FALSE)</f>
        <v>LWF</v>
      </c>
      <c r="CF335" s="240" t="str">
        <f>VLOOKUP(WWWW[[#This Row],[Site Name]],SiteDB6[],10,FALSE)</f>
        <v>Camp</v>
      </c>
      <c r="CG335" s="240" t="str">
        <f>VLOOKUP(WWWW[[#This Row],[Site Name]],SiteDB6[],11,FALSE)</f>
        <v>Camp</v>
      </c>
      <c r="CH335" s="240" t="str">
        <f>VLOOKUP(WWWW[[#This Row],[Site Name]],SiteDB6[],12,FALSE)</f>
        <v>Planned Camp</v>
      </c>
      <c r="CI335" s="240" t="str">
        <f>VLOOKUP(WWWW[[#This Row],[Site Name]],SiteDB6[],13,FALSE)</f>
        <v>Muslim</v>
      </c>
      <c r="CJ335" s="240">
        <f>VLOOKUP(WWWW[[#This Row],[Site Name]],SiteDB6[],14,FALSE)</f>
        <v>20.128488999999998</v>
      </c>
      <c r="CK335" s="240">
        <f>VLOOKUP(WWWW[[#This Row],[Site Name]],SiteDB6[],15,FALSE)</f>
        <v>92.875814000000005</v>
      </c>
      <c r="CL335" s="240" t="str">
        <f>VLOOKUP(WWWW[[#This Row],[Site Name]],SiteDB6[],4,FALSE)</f>
        <v>MMR012CMP039</v>
      </c>
      <c r="CM335" s="235" t="str">
        <f t="shared" si="5"/>
        <v>Covered</v>
      </c>
      <c r="CN335" s="235"/>
    </row>
    <row r="336" spans="1:92" ht="15.75" customHeight="1" x14ac:dyDescent="0.25">
      <c r="A336" s="532" t="s">
        <v>1409</v>
      </c>
      <c r="B336" s="533" t="s">
        <v>436</v>
      </c>
      <c r="C336" s="533" t="s">
        <v>464</v>
      </c>
      <c r="D336" s="533" t="s">
        <v>465</v>
      </c>
      <c r="E336" s="533" t="s">
        <v>599</v>
      </c>
      <c r="F336" s="233">
        <v>1016</v>
      </c>
      <c r="G336" s="414">
        <v>4892</v>
      </c>
      <c r="H336" s="233"/>
      <c r="I336" s="233" t="s">
        <v>884</v>
      </c>
      <c r="J336" s="234">
        <v>44104</v>
      </c>
      <c r="K336" s="233">
        <v>0</v>
      </c>
      <c r="L336" s="233" t="s">
        <v>292</v>
      </c>
      <c r="M336" s="235">
        <v>0</v>
      </c>
      <c r="N336" s="235">
        <v>0</v>
      </c>
      <c r="O336" s="609">
        <v>0</v>
      </c>
      <c r="P336" s="615">
        <v>46</v>
      </c>
      <c r="Q336" s="615">
        <v>0</v>
      </c>
      <c r="R336" s="604">
        <v>0</v>
      </c>
      <c r="S336" s="604">
        <v>53</v>
      </c>
      <c r="T336" s="604">
        <v>0</v>
      </c>
      <c r="U336" s="604">
        <v>0</v>
      </c>
      <c r="V336" s="604">
        <v>0</v>
      </c>
      <c r="W336" s="604">
        <v>0</v>
      </c>
      <c r="X336" s="604">
        <v>0</v>
      </c>
      <c r="Y336" s="604"/>
      <c r="Z336" s="628">
        <v>254</v>
      </c>
      <c r="AA336" s="628">
        <v>32</v>
      </c>
      <c r="AB336" s="629">
        <v>162</v>
      </c>
      <c r="AC336" s="628">
        <v>250</v>
      </c>
      <c r="AD336" s="628" t="s">
        <v>293</v>
      </c>
      <c r="AE336" s="631" t="s">
        <v>1379</v>
      </c>
      <c r="AF336" s="631">
        <v>0</v>
      </c>
      <c r="AG336" s="628">
        <v>0</v>
      </c>
      <c r="AH336" s="628"/>
      <c r="AI336" s="659">
        <v>0</v>
      </c>
      <c r="AJ336" s="644" t="s">
        <v>294</v>
      </c>
      <c r="AK336" s="644">
        <v>0</v>
      </c>
      <c r="AL336" s="645">
        <v>0</v>
      </c>
      <c r="AM336" s="645">
        <v>9</v>
      </c>
      <c r="AN336" s="647">
        <v>1016</v>
      </c>
      <c r="AO336" s="647">
        <v>1016</v>
      </c>
      <c r="AP336" s="647"/>
      <c r="AQ336" s="658"/>
      <c r="AR336" s="235" t="str">
        <f>IFERROR(WWWW[[#This Row],['# of Water passed at source]]/WWWW[[#This Row],['# of Water tested at source]],"no test")</f>
        <v>no test</v>
      </c>
      <c r="AS336" s="237" t="str">
        <f>IFERROR(WWWW[[#This Row],['# of Water passed at HH]]/WWWW[[#This Row],['# of Water tested at HH]],"no test")</f>
        <v>no test</v>
      </c>
      <c r="AT336" s="237">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U336" s="237">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AV336" s="237">
        <f>IF(WWWW[[#This Row],[Location Type 1]]="Village",WWWW[[#This Row],[Access to safe drinking water for Village]],WWWW[[#This Row],[Access to safe drinking water for Camp]])</f>
        <v>1</v>
      </c>
      <c r="AW336" s="414">
        <f>WWWW[[#This Row],[%Equitable and continuous access to sufficient quantity of safe drinking water]]*WWWW[[#This Row],[Total PoP ]]</f>
        <v>4892</v>
      </c>
      <c r="AX336" s="237">
        <f>IF((WWWW[[#This Row],['# Existing protected/fenced ponds ]]*250)/WWWW[[#This Row],[Total PoP ]]&gt;1,1,WWWW[[#This Row],['# Existing protected/fenced ponds ]]*250/WWWW[[#This Row],[Total PoP ]])</f>
        <v>0</v>
      </c>
      <c r="AY336" s="414">
        <f>WWWW[[#This Row],[Access to unimproved water points]]*WWWW[[#This Row],[Total PoP ]]</f>
        <v>0</v>
      </c>
      <c r="AZ336" s="237">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A336" s="414">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4892</v>
      </c>
      <c r="BB336" s="414">
        <f>WWWW[[#This Row],['#people Equitable and continuous access to sufficient quantity of domestic water borehole n ponds_2]]/500</f>
        <v>9.7840000000000007</v>
      </c>
      <c r="BC336" s="235">
        <f>1-WWWW[[#This Row],[%Equitable and continuous access to sufficient quantity of domestic water borehole n ponds]]</f>
        <v>0</v>
      </c>
      <c r="BD336" s="414">
        <f>WWWW[[#This Row],[%equitable and continuous access to sufficient quantity of safe drinking and domestic water''s GAP]]*WWWW[[#This Row],[Total PoP ]]</f>
        <v>0</v>
      </c>
      <c r="BE336" s="238">
        <f>IF(WWWW[[#This Row],[Total required water points]]-WWWW[[#This Row],['#Water points coverage]]&lt;0,0,WWWW[[#This Row],[Total required water points]]-WWWW[[#This Row],['#Water points coverage]])</f>
        <v>0.2159999999999993</v>
      </c>
      <c r="BF336" s="238">
        <f>ROUND(IF(WWWW[[#This Row],[Total PoP ]]&lt;500,1,WWWW[[#This Row],[Total PoP ]]/500),0)</f>
        <v>10</v>
      </c>
      <c r="BG336" s="238" t="str">
        <f>IF(AND(WWWW[[#This Row],[%of Water samples which passed at water source]]="no test",WWWW[[#This Row],[%Water samples which passed at HH]]="no test"),"No Test","Tested")</f>
        <v>No Test</v>
      </c>
      <c r="BH336" s="238">
        <f>WWWW[[#This Row],['# Existing functional latrines]]+WWWW[[#This Row],['# Existing latrines dysfunctional]]</f>
        <v>286</v>
      </c>
      <c r="BI336" s="235">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1</v>
      </c>
      <c r="BJ336" s="675">
        <f>WWWW[[#This Row],[% people access to functioning Latrine]]*WWWW[[#This Row],[Total PoP ]]</f>
        <v>4892</v>
      </c>
      <c r="BK336" s="235">
        <f>IF(WWWW[[#This Row],[Location Type 1]]="camp",WWWW[[#This Row],['# potential required new latrines]]/(WWWW[[#This Row],[Total PoP ]]/20),WWWW[[#This Row],['# potential required new latrines]]/(WWWW[[#This Row],[Total PoP ]]/6))</f>
        <v>0</v>
      </c>
      <c r="BL336" s="414">
        <f>IF(WWWW[[#This Row],[Total required Latrines]]-WWWW[[#This Row],[Total '# of latrine]]&lt;0,0,WWWW[[#This Row],[Total required Latrines]]-WWWW[[#This Row],[Total '# of latrine]])</f>
        <v>0</v>
      </c>
      <c r="BM336" s="238">
        <f>ROUND(IF(WWWW[[#This Row],[Location Type 1]]="camp",WWWW[[#This Row],[Total PoP ]]/20,WWWW[[#This Row],[Total PoP ]]/6),0)</f>
        <v>245</v>
      </c>
      <c r="BN336" s="239">
        <f>IF(OR(WWWW[[#This Row],['# Existing latrines dysfunctional]]="",WWWW[[#This Row],['# Existing latrines dysfunctional]]=0),0,WWWW[[#This Row],['# Existing latrines dysfunctional]]/WWWW[[#This Row],[Total '# of latrine]])</f>
        <v>0.11188811188811189</v>
      </c>
      <c r="BO336" s="675">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3240</v>
      </c>
      <c r="BP336" s="235">
        <f>WWWW[[#This Row],[People adopt basic personal and community hygiene practices]]/WWWW[[#This Row],[Total PoP ]]</f>
        <v>1</v>
      </c>
      <c r="BQ336" s="239">
        <f>1-WWWW[[#This Row],[Hygiene Coverage%]]</f>
        <v>0</v>
      </c>
      <c r="BR336" s="414">
        <f>IF(500*WWWW[[#This Row],['# Hygiene Promoters ]]&gt;WWWW[[#This Row],[Total PoP ]],WWWW[[#This Row],[Total PoP ]],500*WWWW[[#This Row],['# Hygiene Promoters ]])</f>
        <v>4500</v>
      </c>
      <c r="BS336" s="414">
        <f>IF(WWWW[[#This Row],[% of HH with access to Sanitary Pad]]&gt;=100%,1,0)</f>
        <v>1</v>
      </c>
      <c r="BT336" s="414">
        <f>IF(WWWW[[#This Row],[Total PoP ]]=0,0,IF(WWWW[[#This Row],['# Hygiene Promoters ]]=0,0,IF(WWWW[[#This Row],[Location Type 1]]="Village",IF(WWWW[[#This Row],[Total PoP ]]/WWWW[[#This Row],['# Hygiene Promoters ]]&lt;1000,1,0),IF(WWWW[[#This Row],[Total PoP ]]/WWWW[[#This Row],['# Hygiene Promoters ]]&lt;600,1,0))))</f>
        <v>1</v>
      </c>
      <c r="BU336" s="414">
        <f>IF(WWWW[[#This Row],[%HH with access to soap]]&gt;=100%,1,0)</f>
        <v>1</v>
      </c>
      <c r="BV336" s="414">
        <f>IF(WWWW[[#This Row],[% of HHs with access to Sanitary pad more than '#%]]+WWWW[[#This Row],[Ratio of Hyiene promoters to people less than '#]]+WWWW[[#This Row],[% of HHs with access to soap more than '#%]]&gt;=2,WWWW[[#This Row],[Total PoP ]],0)</f>
        <v>4892</v>
      </c>
      <c r="BW336" s="346">
        <f>WWWW[[#This Row],['# people reached by regular dedicated hygiene promotion_5]]/WWWW[[#This Row],[Total PoP ]]</f>
        <v>0.91986917416189695</v>
      </c>
      <c r="BX336" s="346">
        <f>IF(WWWW[[#This Row],['# HH received soaps]]/WWWW[[#This Row],[Total HH]]&gt;1,1,WWWW[[#This Row],['# HH received soaps]]/WWWW[[#This Row],[Total HH]])</f>
        <v>1</v>
      </c>
      <c r="BY336" s="346">
        <f>IF(WWWW[[#This Row],['# HH received Sanitary Pads]]/WWWW[[#This Row],[Total HH]]&gt;1,1,WWWW[[#This Row],['# HH received Sanitary Pads]]/WWWW[[#This Row],[Total HH]])</f>
        <v>1</v>
      </c>
      <c r="BZ336" s="720">
        <f>WWWW[[#This Row],['# HH received soaps]]*5</f>
        <v>5080</v>
      </c>
      <c r="CA336" s="720">
        <f>WWWW[[#This Row],['# HH received Sanitary Pads]]*5</f>
        <v>5080</v>
      </c>
      <c r="CB336" s="238">
        <f>IF(WWWW[[#This Row],['# People with access to soap]]&gt;WWWW[[#This Row],['# People with access to Sanity Pads]],WWWW[[#This Row],['# People with access to soap]],WWWW[[#This Row],['# People with access to Sanity Pads]])</f>
        <v>5080</v>
      </c>
      <c r="CC336" s="414">
        <f>WWWW[[#This Row],[Total HH]]*WWWW[[#This Row],[%HHs with access to functional hand washing stations]]</f>
        <v>0</v>
      </c>
      <c r="CD336" s="240" t="str">
        <f>VLOOKUP(WWWW[[#This Row],[Site Name]],SiteDB6[],8,FALSE)</f>
        <v>Yes</v>
      </c>
      <c r="CE336" s="240" t="str">
        <f>VLOOKUP(WWWW[[#This Row],[Site Name]],SiteDB6[],9,FALSE)</f>
        <v>DRC</v>
      </c>
      <c r="CF336" s="240" t="str">
        <f>VLOOKUP(WWWW[[#This Row],[Site Name]],SiteDB6[],10,FALSE)</f>
        <v>Camp</v>
      </c>
      <c r="CG336" s="240" t="str">
        <f>VLOOKUP(WWWW[[#This Row],[Site Name]],SiteDB6[],11,FALSE)</f>
        <v>Camp</v>
      </c>
      <c r="CH336" s="240" t="str">
        <f>VLOOKUP(WWWW[[#This Row],[Site Name]],SiteDB6[],12,FALSE)</f>
        <v>Planned Camp</v>
      </c>
      <c r="CI336" s="240" t="str">
        <f>VLOOKUP(WWWW[[#This Row],[Site Name]],SiteDB6[],13,FALSE)</f>
        <v>Muslim</v>
      </c>
      <c r="CJ336" s="240">
        <f>VLOOKUP(WWWW[[#This Row],[Site Name]],SiteDB6[],14,FALSE)</f>
        <v>20.179417000000001</v>
      </c>
      <c r="CK336" s="240">
        <f>VLOOKUP(WWWW[[#This Row],[Site Name]],SiteDB6[],15,FALSE)</f>
        <v>92.813028000000003</v>
      </c>
      <c r="CL336" s="240" t="str">
        <f>VLOOKUP(WWWW[[#This Row],[Site Name]],SiteDB6[],4,FALSE)</f>
        <v>MMR012CMP113</v>
      </c>
      <c r="CM336" s="235" t="str">
        <f t="shared" si="5"/>
        <v>Covered</v>
      </c>
      <c r="CN336" s="235"/>
    </row>
    <row r="337" spans="1:92" ht="15.75" customHeight="1" x14ac:dyDescent="0.25">
      <c r="A337" s="532" t="s">
        <v>1409</v>
      </c>
      <c r="B337" s="533" t="s">
        <v>436</v>
      </c>
      <c r="C337" s="533" t="s">
        <v>464</v>
      </c>
      <c r="D337" s="533" t="s">
        <v>465</v>
      </c>
      <c r="E337" s="533" t="s">
        <v>602</v>
      </c>
      <c r="F337" s="233">
        <v>1311</v>
      </c>
      <c r="G337" s="414">
        <v>6936</v>
      </c>
      <c r="H337" s="233"/>
      <c r="I337" s="233" t="s">
        <v>884</v>
      </c>
      <c r="J337" s="234">
        <v>44104</v>
      </c>
      <c r="K337" s="233">
        <v>0</v>
      </c>
      <c r="L337" s="233" t="s">
        <v>292</v>
      </c>
      <c r="M337" s="235">
        <v>0</v>
      </c>
      <c r="N337" s="235">
        <v>0</v>
      </c>
      <c r="O337" s="609">
        <v>0</v>
      </c>
      <c r="P337" s="615">
        <v>71</v>
      </c>
      <c r="Q337" s="615">
        <v>0</v>
      </c>
      <c r="R337" s="604">
        <v>0</v>
      </c>
      <c r="S337" s="604">
        <v>88</v>
      </c>
      <c r="T337" s="604">
        <v>0</v>
      </c>
      <c r="U337" s="604">
        <v>0</v>
      </c>
      <c r="V337" s="604">
        <v>0</v>
      </c>
      <c r="W337" s="604">
        <v>0</v>
      </c>
      <c r="X337" s="604">
        <v>0</v>
      </c>
      <c r="Y337" s="604"/>
      <c r="Z337" s="628">
        <v>305</v>
      </c>
      <c r="AA337" s="628">
        <v>137</v>
      </c>
      <c r="AB337" s="629">
        <f>359-162</f>
        <v>197</v>
      </c>
      <c r="AC337" s="628">
        <v>303</v>
      </c>
      <c r="AD337" s="628" t="s">
        <v>293</v>
      </c>
      <c r="AE337" s="631" t="s">
        <v>293</v>
      </c>
      <c r="AF337" s="631">
        <v>0</v>
      </c>
      <c r="AG337" s="628">
        <v>0</v>
      </c>
      <c r="AH337" s="628"/>
      <c r="AI337" s="659">
        <v>0</v>
      </c>
      <c r="AJ337" s="644" t="s">
        <v>294</v>
      </c>
      <c r="AK337" s="644">
        <v>0</v>
      </c>
      <c r="AL337" s="645">
        <v>0</v>
      </c>
      <c r="AM337" s="645">
        <v>0</v>
      </c>
      <c r="AN337" s="647">
        <v>0</v>
      </c>
      <c r="AO337" s="647">
        <v>0</v>
      </c>
      <c r="AP337" s="647"/>
      <c r="AQ337" s="658"/>
      <c r="AR337" s="235" t="str">
        <f>IFERROR(WWWW[[#This Row],['# of Water passed at source]]/WWWW[[#This Row],['# of Water tested at source]],"no test")</f>
        <v>no test</v>
      </c>
      <c r="AS337" s="237" t="str">
        <f>IFERROR(WWWW[[#This Row],['# of Water passed at HH]]/WWWW[[#This Row],['# of Water tested at HH]],"no test")</f>
        <v>no test</v>
      </c>
      <c r="AT337" s="237">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U337" s="237">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AV337" s="237">
        <f>IF(WWWW[[#This Row],[Location Type 1]]="Village",WWWW[[#This Row],[Access to safe drinking water for Village]],WWWW[[#This Row],[Access to safe drinking water for Camp]])</f>
        <v>1</v>
      </c>
      <c r="AW337" s="414">
        <f>WWWW[[#This Row],[%Equitable and continuous access to sufficient quantity of safe drinking water]]*WWWW[[#This Row],[Total PoP ]]</f>
        <v>6936</v>
      </c>
      <c r="AX337" s="237">
        <f>IF((WWWW[[#This Row],['# Existing protected/fenced ponds ]]*250)/WWWW[[#This Row],[Total PoP ]]&gt;1,1,WWWW[[#This Row],['# Existing protected/fenced ponds ]]*250/WWWW[[#This Row],[Total PoP ]])</f>
        <v>0</v>
      </c>
      <c r="AY337" s="414">
        <f>WWWW[[#This Row],[Access to unimproved water points]]*WWWW[[#This Row],[Total PoP ]]</f>
        <v>0</v>
      </c>
      <c r="AZ337" s="237">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A337" s="414">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6936</v>
      </c>
      <c r="BB337" s="414">
        <f>WWWW[[#This Row],['#people Equitable and continuous access to sufficient quantity of domestic water borehole n ponds_2]]/500</f>
        <v>13.872</v>
      </c>
      <c r="BC337" s="235">
        <f>1-WWWW[[#This Row],[%Equitable and continuous access to sufficient quantity of domestic water borehole n ponds]]</f>
        <v>0</v>
      </c>
      <c r="BD337" s="414">
        <f>WWWW[[#This Row],[%equitable and continuous access to sufficient quantity of safe drinking and domestic water''s GAP]]*WWWW[[#This Row],[Total PoP ]]</f>
        <v>0</v>
      </c>
      <c r="BE337" s="238">
        <f>IF(WWWW[[#This Row],[Total required water points]]-WWWW[[#This Row],['#Water points coverage]]&lt;0,0,WWWW[[#This Row],[Total required water points]]-WWWW[[#This Row],['#Water points coverage]])</f>
        <v>0.12800000000000011</v>
      </c>
      <c r="BF337" s="238">
        <f>ROUND(IF(WWWW[[#This Row],[Total PoP ]]&lt;500,1,WWWW[[#This Row],[Total PoP ]]/500),0)</f>
        <v>14</v>
      </c>
      <c r="BG337" s="238" t="str">
        <f>IF(AND(WWWW[[#This Row],[%of Water samples which passed at water source]]="no test",WWWW[[#This Row],[%Water samples which passed at HH]]="no test"),"No Test","Tested")</f>
        <v>No Test</v>
      </c>
      <c r="BH337" s="238">
        <f>WWWW[[#This Row],['# Existing functional latrines]]+WWWW[[#This Row],['# Existing latrines dysfunctional]]</f>
        <v>442</v>
      </c>
      <c r="BI337" s="235">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0.87946943483275664</v>
      </c>
      <c r="BJ337" s="675">
        <f>WWWW[[#This Row],[% people access to functioning Latrine]]*WWWW[[#This Row],[Total PoP ]]</f>
        <v>6100</v>
      </c>
      <c r="BK337" s="235">
        <f>IF(WWWW[[#This Row],[Location Type 1]]="camp",WWWW[[#This Row],['# potential required new latrines]]/(WWWW[[#This Row],[Total PoP ]]/20),WWWW[[#This Row],['# potential required new latrines]]/(WWWW[[#This Row],[Total PoP ]]/6))</f>
        <v>0</v>
      </c>
      <c r="BL337" s="414">
        <f>IF(WWWW[[#This Row],[Total required Latrines]]-WWWW[[#This Row],[Total '# of latrine]]&lt;0,0,WWWW[[#This Row],[Total required Latrines]]-WWWW[[#This Row],[Total '# of latrine]])</f>
        <v>0</v>
      </c>
      <c r="BM337" s="238">
        <f>ROUND(IF(WWWW[[#This Row],[Location Type 1]]="camp",WWWW[[#This Row],[Total PoP ]]/20,WWWW[[#This Row],[Total PoP ]]/6),0)</f>
        <v>347</v>
      </c>
      <c r="BN337" s="239">
        <f>IF(OR(WWWW[[#This Row],['# Existing latrines dysfunctional]]="",WWWW[[#This Row],['# Existing latrines dysfunctional]]=0),0,WWWW[[#This Row],['# Existing latrines dysfunctional]]/WWWW[[#This Row],[Total '# of latrine]])</f>
        <v>0.30995475113122173</v>
      </c>
      <c r="BO337" s="675">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3940</v>
      </c>
      <c r="BP337" s="235">
        <f>WWWW[[#This Row],[People adopt basic personal and community hygiene practices]]/WWWW[[#This Row],[Total PoP ]]</f>
        <v>0</v>
      </c>
      <c r="BQ337" s="239">
        <f>1-WWWW[[#This Row],[Hygiene Coverage%]]</f>
        <v>1</v>
      </c>
      <c r="BR337" s="414">
        <f>IF(500*WWWW[[#This Row],['# Hygiene Promoters ]]&gt;WWWW[[#This Row],[Total PoP ]],WWWW[[#This Row],[Total PoP ]],500*WWWW[[#This Row],['# Hygiene Promoters ]])</f>
        <v>0</v>
      </c>
      <c r="BS337" s="414">
        <f>IF(WWWW[[#This Row],[% of HH with access to Sanitary Pad]]&gt;=100%,1,0)</f>
        <v>0</v>
      </c>
      <c r="BT337" s="414">
        <f>IF(WWWW[[#This Row],[Total PoP ]]=0,0,IF(WWWW[[#This Row],['# Hygiene Promoters ]]=0,0,IF(WWWW[[#This Row],[Location Type 1]]="Village",IF(WWWW[[#This Row],[Total PoP ]]/WWWW[[#This Row],['# Hygiene Promoters ]]&lt;1000,1,0),IF(WWWW[[#This Row],[Total PoP ]]/WWWW[[#This Row],['# Hygiene Promoters ]]&lt;600,1,0))))</f>
        <v>0</v>
      </c>
      <c r="BU337" s="414">
        <f>IF(WWWW[[#This Row],[%HH with access to soap]]&gt;=100%,1,0)</f>
        <v>0</v>
      </c>
      <c r="BV337" s="414">
        <f>IF(WWWW[[#This Row],[% of HHs with access to Sanitary pad more than '#%]]+WWWW[[#This Row],[Ratio of Hyiene promoters to people less than '#]]+WWWW[[#This Row],[% of HHs with access to soap more than '#%]]&gt;=2,WWWW[[#This Row],[Total PoP ]],0)</f>
        <v>0</v>
      </c>
      <c r="BW337" s="346">
        <f>WWWW[[#This Row],['# people reached by regular dedicated hygiene promotion_5]]/WWWW[[#This Row],[Total PoP ]]</f>
        <v>0</v>
      </c>
      <c r="BX337" s="346">
        <f>IF(WWWW[[#This Row],['# HH received soaps]]/WWWW[[#This Row],[Total HH]]&gt;1,1,WWWW[[#This Row],['# HH received soaps]]/WWWW[[#This Row],[Total HH]])</f>
        <v>0</v>
      </c>
      <c r="BY337" s="346">
        <f>IF(WWWW[[#This Row],['# HH received Sanitary Pads]]/WWWW[[#This Row],[Total HH]]&gt;1,1,WWWW[[#This Row],['# HH received Sanitary Pads]]/WWWW[[#This Row],[Total HH]])</f>
        <v>0</v>
      </c>
      <c r="BZ337" s="720">
        <f>WWWW[[#This Row],['# HH received soaps]]*5</f>
        <v>0</v>
      </c>
      <c r="CA337" s="720">
        <f>WWWW[[#This Row],['# HH received Sanitary Pads]]*5</f>
        <v>0</v>
      </c>
      <c r="CB337" s="238">
        <f>IF(WWWW[[#This Row],['# People with access to soap]]&gt;WWWW[[#This Row],['# People with access to Sanity Pads]],WWWW[[#This Row],['# People with access to soap]],WWWW[[#This Row],['# People with access to Sanity Pads]])</f>
        <v>0</v>
      </c>
      <c r="CC337" s="414">
        <f>WWWW[[#This Row],[Total HH]]*WWWW[[#This Row],[%HHs with access to functional hand washing stations]]</f>
        <v>0</v>
      </c>
      <c r="CD337" s="240" t="str">
        <f>VLOOKUP(WWWW[[#This Row],[Site Name]],SiteDB6[],8,FALSE)</f>
        <v>Yes</v>
      </c>
      <c r="CE337" s="240" t="str">
        <f>VLOOKUP(WWWW[[#This Row],[Site Name]],SiteDB6[],9,FALSE)</f>
        <v>DRC</v>
      </c>
      <c r="CF337" s="240" t="str">
        <f>VLOOKUP(WWWW[[#This Row],[Site Name]],SiteDB6[],10,FALSE)</f>
        <v>Camp</v>
      </c>
      <c r="CG337" s="240" t="str">
        <f>VLOOKUP(WWWW[[#This Row],[Site Name]],SiteDB6[],11,FALSE)</f>
        <v>Camp</v>
      </c>
      <c r="CH337" s="240" t="str">
        <f>VLOOKUP(WWWW[[#This Row],[Site Name]],SiteDB6[],12,FALSE)</f>
        <v>Planned Camp</v>
      </c>
      <c r="CI337" s="240" t="str">
        <f>VLOOKUP(WWWW[[#This Row],[Site Name]],SiteDB6[],13,FALSE)</f>
        <v>Muslim</v>
      </c>
      <c r="CJ337" s="240">
        <f>VLOOKUP(WWWW[[#This Row],[Site Name]],SiteDB6[],14,FALSE)</f>
        <v>20.181405999999999</v>
      </c>
      <c r="CK337" s="240">
        <f>VLOOKUP(WWWW[[#This Row],[Site Name]],SiteDB6[],15,FALSE)</f>
        <v>92.807552000000001</v>
      </c>
      <c r="CL337" s="240" t="str">
        <f>VLOOKUP(WWWW[[#This Row],[Site Name]],SiteDB6[],4,FALSE)</f>
        <v>MMR012CMP114</v>
      </c>
      <c r="CM337" s="235" t="str">
        <f t="shared" si="5"/>
        <v>Covered</v>
      </c>
      <c r="CN337" s="235"/>
    </row>
    <row r="338" spans="1:92" ht="15.75" customHeight="1" x14ac:dyDescent="0.25">
      <c r="A338" s="532" t="s">
        <v>1409</v>
      </c>
      <c r="B338" s="533" t="s">
        <v>436</v>
      </c>
      <c r="C338" s="533" t="s">
        <v>464</v>
      </c>
      <c r="D338" s="533" t="s">
        <v>465</v>
      </c>
      <c r="E338" s="533" t="s">
        <v>598</v>
      </c>
      <c r="F338" s="233">
        <v>1436</v>
      </c>
      <c r="G338" s="414">
        <v>8508</v>
      </c>
      <c r="H338" s="233"/>
      <c r="I338" s="233" t="s">
        <v>884</v>
      </c>
      <c r="J338" s="234">
        <v>44104</v>
      </c>
      <c r="K338" s="233">
        <v>0</v>
      </c>
      <c r="L338" s="233" t="s">
        <v>292</v>
      </c>
      <c r="M338" s="235">
        <v>0</v>
      </c>
      <c r="N338" s="235">
        <v>0</v>
      </c>
      <c r="O338" s="609">
        <v>0</v>
      </c>
      <c r="P338" s="615">
        <v>72</v>
      </c>
      <c r="Q338" s="615">
        <v>0</v>
      </c>
      <c r="R338" s="604">
        <v>0</v>
      </c>
      <c r="S338" s="604">
        <v>93</v>
      </c>
      <c r="T338" s="604">
        <v>0</v>
      </c>
      <c r="U338" s="604">
        <v>0</v>
      </c>
      <c r="V338" s="604">
        <v>0</v>
      </c>
      <c r="W338" s="604">
        <v>0</v>
      </c>
      <c r="X338" s="604">
        <v>0</v>
      </c>
      <c r="Y338" s="604"/>
      <c r="Z338" s="628">
        <v>406</v>
      </c>
      <c r="AA338" s="628">
        <v>130</v>
      </c>
      <c r="AB338" s="629">
        <v>117</v>
      </c>
      <c r="AC338" s="628">
        <v>371</v>
      </c>
      <c r="AD338" s="628" t="s">
        <v>293</v>
      </c>
      <c r="AE338" s="631" t="s">
        <v>293</v>
      </c>
      <c r="AF338" s="631">
        <v>0</v>
      </c>
      <c r="AG338" s="628">
        <v>0</v>
      </c>
      <c r="AH338" s="628"/>
      <c r="AI338" s="659">
        <v>0</v>
      </c>
      <c r="AJ338" s="644" t="s">
        <v>294</v>
      </c>
      <c r="AK338" s="644">
        <v>0</v>
      </c>
      <c r="AL338" s="645">
        <v>0</v>
      </c>
      <c r="AM338" s="645">
        <v>8</v>
      </c>
      <c r="AN338" s="647">
        <v>2007</v>
      </c>
      <c r="AO338" s="647">
        <v>2007</v>
      </c>
      <c r="AP338" s="647"/>
      <c r="AQ338" s="658"/>
      <c r="AR338" s="235" t="str">
        <f>IFERROR(WWWW[[#This Row],['# of Water passed at source]]/WWWW[[#This Row],['# of Water tested at source]],"no test")</f>
        <v>no test</v>
      </c>
      <c r="AS338" s="237" t="str">
        <f>IFERROR(WWWW[[#This Row],['# of Water passed at HH]]/WWWW[[#This Row],['# of Water tested at HH]],"no test")</f>
        <v>no test</v>
      </c>
      <c r="AT338" s="237">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U338" s="237">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AV338" s="237">
        <f>IF(WWWW[[#This Row],[Location Type 1]]="Village",WWWW[[#This Row],[Access to safe drinking water for Village]],WWWW[[#This Row],[Access to safe drinking water for Camp]])</f>
        <v>1</v>
      </c>
      <c r="AW338" s="414">
        <f>WWWW[[#This Row],[%Equitable and continuous access to sufficient quantity of safe drinking water]]*WWWW[[#This Row],[Total PoP ]]</f>
        <v>8508</v>
      </c>
      <c r="AX338" s="237">
        <f>IF((WWWW[[#This Row],['# Existing protected/fenced ponds ]]*250)/WWWW[[#This Row],[Total PoP ]]&gt;1,1,WWWW[[#This Row],['# Existing protected/fenced ponds ]]*250/WWWW[[#This Row],[Total PoP ]])</f>
        <v>0</v>
      </c>
      <c r="AY338" s="414">
        <f>WWWW[[#This Row],[Access to unimproved water points]]*WWWW[[#This Row],[Total PoP ]]</f>
        <v>0</v>
      </c>
      <c r="AZ338" s="237">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A338" s="414">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8508</v>
      </c>
      <c r="BB338" s="414">
        <f>WWWW[[#This Row],['#people Equitable and continuous access to sufficient quantity of domestic water borehole n ponds_2]]/500</f>
        <v>17.015999999999998</v>
      </c>
      <c r="BC338" s="235">
        <f>1-WWWW[[#This Row],[%Equitable and continuous access to sufficient quantity of domestic water borehole n ponds]]</f>
        <v>0</v>
      </c>
      <c r="BD338" s="414">
        <f>WWWW[[#This Row],[%equitable and continuous access to sufficient quantity of safe drinking and domestic water''s GAP]]*WWWW[[#This Row],[Total PoP ]]</f>
        <v>0</v>
      </c>
      <c r="BE338" s="238">
        <f>IF(WWWW[[#This Row],[Total required water points]]-WWWW[[#This Row],['#Water points coverage]]&lt;0,0,WWWW[[#This Row],[Total required water points]]-WWWW[[#This Row],['#Water points coverage]])</f>
        <v>0</v>
      </c>
      <c r="BF338" s="238">
        <f>ROUND(IF(WWWW[[#This Row],[Total PoP ]]&lt;500,1,WWWW[[#This Row],[Total PoP ]]/500),0)</f>
        <v>17</v>
      </c>
      <c r="BG338" s="238" t="str">
        <f>IF(AND(WWWW[[#This Row],[%of Water samples which passed at water source]]="no test",WWWW[[#This Row],[%Water samples which passed at HH]]="no test"),"No Test","Tested")</f>
        <v>No Test</v>
      </c>
      <c r="BH338" s="238">
        <f>WWWW[[#This Row],['# Existing functional latrines]]+WWWW[[#This Row],['# Existing latrines dysfunctional]]</f>
        <v>536</v>
      </c>
      <c r="BI338" s="235">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0.95439586271744237</v>
      </c>
      <c r="BJ338" s="675">
        <f>WWWW[[#This Row],[% people access to functioning Latrine]]*WWWW[[#This Row],[Total PoP ]]</f>
        <v>8120</v>
      </c>
      <c r="BK338" s="235">
        <f>IF(WWWW[[#This Row],[Location Type 1]]="camp",WWWW[[#This Row],['# potential required new latrines]]/(WWWW[[#This Row],[Total PoP ]]/20),WWWW[[#This Row],['# potential required new latrines]]/(WWWW[[#This Row],[Total PoP ]]/6))</f>
        <v>0</v>
      </c>
      <c r="BL338" s="414">
        <f>IF(WWWW[[#This Row],[Total required Latrines]]-WWWW[[#This Row],[Total '# of latrine]]&lt;0,0,WWWW[[#This Row],[Total required Latrines]]-WWWW[[#This Row],[Total '# of latrine]])</f>
        <v>0</v>
      </c>
      <c r="BM338" s="238">
        <f>ROUND(IF(WWWW[[#This Row],[Location Type 1]]="camp",WWWW[[#This Row],[Total PoP ]]/20,WWWW[[#This Row],[Total PoP ]]/6),0)</f>
        <v>425</v>
      </c>
      <c r="BN338" s="239">
        <f>IF(OR(WWWW[[#This Row],['# Existing latrines dysfunctional]]="",WWWW[[#This Row],['# Existing latrines dysfunctional]]=0),0,WWWW[[#This Row],['# Existing latrines dysfunctional]]/WWWW[[#This Row],[Total '# of latrine]])</f>
        <v>0.24253731343283583</v>
      </c>
      <c r="BO338" s="675">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2340</v>
      </c>
      <c r="BP338" s="235">
        <f>WWWW[[#This Row],[People adopt basic personal and community hygiene practices]]/WWWW[[#This Row],[Total PoP ]]</f>
        <v>1</v>
      </c>
      <c r="BQ338" s="239">
        <f>1-WWWW[[#This Row],[Hygiene Coverage%]]</f>
        <v>0</v>
      </c>
      <c r="BR338" s="414">
        <f>IF(500*WWWW[[#This Row],['# Hygiene Promoters ]]&gt;WWWW[[#This Row],[Total PoP ]],WWWW[[#This Row],[Total PoP ]],500*WWWW[[#This Row],['# Hygiene Promoters ]])</f>
        <v>4000</v>
      </c>
      <c r="BS338" s="414">
        <f>IF(WWWW[[#This Row],[% of HH with access to Sanitary Pad]]&gt;=100%,1,0)</f>
        <v>1</v>
      </c>
      <c r="BT338" s="414">
        <f>IF(WWWW[[#This Row],[Total PoP ]]=0,0,IF(WWWW[[#This Row],['# Hygiene Promoters ]]=0,0,IF(WWWW[[#This Row],[Location Type 1]]="Village",IF(WWWW[[#This Row],[Total PoP ]]/WWWW[[#This Row],['# Hygiene Promoters ]]&lt;1000,1,0),IF(WWWW[[#This Row],[Total PoP ]]/WWWW[[#This Row],['# Hygiene Promoters ]]&lt;600,1,0))))</f>
        <v>0</v>
      </c>
      <c r="BU338" s="414">
        <f>IF(WWWW[[#This Row],[%HH with access to soap]]&gt;=100%,1,0)</f>
        <v>1</v>
      </c>
      <c r="BV338" s="414">
        <f>IF(WWWW[[#This Row],[% of HHs with access to Sanitary pad more than '#%]]+WWWW[[#This Row],[Ratio of Hyiene promoters to people less than '#]]+WWWW[[#This Row],[% of HHs with access to soap more than '#%]]&gt;=2,WWWW[[#This Row],[Total PoP ]],0)</f>
        <v>8508</v>
      </c>
      <c r="BW338" s="346">
        <f>WWWW[[#This Row],['# people reached by regular dedicated hygiene promotion_5]]/WWWW[[#This Row],[Total PoP ]]</f>
        <v>0.4701457451810061</v>
      </c>
      <c r="BX338" s="346">
        <f>IF(WWWW[[#This Row],['# HH received soaps]]/WWWW[[#This Row],[Total HH]]&gt;1,1,WWWW[[#This Row],['# HH received soaps]]/WWWW[[#This Row],[Total HH]])</f>
        <v>1</v>
      </c>
      <c r="BY338" s="346">
        <f>IF(WWWW[[#This Row],['# HH received Sanitary Pads]]/WWWW[[#This Row],[Total HH]]&gt;1,1,WWWW[[#This Row],['# HH received Sanitary Pads]]/WWWW[[#This Row],[Total HH]])</f>
        <v>1</v>
      </c>
      <c r="BZ338" s="720">
        <f>WWWW[[#This Row],['# HH received soaps]]*5</f>
        <v>10035</v>
      </c>
      <c r="CA338" s="720">
        <f>WWWW[[#This Row],['# HH received Sanitary Pads]]*5</f>
        <v>10035</v>
      </c>
      <c r="CB338" s="238">
        <f>IF(WWWW[[#This Row],['# People with access to soap]]&gt;WWWW[[#This Row],['# People with access to Sanity Pads]],WWWW[[#This Row],['# People with access to soap]],WWWW[[#This Row],['# People with access to Sanity Pads]])</f>
        <v>10035</v>
      </c>
      <c r="CC338" s="414">
        <f>WWWW[[#This Row],[Total HH]]*WWWW[[#This Row],[%HHs with access to functional hand washing stations]]</f>
        <v>0</v>
      </c>
      <c r="CD338" s="240" t="str">
        <f>VLOOKUP(WWWW[[#This Row],[Site Name]],SiteDB6[],8,FALSE)</f>
        <v>Yes</v>
      </c>
      <c r="CE338" s="240" t="str">
        <f>VLOOKUP(WWWW[[#This Row],[Site Name]],SiteDB6[],9,FALSE)</f>
        <v>DRC</v>
      </c>
      <c r="CF338" s="240" t="str">
        <f>VLOOKUP(WWWW[[#This Row],[Site Name]],SiteDB6[],10,FALSE)</f>
        <v>Camp</v>
      </c>
      <c r="CG338" s="240" t="str">
        <f>VLOOKUP(WWWW[[#This Row],[Site Name]],SiteDB6[],11,FALSE)</f>
        <v>Camp</v>
      </c>
      <c r="CH338" s="240" t="str">
        <f>VLOOKUP(WWWW[[#This Row],[Site Name]],SiteDB6[],12,FALSE)</f>
        <v>Planned Camp</v>
      </c>
      <c r="CI338" s="240" t="str">
        <f>VLOOKUP(WWWW[[#This Row],[Site Name]],SiteDB6[],13,FALSE)</f>
        <v>Muslim</v>
      </c>
      <c r="CJ338" s="240">
        <f>VLOOKUP(WWWW[[#This Row],[Site Name]],SiteDB6[],14,FALSE)</f>
        <v>20.16846</v>
      </c>
      <c r="CK338" s="240">
        <f>VLOOKUP(WWWW[[#This Row],[Site Name]],SiteDB6[],15,FALSE)</f>
        <v>92.827427</v>
      </c>
      <c r="CL338" s="240" t="str">
        <f>VLOOKUP(WWWW[[#This Row],[Site Name]],SiteDB6[],4,FALSE)</f>
        <v>MMR012CMP041</v>
      </c>
      <c r="CM338" s="235" t="str">
        <f t="shared" si="5"/>
        <v>Covered</v>
      </c>
      <c r="CN338" s="235"/>
    </row>
    <row r="339" spans="1:92" ht="15.75" customHeight="1" x14ac:dyDescent="0.25">
      <c r="A339" s="532" t="s">
        <v>1409</v>
      </c>
      <c r="B339" s="533" t="s">
        <v>436</v>
      </c>
      <c r="C339" s="533" t="s">
        <v>464</v>
      </c>
      <c r="D339" s="533" t="s">
        <v>465</v>
      </c>
      <c r="E339" s="533" t="s">
        <v>597</v>
      </c>
      <c r="F339" s="233">
        <v>601</v>
      </c>
      <c r="G339" s="414">
        <v>3360</v>
      </c>
      <c r="H339" s="233"/>
      <c r="I339" s="233" t="s">
        <v>884</v>
      </c>
      <c r="J339" s="234">
        <v>44104</v>
      </c>
      <c r="K339" s="233">
        <v>0</v>
      </c>
      <c r="L339" s="233" t="s">
        <v>292</v>
      </c>
      <c r="M339" s="235">
        <v>0</v>
      </c>
      <c r="N339" s="235">
        <v>0</v>
      </c>
      <c r="O339" s="609">
        <v>0</v>
      </c>
      <c r="P339" s="615">
        <v>21</v>
      </c>
      <c r="Q339" s="615">
        <v>0</v>
      </c>
      <c r="R339" s="604">
        <v>0</v>
      </c>
      <c r="S339" s="604">
        <v>21</v>
      </c>
      <c r="T339" s="604">
        <v>0</v>
      </c>
      <c r="U339" s="604">
        <v>0</v>
      </c>
      <c r="V339" s="604">
        <v>0</v>
      </c>
      <c r="W339" s="604">
        <v>0</v>
      </c>
      <c r="X339" s="604">
        <v>0</v>
      </c>
      <c r="Y339" s="604"/>
      <c r="Z339" s="628">
        <v>0</v>
      </c>
      <c r="AA339" s="628">
        <v>0</v>
      </c>
      <c r="AB339" s="629">
        <v>0</v>
      </c>
      <c r="AC339" s="628">
        <v>0</v>
      </c>
      <c r="AD339" s="628" t="s">
        <v>342</v>
      </c>
      <c r="AE339" s="631" t="s">
        <v>342</v>
      </c>
      <c r="AF339" s="631">
        <v>0</v>
      </c>
      <c r="AG339" s="628">
        <v>0</v>
      </c>
      <c r="AH339" s="628"/>
      <c r="AI339" s="659">
        <v>0</v>
      </c>
      <c r="AJ339" s="644" t="s">
        <v>294</v>
      </c>
      <c r="AK339" s="644">
        <v>0</v>
      </c>
      <c r="AL339" s="645">
        <v>0</v>
      </c>
      <c r="AM339" s="645">
        <v>1</v>
      </c>
      <c r="AN339" s="647">
        <v>593</v>
      </c>
      <c r="AO339" s="647">
        <v>593</v>
      </c>
      <c r="AP339" s="647"/>
      <c r="AQ339" s="658"/>
      <c r="AR339" s="235" t="str">
        <f>IFERROR(WWWW[[#This Row],['# of Water passed at source]]/WWWW[[#This Row],['# of Water tested at source]],"no test")</f>
        <v>no test</v>
      </c>
      <c r="AS339" s="237" t="str">
        <f>IFERROR(WWWW[[#This Row],['# of Water passed at HH]]/WWWW[[#This Row],['# of Water tested at HH]],"no test")</f>
        <v>no test</v>
      </c>
      <c r="AT339" s="237">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U339" s="237">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AV339" s="237">
        <f>IF(WWWW[[#This Row],[Location Type 1]]="Village",WWWW[[#This Row],[Access to safe drinking water for Village]],WWWW[[#This Row],[Access to safe drinking water for Camp]])</f>
        <v>1</v>
      </c>
      <c r="AW339" s="414">
        <f>WWWW[[#This Row],[%Equitable and continuous access to sufficient quantity of safe drinking water]]*WWWW[[#This Row],[Total PoP ]]</f>
        <v>3360</v>
      </c>
      <c r="AX339" s="237">
        <f>IF((WWWW[[#This Row],['# Existing protected/fenced ponds ]]*250)/WWWW[[#This Row],[Total PoP ]]&gt;1,1,WWWW[[#This Row],['# Existing protected/fenced ponds ]]*250/WWWW[[#This Row],[Total PoP ]])</f>
        <v>0</v>
      </c>
      <c r="AY339" s="414">
        <f>WWWW[[#This Row],[Access to unimproved water points]]*WWWW[[#This Row],[Total PoP ]]</f>
        <v>0</v>
      </c>
      <c r="AZ339" s="237">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A339" s="414">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3360</v>
      </c>
      <c r="BB339" s="414">
        <f>WWWW[[#This Row],['#people Equitable and continuous access to sufficient quantity of domestic water borehole n ponds_2]]/500</f>
        <v>6.72</v>
      </c>
      <c r="BC339" s="235">
        <f>1-WWWW[[#This Row],[%Equitable and continuous access to sufficient quantity of domestic water borehole n ponds]]</f>
        <v>0</v>
      </c>
      <c r="BD339" s="414">
        <f>WWWW[[#This Row],[%equitable and continuous access to sufficient quantity of safe drinking and domestic water''s GAP]]*WWWW[[#This Row],[Total PoP ]]</f>
        <v>0</v>
      </c>
      <c r="BE339" s="238">
        <f>IF(WWWW[[#This Row],[Total required water points]]-WWWW[[#This Row],['#Water points coverage]]&lt;0,0,WWWW[[#This Row],[Total required water points]]-WWWW[[#This Row],['#Water points coverage]])</f>
        <v>0.28000000000000025</v>
      </c>
      <c r="BF339" s="238">
        <f>ROUND(IF(WWWW[[#This Row],[Total PoP ]]&lt;500,1,WWWW[[#This Row],[Total PoP ]]/500),0)</f>
        <v>7</v>
      </c>
      <c r="BG339" s="238" t="str">
        <f>IF(AND(WWWW[[#This Row],[%of Water samples which passed at water source]]="no test",WWWW[[#This Row],[%Water samples which passed at HH]]="no test"),"No Test","Tested")</f>
        <v>No Test</v>
      </c>
      <c r="BH339" s="238">
        <f>WWWW[[#This Row],['# Existing functional latrines]]+WWWW[[#This Row],['# Existing latrines dysfunctional]]</f>
        <v>0</v>
      </c>
      <c r="BI339" s="235">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J339" s="675">
        <f>WWWW[[#This Row],[% people access to functioning Latrine]]*WWWW[[#This Row],[Total PoP ]]</f>
        <v>0</v>
      </c>
      <c r="BK339" s="235">
        <f>IF(WWWW[[#This Row],[Location Type 1]]="camp",WWWW[[#This Row],['# potential required new latrines]]/(WWWW[[#This Row],[Total PoP ]]/20),WWWW[[#This Row],['# potential required new latrines]]/(WWWW[[#This Row],[Total PoP ]]/6))</f>
        <v>1</v>
      </c>
      <c r="BL339" s="414">
        <f>IF(WWWW[[#This Row],[Total required Latrines]]-WWWW[[#This Row],[Total '# of latrine]]&lt;0,0,WWWW[[#This Row],[Total required Latrines]]-WWWW[[#This Row],[Total '# of latrine]])</f>
        <v>168</v>
      </c>
      <c r="BM339" s="238">
        <f>ROUND(IF(WWWW[[#This Row],[Location Type 1]]="camp",WWWW[[#This Row],[Total PoP ]]/20,WWWW[[#This Row],[Total PoP ]]/6),0)</f>
        <v>168</v>
      </c>
      <c r="BN339" s="239">
        <f>IF(OR(WWWW[[#This Row],['# Existing latrines dysfunctional]]="",WWWW[[#This Row],['# Existing latrines dysfunctional]]=0),0,WWWW[[#This Row],['# Existing latrines dysfunctional]]/WWWW[[#This Row],[Total '# of latrine]])</f>
        <v>0</v>
      </c>
      <c r="BO339" s="675">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P339" s="235">
        <f>WWWW[[#This Row],[People adopt basic personal and community hygiene practices]]/WWWW[[#This Row],[Total PoP ]]</f>
        <v>0</v>
      </c>
      <c r="BQ339" s="239">
        <f>1-WWWW[[#This Row],[Hygiene Coverage%]]</f>
        <v>1</v>
      </c>
      <c r="BR339" s="414">
        <f>IF(500*WWWW[[#This Row],['# Hygiene Promoters ]]&gt;WWWW[[#This Row],[Total PoP ]],WWWW[[#This Row],[Total PoP ]],500*WWWW[[#This Row],['# Hygiene Promoters ]])</f>
        <v>500</v>
      </c>
      <c r="BS339" s="414">
        <f>IF(WWWW[[#This Row],[% of HH with access to Sanitary Pad]]&gt;=100%,1,0)</f>
        <v>0</v>
      </c>
      <c r="BT339" s="414">
        <f>IF(WWWW[[#This Row],[Total PoP ]]=0,0,IF(WWWW[[#This Row],['# Hygiene Promoters ]]=0,0,IF(WWWW[[#This Row],[Location Type 1]]="Village",IF(WWWW[[#This Row],[Total PoP ]]/WWWW[[#This Row],['# Hygiene Promoters ]]&lt;1000,1,0),IF(WWWW[[#This Row],[Total PoP ]]/WWWW[[#This Row],['# Hygiene Promoters ]]&lt;600,1,0))))</f>
        <v>0</v>
      </c>
      <c r="BU339" s="414">
        <f>IF(WWWW[[#This Row],[%HH with access to soap]]&gt;=100%,1,0)</f>
        <v>0</v>
      </c>
      <c r="BV339" s="414">
        <f>IF(WWWW[[#This Row],[% of HHs with access to Sanitary pad more than '#%]]+WWWW[[#This Row],[Ratio of Hyiene promoters to people less than '#]]+WWWW[[#This Row],[% of HHs with access to soap more than '#%]]&gt;=2,WWWW[[#This Row],[Total PoP ]],0)</f>
        <v>0</v>
      </c>
      <c r="BW339" s="346">
        <f>WWWW[[#This Row],['# people reached by regular dedicated hygiene promotion_5]]/WWWW[[#This Row],[Total PoP ]]</f>
        <v>0.14880952380952381</v>
      </c>
      <c r="BX339" s="346">
        <f>IF(WWWW[[#This Row],['# HH received soaps]]/WWWW[[#This Row],[Total HH]]&gt;1,1,WWWW[[#This Row],['# HH received soaps]]/WWWW[[#This Row],[Total HH]])</f>
        <v>0.98668885191347755</v>
      </c>
      <c r="BY339" s="346">
        <f>IF(WWWW[[#This Row],['# HH received Sanitary Pads]]/WWWW[[#This Row],[Total HH]]&gt;1,1,WWWW[[#This Row],['# HH received Sanitary Pads]]/WWWW[[#This Row],[Total HH]])</f>
        <v>0.98668885191347755</v>
      </c>
      <c r="BZ339" s="720">
        <f>WWWW[[#This Row],['# HH received soaps]]*5</f>
        <v>2965</v>
      </c>
      <c r="CA339" s="720">
        <f>WWWW[[#This Row],['# HH received Sanitary Pads]]*5</f>
        <v>2965</v>
      </c>
      <c r="CB339" s="238">
        <f>IF(WWWW[[#This Row],['# People with access to soap]]&gt;WWWW[[#This Row],['# People with access to Sanity Pads]],WWWW[[#This Row],['# People with access to soap]],WWWW[[#This Row],['# People with access to Sanity Pads]])</f>
        <v>2965</v>
      </c>
      <c r="CC339" s="414">
        <f>WWWW[[#This Row],[Total HH]]*WWWW[[#This Row],[%HHs with access to functional hand washing stations]]</f>
        <v>0</v>
      </c>
      <c r="CD339" s="240" t="str">
        <f>VLOOKUP(WWWW[[#This Row],[Site Name]],SiteDB6[],8,FALSE)</f>
        <v>Yes</v>
      </c>
      <c r="CE339" s="240" t="str">
        <f>VLOOKUP(WWWW[[#This Row],[Site Name]],SiteDB6[],9,FALSE)</f>
        <v>UNHCR</v>
      </c>
      <c r="CF339" s="240" t="str">
        <f>VLOOKUP(WWWW[[#This Row],[Site Name]],SiteDB6[],10,FALSE)</f>
        <v>Camp</v>
      </c>
      <c r="CG339" s="240" t="str">
        <f>VLOOKUP(WWWW[[#This Row],[Site Name]],SiteDB6[],11,FALSE)</f>
        <v>Camp</v>
      </c>
      <c r="CH339" s="240" t="str">
        <f>VLOOKUP(WWWW[[#This Row],[Site Name]],SiteDB6[],12,FALSE)</f>
        <v>Host Families</v>
      </c>
      <c r="CI339" s="240" t="str">
        <f>VLOOKUP(WWWW[[#This Row],[Site Name]],SiteDB6[],13,FALSE)</f>
        <v>Muslim</v>
      </c>
      <c r="CJ339" s="240">
        <f>VLOOKUP(WWWW[[#This Row],[Site Name]],SiteDB6[],14,FALSE)</f>
        <v>20.167421999999998</v>
      </c>
      <c r="CK339" s="240">
        <f>VLOOKUP(WWWW[[#This Row],[Site Name]],SiteDB6[],15,FALSE)</f>
        <v>92.830074999999994</v>
      </c>
      <c r="CL339" s="240" t="str">
        <f>VLOOKUP(WWWW[[#This Row],[Site Name]],SiteDB6[],4,FALSE)</f>
        <v>MMR012CMP097</v>
      </c>
      <c r="CM339" s="235" t="str">
        <f t="shared" si="5"/>
        <v>Covered</v>
      </c>
      <c r="CN339" s="235"/>
    </row>
    <row r="340" spans="1:92" ht="15.75" customHeight="1" x14ac:dyDescent="0.25">
      <c r="A340" s="532" t="s">
        <v>1409</v>
      </c>
      <c r="B340" s="533" t="s">
        <v>436</v>
      </c>
      <c r="C340" s="533" t="s">
        <v>464</v>
      </c>
      <c r="D340" s="533" t="s">
        <v>465</v>
      </c>
      <c r="E340" s="533" t="s">
        <v>601</v>
      </c>
      <c r="F340" s="233">
        <v>400</v>
      </c>
      <c r="G340" s="414">
        <v>2186</v>
      </c>
      <c r="H340" s="233"/>
      <c r="I340" s="233" t="s">
        <v>884</v>
      </c>
      <c r="J340" s="234">
        <v>44104</v>
      </c>
      <c r="K340" s="233">
        <v>0</v>
      </c>
      <c r="L340" s="233" t="s">
        <v>292</v>
      </c>
      <c r="M340" s="235">
        <v>0</v>
      </c>
      <c r="N340" s="235">
        <v>0</v>
      </c>
      <c r="O340" s="609">
        <v>0</v>
      </c>
      <c r="P340" s="615">
        <v>27</v>
      </c>
      <c r="Q340" s="615">
        <v>0</v>
      </c>
      <c r="R340" s="604">
        <v>0</v>
      </c>
      <c r="S340" s="604">
        <v>27</v>
      </c>
      <c r="T340" s="604">
        <v>0</v>
      </c>
      <c r="U340" s="604">
        <v>0</v>
      </c>
      <c r="V340" s="604">
        <v>0</v>
      </c>
      <c r="W340" s="604">
        <v>0</v>
      </c>
      <c r="X340" s="604">
        <v>0</v>
      </c>
      <c r="Y340" s="604"/>
      <c r="Z340" s="628">
        <v>102</v>
      </c>
      <c r="AA340" s="628">
        <v>5</v>
      </c>
      <c r="AB340" s="629">
        <v>25</v>
      </c>
      <c r="AC340" s="628">
        <v>102</v>
      </c>
      <c r="AD340" s="628" t="s">
        <v>293</v>
      </c>
      <c r="AE340" s="631" t="s">
        <v>1379</v>
      </c>
      <c r="AF340" s="631">
        <v>0</v>
      </c>
      <c r="AG340" s="628">
        <v>0</v>
      </c>
      <c r="AH340" s="628"/>
      <c r="AI340" s="659">
        <v>0</v>
      </c>
      <c r="AJ340" s="644" t="s">
        <v>294</v>
      </c>
      <c r="AK340" s="644">
        <v>0</v>
      </c>
      <c r="AL340" s="645">
        <v>0</v>
      </c>
      <c r="AM340" s="645">
        <v>2</v>
      </c>
      <c r="AN340" s="647">
        <v>400</v>
      </c>
      <c r="AO340" s="647">
        <v>400</v>
      </c>
      <c r="AP340" s="647"/>
      <c r="AQ340" s="658"/>
      <c r="AR340" s="235" t="str">
        <f>IFERROR(WWWW[[#This Row],['# of Water passed at source]]/WWWW[[#This Row],['# of Water tested at source]],"no test")</f>
        <v>no test</v>
      </c>
      <c r="AS340" s="237" t="str">
        <f>IFERROR(WWWW[[#This Row],['# of Water passed at HH]]/WWWW[[#This Row],['# of Water tested at HH]],"no test")</f>
        <v>no test</v>
      </c>
      <c r="AT340" s="237">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U340" s="237">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AV340" s="237">
        <f>IF(WWWW[[#This Row],[Location Type 1]]="Village",WWWW[[#This Row],[Access to safe drinking water for Village]],WWWW[[#This Row],[Access to safe drinking water for Camp]])</f>
        <v>1</v>
      </c>
      <c r="AW340" s="414">
        <f>WWWW[[#This Row],[%Equitable and continuous access to sufficient quantity of safe drinking water]]*WWWW[[#This Row],[Total PoP ]]</f>
        <v>2186</v>
      </c>
      <c r="AX340" s="237">
        <f>IF((WWWW[[#This Row],['# Existing protected/fenced ponds ]]*250)/WWWW[[#This Row],[Total PoP ]]&gt;1,1,WWWW[[#This Row],['# Existing protected/fenced ponds ]]*250/WWWW[[#This Row],[Total PoP ]])</f>
        <v>0</v>
      </c>
      <c r="AY340" s="414">
        <f>WWWW[[#This Row],[Access to unimproved water points]]*WWWW[[#This Row],[Total PoP ]]</f>
        <v>0</v>
      </c>
      <c r="AZ340" s="237">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A340" s="414">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2186</v>
      </c>
      <c r="BB340" s="414">
        <f>WWWW[[#This Row],['#people Equitable and continuous access to sufficient quantity of domestic water borehole n ponds_2]]/500</f>
        <v>4.3719999999999999</v>
      </c>
      <c r="BC340" s="235">
        <f>1-WWWW[[#This Row],[%Equitable and continuous access to sufficient quantity of domestic water borehole n ponds]]</f>
        <v>0</v>
      </c>
      <c r="BD340" s="414">
        <f>WWWW[[#This Row],[%equitable and continuous access to sufficient quantity of safe drinking and domestic water''s GAP]]*WWWW[[#This Row],[Total PoP ]]</f>
        <v>0</v>
      </c>
      <c r="BE340" s="238">
        <f>IF(WWWW[[#This Row],[Total required water points]]-WWWW[[#This Row],['#Water points coverage]]&lt;0,0,WWWW[[#This Row],[Total required water points]]-WWWW[[#This Row],['#Water points coverage]])</f>
        <v>0</v>
      </c>
      <c r="BF340" s="238">
        <f>ROUND(IF(WWWW[[#This Row],[Total PoP ]]&lt;500,1,WWWW[[#This Row],[Total PoP ]]/500),0)</f>
        <v>4</v>
      </c>
      <c r="BG340" s="238" t="str">
        <f>IF(AND(WWWW[[#This Row],[%of Water samples which passed at water source]]="no test",WWWW[[#This Row],[%Water samples which passed at HH]]="no test"),"No Test","Tested")</f>
        <v>No Test</v>
      </c>
      <c r="BH340" s="238">
        <f>WWWW[[#This Row],['# Existing functional latrines]]+WWWW[[#This Row],['# Existing latrines dysfunctional]]</f>
        <v>107</v>
      </c>
      <c r="BI340" s="235">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0.93321134492223234</v>
      </c>
      <c r="BJ340" s="675">
        <f>WWWW[[#This Row],[% people access to functioning Latrine]]*WWWW[[#This Row],[Total PoP ]]</f>
        <v>2040</v>
      </c>
      <c r="BK340" s="235">
        <f>IF(WWWW[[#This Row],[Location Type 1]]="camp",WWWW[[#This Row],['# potential required new latrines]]/(WWWW[[#This Row],[Total PoP ]]/20),WWWW[[#This Row],['# potential required new latrines]]/(WWWW[[#This Row],[Total PoP ]]/6))</f>
        <v>1.8298261665141813E-2</v>
      </c>
      <c r="BL340" s="414">
        <f>IF(WWWW[[#This Row],[Total required Latrines]]-WWWW[[#This Row],[Total '# of latrine]]&lt;0,0,WWWW[[#This Row],[Total required Latrines]]-WWWW[[#This Row],[Total '# of latrine]])</f>
        <v>2</v>
      </c>
      <c r="BM340" s="238">
        <f>ROUND(IF(WWWW[[#This Row],[Location Type 1]]="camp",WWWW[[#This Row],[Total PoP ]]/20,WWWW[[#This Row],[Total PoP ]]/6),0)</f>
        <v>109</v>
      </c>
      <c r="BN340" s="239">
        <f>IF(OR(WWWW[[#This Row],['# Existing latrines dysfunctional]]="",WWWW[[#This Row],['# Existing latrines dysfunctional]]=0),0,WWWW[[#This Row],['# Existing latrines dysfunctional]]/WWWW[[#This Row],[Total '# of latrine]])</f>
        <v>4.6728971962616821E-2</v>
      </c>
      <c r="BO340" s="675">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500</v>
      </c>
      <c r="BP340" s="235">
        <f>WWWW[[#This Row],[People adopt basic personal and community hygiene practices]]/WWWW[[#This Row],[Total PoP ]]</f>
        <v>1</v>
      </c>
      <c r="BQ340" s="239">
        <f>1-WWWW[[#This Row],[Hygiene Coverage%]]</f>
        <v>0</v>
      </c>
      <c r="BR340" s="414">
        <f>IF(500*WWWW[[#This Row],['# Hygiene Promoters ]]&gt;WWWW[[#This Row],[Total PoP ]],WWWW[[#This Row],[Total PoP ]],500*WWWW[[#This Row],['# Hygiene Promoters ]])</f>
        <v>1000</v>
      </c>
      <c r="BS340" s="414">
        <f>IF(WWWW[[#This Row],[% of HH with access to Sanitary Pad]]&gt;=100%,1,0)</f>
        <v>1</v>
      </c>
      <c r="BT340" s="414">
        <f>IF(WWWW[[#This Row],[Total PoP ]]=0,0,IF(WWWW[[#This Row],['# Hygiene Promoters ]]=0,0,IF(WWWW[[#This Row],[Location Type 1]]="Village",IF(WWWW[[#This Row],[Total PoP ]]/WWWW[[#This Row],['# Hygiene Promoters ]]&lt;1000,1,0),IF(WWWW[[#This Row],[Total PoP ]]/WWWW[[#This Row],['# Hygiene Promoters ]]&lt;600,1,0))))</f>
        <v>0</v>
      </c>
      <c r="BU340" s="414">
        <f>IF(WWWW[[#This Row],[%HH with access to soap]]&gt;=100%,1,0)</f>
        <v>1</v>
      </c>
      <c r="BV340" s="414">
        <f>IF(WWWW[[#This Row],[% of HHs with access to Sanitary pad more than '#%]]+WWWW[[#This Row],[Ratio of Hyiene promoters to people less than '#]]+WWWW[[#This Row],[% of HHs with access to soap more than '#%]]&gt;=2,WWWW[[#This Row],[Total PoP ]],0)</f>
        <v>2186</v>
      </c>
      <c r="BW340" s="346">
        <f>WWWW[[#This Row],['# people reached by regular dedicated hygiene promotion_5]]/WWWW[[#This Row],[Total PoP ]]</f>
        <v>0.45745654162854527</v>
      </c>
      <c r="BX340" s="346">
        <f>IF(WWWW[[#This Row],['# HH received soaps]]/WWWW[[#This Row],[Total HH]]&gt;1,1,WWWW[[#This Row],['# HH received soaps]]/WWWW[[#This Row],[Total HH]])</f>
        <v>1</v>
      </c>
      <c r="BY340" s="346">
        <f>IF(WWWW[[#This Row],['# HH received Sanitary Pads]]/WWWW[[#This Row],[Total HH]]&gt;1,1,WWWW[[#This Row],['# HH received Sanitary Pads]]/WWWW[[#This Row],[Total HH]])</f>
        <v>1</v>
      </c>
      <c r="BZ340" s="720">
        <f>WWWW[[#This Row],['# HH received soaps]]*5</f>
        <v>2000</v>
      </c>
      <c r="CA340" s="720">
        <f>WWWW[[#This Row],['# HH received Sanitary Pads]]*5</f>
        <v>2000</v>
      </c>
      <c r="CB340" s="238">
        <f>IF(WWWW[[#This Row],['# People with access to soap]]&gt;WWWW[[#This Row],['# People with access to Sanity Pads]],WWWW[[#This Row],['# People with access to soap]],WWWW[[#This Row],['# People with access to Sanity Pads]])</f>
        <v>2000</v>
      </c>
      <c r="CC340" s="414">
        <f>WWWW[[#This Row],[Total HH]]*WWWW[[#This Row],[%HHs with access to functional hand washing stations]]</f>
        <v>0</v>
      </c>
      <c r="CD340" s="240">
        <f>VLOOKUP(WWWW[[#This Row],[Site Name]],SiteDB6[],8,FALSE)</f>
        <v>0</v>
      </c>
      <c r="CE340" s="240">
        <f>VLOOKUP(WWWW[[#This Row],[Site Name]],SiteDB6[],9,FALSE)</f>
        <v>0</v>
      </c>
      <c r="CF340" s="240" t="str">
        <f>VLOOKUP(WWWW[[#This Row],[Site Name]],SiteDB6[],10,FALSE)</f>
        <v>Camp</v>
      </c>
      <c r="CG340" s="240" t="str">
        <f>VLOOKUP(WWWW[[#This Row],[Site Name]],SiteDB6[],11,FALSE)</f>
        <v>Camp</v>
      </c>
      <c r="CH340" s="240" t="str">
        <f>VLOOKUP(WWWW[[#This Row],[Site Name]],SiteDB6[],12,FALSE)</f>
        <v>Closed Camp</v>
      </c>
      <c r="CI340" s="240" t="str">
        <f>VLOOKUP(WWWW[[#This Row],[Site Name]],SiteDB6[],13,FALSE)</f>
        <v>Muslim</v>
      </c>
      <c r="CJ340" s="240">
        <f>VLOOKUP(WWWW[[#This Row],[Site Name]],SiteDB6[],14,FALSE)</f>
        <v>20.180194</v>
      </c>
      <c r="CK340" s="240">
        <f>VLOOKUP(WWWW[[#This Row],[Site Name]],SiteDB6[],15,FALSE)</f>
        <v>92.816638999999995</v>
      </c>
      <c r="CL340" s="240" t="str">
        <f>VLOOKUP(WWWW[[#This Row],[Site Name]],SiteDB6[],4,FALSE)</f>
        <v>MMR012CMP102</v>
      </c>
      <c r="CM340" s="235" t="str">
        <f t="shared" si="5"/>
        <v>Covered</v>
      </c>
      <c r="CN340" s="235"/>
    </row>
    <row r="341" spans="1:92" ht="15.75" customHeight="1" x14ac:dyDescent="0.25">
      <c r="A341" s="532" t="s">
        <v>1409</v>
      </c>
      <c r="B341" s="533" t="s">
        <v>436</v>
      </c>
      <c r="C341" s="533" t="s">
        <v>464</v>
      </c>
      <c r="D341" s="533" t="s">
        <v>465</v>
      </c>
      <c r="E341" s="533" t="s">
        <v>596</v>
      </c>
      <c r="F341" s="533">
        <v>2286</v>
      </c>
      <c r="G341" s="414">
        <v>12202</v>
      </c>
      <c r="H341" s="233"/>
      <c r="I341" s="233" t="s">
        <v>884</v>
      </c>
      <c r="J341" s="234">
        <v>44104</v>
      </c>
      <c r="K341" s="233">
        <v>0</v>
      </c>
      <c r="L341" s="233" t="s">
        <v>292</v>
      </c>
      <c r="M341" s="235">
        <v>0</v>
      </c>
      <c r="N341" s="235">
        <v>0</v>
      </c>
      <c r="O341" s="609">
        <v>0</v>
      </c>
      <c r="P341" s="615">
        <v>48</v>
      </c>
      <c r="Q341" s="615">
        <v>0</v>
      </c>
      <c r="R341" s="604">
        <v>0</v>
      </c>
      <c r="S341" s="604">
        <v>48</v>
      </c>
      <c r="T341" s="604">
        <v>0</v>
      </c>
      <c r="U341" s="604">
        <v>0</v>
      </c>
      <c r="V341" s="604">
        <v>0</v>
      </c>
      <c r="W341" s="604">
        <v>0</v>
      </c>
      <c r="X341" s="604">
        <v>0</v>
      </c>
      <c r="Y341" s="604"/>
      <c r="Z341" s="628">
        <v>243</v>
      </c>
      <c r="AA341" s="628">
        <v>21</v>
      </c>
      <c r="AB341" s="629">
        <v>50</v>
      </c>
      <c r="AC341" s="628">
        <v>240</v>
      </c>
      <c r="AD341" s="628" t="s">
        <v>293</v>
      </c>
      <c r="AE341" s="631" t="s">
        <v>293</v>
      </c>
      <c r="AF341" s="631">
        <v>0</v>
      </c>
      <c r="AG341" s="628">
        <v>0</v>
      </c>
      <c r="AH341" s="628"/>
      <c r="AI341" s="659">
        <v>0</v>
      </c>
      <c r="AJ341" s="644" t="s">
        <v>294</v>
      </c>
      <c r="AK341" s="644">
        <v>0</v>
      </c>
      <c r="AL341" s="645">
        <v>0</v>
      </c>
      <c r="AM341" s="645">
        <v>8</v>
      </c>
      <c r="AN341" s="647">
        <v>1135</v>
      </c>
      <c r="AO341" s="600">
        <f>1135+760</f>
        <v>1895</v>
      </c>
      <c r="AP341" s="647"/>
      <c r="AQ341" s="658"/>
      <c r="AR341" s="235" t="str">
        <f>IFERROR(WWWW[[#This Row],['# of Water passed at source]]/WWWW[[#This Row],['# of Water tested at source]],"no test")</f>
        <v>no test</v>
      </c>
      <c r="AS341" s="237" t="str">
        <f>IFERROR(WWWW[[#This Row],['# of Water passed at HH]]/WWWW[[#This Row],['# of Water tested at HH]],"no test")</f>
        <v>no test</v>
      </c>
      <c r="AT341" s="237">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U341" s="237">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0.98344533683002788</v>
      </c>
      <c r="AV341" s="237">
        <f>IF(WWWW[[#This Row],[Location Type 1]]="Village",WWWW[[#This Row],[Access to safe drinking water for Village]],WWWW[[#This Row],[Access to safe drinking water for Camp]])</f>
        <v>1</v>
      </c>
      <c r="AW341" s="414">
        <f>WWWW[[#This Row],[%Equitable and continuous access to sufficient quantity of safe drinking water]]*WWWW[[#This Row],[Total PoP ]]</f>
        <v>12202</v>
      </c>
      <c r="AX341" s="237">
        <f>IF((WWWW[[#This Row],['# Existing protected/fenced ponds ]]*250)/WWWW[[#This Row],[Total PoP ]]&gt;1,1,WWWW[[#This Row],['# Existing protected/fenced ponds ]]*250/WWWW[[#This Row],[Total PoP ]])</f>
        <v>0</v>
      </c>
      <c r="AY341" s="414">
        <f>WWWW[[#This Row],[Access to unimproved water points]]*WWWW[[#This Row],[Total PoP ]]</f>
        <v>0</v>
      </c>
      <c r="AZ341" s="237">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A341" s="414">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12202</v>
      </c>
      <c r="BB341" s="414">
        <f>WWWW[[#This Row],['#people Equitable and continuous access to sufficient quantity of domestic water borehole n ponds_2]]/500</f>
        <v>24.404</v>
      </c>
      <c r="BC341" s="235">
        <f>1-WWWW[[#This Row],[%Equitable and continuous access to sufficient quantity of domestic water borehole n ponds]]</f>
        <v>0</v>
      </c>
      <c r="BD341" s="414">
        <f>WWWW[[#This Row],[%equitable and continuous access to sufficient quantity of safe drinking and domestic water''s GAP]]*WWWW[[#This Row],[Total PoP ]]</f>
        <v>0</v>
      </c>
      <c r="BE341" s="238">
        <f>IF(WWWW[[#This Row],[Total required water points]]-WWWW[[#This Row],['#Water points coverage]]&lt;0,0,WWWW[[#This Row],[Total required water points]]-WWWW[[#This Row],['#Water points coverage]])</f>
        <v>0</v>
      </c>
      <c r="BF341" s="238">
        <f>ROUND(IF(WWWW[[#This Row],[Total PoP ]]&lt;500,1,WWWW[[#This Row],[Total PoP ]]/500),0)</f>
        <v>24</v>
      </c>
      <c r="BG341" s="238" t="str">
        <f>IF(AND(WWWW[[#This Row],[%of Water samples which passed at water source]]="no test",WWWW[[#This Row],[%Water samples which passed at HH]]="no test"),"No Test","Tested")</f>
        <v>No Test</v>
      </c>
      <c r="BH341" s="238">
        <f>WWWW[[#This Row],['# Existing functional latrines]]+WWWW[[#This Row],['# Existing latrines dysfunctional]]</f>
        <v>264</v>
      </c>
      <c r="BI341" s="235">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0.39829536141616129</v>
      </c>
      <c r="BJ341" s="675">
        <f>WWWW[[#This Row],[% people access to functioning Latrine]]*WWWW[[#This Row],[Total PoP ]]</f>
        <v>4860</v>
      </c>
      <c r="BK341" s="235">
        <f>IF(WWWW[[#This Row],[Location Type 1]]="camp",WWWW[[#This Row],['# potential required new latrines]]/(WWWW[[#This Row],[Total PoP ]]/20),WWWW[[#This Row],['# potential required new latrines]]/(WWWW[[#This Row],[Total PoP ]]/6))</f>
        <v>0.56712014423864943</v>
      </c>
      <c r="BL341" s="414">
        <f>IF(WWWW[[#This Row],[Total required Latrines]]-WWWW[[#This Row],[Total '# of latrine]]&lt;0,0,WWWW[[#This Row],[Total required Latrines]]-WWWW[[#This Row],[Total '# of latrine]])</f>
        <v>346</v>
      </c>
      <c r="BM341" s="238">
        <f>ROUND(IF(WWWW[[#This Row],[Location Type 1]]="camp",WWWW[[#This Row],[Total PoP ]]/20,WWWW[[#This Row],[Total PoP ]]/6),0)</f>
        <v>610</v>
      </c>
      <c r="BN341" s="239">
        <f>IF(OR(WWWW[[#This Row],['# Existing latrines dysfunctional]]="",WWWW[[#This Row],['# Existing latrines dysfunctional]]=0),0,WWWW[[#This Row],['# Existing latrines dysfunctional]]/WWWW[[#This Row],[Total '# of latrine]])</f>
        <v>7.9545454545454544E-2</v>
      </c>
      <c r="BO341" s="675">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1000</v>
      </c>
      <c r="BP341" s="235">
        <f>WWWW[[#This Row],[People adopt basic personal and community hygiene practices]]/WWWW[[#This Row],[Total PoP ]]</f>
        <v>0</v>
      </c>
      <c r="BQ341" s="239">
        <f>1-WWWW[[#This Row],[Hygiene Coverage%]]</f>
        <v>1</v>
      </c>
      <c r="BR341" s="414">
        <f>IF(500*WWWW[[#This Row],['# Hygiene Promoters ]]&gt;WWWW[[#This Row],[Total PoP ]],WWWW[[#This Row],[Total PoP ]],500*WWWW[[#This Row],['# Hygiene Promoters ]])</f>
        <v>4000</v>
      </c>
      <c r="BS341" s="414">
        <f>IF(WWWW[[#This Row],[% of HH with access to Sanitary Pad]]&gt;=100%,1,0)</f>
        <v>0</v>
      </c>
      <c r="BT341" s="414">
        <f>IF(WWWW[[#This Row],[Total PoP ]]=0,0,IF(WWWW[[#This Row],['# Hygiene Promoters ]]=0,0,IF(WWWW[[#This Row],[Location Type 1]]="Village",IF(WWWW[[#This Row],[Total PoP ]]/WWWW[[#This Row],['# Hygiene Promoters ]]&lt;1000,1,0),IF(WWWW[[#This Row],[Total PoP ]]/WWWW[[#This Row],['# Hygiene Promoters ]]&lt;600,1,0))))</f>
        <v>0</v>
      </c>
      <c r="BU341" s="414">
        <f>IF(WWWW[[#This Row],[%HH with access to soap]]&gt;=100%,1,0)</f>
        <v>0</v>
      </c>
      <c r="BV341" s="414">
        <f>IF(WWWW[[#This Row],[% of HHs with access to Sanitary pad more than '#%]]+WWWW[[#This Row],[Ratio of Hyiene promoters to people less than '#]]+WWWW[[#This Row],[% of HHs with access to soap more than '#%]]&gt;=2,WWWW[[#This Row],[Total PoP ]],0)</f>
        <v>0</v>
      </c>
      <c r="BW341" s="346">
        <f>WWWW[[#This Row],['# people reached by regular dedicated hygiene promotion_5]]/WWWW[[#This Row],[Total PoP ]]</f>
        <v>0.32781511227667598</v>
      </c>
      <c r="BX341" s="346">
        <f>IF(WWWW[[#This Row],['# HH received soaps]]/WWWW[[#This Row],[Total HH]]&gt;1,1,WWWW[[#This Row],['# HH received soaps]]/WWWW[[#This Row],[Total HH]])</f>
        <v>0.49650043744531935</v>
      </c>
      <c r="BY341" s="346">
        <f>IF(WWWW[[#This Row],['# HH received Sanitary Pads]]/WWWW[[#This Row],[Total HH]]&gt;1,1,WWWW[[#This Row],['# HH received Sanitary Pads]]/WWWW[[#This Row],[Total HH]])</f>
        <v>0.82895888013998253</v>
      </c>
      <c r="BZ341" s="720">
        <f>WWWW[[#This Row],['# HH received soaps]]*5</f>
        <v>5675</v>
      </c>
      <c r="CA341" s="720">
        <f>WWWW[[#This Row],['# HH received Sanitary Pads]]*5</f>
        <v>9475</v>
      </c>
      <c r="CB341" s="238">
        <f>IF(WWWW[[#This Row],['# People with access to soap]]&gt;WWWW[[#This Row],['# People with access to Sanity Pads]],WWWW[[#This Row],['# People with access to soap]],WWWW[[#This Row],['# People with access to Sanity Pads]])</f>
        <v>9475</v>
      </c>
      <c r="CC341" s="414">
        <f>WWWW[[#This Row],[Total HH]]*WWWW[[#This Row],[%HHs with access to functional hand washing stations]]</f>
        <v>0</v>
      </c>
      <c r="CD341" s="240" t="str">
        <f>VLOOKUP(WWWW[[#This Row],[Site Name]],SiteDB6[],8,FALSE)</f>
        <v>Yes</v>
      </c>
      <c r="CE341" s="240" t="str">
        <f>VLOOKUP(WWWW[[#This Row],[Site Name]],SiteDB6[],9,FALSE)</f>
        <v>LWF</v>
      </c>
      <c r="CF341" s="240" t="str">
        <f>VLOOKUP(WWWW[[#This Row],[Site Name]],SiteDB6[],10,FALSE)</f>
        <v>Camp</v>
      </c>
      <c r="CG341" s="240" t="str">
        <f>VLOOKUP(WWWW[[#This Row],[Site Name]],SiteDB6[],11,FALSE)</f>
        <v>Camp</v>
      </c>
      <c r="CH341" s="240" t="str">
        <f>VLOOKUP(WWWW[[#This Row],[Site Name]],SiteDB6[],12,FALSE)</f>
        <v>Self Settled Camp</v>
      </c>
      <c r="CI341" s="240" t="str">
        <f>VLOOKUP(WWWW[[#This Row],[Site Name]],SiteDB6[],13,FALSE)</f>
        <v>Muslim</v>
      </c>
      <c r="CJ341" s="240">
        <f>VLOOKUP(WWWW[[#This Row],[Site Name]],SiteDB6[],14,FALSE)</f>
        <v>20.1585</v>
      </c>
      <c r="CK341" s="240">
        <f>VLOOKUP(WWWW[[#This Row],[Site Name]],SiteDB6[],15,FALSE)</f>
        <v>92.839416999999997</v>
      </c>
      <c r="CL341" s="240" t="str">
        <f>VLOOKUP(WWWW[[#This Row],[Site Name]],SiteDB6[],4,FALSE)</f>
        <v>MMR012CMP046</v>
      </c>
      <c r="CM341" s="235" t="str">
        <f t="shared" si="5"/>
        <v>Covered</v>
      </c>
      <c r="CN341" s="235"/>
    </row>
    <row r="342" spans="1:92" ht="15.75" hidden="1" customHeight="1" x14ac:dyDescent="0.25">
      <c r="A342" s="532" t="s">
        <v>1409</v>
      </c>
      <c r="B342" s="533" t="s">
        <v>436</v>
      </c>
      <c r="C342" s="533" t="s">
        <v>464</v>
      </c>
      <c r="D342" s="533" t="s">
        <v>465</v>
      </c>
      <c r="E342" s="533" t="s">
        <v>869</v>
      </c>
      <c r="F342" s="233">
        <v>150</v>
      </c>
      <c r="G342" s="414">
        <v>745</v>
      </c>
      <c r="H342" s="233"/>
      <c r="I342" s="233" t="s">
        <v>884</v>
      </c>
      <c r="J342" s="234">
        <v>44104</v>
      </c>
      <c r="K342" s="233">
        <v>0</v>
      </c>
      <c r="L342" s="233" t="s">
        <v>292</v>
      </c>
      <c r="M342" s="235">
        <v>0</v>
      </c>
      <c r="N342" s="235">
        <v>0</v>
      </c>
      <c r="O342" s="609">
        <v>0</v>
      </c>
      <c r="P342" s="615">
        <v>10</v>
      </c>
      <c r="Q342" s="615">
        <v>0</v>
      </c>
      <c r="R342" s="604">
        <v>0</v>
      </c>
      <c r="S342" s="604">
        <v>10</v>
      </c>
      <c r="T342" s="604">
        <v>0</v>
      </c>
      <c r="U342" s="604">
        <v>0</v>
      </c>
      <c r="V342" s="604">
        <v>0</v>
      </c>
      <c r="W342" s="604">
        <v>0</v>
      </c>
      <c r="X342" s="604">
        <v>0</v>
      </c>
      <c r="Y342" s="604"/>
      <c r="Z342" s="628">
        <v>0</v>
      </c>
      <c r="AA342" s="628">
        <v>0</v>
      </c>
      <c r="AB342" s="629">
        <v>0</v>
      </c>
      <c r="AC342" s="628">
        <v>0</v>
      </c>
      <c r="AD342" s="628" t="s">
        <v>342</v>
      </c>
      <c r="AE342" s="631" t="s">
        <v>342</v>
      </c>
      <c r="AF342" s="631">
        <v>0</v>
      </c>
      <c r="AG342" s="628">
        <v>0</v>
      </c>
      <c r="AH342" s="628"/>
      <c r="AI342" s="659">
        <v>0</v>
      </c>
      <c r="AJ342" s="644" t="s">
        <v>294</v>
      </c>
      <c r="AK342" s="644">
        <v>0</v>
      </c>
      <c r="AL342" s="645">
        <v>0</v>
      </c>
      <c r="AM342" s="645">
        <v>1</v>
      </c>
      <c r="AN342" s="647">
        <v>0</v>
      </c>
      <c r="AO342" s="647">
        <v>0</v>
      </c>
      <c r="AP342" s="647"/>
      <c r="AQ342" s="658"/>
      <c r="AR342" s="235" t="str">
        <f>IFERROR(WWWW[[#This Row],['# of Water passed at source]]/WWWW[[#This Row],['# of Water tested at source]],"no test")</f>
        <v>no test</v>
      </c>
      <c r="AS342" s="237" t="str">
        <f>IFERROR(WWWW[[#This Row],['# of Water passed at HH]]/WWWW[[#This Row],['# of Water tested at HH]],"no test")</f>
        <v>no test</v>
      </c>
      <c r="AT342" s="237">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U342" s="237">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AV342" s="237">
        <f>IF(WWWW[[#This Row],[Location Type 1]]="Village",WWWW[[#This Row],[Access to safe drinking water for Village]],WWWW[[#This Row],[Access to safe drinking water for Camp]])</f>
        <v>1</v>
      </c>
      <c r="AW342" s="414">
        <f>WWWW[[#This Row],[%Equitable and continuous access to sufficient quantity of safe drinking water]]*WWWW[[#This Row],[Total PoP ]]</f>
        <v>745</v>
      </c>
      <c r="AX342" s="237">
        <f>IF((WWWW[[#This Row],['# Existing protected/fenced ponds ]]*250)/WWWW[[#This Row],[Total PoP ]]&gt;1,1,WWWW[[#This Row],['# Existing protected/fenced ponds ]]*250/WWWW[[#This Row],[Total PoP ]])</f>
        <v>0</v>
      </c>
      <c r="AY342" s="414">
        <f>WWWW[[#This Row],[Access to unimproved water points]]*WWWW[[#This Row],[Total PoP ]]</f>
        <v>0</v>
      </c>
      <c r="AZ342" s="237">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A342" s="414">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745</v>
      </c>
      <c r="BB342" s="414">
        <f>WWWW[[#This Row],['#people Equitable and continuous access to sufficient quantity of domestic water borehole n ponds_2]]/500</f>
        <v>1.49</v>
      </c>
      <c r="BC342" s="235">
        <f>1-WWWW[[#This Row],[%Equitable and continuous access to sufficient quantity of domestic water borehole n ponds]]</f>
        <v>0</v>
      </c>
      <c r="BD342" s="414">
        <f>WWWW[[#This Row],[%equitable and continuous access to sufficient quantity of safe drinking and domestic water''s GAP]]*WWWW[[#This Row],[Total PoP ]]</f>
        <v>0</v>
      </c>
      <c r="BE342" s="238">
        <f>IF(WWWW[[#This Row],[Total required water points]]-WWWW[[#This Row],['#Water points coverage]]&lt;0,0,WWWW[[#This Row],[Total required water points]]-WWWW[[#This Row],['#Water points coverage]])</f>
        <v>0</v>
      </c>
      <c r="BF342" s="238">
        <f>ROUND(IF(WWWW[[#This Row],[Total PoP ]]&lt;500,1,WWWW[[#This Row],[Total PoP ]]/500),0)</f>
        <v>1</v>
      </c>
      <c r="BG342" s="238" t="str">
        <f>IF(AND(WWWW[[#This Row],[%of Water samples which passed at water source]]="no test",WWWW[[#This Row],[%Water samples which passed at HH]]="no test"),"No Test","Tested")</f>
        <v>No Test</v>
      </c>
      <c r="BH342" s="238">
        <f>WWWW[[#This Row],['# Existing functional latrines]]+WWWW[[#This Row],['# Existing latrines dysfunctional]]</f>
        <v>0</v>
      </c>
      <c r="BI342" s="235">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J342" s="675">
        <f>WWWW[[#This Row],[% people access to functioning Latrine]]*WWWW[[#This Row],[Total PoP ]]</f>
        <v>0</v>
      </c>
      <c r="BK342" s="235">
        <f>IF(WWWW[[#This Row],[Location Type 1]]="camp",WWWW[[#This Row],['# potential required new latrines]]/(WWWW[[#This Row],[Total PoP ]]/20),WWWW[[#This Row],['# potential required new latrines]]/(WWWW[[#This Row],[Total PoP ]]/6))</f>
        <v>0.99865771812080528</v>
      </c>
      <c r="BL342" s="414">
        <f>IF(WWWW[[#This Row],[Total required Latrines]]-WWWW[[#This Row],[Total '# of latrine]]&lt;0,0,WWWW[[#This Row],[Total required Latrines]]-WWWW[[#This Row],[Total '# of latrine]])</f>
        <v>124</v>
      </c>
      <c r="BM342" s="238">
        <f>ROUND(IF(WWWW[[#This Row],[Location Type 1]]="camp",WWWW[[#This Row],[Total PoP ]]/20,WWWW[[#This Row],[Total PoP ]]/6),0)</f>
        <v>124</v>
      </c>
      <c r="BN342" s="239">
        <f>IF(OR(WWWW[[#This Row],['# Existing latrines dysfunctional]]="",WWWW[[#This Row],['# Existing latrines dysfunctional]]=0),0,WWWW[[#This Row],['# Existing latrines dysfunctional]]/WWWW[[#This Row],[Total '# of latrine]])</f>
        <v>0</v>
      </c>
      <c r="BO342" s="675"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P342" s="235">
        <f>WWWW[[#This Row],[People adopt basic personal and community hygiene practices]]/WWWW[[#This Row],[Total PoP ]]</f>
        <v>0</v>
      </c>
      <c r="BQ342" s="239">
        <f>1-WWWW[[#This Row],[Hygiene Coverage%]]</f>
        <v>1</v>
      </c>
      <c r="BR342" s="414">
        <f>IF(500*WWWW[[#This Row],['# Hygiene Promoters ]]&gt;WWWW[[#This Row],[Total PoP ]],WWWW[[#This Row],[Total PoP ]],500*WWWW[[#This Row],['# Hygiene Promoters ]])</f>
        <v>500</v>
      </c>
      <c r="BS342" s="414">
        <f>IF(WWWW[[#This Row],[% of HH with access to Sanitary Pad]]&gt;=100%,1,0)</f>
        <v>0</v>
      </c>
      <c r="BT342" s="414">
        <f>IF(WWWW[[#This Row],[Total PoP ]]=0,0,IF(WWWW[[#This Row],['# Hygiene Promoters ]]=0,0,IF(WWWW[[#This Row],[Location Type 1]]="Village",IF(WWWW[[#This Row],[Total PoP ]]/WWWW[[#This Row],['# Hygiene Promoters ]]&lt;1000,1,0),IF(WWWW[[#This Row],[Total PoP ]]/WWWW[[#This Row],['# Hygiene Promoters ]]&lt;600,1,0))))</f>
        <v>1</v>
      </c>
      <c r="BU342" s="414">
        <f>IF(WWWW[[#This Row],[%HH with access to soap]]&gt;=100%,1,0)</f>
        <v>0</v>
      </c>
      <c r="BV342" s="414">
        <f>IF(WWWW[[#This Row],[% of HHs with access to Sanitary pad more than '#%]]+WWWW[[#This Row],[Ratio of Hyiene promoters to people less than '#]]+WWWW[[#This Row],[% of HHs with access to soap more than '#%]]&gt;=2,WWWW[[#This Row],[Total PoP ]],0)</f>
        <v>0</v>
      </c>
      <c r="BW342" s="346">
        <f>WWWW[[#This Row],['# people reached by regular dedicated hygiene promotion_5]]/WWWW[[#This Row],[Total PoP ]]</f>
        <v>0.67114093959731547</v>
      </c>
      <c r="BX342" s="346">
        <f>IF(WWWW[[#This Row],['# HH received soaps]]/WWWW[[#This Row],[Total HH]]&gt;1,1,WWWW[[#This Row],['# HH received soaps]]/WWWW[[#This Row],[Total HH]])</f>
        <v>0</v>
      </c>
      <c r="BY342" s="346">
        <f>IF(WWWW[[#This Row],['# HH received Sanitary Pads]]/WWWW[[#This Row],[Total HH]]&gt;1,1,WWWW[[#This Row],['# HH received Sanitary Pads]]/WWWW[[#This Row],[Total HH]])</f>
        <v>0</v>
      </c>
      <c r="BZ342" s="720">
        <f>WWWW[[#This Row],['# HH received soaps]]*5</f>
        <v>0</v>
      </c>
      <c r="CA342" s="720">
        <f>WWWW[[#This Row],['# HH received Sanitary Pads]]*5</f>
        <v>0</v>
      </c>
      <c r="CB342" s="238">
        <f>IF(WWWW[[#This Row],['# People with access to soap]]&gt;WWWW[[#This Row],['# People with access to Sanity Pads]],WWWW[[#This Row],['# People with access to soap]],WWWW[[#This Row],['# People with access to Sanity Pads]])</f>
        <v>0</v>
      </c>
      <c r="CC342" s="414">
        <f>WWWW[[#This Row],[Total HH]]*WWWW[[#This Row],[%HHs with access to functional hand washing stations]]</f>
        <v>0</v>
      </c>
      <c r="CD342" s="240">
        <f>VLOOKUP(WWWW[[#This Row],[Site Name]],SiteDB6[],8,FALSE)</f>
        <v>0</v>
      </c>
      <c r="CE342" s="240">
        <f>VLOOKUP(WWWW[[#This Row],[Site Name]],SiteDB6[],9,FALSE)</f>
        <v>0</v>
      </c>
      <c r="CF342" s="240" t="str">
        <f>VLOOKUP(WWWW[[#This Row],[Site Name]],SiteDB6[],10,FALSE)</f>
        <v>Village</v>
      </c>
      <c r="CG342" s="240" t="str">
        <f>VLOOKUP(WWWW[[#This Row],[Site Name]],SiteDB6[],11,FALSE)</f>
        <v>Village</v>
      </c>
      <c r="CH342" s="240" t="str">
        <f>VLOOKUP(WWWW[[#This Row],[Site Name]],SiteDB6[],12,FALSE)</f>
        <v>Village</v>
      </c>
      <c r="CI342" s="240" t="str">
        <f>VLOOKUP(WWWW[[#This Row],[Site Name]],SiteDB6[],13,FALSE)</f>
        <v>Rakhine</v>
      </c>
      <c r="CJ342" s="240">
        <f>VLOOKUP(WWWW[[#This Row],[Site Name]],SiteDB6[],14,FALSE)</f>
        <v>20.162599563598601</v>
      </c>
      <c r="CK342" s="240">
        <f>VLOOKUP(WWWW[[#This Row],[Site Name]],SiteDB6[],15,FALSE)</f>
        <v>92.834457397460895</v>
      </c>
      <c r="CL342" s="240" t="str">
        <f>VLOOKUP(WWWW[[#This Row],[Site Name]],SiteDB6[],4,FALSE)</f>
        <v>196210</v>
      </c>
      <c r="CM342" s="235" t="str">
        <f t="shared" si="5"/>
        <v>Covered</v>
      </c>
      <c r="CN342" s="235"/>
    </row>
    <row r="343" spans="1:92" ht="15.75" hidden="1" customHeight="1" x14ac:dyDescent="0.25">
      <c r="A343" s="532" t="s">
        <v>1409</v>
      </c>
      <c r="B343" s="533" t="s">
        <v>436</v>
      </c>
      <c r="C343" s="533" t="s">
        <v>464</v>
      </c>
      <c r="D343" s="533" t="s">
        <v>465</v>
      </c>
      <c r="E343" s="533" t="s">
        <v>591</v>
      </c>
      <c r="F343" s="233">
        <v>198</v>
      </c>
      <c r="G343" s="414">
        <v>1131</v>
      </c>
      <c r="H343" s="233"/>
      <c r="I343" s="233" t="s">
        <v>884</v>
      </c>
      <c r="J343" s="234">
        <v>44104</v>
      </c>
      <c r="K343" s="233">
        <v>0</v>
      </c>
      <c r="L343" s="233" t="s">
        <v>292</v>
      </c>
      <c r="M343" s="235">
        <v>0</v>
      </c>
      <c r="N343" s="235">
        <v>0</v>
      </c>
      <c r="O343" s="609">
        <v>0</v>
      </c>
      <c r="P343" s="615">
        <v>18</v>
      </c>
      <c r="Q343" s="615">
        <v>0</v>
      </c>
      <c r="R343" s="604">
        <v>0</v>
      </c>
      <c r="S343" s="604">
        <v>18</v>
      </c>
      <c r="T343" s="604">
        <v>0</v>
      </c>
      <c r="U343" s="604">
        <v>0</v>
      </c>
      <c r="V343" s="604">
        <v>0</v>
      </c>
      <c r="W343" s="604">
        <v>0</v>
      </c>
      <c r="X343" s="604">
        <v>0</v>
      </c>
      <c r="Y343" s="604"/>
      <c r="Z343" s="628">
        <v>0</v>
      </c>
      <c r="AA343" s="628">
        <v>0</v>
      </c>
      <c r="AB343" s="629">
        <v>0</v>
      </c>
      <c r="AC343" s="628">
        <v>0</v>
      </c>
      <c r="AD343" s="628" t="s">
        <v>342</v>
      </c>
      <c r="AE343" s="631" t="s">
        <v>342</v>
      </c>
      <c r="AF343" s="631">
        <v>0</v>
      </c>
      <c r="AG343" s="628">
        <v>0</v>
      </c>
      <c r="AH343" s="628"/>
      <c r="AI343" s="659">
        <v>0</v>
      </c>
      <c r="AJ343" s="644" t="s">
        <v>294</v>
      </c>
      <c r="AK343" s="644">
        <v>0</v>
      </c>
      <c r="AL343" s="645">
        <v>0</v>
      </c>
      <c r="AM343" s="645">
        <v>2</v>
      </c>
      <c r="AN343" s="647">
        <v>586</v>
      </c>
      <c r="AO343" s="647">
        <v>586</v>
      </c>
      <c r="AP343" s="647"/>
      <c r="AQ343" s="658"/>
      <c r="AR343" s="235" t="str">
        <f>IFERROR(WWWW[[#This Row],['# of Water passed at source]]/WWWW[[#This Row],['# of Water tested at source]],"no test")</f>
        <v>no test</v>
      </c>
      <c r="AS343" s="237" t="str">
        <f>IFERROR(WWWW[[#This Row],['# of Water passed at HH]]/WWWW[[#This Row],['# of Water tested at HH]],"no test")</f>
        <v>no test</v>
      </c>
      <c r="AT343" s="237">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U343" s="237">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AV343" s="237">
        <f>IF(WWWW[[#This Row],[Location Type 1]]="Village",WWWW[[#This Row],[Access to safe drinking water for Village]],WWWW[[#This Row],[Access to safe drinking water for Camp]])</f>
        <v>1</v>
      </c>
      <c r="AW343" s="414">
        <f>WWWW[[#This Row],[%Equitable and continuous access to sufficient quantity of safe drinking water]]*WWWW[[#This Row],[Total PoP ]]</f>
        <v>1131</v>
      </c>
      <c r="AX343" s="237">
        <f>IF((WWWW[[#This Row],['# Existing protected/fenced ponds ]]*250)/WWWW[[#This Row],[Total PoP ]]&gt;1,1,WWWW[[#This Row],['# Existing protected/fenced ponds ]]*250/WWWW[[#This Row],[Total PoP ]])</f>
        <v>0</v>
      </c>
      <c r="AY343" s="414">
        <f>WWWW[[#This Row],[Access to unimproved water points]]*WWWW[[#This Row],[Total PoP ]]</f>
        <v>0</v>
      </c>
      <c r="AZ343" s="237">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A343" s="414">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1131</v>
      </c>
      <c r="BB343" s="414">
        <f>WWWW[[#This Row],['#people Equitable and continuous access to sufficient quantity of domestic water borehole n ponds_2]]/500</f>
        <v>2.262</v>
      </c>
      <c r="BC343" s="235">
        <f>1-WWWW[[#This Row],[%Equitable and continuous access to sufficient quantity of domestic water borehole n ponds]]</f>
        <v>0</v>
      </c>
      <c r="BD343" s="414">
        <f>WWWW[[#This Row],[%equitable and continuous access to sufficient quantity of safe drinking and domestic water''s GAP]]*WWWW[[#This Row],[Total PoP ]]</f>
        <v>0</v>
      </c>
      <c r="BE343" s="238">
        <f>IF(WWWW[[#This Row],[Total required water points]]-WWWW[[#This Row],['#Water points coverage]]&lt;0,0,WWWW[[#This Row],[Total required water points]]-WWWW[[#This Row],['#Water points coverage]])</f>
        <v>0</v>
      </c>
      <c r="BF343" s="238">
        <f>ROUND(IF(WWWW[[#This Row],[Total PoP ]]&lt;500,1,WWWW[[#This Row],[Total PoP ]]/500),0)</f>
        <v>2</v>
      </c>
      <c r="BG343" s="238" t="str">
        <f>IF(AND(WWWW[[#This Row],[%of Water samples which passed at water source]]="no test",WWWW[[#This Row],[%Water samples which passed at HH]]="no test"),"No Test","Tested")</f>
        <v>No Test</v>
      </c>
      <c r="BH343" s="238">
        <f>WWWW[[#This Row],['# Existing functional latrines]]+WWWW[[#This Row],['# Existing latrines dysfunctional]]</f>
        <v>0</v>
      </c>
      <c r="BI343" s="235">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J343" s="675">
        <f>WWWW[[#This Row],[% people access to functioning Latrine]]*WWWW[[#This Row],[Total PoP ]]</f>
        <v>0</v>
      </c>
      <c r="BK343" s="235">
        <f>IF(WWWW[[#This Row],[Location Type 1]]="camp",WWWW[[#This Row],['# potential required new latrines]]/(WWWW[[#This Row],[Total PoP ]]/20),WWWW[[#This Row],['# potential required new latrines]]/(WWWW[[#This Row],[Total PoP ]]/6))</f>
        <v>1.0026525198938991</v>
      </c>
      <c r="BL343" s="414">
        <f>IF(WWWW[[#This Row],[Total required Latrines]]-WWWW[[#This Row],[Total '# of latrine]]&lt;0,0,WWWW[[#This Row],[Total required Latrines]]-WWWW[[#This Row],[Total '# of latrine]])</f>
        <v>189</v>
      </c>
      <c r="BM343" s="238">
        <f>ROUND(IF(WWWW[[#This Row],[Location Type 1]]="camp",WWWW[[#This Row],[Total PoP ]]/20,WWWW[[#This Row],[Total PoP ]]/6),0)</f>
        <v>189</v>
      </c>
      <c r="BN343" s="239">
        <f>IF(OR(WWWW[[#This Row],['# Existing latrines dysfunctional]]="",WWWW[[#This Row],['# Existing latrines dysfunctional]]=0),0,WWWW[[#This Row],['# Existing latrines dysfunctional]]/WWWW[[#This Row],[Total '# of latrine]])</f>
        <v>0</v>
      </c>
      <c r="BO343" s="675"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P343" s="235">
        <f>WWWW[[#This Row],[People adopt basic personal and community hygiene practices]]/WWWW[[#This Row],[Total PoP ]]</f>
        <v>1</v>
      </c>
      <c r="BQ343" s="239">
        <f>1-WWWW[[#This Row],[Hygiene Coverage%]]</f>
        <v>0</v>
      </c>
      <c r="BR343" s="414">
        <f>IF(500*WWWW[[#This Row],['# Hygiene Promoters ]]&gt;WWWW[[#This Row],[Total PoP ]],WWWW[[#This Row],[Total PoP ]],500*WWWW[[#This Row],['# Hygiene Promoters ]])</f>
        <v>1000</v>
      </c>
      <c r="BS343" s="414">
        <f>IF(WWWW[[#This Row],[% of HH with access to Sanitary Pad]]&gt;=100%,1,0)</f>
        <v>1</v>
      </c>
      <c r="BT343" s="414">
        <f>IF(WWWW[[#This Row],[Total PoP ]]=0,0,IF(WWWW[[#This Row],['# Hygiene Promoters ]]=0,0,IF(WWWW[[#This Row],[Location Type 1]]="Village",IF(WWWW[[#This Row],[Total PoP ]]/WWWW[[#This Row],['# Hygiene Promoters ]]&lt;1000,1,0),IF(WWWW[[#This Row],[Total PoP ]]/WWWW[[#This Row],['# Hygiene Promoters ]]&lt;600,1,0))))</f>
        <v>1</v>
      </c>
      <c r="BU343" s="414">
        <f>IF(WWWW[[#This Row],[%HH with access to soap]]&gt;=100%,1,0)</f>
        <v>1</v>
      </c>
      <c r="BV343" s="414">
        <f>IF(WWWW[[#This Row],[% of HHs with access to Sanitary pad more than '#%]]+WWWW[[#This Row],[Ratio of Hyiene promoters to people less than '#]]+WWWW[[#This Row],[% of HHs with access to soap more than '#%]]&gt;=2,WWWW[[#This Row],[Total PoP ]],0)</f>
        <v>1131</v>
      </c>
      <c r="BW343" s="346">
        <f>WWWW[[#This Row],['# people reached by regular dedicated hygiene promotion_5]]/WWWW[[#This Row],[Total PoP ]]</f>
        <v>0.88417329796640143</v>
      </c>
      <c r="BX343" s="346">
        <f>IF(WWWW[[#This Row],['# HH received soaps]]/WWWW[[#This Row],[Total HH]]&gt;1,1,WWWW[[#This Row],['# HH received soaps]]/WWWW[[#This Row],[Total HH]])</f>
        <v>1</v>
      </c>
      <c r="BY343" s="346">
        <f>IF(WWWW[[#This Row],['# HH received Sanitary Pads]]/WWWW[[#This Row],[Total HH]]&gt;1,1,WWWW[[#This Row],['# HH received Sanitary Pads]]/WWWW[[#This Row],[Total HH]])</f>
        <v>1</v>
      </c>
      <c r="BZ343" s="720">
        <f>WWWW[[#This Row],['# HH received soaps]]*5</f>
        <v>2930</v>
      </c>
      <c r="CA343" s="720">
        <f>WWWW[[#This Row],['# HH received Sanitary Pads]]*5</f>
        <v>2930</v>
      </c>
      <c r="CB343" s="238">
        <f>IF(WWWW[[#This Row],['# People with access to soap]]&gt;WWWW[[#This Row],['# People with access to Sanity Pads]],WWWW[[#This Row],['# People with access to soap]],WWWW[[#This Row],['# People with access to Sanity Pads]])</f>
        <v>2930</v>
      </c>
      <c r="CC343" s="414">
        <f>WWWW[[#This Row],[Total HH]]*WWWW[[#This Row],[%HHs with access to functional hand washing stations]]</f>
        <v>0</v>
      </c>
      <c r="CD343" s="240">
        <f>VLOOKUP(WWWW[[#This Row],[Site Name]],SiteDB6[],8,FALSE)</f>
        <v>0</v>
      </c>
      <c r="CE343" s="240">
        <f>VLOOKUP(WWWW[[#This Row],[Site Name]],SiteDB6[],9,FALSE)</f>
        <v>0</v>
      </c>
      <c r="CF343" s="240" t="str">
        <f>VLOOKUP(WWWW[[#This Row],[Site Name]],SiteDB6[],10,FALSE)</f>
        <v>Village</v>
      </c>
      <c r="CG343" s="240" t="str">
        <f>VLOOKUP(WWWW[[#This Row],[Site Name]],SiteDB6[],11,FALSE)</f>
        <v>Village</v>
      </c>
      <c r="CH343" s="240" t="str">
        <f>VLOOKUP(WWWW[[#This Row],[Site Name]],SiteDB6[],12,FALSE)</f>
        <v>Village</v>
      </c>
      <c r="CI343" s="240" t="str">
        <f>VLOOKUP(WWWW[[#This Row],[Site Name]],SiteDB6[],13,FALSE)</f>
        <v>Muslim</v>
      </c>
      <c r="CJ343" s="240">
        <f>VLOOKUP(WWWW[[#This Row],[Site Name]],SiteDB6[],14,FALSE)</f>
        <v>20.148910522460898</v>
      </c>
      <c r="CK343" s="240">
        <f>VLOOKUP(WWWW[[#This Row],[Site Name]],SiteDB6[],15,FALSE)</f>
        <v>92.846160888671903</v>
      </c>
      <c r="CL343" s="240" t="str">
        <f>VLOOKUP(WWWW[[#This Row],[Site Name]],SiteDB6[],4,FALSE)</f>
        <v>196209</v>
      </c>
      <c r="CM343" s="235" t="str">
        <f t="shared" si="5"/>
        <v>Covered</v>
      </c>
      <c r="CN343" s="235"/>
    </row>
    <row r="344" spans="1:92" ht="15.75" hidden="1" customHeight="1" x14ac:dyDescent="0.25">
      <c r="A344" s="532" t="s">
        <v>1409</v>
      </c>
      <c r="B344" s="533" t="s">
        <v>457</v>
      </c>
      <c r="C344" s="533" t="s">
        <v>464</v>
      </c>
      <c r="D344" s="533" t="s">
        <v>575</v>
      </c>
      <c r="E344" s="533" t="s">
        <v>582</v>
      </c>
      <c r="F344" s="233">
        <v>204</v>
      </c>
      <c r="G344" s="414">
        <v>1055</v>
      </c>
      <c r="H344" s="233"/>
      <c r="I344" s="233" t="s">
        <v>401</v>
      </c>
      <c r="J344" s="234">
        <v>43190</v>
      </c>
      <c r="K344" s="233">
        <v>0</v>
      </c>
      <c r="L344" s="233" t="s">
        <v>292</v>
      </c>
      <c r="M344" s="235">
        <v>0</v>
      </c>
      <c r="N344" s="235">
        <v>0</v>
      </c>
      <c r="O344" s="609">
        <v>0</v>
      </c>
      <c r="P344" s="615">
        <v>0</v>
      </c>
      <c r="Q344" s="615">
        <v>0</v>
      </c>
      <c r="R344" s="604">
        <v>2</v>
      </c>
      <c r="S344" s="604">
        <v>0</v>
      </c>
      <c r="T344" s="604">
        <v>0</v>
      </c>
      <c r="U344" s="604">
        <v>0</v>
      </c>
      <c r="V344" s="604">
        <v>0</v>
      </c>
      <c r="W344" s="604">
        <v>0</v>
      </c>
      <c r="X344" s="604">
        <v>0</v>
      </c>
      <c r="Y344" s="604"/>
      <c r="Z344" s="628">
        <v>50</v>
      </c>
      <c r="AA344" s="628">
        <v>20</v>
      </c>
      <c r="AB344" s="629">
        <v>0</v>
      </c>
      <c r="AC344" s="628">
        <v>70</v>
      </c>
      <c r="AD344" s="628" t="s">
        <v>342</v>
      </c>
      <c r="AE344" s="631" t="s">
        <v>342</v>
      </c>
      <c r="AF344" s="631">
        <v>0</v>
      </c>
      <c r="AG344" s="628">
        <v>0</v>
      </c>
      <c r="AH344" s="628"/>
      <c r="AI344" s="659">
        <v>0</v>
      </c>
      <c r="AJ344" s="644" t="s">
        <v>294</v>
      </c>
      <c r="AK344" s="644">
        <v>0</v>
      </c>
      <c r="AL344" s="645">
        <v>0</v>
      </c>
      <c r="AM344" s="645">
        <v>3</v>
      </c>
      <c r="AN344" s="647">
        <v>0</v>
      </c>
      <c r="AO344" s="647">
        <v>0</v>
      </c>
      <c r="AP344" s="647"/>
      <c r="AQ344" s="658"/>
      <c r="AR344" s="235" t="str">
        <f>IFERROR(WWWW[[#This Row],['# of Water passed at source]]/WWWW[[#This Row],['# of Water tested at source]],"no test")</f>
        <v>no test</v>
      </c>
      <c r="AS344" s="237" t="str">
        <f>IFERROR(WWWW[[#This Row],['# of Water passed at HH]]/WWWW[[#This Row],['# of Water tested at HH]],"no test")</f>
        <v>no test</v>
      </c>
      <c r="AT344" s="237">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U344" s="237">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AV344" s="237">
        <f>IF(WWWW[[#This Row],[Location Type 1]]="Village",WWWW[[#This Row],[Access to safe drinking water for Village]],WWWW[[#This Row],[Access to safe drinking water for Camp]])</f>
        <v>0</v>
      </c>
      <c r="AW344" s="414">
        <f>WWWW[[#This Row],[%Equitable and continuous access to sufficient quantity of safe drinking water]]*WWWW[[#This Row],[Total PoP ]]</f>
        <v>0</v>
      </c>
      <c r="AX344" s="237">
        <f>IF((WWWW[[#This Row],['# Existing protected/fenced ponds ]]*250)/WWWW[[#This Row],[Total PoP ]]&gt;1,1,WWWW[[#This Row],['# Existing protected/fenced ponds ]]*250/WWWW[[#This Row],[Total PoP ]])</f>
        <v>0.47393364928909953</v>
      </c>
      <c r="AY344" s="414">
        <f>WWWW[[#This Row],[Access to unimproved water points]]*WWWW[[#This Row],[Total PoP ]]</f>
        <v>500</v>
      </c>
      <c r="AZ344" s="237">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0.47393364928909953</v>
      </c>
      <c r="BA344" s="414">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500</v>
      </c>
      <c r="BB344" s="414">
        <f>WWWW[[#This Row],['#people Equitable and continuous access to sufficient quantity of domestic water borehole n ponds_2]]/500</f>
        <v>1</v>
      </c>
      <c r="BC344" s="235">
        <f>1-WWWW[[#This Row],[%Equitable and continuous access to sufficient quantity of domestic water borehole n ponds]]</f>
        <v>0.52606635071090047</v>
      </c>
      <c r="BD344" s="414">
        <f>WWWW[[#This Row],[%equitable and continuous access to sufficient quantity of safe drinking and domestic water''s GAP]]*WWWW[[#This Row],[Total PoP ]]</f>
        <v>555</v>
      </c>
      <c r="BE344" s="238">
        <f>IF(WWWW[[#This Row],[Total required water points]]-WWWW[[#This Row],['#Water points coverage]]&lt;0,0,WWWW[[#This Row],[Total required water points]]-WWWW[[#This Row],['#Water points coverage]])</f>
        <v>1</v>
      </c>
      <c r="BF344" s="238">
        <f>ROUND(IF(WWWW[[#This Row],[Total PoP ]]&lt;500,1,WWWW[[#This Row],[Total PoP ]]/500),0)</f>
        <v>2</v>
      </c>
      <c r="BG344" s="238" t="str">
        <f>IF(AND(WWWW[[#This Row],[%of Water samples which passed at water source]]="no test",WWWW[[#This Row],[%Water samples which passed at HH]]="no test"),"No Test","Tested")</f>
        <v>No Test</v>
      </c>
      <c r="BH344" s="238">
        <f>WWWW[[#This Row],['# Existing functional latrines]]+WWWW[[#This Row],['# Existing latrines dysfunctional]]</f>
        <v>70</v>
      </c>
      <c r="BI344" s="235">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0.28436018957345971</v>
      </c>
      <c r="BJ344" s="675">
        <f>WWWW[[#This Row],[% people access to functioning Latrine]]*WWWW[[#This Row],[Total PoP ]]</f>
        <v>300</v>
      </c>
      <c r="BK344" s="235">
        <f>IF(WWWW[[#This Row],[Location Type 1]]="camp",WWWW[[#This Row],['# potential required new latrines]]/(WWWW[[#This Row],[Total PoP ]]/20),WWWW[[#This Row],['# potential required new latrines]]/(WWWW[[#This Row],[Total PoP ]]/6))</f>
        <v>0.6028436018957346</v>
      </c>
      <c r="BL344" s="414">
        <f>IF(WWWW[[#This Row],[Total required Latrines]]-WWWW[[#This Row],[Total '# of latrine]]&lt;0,0,WWWW[[#This Row],[Total required Latrines]]-WWWW[[#This Row],[Total '# of latrine]])</f>
        <v>106</v>
      </c>
      <c r="BM344" s="238">
        <f>ROUND(IF(WWWW[[#This Row],[Location Type 1]]="camp",WWWW[[#This Row],[Total PoP ]]/20,WWWW[[#This Row],[Total PoP ]]/6),0)</f>
        <v>176</v>
      </c>
      <c r="BN344" s="239">
        <f>IF(OR(WWWW[[#This Row],['# Existing latrines dysfunctional]]="",WWWW[[#This Row],['# Existing latrines dysfunctional]]=0),0,WWWW[[#This Row],['# Existing latrines dysfunctional]]/WWWW[[#This Row],[Total '# of latrine]])</f>
        <v>0.2857142857142857</v>
      </c>
      <c r="BO344" s="675"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P344" s="235">
        <f>WWWW[[#This Row],[People adopt basic personal and community hygiene practices]]/WWWW[[#This Row],[Total PoP ]]</f>
        <v>0</v>
      </c>
      <c r="BQ344" s="239">
        <f>1-WWWW[[#This Row],[Hygiene Coverage%]]</f>
        <v>1</v>
      </c>
      <c r="BR344" s="414">
        <f>IF(500*WWWW[[#This Row],['# Hygiene Promoters ]]&gt;WWWW[[#This Row],[Total PoP ]],WWWW[[#This Row],[Total PoP ]],500*WWWW[[#This Row],['# Hygiene Promoters ]])</f>
        <v>1055</v>
      </c>
      <c r="BS344" s="414">
        <f>IF(WWWW[[#This Row],[% of HH with access to Sanitary Pad]]&gt;=100%,1,0)</f>
        <v>0</v>
      </c>
      <c r="BT344" s="414">
        <f>IF(WWWW[[#This Row],[Total PoP ]]=0,0,IF(WWWW[[#This Row],['# Hygiene Promoters ]]=0,0,IF(WWWW[[#This Row],[Location Type 1]]="Village",IF(WWWW[[#This Row],[Total PoP ]]/WWWW[[#This Row],['# Hygiene Promoters ]]&lt;1000,1,0),IF(WWWW[[#This Row],[Total PoP ]]/WWWW[[#This Row],['# Hygiene Promoters ]]&lt;600,1,0))))</f>
        <v>1</v>
      </c>
      <c r="BU344" s="414">
        <f>IF(WWWW[[#This Row],[%HH with access to soap]]&gt;=100%,1,0)</f>
        <v>0</v>
      </c>
      <c r="BV344" s="414">
        <f>IF(WWWW[[#This Row],[% of HHs with access to Sanitary pad more than '#%]]+WWWW[[#This Row],[Ratio of Hyiene promoters to people less than '#]]+WWWW[[#This Row],[% of HHs with access to soap more than '#%]]&gt;=2,WWWW[[#This Row],[Total PoP ]],0)</f>
        <v>0</v>
      </c>
      <c r="BW344" s="346">
        <f>WWWW[[#This Row],['# people reached by regular dedicated hygiene promotion_5]]/WWWW[[#This Row],[Total PoP ]]</f>
        <v>1</v>
      </c>
      <c r="BX344" s="346">
        <f>IF(WWWW[[#This Row],['# HH received soaps]]/WWWW[[#This Row],[Total HH]]&gt;1,1,WWWW[[#This Row],['# HH received soaps]]/WWWW[[#This Row],[Total HH]])</f>
        <v>0</v>
      </c>
      <c r="BY344" s="346">
        <f>IF(WWWW[[#This Row],['# HH received Sanitary Pads]]/WWWW[[#This Row],[Total HH]]&gt;1,1,WWWW[[#This Row],['# HH received Sanitary Pads]]/WWWW[[#This Row],[Total HH]])</f>
        <v>0</v>
      </c>
      <c r="BZ344" s="720">
        <f>WWWW[[#This Row],['# HH received soaps]]*5</f>
        <v>0</v>
      </c>
      <c r="CA344" s="720">
        <f>WWWW[[#This Row],['# HH received Sanitary Pads]]*5</f>
        <v>0</v>
      </c>
      <c r="CB344" s="238">
        <f>IF(WWWW[[#This Row],['# People with access to soap]]&gt;WWWW[[#This Row],['# People with access to Sanity Pads]],WWWW[[#This Row],['# People with access to soap]],WWWW[[#This Row],['# People with access to Sanity Pads]])</f>
        <v>0</v>
      </c>
      <c r="CC344" s="414">
        <f>WWWW[[#This Row],[Total HH]]*WWWW[[#This Row],[%HHs with access to functional hand washing stations]]</f>
        <v>0</v>
      </c>
      <c r="CD344" s="240">
        <f>VLOOKUP(WWWW[[#This Row],[Site Name]],SiteDB6[],8,FALSE)</f>
        <v>0</v>
      </c>
      <c r="CE344" s="240">
        <f>VLOOKUP(WWWW[[#This Row],[Site Name]],SiteDB6[],9,FALSE)</f>
        <v>0</v>
      </c>
      <c r="CF344" s="240" t="str">
        <f>VLOOKUP(WWWW[[#This Row],[Site Name]],SiteDB6[],10,FALSE)</f>
        <v>Village</v>
      </c>
      <c r="CG344" s="240" t="str">
        <f>VLOOKUP(WWWW[[#This Row],[Site Name]],SiteDB6[],11,FALSE)</f>
        <v>Village</v>
      </c>
      <c r="CH344" s="240" t="str">
        <f>VLOOKUP(WWWW[[#This Row],[Site Name]],SiteDB6[],12,FALSE)</f>
        <v>Village</v>
      </c>
      <c r="CI344" s="240" t="str">
        <f>VLOOKUP(WWWW[[#This Row],[Site Name]],SiteDB6[],13,FALSE)</f>
        <v>Rakhine</v>
      </c>
      <c r="CJ344" s="240">
        <f>VLOOKUP(WWWW[[#This Row],[Site Name]],SiteDB6[],14,FALSE)</f>
        <v>20.0839</v>
      </c>
      <c r="CK344" s="240">
        <f>VLOOKUP(WWWW[[#This Row],[Site Name]],SiteDB6[],15,FALSE)</f>
        <v>92.993799999999993</v>
      </c>
      <c r="CL344" s="240" t="str">
        <f>VLOOKUP(WWWW[[#This Row],[Site Name]],SiteDB6[],4,FALSE)</f>
        <v>197557</v>
      </c>
      <c r="CM344" s="235" t="str">
        <f t="shared" si="5"/>
        <v>Covered</v>
      </c>
      <c r="CN344" s="235"/>
    </row>
    <row r="345" spans="1:92" ht="15.75" customHeight="1" x14ac:dyDescent="0.25">
      <c r="A345" s="532" t="s">
        <v>1409</v>
      </c>
      <c r="B345" s="533" t="s">
        <v>457</v>
      </c>
      <c r="C345" s="533" t="s">
        <v>464</v>
      </c>
      <c r="D345" s="533" t="s">
        <v>575</v>
      </c>
      <c r="E345" s="533" t="s">
        <v>579</v>
      </c>
      <c r="F345" s="233">
        <v>744</v>
      </c>
      <c r="G345" s="414">
        <v>2810</v>
      </c>
      <c r="H345" s="233"/>
      <c r="I345" s="233" t="s">
        <v>401</v>
      </c>
      <c r="J345" s="234">
        <v>43190</v>
      </c>
      <c r="K345" s="233">
        <v>0</v>
      </c>
      <c r="L345" s="233" t="s">
        <v>292</v>
      </c>
      <c r="M345" s="235">
        <v>0</v>
      </c>
      <c r="N345" s="235">
        <v>0</v>
      </c>
      <c r="O345" s="609">
        <v>14</v>
      </c>
      <c r="P345" s="615">
        <v>0</v>
      </c>
      <c r="Q345" s="615">
        <v>70067</v>
      </c>
      <c r="R345" s="604">
        <v>0</v>
      </c>
      <c r="S345" s="604">
        <v>8</v>
      </c>
      <c r="T345" s="604">
        <v>0</v>
      </c>
      <c r="U345" s="604">
        <v>0</v>
      </c>
      <c r="V345" s="604">
        <v>0</v>
      </c>
      <c r="W345" s="604">
        <v>0</v>
      </c>
      <c r="X345" s="604">
        <v>0</v>
      </c>
      <c r="Y345" s="604"/>
      <c r="Z345" s="628">
        <v>348</v>
      </c>
      <c r="AA345" s="628">
        <v>18</v>
      </c>
      <c r="AB345" s="629">
        <v>0</v>
      </c>
      <c r="AC345" s="628">
        <v>366</v>
      </c>
      <c r="AD345" s="628" t="s">
        <v>293</v>
      </c>
      <c r="AE345" s="631" t="s">
        <v>293</v>
      </c>
      <c r="AF345" s="631">
        <v>0</v>
      </c>
      <c r="AG345" s="628">
        <v>0</v>
      </c>
      <c r="AH345" s="628"/>
      <c r="AI345" s="659">
        <v>0.55000000000000004</v>
      </c>
      <c r="AJ345" s="644" t="s">
        <v>301</v>
      </c>
      <c r="AK345" s="644">
        <v>660</v>
      </c>
      <c r="AL345" s="645">
        <v>0</v>
      </c>
      <c r="AM345" s="645">
        <v>7</v>
      </c>
      <c r="AN345" s="647">
        <v>720</v>
      </c>
      <c r="AO345" s="647">
        <v>720</v>
      </c>
      <c r="AP345" s="647"/>
      <c r="AQ345" s="658"/>
      <c r="AR345" s="235" t="str">
        <f>IFERROR(WWWW[[#This Row],['# of Water passed at source]]/WWWW[[#This Row],['# of Water tested at source]],"no test")</f>
        <v>no test</v>
      </c>
      <c r="AS345" s="237" t="str">
        <f>IFERROR(WWWW[[#This Row],['# of Water passed at HH]]/WWWW[[#This Row],['# of Water tested at HH]],"no test")</f>
        <v>no test</v>
      </c>
      <c r="AT345" s="237">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U345" s="237">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AV345" s="237">
        <f>IF(WWWW[[#This Row],[Location Type 1]]="Village",WWWW[[#This Row],[Access to safe drinking water for Village]],WWWW[[#This Row],[Access to safe drinking water for Camp]])</f>
        <v>1</v>
      </c>
      <c r="AW345" s="414">
        <f>WWWW[[#This Row],[%Equitable and continuous access to sufficient quantity of safe drinking water]]*WWWW[[#This Row],[Total PoP ]]</f>
        <v>2810</v>
      </c>
      <c r="AX345" s="237">
        <f>IF((WWWW[[#This Row],['# Existing protected/fenced ponds ]]*250)/WWWW[[#This Row],[Total PoP ]]&gt;1,1,WWWW[[#This Row],['# Existing protected/fenced ponds ]]*250/WWWW[[#This Row],[Total PoP ]])</f>
        <v>0</v>
      </c>
      <c r="AY345" s="414">
        <f>WWWW[[#This Row],[Access to unimproved water points]]*WWWW[[#This Row],[Total PoP ]]</f>
        <v>0</v>
      </c>
      <c r="AZ345" s="237">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A345" s="414">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2810</v>
      </c>
      <c r="BB345" s="414">
        <f>WWWW[[#This Row],['#people Equitable and continuous access to sufficient quantity of domestic water borehole n ponds_2]]/500</f>
        <v>5.62</v>
      </c>
      <c r="BC345" s="235">
        <f>1-WWWW[[#This Row],[%Equitable and continuous access to sufficient quantity of domestic water borehole n ponds]]</f>
        <v>0</v>
      </c>
      <c r="BD345" s="414">
        <f>WWWW[[#This Row],[%equitable and continuous access to sufficient quantity of safe drinking and domestic water''s GAP]]*WWWW[[#This Row],[Total PoP ]]</f>
        <v>0</v>
      </c>
      <c r="BE345" s="238">
        <f>IF(WWWW[[#This Row],[Total required water points]]-WWWW[[#This Row],['#Water points coverage]]&lt;0,0,WWWW[[#This Row],[Total required water points]]-WWWW[[#This Row],['#Water points coverage]])</f>
        <v>0.37999999999999989</v>
      </c>
      <c r="BF345" s="238">
        <f>ROUND(IF(WWWW[[#This Row],[Total PoP ]]&lt;500,1,WWWW[[#This Row],[Total PoP ]]/500),0)</f>
        <v>6</v>
      </c>
      <c r="BG345" s="238" t="str">
        <f>IF(AND(WWWW[[#This Row],[%of Water samples which passed at water source]]="no test",WWWW[[#This Row],[%Water samples which passed at HH]]="no test"),"No Test","Tested")</f>
        <v>No Test</v>
      </c>
      <c r="BH345" s="238">
        <f>WWWW[[#This Row],['# Existing functional latrines]]+WWWW[[#This Row],['# Existing latrines dysfunctional]]</f>
        <v>366</v>
      </c>
      <c r="BI345" s="235">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1</v>
      </c>
      <c r="BJ345" s="675">
        <f>WWWW[[#This Row],[% people access to functioning Latrine]]*WWWW[[#This Row],[Total PoP ]]</f>
        <v>2810</v>
      </c>
      <c r="BK345" s="235">
        <f>IF(WWWW[[#This Row],[Location Type 1]]="camp",WWWW[[#This Row],['# potential required new latrines]]/(WWWW[[#This Row],[Total PoP ]]/20),WWWW[[#This Row],['# potential required new latrines]]/(WWWW[[#This Row],[Total PoP ]]/6))</f>
        <v>0</v>
      </c>
      <c r="BL345" s="414">
        <f>IF(WWWW[[#This Row],[Total required Latrines]]-WWWW[[#This Row],[Total '# of latrine]]&lt;0,0,WWWW[[#This Row],[Total required Latrines]]-WWWW[[#This Row],[Total '# of latrine]])</f>
        <v>0</v>
      </c>
      <c r="BM345" s="238">
        <f>ROUND(IF(WWWW[[#This Row],[Location Type 1]]="camp",WWWW[[#This Row],[Total PoP ]]/20,WWWW[[#This Row],[Total PoP ]]/6),0)</f>
        <v>141</v>
      </c>
      <c r="BN345" s="239">
        <f>IF(OR(WWWW[[#This Row],['# Existing latrines dysfunctional]]="",WWWW[[#This Row],['# Existing latrines dysfunctional]]=0),0,WWWW[[#This Row],['# Existing latrines dysfunctional]]/WWWW[[#This Row],[Total '# of latrine]])</f>
        <v>4.9180327868852458E-2</v>
      </c>
      <c r="BO345" s="675">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P345" s="235">
        <f>WWWW[[#This Row],[People adopt basic personal and community hygiene practices]]/WWWW[[#This Row],[Total PoP ]]</f>
        <v>0</v>
      </c>
      <c r="BQ345" s="239">
        <f>1-WWWW[[#This Row],[Hygiene Coverage%]]</f>
        <v>1</v>
      </c>
      <c r="BR345" s="414">
        <f>IF(500*WWWW[[#This Row],['# Hygiene Promoters ]]&gt;WWWW[[#This Row],[Total PoP ]],WWWW[[#This Row],[Total PoP ]],500*WWWW[[#This Row],['# Hygiene Promoters ]])</f>
        <v>2810</v>
      </c>
      <c r="BS345" s="414">
        <f>IF(WWWW[[#This Row],[% of HH with access to Sanitary Pad]]&gt;=100%,1,0)</f>
        <v>0</v>
      </c>
      <c r="BT345" s="414">
        <f>IF(WWWW[[#This Row],[Total PoP ]]=0,0,IF(WWWW[[#This Row],['# Hygiene Promoters ]]=0,0,IF(WWWW[[#This Row],[Location Type 1]]="Village",IF(WWWW[[#This Row],[Total PoP ]]/WWWW[[#This Row],['# Hygiene Promoters ]]&lt;1000,1,0),IF(WWWW[[#This Row],[Total PoP ]]/WWWW[[#This Row],['# Hygiene Promoters ]]&lt;600,1,0))))</f>
        <v>1</v>
      </c>
      <c r="BU345" s="414">
        <f>IF(WWWW[[#This Row],[%HH with access to soap]]&gt;=100%,1,0)</f>
        <v>0</v>
      </c>
      <c r="BV345" s="414">
        <f>IF(WWWW[[#This Row],[% of HHs with access to Sanitary pad more than '#%]]+WWWW[[#This Row],[Ratio of Hyiene promoters to people less than '#]]+WWWW[[#This Row],[% of HHs with access to soap more than '#%]]&gt;=2,WWWW[[#This Row],[Total PoP ]],0)</f>
        <v>0</v>
      </c>
      <c r="BW345" s="346">
        <f>WWWW[[#This Row],['# people reached by regular dedicated hygiene promotion_5]]/WWWW[[#This Row],[Total PoP ]]</f>
        <v>1</v>
      </c>
      <c r="BX345" s="346">
        <f>IF(WWWW[[#This Row],['# HH received soaps]]/WWWW[[#This Row],[Total HH]]&gt;1,1,WWWW[[#This Row],['# HH received soaps]]/WWWW[[#This Row],[Total HH]])</f>
        <v>0.967741935483871</v>
      </c>
      <c r="BY345" s="346">
        <f>IF(WWWW[[#This Row],['# HH received Sanitary Pads]]/WWWW[[#This Row],[Total HH]]&gt;1,1,WWWW[[#This Row],['# HH received Sanitary Pads]]/WWWW[[#This Row],[Total HH]])</f>
        <v>0.967741935483871</v>
      </c>
      <c r="BZ345" s="720">
        <f>WWWW[[#This Row],['# HH received soaps]]*5</f>
        <v>3600</v>
      </c>
      <c r="CA345" s="720">
        <f>WWWW[[#This Row],['# HH received Sanitary Pads]]*5</f>
        <v>3600</v>
      </c>
      <c r="CB345" s="238">
        <f>IF(WWWW[[#This Row],['# People with access to soap]]&gt;WWWW[[#This Row],['# People with access to Sanity Pads]],WWWW[[#This Row],['# People with access to soap]],WWWW[[#This Row],['# People with access to Sanity Pads]])</f>
        <v>3600</v>
      </c>
      <c r="CC345" s="414">
        <f>WWWW[[#This Row],[Total HH]]*WWWW[[#This Row],[%HHs with access to functional hand washing stations]]</f>
        <v>409.20000000000005</v>
      </c>
      <c r="CD345" s="240" t="str">
        <f>VLOOKUP(WWWW[[#This Row],[Site Name]],SiteDB6[],8,FALSE)</f>
        <v>Yes</v>
      </c>
      <c r="CE345" s="240" t="str">
        <f>VLOOKUP(WWWW[[#This Row],[Site Name]],SiteDB6[],9,FALSE)</f>
        <v>DRC</v>
      </c>
      <c r="CF345" s="240" t="str">
        <f>VLOOKUP(WWWW[[#This Row],[Site Name]],SiteDB6[],10,FALSE)</f>
        <v>Camp</v>
      </c>
      <c r="CG345" s="240" t="str">
        <f>VLOOKUP(WWWW[[#This Row],[Site Name]],SiteDB6[],11,FALSE)</f>
        <v>Camp</v>
      </c>
      <c r="CH345" s="240" t="str">
        <f>VLOOKUP(WWWW[[#This Row],[Site Name]],SiteDB6[],12,FALSE)</f>
        <v>Planned Camp</v>
      </c>
      <c r="CI345" s="240" t="str">
        <f>VLOOKUP(WWWW[[#This Row],[Site Name]],SiteDB6[],13,FALSE)</f>
        <v>Muslim</v>
      </c>
      <c r="CJ345" s="240">
        <f>VLOOKUP(WWWW[[#This Row],[Site Name]],SiteDB6[],14,FALSE)</f>
        <v>20.064226000000001</v>
      </c>
      <c r="CK345" s="240">
        <f>VLOOKUP(WWWW[[#This Row],[Site Name]],SiteDB6[],15,FALSE)</f>
        <v>92.993758999999997</v>
      </c>
      <c r="CL345" s="240" t="str">
        <f>VLOOKUP(WWWW[[#This Row],[Site Name]],SiteDB6[],4,FALSE)</f>
        <v>MMR012CMP019</v>
      </c>
      <c r="CM345" s="235" t="str">
        <f t="shared" si="5"/>
        <v>Covered</v>
      </c>
      <c r="CN345" s="235"/>
    </row>
    <row r="346" spans="1:92" ht="15.75" hidden="1" customHeight="1" x14ac:dyDescent="0.25">
      <c r="A346" s="532" t="s">
        <v>1409</v>
      </c>
      <c r="B346" s="533" t="s">
        <v>457</v>
      </c>
      <c r="C346" s="533" t="s">
        <v>464</v>
      </c>
      <c r="D346" s="533" t="s">
        <v>575</v>
      </c>
      <c r="E346" s="533" t="s">
        <v>578</v>
      </c>
      <c r="F346" s="233">
        <v>948</v>
      </c>
      <c r="G346" s="414">
        <v>3946</v>
      </c>
      <c r="H346" s="233"/>
      <c r="I346" s="233" t="s">
        <v>401</v>
      </c>
      <c r="J346" s="234">
        <v>43190</v>
      </c>
      <c r="K346" s="233">
        <v>0</v>
      </c>
      <c r="L346" s="233" t="s">
        <v>292</v>
      </c>
      <c r="M346" s="235">
        <v>0</v>
      </c>
      <c r="N346" s="235">
        <v>0</v>
      </c>
      <c r="O346" s="609">
        <v>50</v>
      </c>
      <c r="P346" s="615">
        <v>8</v>
      </c>
      <c r="Q346" s="615">
        <v>0</v>
      </c>
      <c r="R346" s="604">
        <v>0</v>
      </c>
      <c r="S346" s="604">
        <v>0</v>
      </c>
      <c r="T346" s="604">
        <v>0</v>
      </c>
      <c r="U346" s="604">
        <v>0</v>
      </c>
      <c r="V346" s="604">
        <v>0</v>
      </c>
      <c r="W346" s="604">
        <v>0</v>
      </c>
      <c r="X346" s="604">
        <v>0</v>
      </c>
      <c r="Y346" s="604"/>
      <c r="Z346" s="628">
        <v>243</v>
      </c>
      <c r="AA346" s="628">
        <v>97</v>
      </c>
      <c r="AB346" s="629">
        <v>0</v>
      </c>
      <c r="AC346" s="628">
        <v>340</v>
      </c>
      <c r="AD346" s="628" t="s">
        <v>342</v>
      </c>
      <c r="AE346" s="631" t="s">
        <v>293</v>
      </c>
      <c r="AF346" s="631">
        <v>0</v>
      </c>
      <c r="AG346" s="628">
        <v>0</v>
      </c>
      <c r="AH346" s="628"/>
      <c r="AI346" s="659">
        <v>0.45</v>
      </c>
      <c r="AJ346" s="644" t="s">
        <v>301</v>
      </c>
      <c r="AK346" s="644">
        <v>0</v>
      </c>
      <c r="AL346" s="645">
        <v>0</v>
      </c>
      <c r="AM346" s="645">
        <v>7</v>
      </c>
      <c r="AN346" s="647">
        <v>0</v>
      </c>
      <c r="AO346" s="647">
        <v>0</v>
      </c>
      <c r="AP346" s="647"/>
      <c r="AQ346" s="658"/>
      <c r="AR346" s="235" t="str">
        <f>IFERROR(WWWW[[#This Row],['# of Water passed at source]]/WWWW[[#This Row],['# of Water tested at source]],"no test")</f>
        <v>no test</v>
      </c>
      <c r="AS346" s="237" t="str">
        <f>IFERROR(WWWW[[#This Row],['# of Water passed at HH]]/WWWW[[#This Row],['# of Water tested at HH]],"no test")</f>
        <v>no test</v>
      </c>
      <c r="AT346" s="237">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U346" s="237">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AV346" s="237">
        <f>IF(WWWW[[#This Row],[Location Type 1]]="Village",WWWW[[#This Row],[Access to safe drinking water for Village]],WWWW[[#This Row],[Access to safe drinking water for Camp]])</f>
        <v>1</v>
      </c>
      <c r="AW346" s="414">
        <f>WWWW[[#This Row],[%Equitable and continuous access to sufficient quantity of safe drinking water]]*WWWW[[#This Row],[Total PoP ]]</f>
        <v>3946</v>
      </c>
      <c r="AX346" s="237">
        <f>IF((WWWW[[#This Row],['# Existing protected/fenced ponds ]]*250)/WWWW[[#This Row],[Total PoP ]]&gt;1,1,WWWW[[#This Row],['# Existing protected/fenced ponds ]]*250/WWWW[[#This Row],[Total PoP ]])</f>
        <v>0</v>
      </c>
      <c r="AY346" s="414">
        <f>WWWW[[#This Row],[Access to unimproved water points]]*WWWW[[#This Row],[Total PoP ]]</f>
        <v>0</v>
      </c>
      <c r="AZ346" s="237">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A346" s="414">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3946</v>
      </c>
      <c r="BB346" s="414">
        <f>WWWW[[#This Row],['#people Equitable and continuous access to sufficient quantity of domestic water borehole n ponds_2]]/500</f>
        <v>7.8920000000000003</v>
      </c>
      <c r="BC346" s="235">
        <f>1-WWWW[[#This Row],[%Equitable and continuous access to sufficient quantity of domestic water borehole n ponds]]</f>
        <v>0</v>
      </c>
      <c r="BD346" s="414">
        <f>WWWW[[#This Row],[%equitable and continuous access to sufficient quantity of safe drinking and domestic water''s GAP]]*WWWW[[#This Row],[Total PoP ]]</f>
        <v>0</v>
      </c>
      <c r="BE346" s="238">
        <f>IF(WWWW[[#This Row],[Total required water points]]-WWWW[[#This Row],['#Water points coverage]]&lt;0,0,WWWW[[#This Row],[Total required water points]]-WWWW[[#This Row],['#Water points coverage]])</f>
        <v>0.10799999999999965</v>
      </c>
      <c r="BF346" s="238">
        <f>ROUND(IF(WWWW[[#This Row],[Total PoP ]]&lt;500,1,WWWW[[#This Row],[Total PoP ]]/500),0)</f>
        <v>8</v>
      </c>
      <c r="BG346" s="238" t="str">
        <f>IF(AND(WWWW[[#This Row],[%of Water samples which passed at water source]]="no test",WWWW[[#This Row],[%Water samples which passed at HH]]="no test"),"No Test","Tested")</f>
        <v>No Test</v>
      </c>
      <c r="BH346" s="238">
        <f>WWWW[[#This Row],['# Existing functional latrines]]+WWWW[[#This Row],['# Existing latrines dysfunctional]]</f>
        <v>340</v>
      </c>
      <c r="BI346" s="235">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0.36948808920425746</v>
      </c>
      <c r="BJ346" s="675">
        <f>WWWW[[#This Row],[% people access to functioning Latrine]]*WWWW[[#This Row],[Total PoP ]]</f>
        <v>1458</v>
      </c>
      <c r="BK346" s="235">
        <f>IF(WWWW[[#This Row],[Location Type 1]]="camp",WWWW[[#This Row],['# potential required new latrines]]/(WWWW[[#This Row],[Total PoP ]]/20),WWWW[[#This Row],['# potential required new latrines]]/(WWWW[[#This Row],[Total PoP ]]/6))</f>
        <v>0.48352762290927526</v>
      </c>
      <c r="BL346" s="414">
        <f>IF(WWWW[[#This Row],[Total required Latrines]]-WWWW[[#This Row],[Total '# of latrine]]&lt;0,0,WWWW[[#This Row],[Total required Latrines]]-WWWW[[#This Row],[Total '# of latrine]])</f>
        <v>318</v>
      </c>
      <c r="BM346" s="238">
        <f>ROUND(IF(WWWW[[#This Row],[Location Type 1]]="camp",WWWW[[#This Row],[Total PoP ]]/20,WWWW[[#This Row],[Total PoP ]]/6),0)</f>
        <v>658</v>
      </c>
      <c r="BN346" s="239">
        <f>IF(OR(WWWW[[#This Row],['# Existing latrines dysfunctional]]="",WWWW[[#This Row],['# Existing latrines dysfunctional]]=0),0,WWWW[[#This Row],['# Existing latrines dysfunctional]]/WWWW[[#This Row],[Total '# of latrine]])</f>
        <v>0.28529411764705881</v>
      </c>
      <c r="BO346" s="675"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P346" s="235">
        <f>WWWW[[#This Row],[People adopt basic personal and community hygiene practices]]/WWWW[[#This Row],[Total PoP ]]</f>
        <v>0</v>
      </c>
      <c r="BQ346" s="239">
        <f>1-WWWW[[#This Row],[Hygiene Coverage%]]</f>
        <v>1</v>
      </c>
      <c r="BR346" s="414">
        <f>IF(500*WWWW[[#This Row],['# Hygiene Promoters ]]&gt;WWWW[[#This Row],[Total PoP ]],WWWW[[#This Row],[Total PoP ]],500*WWWW[[#This Row],['# Hygiene Promoters ]])</f>
        <v>3500</v>
      </c>
      <c r="BS346" s="414">
        <f>IF(WWWW[[#This Row],[% of HH with access to Sanitary Pad]]&gt;=100%,1,0)</f>
        <v>0</v>
      </c>
      <c r="BT346" s="414">
        <f>IF(WWWW[[#This Row],[Total PoP ]]=0,0,IF(WWWW[[#This Row],['# Hygiene Promoters ]]=0,0,IF(WWWW[[#This Row],[Location Type 1]]="Village",IF(WWWW[[#This Row],[Total PoP ]]/WWWW[[#This Row],['# Hygiene Promoters ]]&lt;1000,1,0),IF(WWWW[[#This Row],[Total PoP ]]/WWWW[[#This Row],['# Hygiene Promoters ]]&lt;600,1,0))))</f>
        <v>1</v>
      </c>
      <c r="BU346" s="414">
        <f>IF(WWWW[[#This Row],[%HH with access to soap]]&gt;=100%,1,0)</f>
        <v>0</v>
      </c>
      <c r="BV346" s="414">
        <f>IF(WWWW[[#This Row],[% of HHs with access to Sanitary pad more than '#%]]+WWWW[[#This Row],[Ratio of Hyiene promoters to people less than '#]]+WWWW[[#This Row],[% of HHs with access to soap more than '#%]]&gt;=2,WWWW[[#This Row],[Total PoP ]],0)</f>
        <v>0</v>
      </c>
      <c r="BW346" s="346">
        <f>WWWW[[#This Row],['# people reached by regular dedicated hygiene promotion_5]]/WWWW[[#This Row],[Total PoP ]]</f>
        <v>0.88697415103902688</v>
      </c>
      <c r="BX346" s="346">
        <f>IF(WWWW[[#This Row],['# HH received soaps]]/WWWW[[#This Row],[Total HH]]&gt;1,1,WWWW[[#This Row],['# HH received soaps]]/WWWW[[#This Row],[Total HH]])</f>
        <v>0</v>
      </c>
      <c r="BY346" s="346">
        <f>IF(WWWW[[#This Row],['# HH received Sanitary Pads]]/WWWW[[#This Row],[Total HH]]&gt;1,1,WWWW[[#This Row],['# HH received Sanitary Pads]]/WWWW[[#This Row],[Total HH]])</f>
        <v>0</v>
      </c>
      <c r="BZ346" s="720">
        <f>WWWW[[#This Row],['# HH received soaps]]*5</f>
        <v>0</v>
      </c>
      <c r="CA346" s="720">
        <f>WWWW[[#This Row],['# HH received Sanitary Pads]]*5</f>
        <v>0</v>
      </c>
      <c r="CB346" s="238">
        <f>IF(WWWW[[#This Row],['# People with access to soap]]&gt;WWWW[[#This Row],['# People with access to Sanity Pads]],WWWW[[#This Row],['# People with access to soap]],WWWW[[#This Row],['# People with access to Sanity Pads]])</f>
        <v>0</v>
      </c>
      <c r="CC346" s="414">
        <f>WWWW[[#This Row],[Total HH]]*WWWW[[#This Row],[%HHs with access to functional hand washing stations]]</f>
        <v>426.6</v>
      </c>
      <c r="CD346" s="240">
        <f>VLOOKUP(WWWW[[#This Row],[Site Name]],SiteDB6[],8,FALSE)</f>
        <v>0</v>
      </c>
      <c r="CE346" s="240">
        <f>VLOOKUP(WWWW[[#This Row],[Site Name]],SiteDB6[],9,FALSE)</f>
        <v>0</v>
      </c>
      <c r="CF346" s="240" t="str">
        <f>VLOOKUP(WWWW[[#This Row],[Site Name]],SiteDB6[],10,FALSE)</f>
        <v>Village</v>
      </c>
      <c r="CG346" s="240" t="str">
        <f>VLOOKUP(WWWW[[#This Row],[Site Name]],SiteDB6[],11,FALSE)</f>
        <v>Village</v>
      </c>
      <c r="CH346" s="240" t="str">
        <f>VLOOKUP(WWWW[[#This Row],[Site Name]],SiteDB6[],12,FALSE)</f>
        <v>Village</v>
      </c>
      <c r="CI346" s="240" t="str">
        <f>VLOOKUP(WWWW[[#This Row],[Site Name]],SiteDB6[],13,FALSE)</f>
        <v>Muslim</v>
      </c>
      <c r="CJ346" s="240">
        <f>VLOOKUP(WWWW[[#This Row],[Site Name]],SiteDB6[],14,FALSE)</f>
        <v>20.0641</v>
      </c>
      <c r="CK346" s="240">
        <f>VLOOKUP(WWWW[[#This Row],[Site Name]],SiteDB6[],15,FALSE)</f>
        <v>92.994600000000005</v>
      </c>
      <c r="CL346" s="240" t="str">
        <f>VLOOKUP(WWWW[[#This Row],[Site Name]],SiteDB6[],4,FALSE)</f>
        <v>197548</v>
      </c>
      <c r="CM346" s="235" t="str">
        <f t="shared" si="5"/>
        <v>Covered</v>
      </c>
      <c r="CN346" s="235"/>
    </row>
    <row r="347" spans="1:92" ht="15.75" hidden="1" customHeight="1" x14ac:dyDescent="0.25">
      <c r="A347" s="532" t="s">
        <v>1409</v>
      </c>
      <c r="B347" s="533" t="s">
        <v>457</v>
      </c>
      <c r="C347" s="533" t="s">
        <v>464</v>
      </c>
      <c r="D347" s="533" t="s">
        <v>575</v>
      </c>
      <c r="E347" s="533" t="s">
        <v>576</v>
      </c>
      <c r="F347" s="233">
        <v>477</v>
      </c>
      <c r="G347" s="414">
        <v>2034</v>
      </c>
      <c r="H347" s="233"/>
      <c r="I347" s="233" t="s">
        <v>401</v>
      </c>
      <c r="J347" s="234">
        <v>43190</v>
      </c>
      <c r="K347" s="233">
        <v>0</v>
      </c>
      <c r="L347" s="233" t="s">
        <v>292</v>
      </c>
      <c r="M347" s="235">
        <v>0</v>
      </c>
      <c r="N347" s="235">
        <v>0</v>
      </c>
      <c r="O347" s="609">
        <v>15</v>
      </c>
      <c r="P347" s="615">
        <v>7</v>
      </c>
      <c r="Q347" s="615">
        <v>0</v>
      </c>
      <c r="R347" s="604">
        <v>2</v>
      </c>
      <c r="S347" s="604">
        <v>0</v>
      </c>
      <c r="T347" s="604">
        <v>0</v>
      </c>
      <c r="U347" s="604">
        <v>0</v>
      </c>
      <c r="V347" s="604">
        <v>0</v>
      </c>
      <c r="W347" s="604">
        <v>0</v>
      </c>
      <c r="X347" s="604">
        <v>0</v>
      </c>
      <c r="Y347" s="604"/>
      <c r="Z347" s="628">
        <v>102</v>
      </c>
      <c r="AA347" s="628">
        <v>74</v>
      </c>
      <c r="AB347" s="629">
        <v>0</v>
      </c>
      <c r="AC347" s="628">
        <v>176</v>
      </c>
      <c r="AD347" s="628" t="s">
        <v>342</v>
      </c>
      <c r="AE347" s="631" t="s">
        <v>293</v>
      </c>
      <c r="AF347" s="631">
        <v>0</v>
      </c>
      <c r="AG347" s="628">
        <v>0</v>
      </c>
      <c r="AH347" s="628" t="s">
        <v>577</v>
      </c>
      <c r="AI347" s="659">
        <v>0</v>
      </c>
      <c r="AJ347" s="644" t="s">
        <v>294</v>
      </c>
      <c r="AK347" s="644">
        <v>0</v>
      </c>
      <c r="AL347" s="645">
        <v>0</v>
      </c>
      <c r="AM347" s="645">
        <v>4</v>
      </c>
      <c r="AN347" s="647">
        <v>0</v>
      </c>
      <c r="AO347" s="647">
        <v>0</v>
      </c>
      <c r="AP347" s="647"/>
      <c r="AQ347" s="658"/>
      <c r="AR347" s="235" t="str">
        <f>IFERROR(WWWW[[#This Row],['# of Water passed at source]]/WWWW[[#This Row],['# of Water tested at source]],"no test")</f>
        <v>no test</v>
      </c>
      <c r="AS347" s="237" t="str">
        <f>IFERROR(WWWW[[#This Row],['# of Water passed at HH]]/WWWW[[#This Row],['# of Water tested at HH]],"no test")</f>
        <v>no test</v>
      </c>
      <c r="AT347" s="237">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U347" s="237">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AV347" s="237">
        <f>IF(WWWW[[#This Row],[Location Type 1]]="Village",WWWW[[#This Row],[Access to safe drinking water for Village]],WWWW[[#This Row],[Access to safe drinking water for Camp]])</f>
        <v>1</v>
      </c>
      <c r="AW347" s="414">
        <f>WWWW[[#This Row],[%Equitable and continuous access to sufficient quantity of safe drinking water]]*WWWW[[#This Row],[Total PoP ]]</f>
        <v>2034</v>
      </c>
      <c r="AX347" s="237">
        <f>IF((WWWW[[#This Row],['# Existing protected/fenced ponds ]]*250)/WWWW[[#This Row],[Total PoP ]]&gt;1,1,WWWW[[#This Row],['# Existing protected/fenced ponds ]]*250/WWWW[[#This Row],[Total PoP ]])</f>
        <v>0.24582104228121926</v>
      </c>
      <c r="AY347" s="414">
        <f>WWWW[[#This Row],[Access to unimproved water points]]*WWWW[[#This Row],[Total PoP ]]</f>
        <v>500</v>
      </c>
      <c r="AZ347" s="237">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A347" s="414">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2034</v>
      </c>
      <c r="BB347" s="414">
        <f>WWWW[[#This Row],['#people Equitable and continuous access to sufficient quantity of domestic water borehole n ponds_2]]/500</f>
        <v>4.0679999999999996</v>
      </c>
      <c r="BC347" s="235">
        <f>1-WWWW[[#This Row],[%Equitable and continuous access to sufficient quantity of domestic water borehole n ponds]]</f>
        <v>0</v>
      </c>
      <c r="BD347" s="414">
        <f>WWWW[[#This Row],[%equitable and continuous access to sufficient quantity of safe drinking and domestic water''s GAP]]*WWWW[[#This Row],[Total PoP ]]</f>
        <v>0</v>
      </c>
      <c r="BE347" s="238">
        <f>IF(WWWW[[#This Row],[Total required water points]]-WWWW[[#This Row],['#Water points coverage]]&lt;0,0,WWWW[[#This Row],[Total required water points]]-WWWW[[#This Row],['#Water points coverage]])</f>
        <v>0</v>
      </c>
      <c r="BF347" s="238">
        <f>ROUND(IF(WWWW[[#This Row],[Total PoP ]]&lt;500,1,WWWW[[#This Row],[Total PoP ]]/500),0)</f>
        <v>4</v>
      </c>
      <c r="BG347" s="238" t="str">
        <f>IF(AND(WWWW[[#This Row],[%of Water samples which passed at water source]]="no test",WWWW[[#This Row],[%Water samples which passed at HH]]="no test"),"No Test","Tested")</f>
        <v>No Test</v>
      </c>
      <c r="BH347" s="238">
        <f>WWWW[[#This Row],['# Existing functional latrines]]+WWWW[[#This Row],['# Existing latrines dysfunctional]]</f>
        <v>176</v>
      </c>
      <c r="BI347" s="235">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0.30088495575221241</v>
      </c>
      <c r="BJ347" s="675">
        <f>WWWW[[#This Row],[% people access to functioning Latrine]]*WWWW[[#This Row],[Total PoP ]]</f>
        <v>612</v>
      </c>
      <c r="BK347" s="235">
        <f>IF(WWWW[[#This Row],[Location Type 1]]="camp",WWWW[[#This Row],['# potential required new latrines]]/(WWWW[[#This Row],[Total PoP ]]/20),WWWW[[#This Row],['# potential required new latrines]]/(WWWW[[#This Row],[Total PoP ]]/6))</f>
        <v>0.4808259587020649</v>
      </c>
      <c r="BL347" s="414">
        <f>IF(WWWW[[#This Row],[Total required Latrines]]-WWWW[[#This Row],[Total '# of latrine]]&lt;0,0,WWWW[[#This Row],[Total required Latrines]]-WWWW[[#This Row],[Total '# of latrine]])</f>
        <v>163</v>
      </c>
      <c r="BM347" s="238">
        <f>ROUND(IF(WWWW[[#This Row],[Location Type 1]]="camp",WWWW[[#This Row],[Total PoP ]]/20,WWWW[[#This Row],[Total PoP ]]/6),0)</f>
        <v>339</v>
      </c>
      <c r="BN347" s="239">
        <f>IF(OR(WWWW[[#This Row],['# Existing latrines dysfunctional]]="",WWWW[[#This Row],['# Existing latrines dysfunctional]]=0),0,WWWW[[#This Row],['# Existing latrines dysfunctional]]/WWWW[[#This Row],[Total '# of latrine]])</f>
        <v>0.42045454545454547</v>
      </c>
      <c r="BO347" s="675"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P347" s="235">
        <f>WWWW[[#This Row],[People adopt basic personal and community hygiene practices]]/WWWW[[#This Row],[Total PoP ]]</f>
        <v>0</v>
      </c>
      <c r="BQ347" s="239">
        <f>1-WWWW[[#This Row],[Hygiene Coverage%]]</f>
        <v>1</v>
      </c>
      <c r="BR347" s="414">
        <f>IF(500*WWWW[[#This Row],['# Hygiene Promoters ]]&gt;WWWW[[#This Row],[Total PoP ]],WWWW[[#This Row],[Total PoP ]],500*WWWW[[#This Row],['# Hygiene Promoters ]])</f>
        <v>2000</v>
      </c>
      <c r="BS347" s="414">
        <f>IF(WWWW[[#This Row],[% of HH with access to Sanitary Pad]]&gt;=100%,1,0)</f>
        <v>0</v>
      </c>
      <c r="BT347" s="414">
        <f>IF(WWWW[[#This Row],[Total PoP ]]=0,0,IF(WWWW[[#This Row],['# Hygiene Promoters ]]=0,0,IF(WWWW[[#This Row],[Location Type 1]]="Village",IF(WWWW[[#This Row],[Total PoP ]]/WWWW[[#This Row],['# Hygiene Promoters ]]&lt;1000,1,0),IF(WWWW[[#This Row],[Total PoP ]]/WWWW[[#This Row],['# Hygiene Promoters ]]&lt;600,1,0))))</f>
        <v>1</v>
      </c>
      <c r="BU347" s="414">
        <f>IF(WWWW[[#This Row],[%HH with access to soap]]&gt;=100%,1,0)</f>
        <v>0</v>
      </c>
      <c r="BV347" s="414">
        <f>IF(WWWW[[#This Row],[% of HHs with access to Sanitary pad more than '#%]]+WWWW[[#This Row],[Ratio of Hyiene promoters to people less than '#]]+WWWW[[#This Row],[% of HHs with access to soap more than '#%]]&gt;=2,WWWW[[#This Row],[Total PoP ]],0)</f>
        <v>0</v>
      </c>
      <c r="BW347" s="346">
        <f>WWWW[[#This Row],['# people reached by regular dedicated hygiene promotion_5]]/WWWW[[#This Row],[Total PoP ]]</f>
        <v>0.98328416912487704</v>
      </c>
      <c r="BX347" s="346">
        <f>IF(WWWW[[#This Row],['# HH received soaps]]/WWWW[[#This Row],[Total HH]]&gt;1,1,WWWW[[#This Row],['# HH received soaps]]/WWWW[[#This Row],[Total HH]])</f>
        <v>0</v>
      </c>
      <c r="BY347" s="346">
        <f>IF(WWWW[[#This Row],['# HH received Sanitary Pads]]/WWWW[[#This Row],[Total HH]]&gt;1,1,WWWW[[#This Row],['# HH received Sanitary Pads]]/WWWW[[#This Row],[Total HH]])</f>
        <v>0</v>
      </c>
      <c r="BZ347" s="720">
        <f>WWWW[[#This Row],['# HH received soaps]]*5</f>
        <v>0</v>
      </c>
      <c r="CA347" s="720">
        <f>WWWW[[#This Row],['# HH received Sanitary Pads]]*5</f>
        <v>0</v>
      </c>
      <c r="CB347" s="238">
        <f>IF(WWWW[[#This Row],['# People with access to soap]]&gt;WWWW[[#This Row],['# People with access to Sanity Pads]],WWWW[[#This Row],['# People with access to soap]],WWWW[[#This Row],['# People with access to Sanity Pads]])</f>
        <v>0</v>
      </c>
      <c r="CC347" s="414">
        <f>WWWW[[#This Row],[Total HH]]*WWWW[[#This Row],[%HHs with access to functional hand washing stations]]</f>
        <v>0</v>
      </c>
      <c r="CD347" s="240">
        <f>VLOOKUP(WWWW[[#This Row],[Site Name]],SiteDB6[],8,FALSE)</f>
        <v>0</v>
      </c>
      <c r="CE347" s="240">
        <f>VLOOKUP(WWWW[[#This Row],[Site Name]],SiteDB6[],9,FALSE)</f>
        <v>0</v>
      </c>
      <c r="CF347" s="240" t="str">
        <f>VLOOKUP(WWWW[[#This Row],[Site Name]],SiteDB6[],10,FALSE)</f>
        <v>Village</v>
      </c>
      <c r="CG347" s="240" t="str">
        <f>VLOOKUP(WWWW[[#This Row],[Site Name]],SiteDB6[],11,FALSE)</f>
        <v>Village</v>
      </c>
      <c r="CH347" s="240" t="str">
        <f>VLOOKUP(WWWW[[#This Row],[Site Name]],SiteDB6[],12,FALSE)</f>
        <v>Village</v>
      </c>
      <c r="CI347" s="240" t="str">
        <f>VLOOKUP(WWWW[[#This Row],[Site Name]],SiteDB6[],13,FALSE)</f>
        <v>Rakhine</v>
      </c>
      <c r="CJ347" s="240">
        <f>VLOOKUP(WWWW[[#This Row],[Site Name]],SiteDB6[],14,FALSE)</f>
        <v>20.057860999999999</v>
      </c>
      <c r="CK347" s="240">
        <f>VLOOKUP(WWWW[[#This Row],[Site Name]],SiteDB6[],15,FALSE)</f>
        <v>92.995181000000002</v>
      </c>
      <c r="CL347" s="240" t="str">
        <f>VLOOKUP(WWWW[[#This Row],[Site Name]],SiteDB6[],4,FALSE)</f>
        <v>197550</v>
      </c>
      <c r="CM347" s="235" t="str">
        <f t="shared" si="5"/>
        <v>Covered</v>
      </c>
      <c r="CN347" s="235"/>
    </row>
    <row r="348" spans="1:92" ht="15.75" hidden="1" customHeight="1" x14ac:dyDescent="0.25">
      <c r="A348" s="532" t="s">
        <v>1409</v>
      </c>
      <c r="B348" s="530" t="s">
        <v>470</v>
      </c>
      <c r="C348" s="531" t="s">
        <v>464</v>
      </c>
      <c r="D348" s="531" t="s">
        <v>465</v>
      </c>
      <c r="E348" s="531" t="s">
        <v>469</v>
      </c>
      <c r="F348" s="402">
        <v>357</v>
      </c>
      <c r="G348" s="405">
        <v>2743</v>
      </c>
      <c r="H348" s="402"/>
      <c r="I348" s="402"/>
      <c r="J348" s="403"/>
      <c r="K348" s="402"/>
      <c r="L348" s="402" t="s">
        <v>292</v>
      </c>
      <c r="M348" s="404">
        <v>0</v>
      </c>
      <c r="N348" s="404">
        <v>0</v>
      </c>
      <c r="O348" s="605">
        <v>0</v>
      </c>
      <c r="P348" s="606">
        <v>20</v>
      </c>
      <c r="Q348" s="606">
        <v>0</v>
      </c>
      <c r="R348" s="607">
        <v>0</v>
      </c>
      <c r="S348" s="607">
        <v>0</v>
      </c>
      <c r="T348" s="607"/>
      <c r="U348" s="607"/>
      <c r="V348" s="607"/>
      <c r="W348" s="607"/>
      <c r="X348" s="607"/>
      <c r="Y348" s="607"/>
      <c r="Z348" s="598">
        <v>39</v>
      </c>
      <c r="AA348" s="598">
        <v>0</v>
      </c>
      <c r="AB348" s="80"/>
      <c r="AC348" s="598">
        <v>0</v>
      </c>
      <c r="AD348" s="598" t="s">
        <v>296</v>
      </c>
      <c r="AE348" s="599" t="s">
        <v>296</v>
      </c>
      <c r="AF348" s="599"/>
      <c r="AG348" s="598"/>
      <c r="AH348" s="598"/>
      <c r="AI348" s="649">
        <v>0</v>
      </c>
      <c r="AJ348" s="650" t="s">
        <v>294</v>
      </c>
      <c r="AK348" s="650">
        <v>0</v>
      </c>
      <c r="AL348" s="645">
        <v>0</v>
      </c>
      <c r="AM348" s="645">
        <v>2</v>
      </c>
      <c r="AN348" s="600"/>
      <c r="AO348" s="600"/>
      <c r="AP348" s="600"/>
      <c r="AQ348" s="651"/>
      <c r="AR348" s="404" t="str">
        <f>IFERROR(WWWW[[#This Row],['# of Water passed at source]]/WWWW[[#This Row],['# of Water tested at source]],"no test")</f>
        <v>no test</v>
      </c>
      <c r="AS348" s="407" t="str">
        <f>IFERROR(WWWW[[#This Row],['# of Water passed at HH]]/WWWW[[#This Row],['# of Water tested at HH]],"no test")</f>
        <v>no test</v>
      </c>
      <c r="AT348" s="407">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U348" s="407">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AV348" s="407">
        <f>IF(WWWW[[#This Row],[Location Type 1]]="Village",WWWW[[#This Row],[Access to safe drinking water for Village]],WWWW[[#This Row],[Access to safe drinking water for Camp]])</f>
        <v>1</v>
      </c>
      <c r="AW348" s="405">
        <f>WWWW[[#This Row],[%Equitable and continuous access to sufficient quantity of safe drinking water]]*WWWW[[#This Row],[Total PoP ]]</f>
        <v>2743</v>
      </c>
      <c r="AX348" s="407">
        <f>IF((WWWW[[#This Row],['# Existing protected/fenced ponds ]]*250)/WWWW[[#This Row],[Total PoP ]]&gt;1,1,WWWW[[#This Row],['# Existing protected/fenced ponds ]]*250/WWWW[[#This Row],[Total PoP ]])</f>
        <v>0</v>
      </c>
      <c r="AY348" s="405">
        <f>WWWW[[#This Row],[Access to unimproved water points]]*WWWW[[#This Row],[Total PoP ]]</f>
        <v>0</v>
      </c>
      <c r="AZ348" s="407">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A348" s="405">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2743</v>
      </c>
      <c r="BB348" s="405">
        <f>WWWW[[#This Row],['#people Equitable and continuous access to sufficient quantity of domestic water borehole n ponds_2]]/500</f>
        <v>5.4859999999999998</v>
      </c>
      <c r="BC348" s="404">
        <f>1-WWWW[[#This Row],[%Equitable and continuous access to sufficient quantity of domestic water borehole n ponds]]</f>
        <v>0</v>
      </c>
      <c r="BD348" s="405">
        <f>WWWW[[#This Row],[%equitable and continuous access to sufficient quantity of safe drinking and domestic water''s GAP]]*WWWW[[#This Row],[Total PoP ]]</f>
        <v>0</v>
      </c>
      <c r="BE348" s="406">
        <f>IF(WWWW[[#This Row],[Total required water points]]-WWWW[[#This Row],['#Water points coverage]]&lt;0,0,WWWW[[#This Row],[Total required water points]]-WWWW[[#This Row],['#Water points coverage]])</f>
        <v>0</v>
      </c>
      <c r="BF348" s="406">
        <f>ROUND(IF(WWWW[[#This Row],[Total PoP ]]&lt;500,1,WWWW[[#This Row],[Total PoP ]]/500),0)</f>
        <v>5</v>
      </c>
      <c r="BG348" s="406" t="str">
        <f>IF(AND(WWWW[[#This Row],[%of Water samples which passed at water source]]="no test",WWWW[[#This Row],[%Water samples which passed at HH]]="no test"),"No Test","Tested")</f>
        <v>No Test</v>
      </c>
      <c r="BH348" s="406">
        <f>WWWW[[#This Row],['# Existing functional latrines]]+WWWW[[#This Row],['# Existing latrines dysfunctional]]</f>
        <v>39</v>
      </c>
      <c r="BI348" s="404">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8.5308056872037921E-2</v>
      </c>
      <c r="BJ348" s="676">
        <f>WWWW[[#This Row],[% people access to functioning Latrine]]*WWWW[[#This Row],[Total PoP ]]</f>
        <v>234.00000000000003</v>
      </c>
      <c r="BK348" s="404">
        <f>IF(WWWW[[#This Row],[Location Type 1]]="camp",WWWW[[#This Row],['# potential required new latrines]]/(WWWW[[#This Row],[Total PoP ]]/20),WWWW[[#This Row],['# potential required new latrines]]/(WWWW[[#This Row],[Total PoP ]]/6))</f>
        <v>0.91432737878235504</v>
      </c>
      <c r="BL348" s="405">
        <f>IF(WWWW[[#This Row],[Total required Latrines]]-WWWW[[#This Row],[Total '# of latrine]]&lt;0,0,WWWW[[#This Row],[Total required Latrines]]-WWWW[[#This Row],[Total '# of latrine]])</f>
        <v>418</v>
      </c>
      <c r="BM348" s="406">
        <f>ROUND(IF(WWWW[[#This Row],[Location Type 1]]="camp",WWWW[[#This Row],[Total PoP ]]/20,WWWW[[#This Row],[Total PoP ]]/6),0)</f>
        <v>457</v>
      </c>
      <c r="BN348" s="408">
        <f>IF(OR(WWWW[[#This Row],['# Existing latrines dysfunctional]]="",WWWW[[#This Row],['# Existing latrines dysfunctional]]=0),0,WWWW[[#This Row],['# Existing latrines dysfunctional]]/WWWW[[#This Row],[Total '# of latrine]])</f>
        <v>0</v>
      </c>
      <c r="BO348" s="676"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P348" s="404">
        <f>WWWW[[#This Row],[People adopt basic personal and community hygiene practices]]/WWWW[[#This Row],[Total PoP ]]</f>
        <v>0</v>
      </c>
      <c r="BQ348" s="408">
        <f>1-WWWW[[#This Row],[Hygiene Coverage%]]</f>
        <v>1</v>
      </c>
      <c r="BR348" s="405">
        <f>IF(500*WWWW[[#This Row],['# Hygiene Promoters ]]&gt;WWWW[[#This Row],[Total PoP ]],WWWW[[#This Row],[Total PoP ]],500*WWWW[[#This Row],['# Hygiene Promoters ]])</f>
        <v>1000</v>
      </c>
      <c r="BS348" s="405">
        <f>IF(WWWW[[#This Row],[% of HH with access to Sanitary Pad]]&gt;=100%,1,0)</f>
        <v>0</v>
      </c>
      <c r="BT348" s="405">
        <f>IF(WWWW[[#This Row],[Total PoP ]]=0,0,IF(WWWW[[#This Row],['# Hygiene Promoters ]]=0,0,IF(WWWW[[#This Row],[Location Type 1]]="Village",IF(WWWW[[#This Row],[Total PoP ]]/WWWW[[#This Row],['# Hygiene Promoters ]]&lt;1000,1,0),IF(WWWW[[#This Row],[Total PoP ]]/WWWW[[#This Row],['# Hygiene Promoters ]]&lt;600,1,0))))</f>
        <v>0</v>
      </c>
      <c r="BU348" s="405">
        <f>IF(WWWW[[#This Row],[%HH with access to soap]]&gt;=100%,1,0)</f>
        <v>0</v>
      </c>
      <c r="BV348" s="405">
        <f>IF(WWWW[[#This Row],[% of HHs with access to Sanitary pad more than '#%]]+WWWW[[#This Row],[Ratio of Hyiene promoters to people less than '#]]+WWWW[[#This Row],[% of HHs with access to soap more than '#%]]&gt;=2,WWWW[[#This Row],[Total PoP ]],0)</f>
        <v>0</v>
      </c>
      <c r="BW348" s="391">
        <f>WWWW[[#This Row],['# people reached by regular dedicated hygiene promotion_5]]/WWWW[[#This Row],[Total PoP ]]</f>
        <v>0.36456434560699963</v>
      </c>
      <c r="BX348" s="391">
        <f>IF(WWWW[[#This Row],['# HH received soaps]]/WWWW[[#This Row],[Total HH]]&gt;1,1,WWWW[[#This Row],['# HH received soaps]]/WWWW[[#This Row],[Total HH]])</f>
        <v>0</v>
      </c>
      <c r="BY348" s="391">
        <f>IF(WWWW[[#This Row],['# HH received Sanitary Pads]]/WWWW[[#This Row],[Total HH]]&gt;1,1,WWWW[[#This Row],['# HH received Sanitary Pads]]/WWWW[[#This Row],[Total HH]])</f>
        <v>0</v>
      </c>
      <c r="BZ348" s="721">
        <f>WWWW[[#This Row],['# HH received soaps]]*5</f>
        <v>0</v>
      </c>
      <c r="CA348" s="721">
        <f>WWWW[[#This Row],['# HH received Sanitary Pads]]*5</f>
        <v>0</v>
      </c>
      <c r="CB348" s="406">
        <f>IF(WWWW[[#This Row],['# People with access to soap]]&gt;WWWW[[#This Row],['# People with access to Sanity Pads]],WWWW[[#This Row],['# People with access to soap]],WWWW[[#This Row],['# People with access to Sanity Pads]])</f>
        <v>0</v>
      </c>
      <c r="CC348" s="405">
        <f>WWWW[[#This Row],[Total HH]]*WWWW[[#This Row],[%HHs with access to functional hand washing stations]]</f>
        <v>0</v>
      </c>
      <c r="CD348" s="240">
        <f>VLOOKUP(WWWW[[#This Row],[Site Name]],SiteDB6[],8,FALSE)</f>
        <v>0</v>
      </c>
      <c r="CE348" s="240">
        <f>VLOOKUP(WWWW[[#This Row],[Site Name]],SiteDB6[],9,FALSE)</f>
        <v>0</v>
      </c>
      <c r="CF348" s="240" t="str">
        <f>VLOOKUP(WWWW[[#This Row],[Site Name]],SiteDB6[],10,FALSE)</f>
        <v>Village</v>
      </c>
      <c r="CG348" s="240" t="str">
        <f>VLOOKUP(WWWW[[#This Row],[Site Name]],SiteDB6[],11,FALSE)</f>
        <v>Village</v>
      </c>
      <c r="CH348" s="240" t="str">
        <f>VLOOKUP(WWWW[[#This Row],[Site Name]],SiteDB6[],12,FALSE)</f>
        <v>Village</v>
      </c>
      <c r="CI348" s="240" t="str">
        <f>VLOOKUP(WWWW[[#This Row],[Site Name]],SiteDB6[],13,FALSE)</f>
        <v>Muslim</v>
      </c>
      <c r="CJ348" s="240">
        <f>VLOOKUP(WWWW[[#This Row],[Site Name]],SiteDB6[],14,FALSE)</f>
        <v>0</v>
      </c>
      <c r="CK348" s="240">
        <f>VLOOKUP(WWWW[[#This Row],[Site Name]],SiteDB6[],15,FALSE)</f>
        <v>0</v>
      </c>
      <c r="CL348" s="240" t="str">
        <f>VLOOKUP(WWWW[[#This Row],[Site Name]],SiteDB6[],4,FALSE)</f>
        <v/>
      </c>
      <c r="CM348" s="404" t="str">
        <f t="shared" si="5"/>
        <v>Notcovered</v>
      </c>
      <c r="CN348" s="404"/>
    </row>
    <row r="349" spans="1:92" ht="15.75" hidden="1" customHeight="1" x14ac:dyDescent="0.25">
      <c r="A349" s="532" t="s">
        <v>1409</v>
      </c>
      <c r="B349" s="530" t="s">
        <v>470</v>
      </c>
      <c r="C349" s="531" t="s">
        <v>464</v>
      </c>
      <c r="D349" s="531" t="s">
        <v>465</v>
      </c>
      <c r="E349" s="531" t="s">
        <v>595</v>
      </c>
      <c r="F349" s="402">
        <v>251</v>
      </c>
      <c r="G349" s="405">
        <v>1820</v>
      </c>
      <c r="H349" s="402"/>
      <c r="I349" s="402"/>
      <c r="J349" s="403"/>
      <c r="K349" s="402"/>
      <c r="L349" s="402" t="s">
        <v>292</v>
      </c>
      <c r="M349" s="404">
        <v>0</v>
      </c>
      <c r="N349" s="404">
        <v>0</v>
      </c>
      <c r="O349" s="605">
        <v>0</v>
      </c>
      <c r="P349" s="606">
        <v>33</v>
      </c>
      <c r="Q349" s="606">
        <v>0</v>
      </c>
      <c r="R349" s="607">
        <v>0</v>
      </c>
      <c r="S349" s="607">
        <v>0</v>
      </c>
      <c r="T349" s="607"/>
      <c r="U349" s="607"/>
      <c r="V349" s="607"/>
      <c r="W349" s="607"/>
      <c r="X349" s="607"/>
      <c r="Y349" s="607"/>
      <c r="Z349" s="598">
        <v>0</v>
      </c>
      <c r="AA349" s="598">
        <v>0</v>
      </c>
      <c r="AB349" s="80"/>
      <c r="AC349" s="598">
        <v>0</v>
      </c>
      <c r="AD349" s="598" t="s">
        <v>296</v>
      </c>
      <c r="AE349" s="599" t="s">
        <v>296</v>
      </c>
      <c r="AF349" s="599"/>
      <c r="AG349" s="598"/>
      <c r="AH349" s="598"/>
      <c r="AI349" s="649">
        <v>0</v>
      </c>
      <c r="AJ349" s="650" t="s">
        <v>294</v>
      </c>
      <c r="AK349" s="650">
        <v>0</v>
      </c>
      <c r="AL349" s="645">
        <v>0</v>
      </c>
      <c r="AM349" s="645">
        <v>1</v>
      </c>
      <c r="AN349" s="600"/>
      <c r="AO349" s="600"/>
      <c r="AP349" s="600"/>
      <c r="AQ349" s="651"/>
      <c r="AR349" s="404" t="str">
        <f>IFERROR(WWWW[[#This Row],['# of Water passed at source]]/WWWW[[#This Row],['# of Water tested at source]],"no test")</f>
        <v>no test</v>
      </c>
      <c r="AS349" s="407" t="str">
        <f>IFERROR(WWWW[[#This Row],['# of Water passed at HH]]/WWWW[[#This Row],['# of Water tested at HH]],"no test")</f>
        <v>no test</v>
      </c>
      <c r="AT349" s="407">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U349" s="407">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AV349" s="407">
        <f>IF(WWWW[[#This Row],[Location Type 1]]="Village",WWWW[[#This Row],[Access to safe drinking water for Village]],WWWW[[#This Row],[Access to safe drinking water for Camp]])</f>
        <v>1</v>
      </c>
      <c r="AW349" s="405">
        <f>WWWW[[#This Row],[%Equitable and continuous access to sufficient quantity of safe drinking water]]*WWWW[[#This Row],[Total PoP ]]</f>
        <v>1820</v>
      </c>
      <c r="AX349" s="407">
        <f>IF((WWWW[[#This Row],['# Existing protected/fenced ponds ]]*250)/WWWW[[#This Row],[Total PoP ]]&gt;1,1,WWWW[[#This Row],['# Existing protected/fenced ponds ]]*250/WWWW[[#This Row],[Total PoP ]])</f>
        <v>0</v>
      </c>
      <c r="AY349" s="405">
        <f>WWWW[[#This Row],[Access to unimproved water points]]*WWWW[[#This Row],[Total PoP ]]</f>
        <v>0</v>
      </c>
      <c r="AZ349" s="407">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A349" s="405">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1820</v>
      </c>
      <c r="BB349" s="405">
        <f>WWWW[[#This Row],['#people Equitable and continuous access to sufficient quantity of domestic water borehole n ponds_2]]/500</f>
        <v>3.64</v>
      </c>
      <c r="BC349" s="404">
        <f>1-WWWW[[#This Row],[%Equitable and continuous access to sufficient quantity of domestic water borehole n ponds]]</f>
        <v>0</v>
      </c>
      <c r="BD349" s="405">
        <f>WWWW[[#This Row],[%equitable and continuous access to sufficient quantity of safe drinking and domestic water''s GAP]]*WWWW[[#This Row],[Total PoP ]]</f>
        <v>0</v>
      </c>
      <c r="BE349" s="406">
        <f>IF(WWWW[[#This Row],[Total required water points]]-WWWW[[#This Row],['#Water points coverage]]&lt;0,0,WWWW[[#This Row],[Total required water points]]-WWWW[[#This Row],['#Water points coverage]])</f>
        <v>0.35999999999999988</v>
      </c>
      <c r="BF349" s="406">
        <f>ROUND(IF(WWWW[[#This Row],[Total PoP ]]&lt;500,1,WWWW[[#This Row],[Total PoP ]]/500),0)</f>
        <v>4</v>
      </c>
      <c r="BG349" s="406" t="str">
        <f>IF(AND(WWWW[[#This Row],[%of Water samples which passed at water source]]="no test",WWWW[[#This Row],[%Water samples which passed at HH]]="no test"),"No Test","Tested")</f>
        <v>No Test</v>
      </c>
      <c r="BH349" s="406">
        <f>WWWW[[#This Row],['# Existing functional latrines]]+WWWW[[#This Row],['# Existing latrines dysfunctional]]</f>
        <v>0</v>
      </c>
      <c r="BI349" s="404">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J349" s="676">
        <f>WWWW[[#This Row],[% people access to functioning Latrine]]*WWWW[[#This Row],[Total PoP ]]</f>
        <v>0</v>
      </c>
      <c r="BK349" s="404">
        <f>IF(WWWW[[#This Row],[Location Type 1]]="camp",WWWW[[#This Row],['# potential required new latrines]]/(WWWW[[#This Row],[Total PoP ]]/20),WWWW[[#This Row],['# potential required new latrines]]/(WWWW[[#This Row],[Total PoP ]]/6))</f>
        <v>0.99890109890109902</v>
      </c>
      <c r="BL349" s="405">
        <f>IF(WWWW[[#This Row],[Total required Latrines]]-WWWW[[#This Row],[Total '# of latrine]]&lt;0,0,WWWW[[#This Row],[Total required Latrines]]-WWWW[[#This Row],[Total '# of latrine]])</f>
        <v>303</v>
      </c>
      <c r="BM349" s="406">
        <f>ROUND(IF(WWWW[[#This Row],[Location Type 1]]="camp",WWWW[[#This Row],[Total PoP ]]/20,WWWW[[#This Row],[Total PoP ]]/6),0)</f>
        <v>303</v>
      </c>
      <c r="BN349" s="408">
        <f>IF(OR(WWWW[[#This Row],['# Existing latrines dysfunctional]]="",WWWW[[#This Row],['# Existing latrines dysfunctional]]=0),0,WWWW[[#This Row],['# Existing latrines dysfunctional]]/WWWW[[#This Row],[Total '# of latrine]])</f>
        <v>0</v>
      </c>
      <c r="BO349" s="676" t="str">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N/A</v>
      </c>
      <c r="BP349" s="404">
        <f>WWWW[[#This Row],[People adopt basic personal and community hygiene practices]]/WWWW[[#This Row],[Total PoP ]]</f>
        <v>0</v>
      </c>
      <c r="BQ349" s="408">
        <f>1-WWWW[[#This Row],[Hygiene Coverage%]]</f>
        <v>1</v>
      </c>
      <c r="BR349" s="405">
        <f>IF(500*WWWW[[#This Row],['# Hygiene Promoters ]]&gt;WWWW[[#This Row],[Total PoP ]],WWWW[[#This Row],[Total PoP ]],500*WWWW[[#This Row],['# Hygiene Promoters ]])</f>
        <v>500</v>
      </c>
      <c r="BS349" s="405">
        <f>IF(WWWW[[#This Row],[% of HH with access to Sanitary Pad]]&gt;=100%,1,0)</f>
        <v>0</v>
      </c>
      <c r="BT349" s="405">
        <f>IF(WWWW[[#This Row],[Total PoP ]]=0,0,IF(WWWW[[#This Row],['# Hygiene Promoters ]]=0,0,IF(WWWW[[#This Row],[Location Type 1]]="Village",IF(WWWW[[#This Row],[Total PoP ]]/WWWW[[#This Row],['# Hygiene Promoters ]]&lt;1000,1,0),IF(WWWW[[#This Row],[Total PoP ]]/WWWW[[#This Row],['# Hygiene Promoters ]]&lt;600,1,0))))</f>
        <v>0</v>
      </c>
      <c r="BU349" s="405">
        <f>IF(WWWW[[#This Row],[%HH with access to soap]]&gt;=100%,1,0)</f>
        <v>0</v>
      </c>
      <c r="BV349" s="405">
        <f>IF(WWWW[[#This Row],[% of HHs with access to Sanitary pad more than '#%]]+WWWW[[#This Row],[Ratio of Hyiene promoters to people less than '#]]+WWWW[[#This Row],[% of HHs with access to soap more than '#%]]&gt;=2,WWWW[[#This Row],[Total PoP ]],0)</f>
        <v>0</v>
      </c>
      <c r="BW349" s="391">
        <f>WWWW[[#This Row],['# people reached by regular dedicated hygiene promotion_5]]/WWWW[[#This Row],[Total PoP ]]</f>
        <v>0.27472527472527475</v>
      </c>
      <c r="BX349" s="391">
        <f>IF(WWWW[[#This Row],['# HH received soaps]]/WWWW[[#This Row],[Total HH]]&gt;1,1,WWWW[[#This Row],['# HH received soaps]]/WWWW[[#This Row],[Total HH]])</f>
        <v>0</v>
      </c>
      <c r="BY349" s="391">
        <f>IF(WWWW[[#This Row],['# HH received Sanitary Pads]]/WWWW[[#This Row],[Total HH]]&gt;1,1,WWWW[[#This Row],['# HH received Sanitary Pads]]/WWWW[[#This Row],[Total HH]])</f>
        <v>0</v>
      </c>
      <c r="BZ349" s="721">
        <f>WWWW[[#This Row],['# HH received soaps]]*5</f>
        <v>0</v>
      </c>
      <c r="CA349" s="721">
        <f>WWWW[[#This Row],['# HH received Sanitary Pads]]*5</f>
        <v>0</v>
      </c>
      <c r="CB349" s="406">
        <f>IF(WWWW[[#This Row],['# People with access to soap]]&gt;WWWW[[#This Row],['# People with access to Sanity Pads]],WWWW[[#This Row],['# People with access to soap]],WWWW[[#This Row],['# People with access to Sanity Pads]])</f>
        <v>0</v>
      </c>
      <c r="CC349" s="405">
        <f>WWWW[[#This Row],[Total HH]]*WWWW[[#This Row],[%HHs with access to functional hand washing stations]]</f>
        <v>0</v>
      </c>
      <c r="CD349" s="240">
        <f>VLOOKUP(WWWW[[#This Row],[Site Name]],SiteDB6[],8,FALSE)</f>
        <v>0</v>
      </c>
      <c r="CE349" s="240">
        <f>VLOOKUP(WWWW[[#This Row],[Site Name]],SiteDB6[],9,FALSE)</f>
        <v>0</v>
      </c>
      <c r="CF349" s="240" t="str">
        <f>VLOOKUP(WWWW[[#This Row],[Site Name]],SiteDB6[],10,FALSE)</f>
        <v>Village</v>
      </c>
      <c r="CG349" s="240" t="str">
        <f>VLOOKUP(WWWW[[#This Row],[Site Name]],SiteDB6[],11,FALSE)</f>
        <v>Village</v>
      </c>
      <c r="CH349" s="240" t="str">
        <f>VLOOKUP(WWWW[[#This Row],[Site Name]],SiteDB6[],12,FALSE)</f>
        <v>Village</v>
      </c>
      <c r="CI349" s="240" t="str">
        <f>VLOOKUP(WWWW[[#This Row],[Site Name]],SiteDB6[],13,FALSE)</f>
        <v>Muslim</v>
      </c>
      <c r="CJ349" s="240">
        <f>VLOOKUP(WWWW[[#This Row],[Site Name]],SiteDB6[],14,FALSE)</f>
        <v>20.1573600769043</v>
      </c>
      <c r="CK349" s="240">
        <f>VLOOKUP(WWWW[[#This Row],[Site Name]],SiteDB6[],15,FALSE)</f>
        <v>92.838653564453097</v>
      </c>
      <c r="CL349" s="240">
        <f>VLOOKUP(WWWW[[#This Row],[Site Name]],SiteDB6[],4,FALSE)</f>
        <v>196211</v>
      </c>
      <c r="CM349" s="404" t="str">
        <f t="shared" si="5"/>
        <v>Notcovered</v>
      </c>
      <c r="CN349" s="404"/>
    </row>
    <row r="350" spans="1:92" ht="15.75" hidden="1" customHeight="1" x14ac:dyDescent="0.25">
      <c r="A350" s="532" t="s">
        <v>1409</v>
      </c>
      <c r="B350" s="530" t="s">
        <v>470</v>
      </c>
      <c r="C350" s="531" t="s">
        <v>878</v>
      </c>
      <c r="D350" s="531" t="s">
        <v>882</v>
      </c>
      <c r="E350" s="531" t="s">
        <v>931</v>
      </c>
      <c r="F350" s="402">
        <v>39</v>
      </c>
      <c r="G350" s="405">
        <v>202</v>
      </c>
      <c r="H350" s="402"/>
      <c r="I350" s="402"/>
      <c r="J350" s="403"/>
      <c r="K350" s="402"/>
      <c r="L350" s="402" t="s">
        <v>292</v>
      </c>
      <c r="M350" s="404">
        <v>0</v>
      </c>
      <c r="N350" s="404">
        <v>0</v>
      </c>
      <c r="O350" s="605"/>
      <c r="P350" s="606"/>
      <c r="Q350" s="606"/>
      <c r="R350" s="607"/>
      <c r="S350" s="607"/>
      <c r="T350" s="607"/>
      <c r="U350" s="607"/>
      <c r="V350" s="607"/>
      <c r="W350" s="607"/>
      <c r="X350" s="607"/>
      <c r="Y350" s="607"/>
      <c r="Z350" s="598">
        <v>0</v>
      </c>
      <c r="AA350" s="598"/>
      <c r="AB350" s="80"/>
      <c r="AC350" s="598"/>
      <c r="AD350" s="598" t="s">
        <v>342</v>
      </c>
      <c r="AE350" s="598" t="s">
        <v>342</v>
      </c>
      <c r="AF350" s="599"/>
      <c r="AG350" s="598"/>
      <c r="AH350" s="598"/>
      <c r="AI350" s="649"/>
      <c r="AJ350" s="650"/>
      <c r="AK350" s="650"/>
      <c r="AL350" s="645"/>
      <c r="AM350" s="645"/>
      <c r="AN350" s="600"/>
      <c r="AO350" s="600"/>
      <c r="AP350" s="600"/>
      <c r="AQ350" s="651"/>
      <c r="AR350" s="404" t="str">
        <f>IFERROR(WWWW[[#This Row],['# of Water passed at source]]/WWWW[[#This Row],['# of Water tested at source]],"no test")</f>
        <v>no test</v>
      </c>
      <c r="AS350" s="407" t="str">
        <f>IFERROR(WWWW[[#This Row],['# of Water passed at HH]]/WWWW[[#This Row],['# of Water tested at HH]],"no test")</f>
        <v>no test</v>
      </c>
      <c r="AT350" s="407">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U350" s="407">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AV350" s="407">
        <f>IF(WWWW[[#This Row],[Location Type 1]]="Village",WWWW[[#This Row],[Access to safe drinking water for Village]],WWWW[[#This Row],[Access to safe drinking water for Camp]])</f>
        <v>0</v>
      </c>
      <c r="AW350" s="405">
        <f>WWWW[[#This Row],[%Equitable and continuous access to sufficient quantity of safe drinking water]]*WWWW[[#This Row],[Total PoP ]]</f>
        <v>0</v>
      </c>
      <c r="AX350" s="407">
        <f>IF((WWWW[[#This Row],['# Existing protected/fenced ponds ]]*250)/WWWW[[#This Row],[Total PoP ]]&gt;1,1,WWWW[[#This Row],['# Existing protected/fenced ponds ]]*250/WWWW[[#This Row],[Total PoP ]])</f>
        <v>0</v>
      </c>
      <c r="AY350" s="405">
        <f>WWWW[[#This Row],[Access to unimproved water points]]*WWWW[[#This Row],[Total PoP ]]</f>
        <v>0</v>
      </c>
      <c r="AZ350" s="407">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A350" s="405">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B350" s="405">
        <f>WWWW[[#This Row],['#people Equitable and continuous access to sufficient quantity of domestic water borehole n ponds_2]]/500</f>
        <v>0</v>
      </c>
      <c r="BC350" s="404">
        <f>1-WWWW[[#This Row],[%Equitable and continuous access to sufficient quantity of domestic water borehole n ponds]]</f>
        <v>1</v>
      </c>
      <c r="BD350" s="405">
        <f>WWWW[[#This Row],[%equitable and continuous access to sufficient quantity of safe drinking and domestic water''s GAP]]*WWWW[[#This Row],[Total PoP ]]</f>
        <v>202</v>
      </c>
      <c r="BE350" s="406">
        <f>IF(WWWW[[#This Row],[Total required water points]]-WWWW[[#This Row],['#Water points coverage]]&lt;0,0,WWWW[[#This Row],[Total required water points]]-WWWW[[#This Row],['#Water points coverage]])</f>
        <v>1</v>
      </c>
      <c r="BF350" s="406">
        <f>ROUND(IF(WWWW[[#This Row],[Total PoP ]]&lt;500,1,WWWW[[#This Row],[Total PoP ]]/500),0)</f>
        <v>1</v>
      </c>
      <c r="BG350" s="406" t="str">
        <f>IF(AND(WWWW[[#This Row],[%of Water samples which passed at water source]]="no test",WWWW[[#This Row],[%Water samples which passed at HH]]="no test"),"No Test","Tested")</f>
        <v>No Test</v>
      </c>
      <c r="BH350" s="406">
        <f>WWWW[[#This Row],['# Existing functional latrines]]+WWWW[[#This Row],['# Existing latrines dysfunctional]]</f>
        <v>0</v>
      </c>
      <c r="BI350" s="404">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J350" s="676">
        <f>WWWW[[#This Row],[% people access to functioning Latrine]]*WWWW[[#This Row],[Total PoP ]]</f>
        <v>0</v>
      </c>
      <c r="BK350" s="404">
        <f>IF(WWWW[[#This Row],[Location Type 1]]="camp",WWWW[[#This Row],['# potential required new latrines]]/(WWWW[[#This Row],[Total PoP ]]/20),WWWW[[#This Row],['# potential required new latrines]]/(WWWW[[#This Row],[Total PoP ]]/6))</f>
        <v>0.99009900990099009</v>
      </c>
      <c r="BL350" s="405">
        <f>IF(WWWW[[#This Row],[Total required Latrines]]-WWWW[[#This Row],[Total '# of latrine]]&lt;0,0,WWWW[[#This Row],[Total required Latrines]]-WWWW[[#This Row],[Total '# of latrine]])</f>
        <v>10</v>
      </c>
      <c r="BM350" s="406">
        <f>ROUND(IF(WWWW[[#This Row],[Location Type 1]]="camp",WWWW[[#This Row],[Total PoP ]]/20,WWWW[[#This Row],[Total PoP ]]/6),0)</f>
        <v>10</v>
      </c>
      <c r="BN350" s="408">
        <f>IF(OR(WWWW[[#This Row],['# Existing latrines dysfunctional]]="",WWWW[[#This Row],['# Existing latrines dysfunctional]]=0),0,WWWW[[#This Row],['# Existing latrines dysfunctional]]/WWWW[[#This Row],[Total '# of latrine]])</f>
        <v>0</v>
      </c>
      <c r="BO350" s="676">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P350" s="404">
        <f>WWWW[[#This Row],[People adopt basic personal and community hygiene practices]]/WWWW[[#This Row],[Total PoP ]]</f>
        <v>0</v>
      </c>
      <c r="BQ350" s="408">
        <f>1-WWWW[[#This Row],[Hygiene Coverage%]]</f>
        <v>1</v>
      </c>
      <c r="BR350" s="405">
        <f>IF(500*WWWW[[#This Row],['# Hygiene Promoters ]]&gt;WWWW[[#This Row],[Total PoP ]],WWWW[[#This Row],[Total PoP ]],500*WWWW[[#This Row],['# Hygiene Promoters ]])</f>
        <v>0</v>
      </c>
      <c r="BS350" s="405">
        <f>IF(WWWW[[#This Row],[% of HH with access to Sanitary Pad]]&gt;=100%,1,0)</f>
        <v>0</v>
      </c>
      <c r="BT350" s="405">
        <f>IF(WWWW[[#This Row],[Total PoP ]]=0,0,IF(WWWW[[#This Row],['# Hygiene Promoters ]]=0,0,IF(WWWW[[#This Row],[Location Type 1]]="Village",IF(WWWW[[#This Row],[Total PoP ]]/WWWW[[#This Row],['# Hygiene Promoters ]]&lt;1000,1,0),IF(WWWW[[#This Row],[Total PoP ]]/WWWW[[#This Row],['# Hygiene Promoters ]]&lt;600,1,0))))</f>
        <v>0</v>
      </c>
      <c r="BU350" s="405">
        <f>IF(WWWW[[#This Row],[%HH with access to soap]]&gt;=100%,1,0)</f>
        <v>0</v>
      </c>
      <c r="BV350" s="405">
        <f>IF(WWWW[[#This Row],[% of HHs with access to Sanitary pad more than '#%]]+WWWW[[#This Row],[Ratio of Hyiene promoters to people less than '#]]+WWWW[[#This Row],[% of HHs with access to soap more than '#%]]&gt;=2,WWWW[[#This Row],[Total PoP ]],0)</f>
        <v>0</v>
      </c>
      <c r="BW350" s="391">
        <f>WWWW[[#This Row],['# people reached by regular dedicated hygiene promotion_5]]/WWWW[[#This Row],[Total PoP ]]</f>
        <v>0</v>
      </c>
      <c r="BX350" s="391">
        <f>IF(WWWW[[#This Row],['# HH received soaps]]/WWWW[[#This Row],[Total HH]]&gt;1,1,WWWW[[#This Row],['# HH received soaps]]/WWWW[[#This Row],[Total HH]])</f>
        <v>0</v>
      </c>
      <c r="BY350" s="391">
        <f>IF(WWWW[[#This Row],['# HH received Sanitary Pads]]/WWWW[[#This Row],[Total HH]]&gt;1,1,WWWW[[#This Row],['# HH received Sanitary Pads]]/WWWW[[#This Row],[Total HH]])</f>
        <v>0</v>
      </c>
      <c r="BZ350" s="721">
        <f>WWWW[[#This Row],['# HH received soaps]]*5</f>
        <v>0</v>
      </c>
      <c r="CA350" s="721">
        <f>WWWW[[#This Row],['# HH received Sanitary Pads]]*5</f>
        <v>0</v>
      </c>
      <c r="CB350" s="406">
        <f>IF(WWWW[[#This Row],['# People with access to soap]]&gt;WWWW[[#This Row],['# People with access to Sanity Pads]],WWWW[[#This Row],['# People with access to soap]],WWWW[[#This Row],['# People with access to Sanity Pads]])</f>
        <v>0</v>
      </c>
      <c r="CC350" s="405">
        <f>WWWW[[#This Row],[Total HH]]*WWWW[[#This Row],[%HHs with access to functional hand washing stations]]</f>
        <v>0</v>
      </c>
      <c r="CD350" s="240">
        <f>VLOOKUP(WWWW[[#This Row],[Site Name]],SiteDB6[],8,FALSE)</f>
        <v>0</v>
      </c>
      <c r="CE350" s="240">
        <f>VLOOKUP(WWWW[[#This Row],[Site Name]],SiteDB6[],9,FALSE)</f>
        <v>0</v>
      </c>
      <c r="CF350" s="240" t="str">
        <f>VLOOKUP(WWWW[[#This Row],[Site Name]],SiteDB6[],10,FALSE)</f>
        <v>Camp</v>
      </c>
      <c r="CG350" s="240" t="str">
        <f>VLOOKUP(WWWW[[#This Row],[Site Name]],SiteDB6[],11,FALSE)</f>
        <v>Camp</v>
      </c>
      <c r="CH350" s="240" t="str">
        <f>VLOOKUP(WWWW[[#This Row],[Site Name]],SiteDB6[],12,FALSE)</f>
        <v>Camp like setting</v>
      </c>
      <c r="CI350" s="240" t="str">
        <f>VLOOKUP(WWWW[[#This Row],[Site Name]],SiteDB6[],13,FALSE)</f>
        <v>GCA</v>
      </c>
      <c r="CJ350" s="240">
        <f>VLOOKUP(WWWW[[#This Row],[Site Name]],SiteDB6[],14,FALSE)</f>
        <v>0</v>
      </c>
      <c r="CK350" s="240">
        <f>VLOOKUP(WWWW[[#This Row],[Site Name]],SiteDB6[],15,FALSE)</f>
        <v>0</v>
      </c>
      <c r="CL350" s="240" t="str">
        <f>VLOOKUP(WWWW[[#This Row],[Site Name]],SiteDB6[],4,FALSE)</f>
        <v>MMR015CMP249</v>
      </c>
      <c r="CM350" s="404" t="str">
        <f t="shared" si="5"/>
        <v>Notcovered</v>
      </c>
      <c r="CN350" s="404"/>
    </row>
    <row r="351" spans="1:92" ht="15.75" hidden="1" customHeight="1" x14ac:dyDescent="0.25">
      <c r="A351" s="532" t="s">
        <v>1409</v>
      </c>
      <c r="B351" s="530" t="s">
        <v>470</v>
      </c>
      <c r="C351" s="531" t="s">
        <v>878</v>
      </c>
      <c r="D351" s="531" t="s">
        <v>885</v>
      </c>
      <c r="E351" s="531" t="s">
        <v>929</v>
      </c>
      <c r="F351" s="402">
        <v>36</v>
      </c>
      <c r="G351" s="405">
        <v>188</v>
      </c>
      <c r="H351" s="402"/>
      <c r="I351" s="402"/>
      <c r="J351" s="403"/>
      <c r="K351" s="402"/>
      <c r="L351" s="402" t="s">
        <v>292</v>
      </c>
      <c r="M351" s="404">
        <v>0</v>
      </c>
      <c r="N351" s="404">
        <v>0</v>
      </c>
      <c r="O351" s="605"/>
      <c r="P351" s="606"/>
      <c r="Q351" s="606"/>
      <c r="R351" s="607"/>
      <c r="S351" s="607"/>
      <c r="T351" s="607"/>
      <c r="U351" s="607"/>
      <c r="V351" s="607"/>
      <c r="W351" s="607"/>
      <c r="X351" s="607"/>
      <c r="Y351" s="607"/>
      <c r="Z351" s="598">
        <v>0</v>
      </c>
      <c r="AA351" s="598"/>
      <c r="AB351" s="80"/>
      <c r="AC351" s="598"/>
      <c r="AD351" s="598" t="s">
        <v>296</v>
      </c>
      <c r="AE351" s="599" t="s">
        <v>296</v>
      </c>
      <c r="AF351" s="599"/>
      <c r="AG351" s="598"/>
      <c r="AH351" s="598"/>
      <c r="AI351" s="649"/>
      <c r="AJ351" s="650"/>
      <c r="AK351" s="650"/>
      <c r="AL351" s="645"/>
      <c r="AM351" s="645"/>
      <c r="AN351" s="600"/>
      <c r="AO351" s="600"/>
      <c r="AP351" s="600"/>
      <c r="AQ351" s="651"/>
      <c r="AR351" s="404" t="str">
        <f>IFERROR(WWWW[[#This Row],['# of Water passed at source]]/WWWW[[#This Row],['# of Water tested at source]],"no test")</f>
        <v>no test</v>
      </c>
      <c r="AS351" s="407" t="str">
        <f>IFERROR(WWWW[[#This Row],['# of Water passed at HH]]/WWWW[[#This Row],['# of Water tested at HH]],"no test")</f>
        <v>no test</v>
      </c>
      <c r="AT351" s="407">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U351" s="407">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AV351" s="407">
        <f>IF(WWWW[[#This Row],[Location Type 1]]="Village",WWWW[[#This Row],[Access to safe drinking water for Village]],WWWW[[#This Row],[Access to safe drinking water for Camp]])</f>
        <v>0</v>
      </c>
      <c r="AW351" s="405">
        <f>WWWW[[#This Row],[%Equitable and continuous access to sufficient quantity of safe drinking water]]*WWWW[[#This Row],[Total PoP ]]</f>
        <v>0</v>
      </c>
      <c r="AX351" s="407">
        <f>IF((WWWW[[#This Row],['# Existing protected/fenced ponds ]]*250)/WWWW[[#This Row],[Total PoP ]]&gt;1,1,WWWW[[#This Row],['# Existing protected/fenced ponds ]]*250/WWWW[[#This Row],[Total PoP ]])</f>
        <v>0</v>
      </c>
      <c r="AY351" s="405">
        <f>WWWW[[#This Row],[Access to unimproved water points]]*WWWW[[#This Row],[Total PoP ]]</f>
        <v>0</v>
      </c>
      <c r="AZ351" s="407">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A351" s="405">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B351" s="405">
        <f>WWWW[[#This Row],['#people Equitable and continuous access to sufficient quantity of domestic water borehole n ponds_2]]/500</f>
        <v>0</v>
      </c>
      <c r="BC351" s="404">
        <f>1-WWWW[[#This Row],[%Equitable and continuous access to sufficient quantity of domestic water borehole n ponds]]</f>
        <v>1</v>
      </c>
      <c r="BD351" s="405">
        <f>WWWW[[#This Row],[%equitable and continuous access to sufficient quantity of safe drinking and domestic water''s GAP]]*WWWW[[#This Row],[Total PoP ]]</f>
        <v>188</v>
      </c>
      <c r="BE351" s="406">
        <f>IF(WWWW[[#This Row],[Total required water points]]-WWWW[[#This Row],['#Water points coverage]]&lt;0,0,WWWW[[#This Row],[Total required water points]]-WWWW[[#This Row],['#Water points coverage]])</f>
        <v>1</v>
      </c>
      <c r="BF351" s="406">
        <f>ROUND(IF(WWWW[[#This Row],[Total PoP ]]&lt;500,1,WWWW[[#This Row],[Total PoP ]]/500),0)</f>
        <v>1</v>
      </c>
      <c r="BG351" s="406" t="str">
        <f>IF(AND(WWWW[[#This Row],[%of Water samples which passed at water source]]="no test",WWWW[[#This Row],[%Water samples which passed at HH]]="no test"),"No Test","Tested")</f>
        <v>No Test</v>
      </c>
      <c r="BH351" s="406">
        <f>WWWW[[#This Row],['# Existing functional latrines]]+WWWW[[#This Row],['# Existing latrines dysfunctional]]</f>
        <v>0</v>
      </c>
      <c r="BI351" s="404">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J351" s="676">
        <f>WWWW[[#This Row],[% people access to functioning Latrine]]*WWWW[[#This Row],[Total PoP ]]</f>
        <v>0</v>
      </c>
      <c r="BK351" s="404">
        <f>IF(WWWW[[#This Row],[Location Type 1]]="camp",WWWW[[#This Row],['# potential required new latrines]]/(WWWW[[#This Row],[Total PoP ]]/20),WWWW[[#This Row],['# potential required new latrines]]/(WWWW[[#This Row],[Total PoP ]]/6))</f>
        <v>0.95744680851063824</v>
      </c>
      <c r="BL351" s="405">
        <f>IF(WWWW[[#This Row],[Total required Latrines]]-WWWW[[#This Row],[Total '# of latrine]]&lt;0,0,WWWW[[#This Row],[Total required Latrines]]-WWWW[[#This Row],[Total '# of latrine]])</f>
        <v>9</v>
      </c>
      <c r="BM351" s="406">
        <f>ROUND(IF(WWWW[[#This Row],[Location Type 1]]="camp",WWWW[[#This Row],[Total PoP ]]/20,WWWW[[#This Row],[Total PoP ]]/6),0)</f>
        <v>9</v>
      </c>
      <c r="BN351" s="408">
        <f>IF(OR(WWWW[[#This Row],['# Existing latrines dysfunctional]]="",WWWW[[#This Row],['# Existing latrines dysfunctional]]=0),0,WWWW[[#This Row],['# Existing latrines dysfunctional]]/WWWW[[#This Row],[Total '# of latrine]])</f>
        <v>0</v>
      </c>
      <c r="BO351" s="676">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P351" s="404">
        <f>WWWW[[#This Row],[People adopt basic personal and community hygiene practices]]/WWWW[[#This Row],[Total PoP ]]</f>
        <v>0</v>
      </c>
      <c r="BQ351" s="408">
        <f>1-WWWW[[#This Row],[Hygiene Coverage%]]</f>
        <v>1</v>
      </c>
      <c r="BR351" s="405">
        <f>IF(500*WWWW[[#This Row],['# Hygiene Promoters ]]&gt;WWWW[[#This Row],[Total PoP ]],WWWW[[#This Row],[Total PoP ]],500*WWWW[[#This Row],['# Hygiene Promoters ]])</f>
        <v>0</v>
      </c>
      <c r="BS351" s="405">
        <f>IF(WWWW[[#This Row],[% of HH with access to Sanitary Pad]]&gt;=100%,1,0)</f>
        <v>0</v>
      </c>
      <c r="BT351" s="405">
        <f>IF(WWWW[[#This Row],[Total PoP ]]=0,0,IF(WWWW[[#This Row],['# Hygiene Promoters ]]=0,0,IF(WWWW[[#This Row],[Location Type 1]]="Village",IF(WWWW[[#This Row],[Total PoP ]]/WWWW[[#This Row],['# Hygiene Promoters ]]&lt;1000,1,0),IF(WWWW[[#This Row],[Total PoP ]]/WWWW[[#This Row],['# Hygiene Promoters ]]&lt;600,1,0))))</f>
        <v>0</v>
      </c>
      <c r="BU351" s="405">
        <f>IF(WWWW[[#This Row],[%HH with access to soap]]&gt;=100%,1,0)</f>
        <v>0</v>
      </c>
      <c r="BV351" s="405">
        <f>IF(WWWW[[#This Row],[% of HHs with access to Sanitary pad more than '#%]]+WWWW[[#This Row],[Ratio of Hyiene promoters to people less than '#]]+WWWW[[#This Row],[% of HHs with access to soap more than '#%]]&gt;=2,WWWW[[#This Row],[Total PoP ]],0)</f>
        <v>0</v>
      </c>
      <c r="BW351" s="391">
        <f>WWWW[[#This Row],['# people reached by regular dedicated hygiene promotion_5]]/WWWW[[#This Row],[Total PoP ]]</f>
        <v>0</v>
      </c>
      <c r="BX351" s="391">
        <f>IF(WWWW[[#This Row],['# HH received soaps]]/WWWW[[#This Row],[Total HH]]&gt;1,1,WWWW[[#This Row],['# HH received soaps]]/WWWW[[#This Row],[Total HH]])</f>
        <v>0</v>
      </c>
      <c r="BY351" s="391">
        <f>IF(WWWW[[#This Row],['# HH received Sanitary Pads]]/WWWW[[#This Row],[Total HH]]&gt;1,1,WWWW[[#This Row],['# HH received Sanitary Pads]]/WWWW[[#This Row],[Total HH]])</f>
        <v>0</v>
      </c>
      <c r="BZ351" s="721">
        <f>WWWW[[#This Row],['# HH received soaps]]*5</f>
        <v>0</v>
      </c>
      <c r="CA351" s="721">
        <f>WWWW[[#This Row],['# HH received Sanitary Pads]]*5</f>
        <v>0</v>
      </c>
      <c r="CB351" s="406">
        <f>IF(WWWW[[#This Row],['# People with access to soap]]&gt;WWWW[[#This Row],['# People with access to Sanity Pads]],WWWW[[#This Row],['# People with access to soap]],WWWW[[#This Row],['# People with access to Sanity Pads]])</f>
        <v>0</v>
      </c>
      <c r="CC351" s="405">
        <f>WWWW[[#This Row],[Total HH]]*WWWW[[#This Row],[%HHs with access to functional hand washing stations]]</f>
        <v>0</v>
      </c>
      <c r="CD351" s="240">
        <f>VLOOKUP(WWWW[[#This Row],[Site Name]],SiteDB6[],8,FALSE)</f>
        <v>0</v>
      </c>
      <c r="CE351" s="240">
        <f>VLOOKUP(WWWW[[#This Row],[Site Name]],SiteDB6[],9,FALSE)</f>
        <v>0</v>
      </c>
      <c r="CF351" s="240" t="str">
        <f>VLOOKUP(WWWW[[#This Row],[Site Name]],SiteDB6[],10,FALSE)</f>
        <v>Camp</v>
      </c>
      <c r="CG351" s="240" t="str">
        <f>VLOOKUP(WWWW[[#This Row],[Site Name]],SiteDB6[],11,FALSE)</f>
        <v>Camp</v>
      </c>
      <c r="CH351" s="240" t="str">
        <f>VLOOKUP(WWWW[[#This Row],[Site Name]],SiteDB6[],12,FALSE)</f>
        <v>Camp like setting</v>
      </c>
      <c r="CI351" s="240" t="str">
        <f>VLOOKUP(WWWW[[#This Row],[Site Name]],SiteDB6[],13,FALSE)</f>
        <v>GCA</v>
      </c>
      <c r="CJ351" s="240">
        <f>VLOOKUP(WWWW[[#This Row],[Site Name]],SiteDB6[],14,FALSE)</f>
        <v>0</v>
      </c>
      <c r="CK351" s="240">
        <f>VLOOKUP(WWWW[[#This Row],[Site Name]],SiteDB6[],15,FALSE)</f>
        <v>0</v>
      </c>
      <c r="CL351" s="240" t="str">
        <f>VLOOKUP(WWWW[[#This Row],[Site Name]],SiteDB6[],4,FALSE)</f>
        <v>MMR015CMP222</v>
      </c>
      <c r="CM351" s="404" t="str">
        <f t="shared" si="5"/>
        <v>Notcovered</v>
      </c>
      <c r="CN351" s="404"/>
    </row>
    <row r="352" spans="1:92" ht="15.75" customHeight="1" x14ac:dyDescent="0.25">
      <c r="A352" s="532" t="s">
        <v>1409</v>
      </c>
      <c r="B352" s="530" t="s">
        <v>348</v>
      </c>
      <c r="C352" s="531" t="s">
        <v>878</v>
      </c>
      <c r="D352" s="531" t="s">
        <v>888</v>
      </c>
      <c r="E352" s="531" t="s">
        <v>895</v>
      </c>
      <c r="F352" s="402">
        <v>7</v>
      </c>
      <c r="G352" s="405">
        <v>44</v>
      </c>
      <c r="H352" s="402"/>
      <c r="I352" s="402"/>
      <c r="J352" s="403"/>
      <c r="K352" s="402"/>
      <c r="L352" s="402" t="s">
        <v>296</v>
      </c>
      <c r="M352" s="402" t="s">
        <v>296</v>
      </c>
      <c r="N352" s="402" t="s">
        <v>296</v>
      </c>
      <c r="O352" s="605">
        <v>0</v>
      </c>
      <c r="P352" s="606">
        <v>0</v>
      </c>
      <c r="Q352" s="606"/>
      <c r="R352" s="607"/>
      <c r="S352" s="607">
        <v>2</v>
      </c>
      <c r="T352" s="607"/>
      <c r="U352" s="607"/>
      <c r="V352" s="607"/>
      <c r="W352" s="607"/>
      <c r="X352" s="607"/>
      <c r="Y352" s="607"/>
      <c r="Z352" s="598">
        <v>9</v>
      </c>
      <c r="AA352" s="598"/>
      <c r="AB352" s="80"/>
      <c r="AC352" s="598">
        <v>9</v>
      </c>
      <c r="AD352" s="598" t="s">
        <v>293</v>
      </c>
      <c r="AE352" s="599" t="s">
        <v>293</v>
      </c>
      <c r="AF352" s="599"/>
      <c r="AG352" s="598"/>
      <c r="AH352" s="598"/>
      <c r="AI352" s="649">
        <v>0</v>
      </c>
      <c r="AJ352" s="650"/>
      <c r="AK352" s="650">
        <v>0</v>
      </c>
      <c r="AL352" s="645"/>
      <c r="AM352" s="645"/>
      <c r="AN352" s="600"/>
      <c r="AO352" s="600"/>
      <c r="AP352" s="600"/>
      <c r="AQ352" s="651"/>
      <c r="AR352" s="404" t="str">
        <f>IFERROR(WWWW[[#This Row],['# of Water passed at source]]/WWWW[[#This Row],['# of Water tested at source]],"no test")</f>
        <v>no test</v>
      </c>
      <c r="AS352" s="407" t="str">
        <f>IFERROR(WWWW[[#This Row],['# of Water passed at HH]]/WWWW[[#This Row],['# of Water tested at HH]],"no test")</f>
        <v>no test</v>
      </c>
      <c r="AT352" s="407">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U352" s="407">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AV352" s="407">
        <f>IF(WWWW[[#This Row],[Location Type 1]]="Village",WWWW[[#This Row],[Access to safe drinking water for Village]],WWWW[[#This Row],[Access to safe drinking water for Camp]])</f>
        <v>0</v>
      </c>
      <c r="AW352" s="405">
        <f>WWWW[[#This Row],[%Equitable and continuous access to sufficient quantity of safe drinking water]]*WWWW[[#This Row],[Total PoP ]]</f>
        <v>0</v>
      </c>
      <c r="AX352" s="407">
        <f>IF((WWWW[[#This Row],['# Existing protected/fenced ponds ]]*250)/WWWW[[#This Row],[Total PoP ]]&gt;1,1,WWWW[[#This Row],['# Existing protected/fenced ponds ]]*250/WWWW[[#This Row],[Total PoP ]])</f>
        <v>0</v>
      </c>
      <c r="AY352" s="405">
        <f>WWWW[[#This Row],[Access to unimproved water points]]*WWWW[[#This Row],[Total PoP ]]</f>
        <v>0</v>
      </c>
      <c r="AZ352" s="407">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A352" s="405">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B352" s="405">
        <f>WWWW[[#This Row],['#people Equitable and continuous access to sufficient quantity of domestic water borehole n ponds_2]]/500</f>
        <v>0</v>
      </c>
      <c r="BC352" s="404">
        <f>1-WWWW[[#This Row],[%Equitable and continuous access to sufficient quantity of domestic water borehole n ponds]]</f>
        <v>1</v>
      </c>
      <c r="BD352" s="405">
        <f>WWWW[[#This Row],[%equitable and continuous access to sufficient quantity of safe drinking and domestic water''s GAP]]*WWWW[[#This Row],[Total PoP ]]</f>
        <v>44</v>
      </c>
      <c r="BE352" s="406">
        <f>IF(WWWW[[#This Row],[Total required water points]]-WWWW[[#This Row],['#Water points coverage]]&lt;0,0,WWWW[[#This Row],[Total required water points]]-WWWW[[#This Row],['#Water points coverage]])</f>
        <v>1</v>
      </c>
      <c r="BF352" s="406">
        <f>ROUND(IF(WWWW[[#This Row],[Total PoP ]]&lt;500,1,WWWW[[#This Row],[Total PoP ]]/500),0)</f>
        <v>1</v>
      </c>
      <c r="BG352" s="406" t="str">
        <f>IF(AND(WWWW[[#This Row],[%of Water samples which passed at water source]]="no test",WWWW[[#This Row],[%Water samples which passed at HH]]="no test"),"No Test","Tested")</f>
        <v>No Test</v>
      </c>
      <c r="BH352" s="406">
        <f>WWWW[[#This Row],['# Existing functional latrines]]+WWWW[[#This Row],['# Existing latrines dysfunctional]]</f>
        <v>9</v>
      </c>
      <c r="BI352" s="404">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1</v>
      </c>
      <c r="BJ352" s="676">
        <f>WWWW[[#This Row],[% people access to functioning Latrine]]*WWWW[[#This Row],[Total PoP ]]</f>
        <v>44</v>
      </c>
      <c r="BK352" s="404">
        <f>IF(WWWW[[#This Row],[Location Type 1]]="camp",WWWW[[#This Row],['# potential required new latrines]]/(WWWW[[#This Row],[Total PoP ]]/20),WWWW[[#This Row],['# potential required new latrines]]/(WWWW[[#This Row],[Total PoP ]]/6))</f>
        <v>0</v>
      </c>
      <c r="BL352" s="405">
        <f>IF(WWWW[[#This Row],[Total required Latrines]]-WWWW[[#This Row],[Total '# of latrine]]&lt;0,0,WWWW[[#This Row],[Total required Latrines]]-WWWW[[#This Row],[Total '# of latrine]])</f>
        <v>0</v>
      </c>
      <c r="BM352" s="406">
        <f>ROUND(IF(WWWW[[#This Row],[Location Type 1]]="camp",WWWW[[#This Row],[Total PoP ]]/20,WWWW[[#This Row],[Total PoP ]]/6),0)</f>
        <v>2</v>
      </c>
      <c r="BN352" s="408">
        <f>IF(OR(WWWW[[#This Row],['# Existing latrines dysfunctional]]="",WWWW[[#This Row],['# Existing latrines dysfunctional]]=0),0,WWWW[[#This Row],['# Existing latrines dysfunctional]]/WWWW[[#This Row],[Total '# of latrine]])</f>
        <v>0</v>
      </c>
      <c r="BO352" s="676">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P352" s="404">
        <f>WWWW[[#This Row],[People adopt basic personal and community hygiene practices]]/WWWW[[#This Row],[Total PoP ]]</f>
        <v>0</v>
      </c>
      <c r="BQ352" s="408">
        <f>1-WWWW[[#This Row],[Hygiene Coverage%]]</f>
        <v>1</v>
      </c>
      <c r="BR352" s="405">
        <f>IF(500*WWWW[[#This Row],['# Hygiene Promoters ]]&gt;WWWW[[#This Row],[Total PoP ]],WWWW[[#This Row],[Total PoP ]],500*WWWW[[#This Row],['# Hygiene Promoters ]])</f>
        <v>0</v>
      </c>
      <c r="BS352" s="405">
        <f>IF(WWWW[[#This Row],[% of HH with access to Sanitary Pad]]&gt;=100%,1,0)</f>
        <v>0</v>
      </c>
      <c r="BT352" s="405">
        <f>IF(WWWW[[#This Row],[Total PoP ]]=0,0,IF(WWWW[[#This Row],['# Hygiene Promoters ]]=0,0,IF(WWWW[[#This Row],[Location Type 1]]="Village",IF(WWWW[[#This Row],[Total PoP ]]/WWWW[[#This Row],['# Hygiene Promoters ]]&lt;1000,1,0),IF(WWWW[[#This Row],[Total PoP ]]/WWWW[[#This Row],['# Hygiene Promoters ]]&lt;600,1,0))))</f>
        <v>0</v>
      </c>
      <c r="BU352" s="405">
        <f>IF(WWWW[[#This Row],[%HH with access to soap]]&gt;=100%,1,0)</f>
        <v>0</v>
      </c>
      <c r="BV352" s="405">
        <f>IF(WWWW[[#This Row],[% of HHs with access to Sanitary pad more than '#%]]+WWWW[[#This Row],[Ratio of Hyiene promoters to people less than '#]]+WWWW[[#This Row],[% of HHs with access to soap more than '#%]]&gt;=2,WWWW[[#This Row],[Total PoP ]],0)</f>
        <v>0</v>
      </c>
      <c r="BW352" s="391">
        <f>WWWW[[#This Row],['# people reached by regular dedicated hygiene promotion_5]]/WWWW[[#This Row],[Total PoP ]]</f>
        <v>0</v>
      </c>
      <c r="BX352" s="391">
        <f>IF(WWWW[[#This Row],['# HH received soaps]]/WWWW[[#This Row],[Total HH]]&gt;1,1,WWWW[[#This Row],['# HH received soaps]]/WWWW[[#This Row],[Total HH]])</f>
        <v>0</v>
      </c>
      <c r="BY352" s="391">
        <f>IF(WWWW[[#This Row],['# HH received Sanitary Pads]]/WWWW[[#This Row],[Total HH]]&gt;1,1,WWWW[[#This Row],['# HH received Sanitary Pads]]/WWWW[[#This Row],[Total HH]])</f>
        <v>0</v>
      </c>
      <c r="BZ352" s="721">
        <f>WWWW[[#This Row],['# HH received soaps]]*5</f>
        <v>0</v>
      </c>
      <c r="CA352" s="721">
        <f>WWWW[[#This Row],['# HH received Sanitary Pads]]*5</f>
        <v>0</v>
      </c>
      <c r="CB352" s="406">
        <f>IF(WWWW[[#This Row],['# People with access to soap]]&gt;WWWW[[#This Row],['# People with access to Sanity Pads]],WWWW[[#This Row],['# People with access to soap]],WWWW[[#This Row],['# People with access to Sanity Pads]])</f>
        <v>0</v>
      </c>
      <c r="CC352" s="405">
        <f>WWWW[[#This Row],[Total HH]]*WWWW[[#This Row],[%HHs with access to functional hand washing stations]]</f>
        <v>0</v>
      </c>
      <c r="CD352" s="240">
        <f>VLOOKUP(WWWW[[#This Row],[Site Name]],SiteDB6[],8,FALSE)</f>
        <v>0</v>
      </c>
      <c r="CE352" s="240">
        <f>VLOOKUP(WWWW[[#This Row],[Site Name]],SiteDB6[],9,FALSE)</f>
        <v>0</v>
      </c>
      <c r="CF352" s="240" t="str">
        <f>VLOOKUP(WWWW[[#This Row],[Site Name]],SiteDB6[],10,FALSE)</f>
        <v>Camp</v>
      </c>
      <c r="CG352" s="240" t="str">
        <f>VLOOKUP(WWWW[[#This Row],[Site Name]],SiteDB6[],11,FALSE)</f>
        <v>Camp</v>
      </c>
      <c r="CH352" s="240" t="str">
        <f>VLOOKUP(WWWW[[#This Row],[Site Name]],SiteDB6[],12,FALSE)</f>
        <v>Closed Camp</v>
      </c>
      <c r="CI352" s="240" t="str">
        <f>VLOOKUP(WWWW[[#This Row],[Site Name]],SiteDB6[],13,FALSE)</f>
        <v>NGCA</v>
      </c>
      <c r="CJ352" s="240">
        <f>VLOOKUP(WWWW[[#This Row],[Site Name]],SiteDB6[],14,FALSE)</f>
        <v>23.933098999999999</v>
      </c>
      <c r="CK352" s="240">
        <f>VLOOKUP(WWWW[[#This Row],[Site Name]],SiteDB6[],15,FALSE)</f>
        <v>98.139397000000002</v>
      </c>
      <c r="CL352" s="240" t="str">
        <f>VLOOKUP(WWWW[[#This Row],[Site Name]],SiteDB6[],4,FALSE)</f>
        <v>MMR015CMP139</v>
      </c>
      <c r="CM352" s="404" t="str">
        <f t="shared" si="5"/>
        <v>Covered</v>
      </c>
      <c r="CN352" s="404"/>
    </row>
    <row r="353" spans="1:92" ht="15.75" hidden="1" customHeight="1" x14ac:dyDescent="0.25">
      <c r="A353" s="532" t="s">
        <v>1409</v>
      </c>
      <c r="B353" s="530" t="s">
        <v>470</v>
      </c>
      <c r="C353" s="531" t="s">
        <v>878</v>
      </c>
      <c r="D353" s="531" t="s">
        <v>888</v>
      </c>
      <c r="E353" s="531" t="s">
        <v>924</v>
      </c>
      <c r="F353" s="402">
        <v>152</v>
      </c>
      <c r="G353" s="405">
        <v>779</v>
      </c>
      <c r="H353" s="402"/>
      <c r="I353" s="402"/>
      <c r="J353" s="403"/>
      <c r="K353" s="402"/>
      <c r="L353" s="402" t="s">
        <v>292</v>
      </c>
      <c r="M353" s="404">
        <v>0</v>
      </c>
      <c r="N353" s="404">
        <v>0</v>
      </c>
      <c r="O353" s="605"/>
      <c r="P353" s="606"/>
      <c r="Q353" s="606"/>
      <c r="R353" s="607"/>
      <c r="S353" s="607"/>
      <c r="T353" s="607"/>
      <c r="U353" s="607"/>
      <c r="V353" s="607"/>
      <c r="W353" s="607"/>
      <c r="X353" s="607"/>
      <c r="Y353" s="607"/>
      <c r="Z353" s="598">
        <v>0</v>
      </c>
      <c r="AA353" s="598"/>
      <c r="AB353" s="80"/>
      <c r="AC353" s="598"/>
      <c r="AD353" s="598" t="s">
        <v>296</v>
      </c>
      <c r="AE353" s="599" t="s">
        <v>296</v>
      </c>
      <c r="AF353" s="599"/>
      <c r="AG353" s="598"/>
      <c r="AH353" s="598"/>
      <c r="AI353" s="649"/>
      <c r="AJ353" s="650"/>
      <c r="AK353" s="650"/>
      <c r="AL353" s="645"/>
      <c r="AM353" s="645"/>
      <c r="AN353" s="600"/>
      <c r="AO353" s="600"/>
      <c r="AP353" s="600"/>
      <c r="AQ353" s="651"/>
      <c r="AR353" s="404" t="str">
        <f>IFERROR(WWWW[[#This Row],['# of Water passed at source]]/WWWW[[#This Row],['# of Water tested at source]],"no test")</f>
        <v>no test</v>
      </c>
      <c r="AS353" s="407" t="str">
        <f>IFERROR(WWWW[[#This Row],['# of Water passed at HH]]/WWWW[[#This Row],['# of Water tested at HH]],"no test")</f>
        <v>no test</v>
      </c>
      <c r="AT353" s="407">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U353" s="407">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AV353" s="407">
        <f>IF(WWWW[[#This Row],[Location Type 1]]="Village",WWWW[[#This Row],[Access to safe drinking water for Village]],WWWW[[#This Row],[Access to safe drinking water for Camp]])</f>
        <v>0</v>
      </c>
      <c r="AW353" s="405">
        <f>WWWW[[#This Row],[%Equitable and continuous access to sufficient quantity of safe drinking water]]*WWWW[[#This Row],[Total PoP ]]</f>
        <v>0</v>
      </c>
      <c r="AX353" s="407">
        <f>IF((WWWW[[#This Row],['# Existing protected/fenced ponds ]]*250)/WWWW[[#This Row],[Total PoP ]]&gt;1,1,WWWW[[#This Row],['# Existing protected/fenced ponds ]]*250/WWWW[[#This Row],[Total PoP ]])</f>
        <v>0</v>
      </c>
      <c r="AY353" s="405">
        <f>WWWW[[#This Row],[Access to unimproved water points]]*WWWW[[#This Row],[Total PoP ]]</f>
        <v>0</v>
      </c>
      <c r="AZ353" s="407">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A353" s="405">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B353" s="405">
        <f>WWWW[[#This Row],['#people Equitable and continuous access to sufficient quantity of domestic water borehole n ponds_2]]/500</f>
        <v>0</v>
      </c>
      <c r="BC353" s="404">
        <f>1-WWWW[[#This Row],[%Equitable and continuous access to sufficient quantity of domestic water borehole n ponds]]</f>
        <v>1</v>
      </c>
      <c r="BD353" s="405">
        <f>WWWW[[#This Row],[%equitable and continuous access to sufficient quantity of safe drinking and domestic water''s GAP]]*WWWW[[#This Row],[Total PoP ]]</f>
        <v>779</v>
      </c>
      <c r="BE353" s="406">
        <f>IF(WWWW[[#This Row],[Total required water points]]-WWWW[[#This Row],['#Water points coverage]]&lt;0,0,WWWW[[#This Row],[Total required water points]]-WWWW[[#This Row],['#Water points coverage]])</f>
        <v>2</v>
      </c>
      <c r="BF353" s="406">
        <f>ROUND(IF(WWWW[[#This Row],[Total PoP ]]&lt;500,1,WWWW[[#This Row],[Total PoP ]]/500),0)</f>
        <v>2</v>
      </c>
      <c r="BG353" s="406" t="str">
        <f>IF(AND(WWWW[[#This Row],[%of Water samples which passed at water source]]="no test",WWWW[[#This Row],[%Water samples which passed at HH]]="no test"),"No Test","Tested")</f>
        <v>No Test</v>
      </c>
      <c r="BH353" s="406">
        <f>WWWW[[#This Row],['# Existing functional latrines]]+WWWW[[#This Row],['# Existing latrines dysfunctional]]</f>
        <v>0</v>
      </c>
      <c r="BI353" s="404">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J353" s="676">
        <f>WWWW[[#This Row],[% people access to functioning Latrine]]*WWWW[[#This Row],[Total PoP ]]</f>
        <v>0</v>
      </c>
      <c r="BK353" s="404">
        <f>IF(WWWW[[#This Row],[Location Type 1]]="camp",WWWW[[#This Row],['# potential required new latrines]]/(WWWW[[#This Row],[Total PoP ]]/20),WWWW[[#This Row],['# potential required new latrines]]/(WWWW[[#This Row],[Total PoP ]]/6))</f>
        <v>1.0012836970474968</v>
      </c>
      <c r="BL353" s="405">
        <f>IF(WWWW[[#This Row],[Total required Latrines]]-WWWW[[#This Row],[Total '# of latrine]]&lt;0,0,WWWW[[#This Row],[Total required Latrines]]-WWWW[[#This Row],[Total '# of latrine]])</f>
        <v>39</v>
      </c>
      <c r="BM353" s="406">
        <f>ROUND(IF(WWWW[[#This Row],[Location Type 1]]="camp",WWWW[[#This Row],[Total PoP ]]/20,WWWW[[#This Row],[Total PoP ]]/6),0)</f>
        <v>39</v>
      </c>
      <c r="BN353" s="408">
        <f>IF(OR(WWWW[[#This Row],['# Existing latrines dysfunctional]]="",WWWW[[#This Row],['# Existing latrines dysfunctional]]=0),0,WWWW[[#This Row],['# Existing latrines dysfunctional]]/WWWW[[#This Row],[Total '# of latrine]])</f>
        <v>0</v>
      </c>
      <c r="BO353" s="676">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P353" s="404">
        <f>WWWW[[#This Row],[People adopt basic personal and community hygiene practices]]/WWWW[[#This Row],[Total PoP ]]</f>
        <v>0</v>
      </c>
      <c r="BQ353" s="408">
        <f>1-WWWW[[#This Row],[Hygiene Coverage%]]</f>
        <v>1</v>
      </c>
      <c r="BR353" s="405">
        <f>IF(500*WWWW[[#This Row],['# Hygiene Promoters ]]&gt;WWWW[[#This Row],[Total PoP ]],WWWW[[#This Row],[Total PoP ]],500*WWWW[[#This Row],['# Hygiene Promoters ]])</f>
        <v>0</v>
      </c>
      <c r="BS353" s="405">
        <f>IF(WWWW[[#This Row],[% of HH with access to Sanitary Pad]]&gt;=100%,1,0)</f>
        <v>0</v>
      </c>
      <c r="BT353" s="405">
        <f>IF(WWWW[[#This Row],[Total PoP ]]=0,0,IF(WWWW[[#This Row],['# Hygiene Promoters ]]=0,0,IF(WWWW[[#This Row],[Location Type 1]]="Village",IF(WWWW[[#This Row],[Total PoP ]]/WWWW[[#This Row],['# Hygiene Promoters ]]&lt;1000,1,0),IF(WWWW[[#This Row],[Total PoP ]]/WWWW[[#This Row],['# Hygiene Promoters ]]&lt;600,1,0))))</f>
        <v>0</v>
      </c>
      <c r="BU353" s="405">
        <f>IF(WWWW[[#This Row],[%HH with access to soap]]&gt;=100%,1,0)</f>
        <v>0</v>
      </c>
      <c r="BV353" s="405">
        <f>IF(WWWW[[#This Row],[% of HHs with access to Sanitary pad more than '#%]]+WWWW[[#This Row],[Ratio of Hyiene promoters to people less than '#]]+WWWW[[#This Row],[% of HHs with access to soap more than '#%]]&gt;=2,WWWW[[#This Row],[Total PoP ]],0)</f>
        <v>0</v>
      </c>
      <c r="BW353" s="391">
        <f>WWWW[[#This Row],['# people reached by regular dedicated hygiene promotion_5]]/WWWW[[#This Row],[Total PoP ]]</f>
        <v>0</v>
      </c>
      <c r="BX353" s="391">
        <f>IF(WWWW[[#This Row],['# HH received soaps]]/WWWW[[#This Row],[Total HH]]&gt;1,1,WWWW[[#This Row],['# HH received soaps]]/WWWW[[#This Row],[Total HH]])</f>
        <v>0</v>
      </c>
      <c r="BY353" s="391">
        <f>IF(WWWW[[#This Row],['# HH received Sanitary Pads]]/WWWW[[#This Row],[Total HH]]&gt;1,1,WWWW[[#This Row],['# HH received Sanitary Pads]]/WWWW[[#This Row],[Total HH]])</f>
        <v>0</v>
      </c>
      <c r="BZ353" s="721">
        <f>WWWW[[#This Row],['# HH received soaps]]*5</f>
        <v>0</v>
      </c>
      <c r="CA353" s="721">
        <f>WWWW[[#This Row],['# HH received Sanitary Pads]]*5</f>
        <v>0</v>
      </c>
      <c r="CB353" s="406">
        <f>IF(WWWW[[#This Row],['# People with access to soap]]&gt;WWWW[[#This Row],['# People with access to Sanity Pads]],WWWW[[#This Row],['# People with access to soap]],WWWW[[#This Row],['# People with access to Sanity Pads]])</f>
        <v>0</v>
      </c>
      <c r="CC353" s="405">
        <f>WWWW[[#This Row],[Total HH]]*WWWW[[#This Row],[%HHs with access to functional hand washing stations]]</f>
        <v>0</v>
      </c>
      <c r="CD353" s="240" t="str">
        <f>VLOOKUP(WWWW[[#This Row],[Site Name]],SiteDB6[],8,FALSE)</f>
        <v>Yes</v>
      </c>
      <c r="CE353" s="240" t="str">
        <f>VLOOKUP(WWWW[[#This Row],[Site Name]],SiteDB6[],9,FALSE)</f>
        <v>KBC</v>
      </c>
      <c r="CF353" s="240" t="str">
        <f>VLOOKUP(WWWW[[#This Row],[Site Name]],SiteDB6[],10,FALSE)</f>
        <v>Camp</v>
      </c>
      <c r="CG353" s="240" t="str">
        <f>VLOOKUP(WWWW[[#This Row],[Site Name]],SiteDB6[],11,FALSE)</f>
        <v>Camp</v>
      </c>
      <c r="CH353" s="240" t="str">
        <f>VLOOKUP(WWWW[[#This Row],[Site Name]],SiteDB6[],12,FALSE)</f>
        <v>Camp like setting</v>
      </c>
      <c r="CI353" s="240" t="str">
        <f>VLOOKUP(WWWW[[#This Row],[Site Name]],SiteDB6[],13,FALSE)</f>
        <v>GCA</v>
      </c>
      <c r="CJ353" s="240">
        <f>VLOOKUP(WWWW[[#This Row],[Site Name]],SiteDB6[],14,FALSE)</f>
        <v>24.08738</v>
      </c>
      <c r="CK353" s="240">
        <f>VLOOKUP(WWWW[[#This Row],[Site Name]],SiteDB6[],15,FALSE)</f>
        <v>98.115809999999996</v>
      </c>
      <c r="CL353" s="240" t="str">
        <f>VLOOKUP(WWWW[[#This Row],[Site Name]],SiteDB6[],4,FALSE)</f>
        <v>MMR015CMP247</v>
      </c>
      <c r="CM353" s="404" t="str">
        <f t="shared" si="5"/>
        <v>Notcovered</v>
      </c>
      <c r="CN353" s="404"/>
    </row>
    <row r="354" spans="1:92" ht="15.75" hidden="1" customHeight="1" x14ac:dyDescent="0.25">
      <c r="A354" s="548" t="s">
        <v>1409</v>
      </c>
      <c r="B354" s="530" t="s">
        <v>470</v>
      </c>
      <c r="C354" s="530" t="s">
        <v>878</v>
      </c>
      <c r="D354" s="530" t="s">
        <v>925</v>
      </c>
      <c r="E354" s="530" t="s">
        <v>926</v>
      </c>
      <c r="F354" s="402">
        <v>37</v>
      </c>
      <c r="G354" s="405">
        <v>120</v>
      </c>
      <c r="H354" s="402"/>
      <c r="I354" s="402"/>
      <c r="J354" s="403"/>
      <c r="K354" s="402"/>
      <c r="L354" s="402" t="s">
        <v>292</v>
      </c>
      <c r="M354" s="404">
        <v>0</v>
      </c>
      <c r="N354" s="404">
        <v>0</v>
      </c>
      <c r="O354" s="605"/>
      <c r="P354" s="606"/>
      <c r="Q354" s="606"/>
      <c r="R354" s="607"/>
      <c r="S354" s="607"/>
      <c r="T354" s="607"/>
      <c r="U354" s="607"/>
      <c r="V354" s="607"/>
      <c r="W354" s="607"/>
      <c r="X354" s="607"/>
      <c r="Y354" s="607"/>
      <c r="Z354" s="598">
        <v>0</v>
      </c>
      <c r="AA354" s="598"/>
      <c r="AB354" s="80"/>
      <c r="AC354" s="598"/>
      <c r="AD354" s="598" t="s">
        <v>296</v>
      </c>
      <c r="AE354" s="599" t="s">
        <v>296</v>
      </c>
      <c r="AF354" s="599"/>
      <c r="AG354" s="598"/>
      <c r="AH354" s="598"/>
      <c r="AI354" s="649"/>
      <c r="AJ354" s="650"/>
      <c r="AK354" s="650"/>
      <c r="AL354" s="645"/>
      <c r="AM354" s="645"/>
      <c r="AN354" s="600"/>
      <c r="AO354" s="600"/>
      <c r="AP354" s="600"/>
      <c r="AQ354" s="651"/>
      <c r="AR354" s="404" t="str">
        <f>IFERROR(WWWW[[#This Row],['# of Water passed at source]]/WWWW[[#This Row],['# of Water tested at source]],"no test")</f>
        <v>no test</v>
      </c>
      <c r="AS354" s="407" t="str">
        <f>IFERROR(WWWW[[#This Row],['# of Water passed at HH]]/WWWW[[#This Row],['# of Water tested at HH]],"no test")</f>
        <v>no test</v>
      </c>
      <c r="AT354" s="237">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U354" s="407">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AV354" s="407">
        <f>IF(WWWW[[#This Row],[Location Type 1]]="Village",WWWW[[#This Row],[Access to safe drinking water for Village]],WWWW[[#This Row],[Access to safe drinking water for Camp]])</f>
        <v>0</v>
      </c>
      <c r="AW354" s="405">
        <f>WWWW[[#This Row],[%Equitable and continuous access to sufficient quantity of safe drinking water]]*WWWW[[#This Row],[Total PoP ]]</f>
        <v>0</v>
      </c>
      <c r="AX354" s="407">
        <f>IF((WWWW[[#This Row],['# Existing protected/fenced ponds ]]*250)/WWWW[[#This Row],[Total PoP ]]&gt;1,1,WWWW[[#This Row],['# Existing protected/fenced ponds ]]*250/WWWW[[#This Row],[Total PoP ]])</f>
        <v>0</v>
      </c>
      <c r="AY354" s="405">
        <f>WWWW[[#This Row],[Access to unimproved water points]]*WWWW[[#This Row],[Total PoP ]]</f>
        <v>0</v>
      </c>
      <c r="AZ354" s="407">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A354" s="405">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B354" s="405">
        <f>WWWW[[#This Row],['#people Equitable and continuous access to sufficient quantity of domestic water borehole n ponds_2]]/500</f>
        <v>0</v>
      </c>
      <c r="BC354" s="404">
        <f>1-WWWW[[#This Row],[%Equitable and continuous access to sufficient quantity of domestic water borehole n ponds]]</f>
        <v>1</v>
      </c>
      <c r="BD354" s="405">
        <f>WWWW[[#This Row],[%equitable and continuous access to sufficient quantity of safe drinking and domestic water''s GAP]]*WWWW[[#This Row],[Total PoP ]]</f>
        <v>120</v>
      </c>
      <c r="BE354" s="406">
        <f>IF(WWWW[[#This Row],[Total required water points]]-WWWW[[#This Row],['#Water points coverage]]&lt;0,0,WWWW[[#This Row],[Total required water points]]-WWWW[[#This Row],['#Water points coverage]])</f>
        <v>1</v>
      </c>
      <c r="BF354" s="406">
        <f>ROUND(IF(WWWW[[#This Row],[Total PoP ]]&lt;500,1,WWWW[[#This Row],[Total PoP ]]/500),0)</f>
        <v>1</v>
      </c>
      <c r="BG354" s="406" t="str">
        <f>IF(AND(WWWW[[#This Row],[%of Water samples which passed at water source]]="no test",WWWW[[#This Row],[%Water samples which passed at HH]]="no test"),"No Test","Tested")</f>
        <v>No Test</v>
      </c>
      <c r="BH354" s="406">
        <f>WWWW[[#This Row],['# Existing functional latrines]]+WWWW[[#This Row],['# Existing latrines dysfunctional]]</f>
        <v>0</v>
      </c>
      <c r="BI354" s="404">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J354" s="676">
        <f>WWWW[[#This Row],[% people access to functioning Latrine]]*WWWW[[#This Row],[Total PoP ]]</f>
        <v>0</v>
      </c>
      <c r="BK354" s="404">
        <f>IF(WWWW[[#This Row],[Location Type 1]]="camp",WWWW[[#This Row],['# potential required new latrines]]/(WWWW[[#This Row],[Total PoP ]]/20),WWWW[[#This Row],['# potential required new latrines]]/(WWWW[[#This Row],[Total PoP ]]/6))</f>
        <v>1</v>
      </c>
      <c r="BL354" s="405">
        <f>IF(WWWW[[#This Row],[Total required Latrines]]-WWWW[[#This Row],[Total '# of latrine]]&lt;0,0,WWWW[[#This Row],[Total required Latrines]]-WWWW[[#This Row],[Total '# of latrine]])</f>
        <v>6</v>
      </c>
      <c r="BM354" s="406">
        <f>ROUND(IF(WWWW[[#This Row],[Location Type 1]]="camp",WWWW[[#This Row],[Total PoP ]]/20,WWWW[[#This Row],[Total PoP ]]/6),0)</f>
        <v>6</v>
      </c>
      <c r="BN354" s="408">
        <f>IF(OR(WWWW[[#This Row],['# Existing latrines dysfunctional]]="",WWWW[[#This Row],['# Existing latrines dysfunctional]]=0),0,WWWW[[#This Row],['# Existing latrines dysfunctional]]/WWWW[[#This Row],[Total '# of latrine]])</f>
        <v>0</v>
      </c>
      <c r="BO354" s="676">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P354" s="404">
        <f>WWWW[[#This Row],[People adopt basic personal and community hygiene practices]]/WWWW[[#This Row],[Total PoP ]]</f>
        <v>0</v>
      </c>
      <c r="BQ354" s="408">
        <f>1-WWWW[[#This Row],[Hygiene Coverage%]]</f>
        <v>1</v>
      </c>
      <c r="BR354" s="405">
        <f>IF(500*WWWW[[#This Row],['# Hygiene Promoters ]]&gt;WWWW[[#This Row],[Total PoP ]],WWWW[[#This Row],[Total PoP ]],500*WWWW[[#This Row],['# Hygiene Promoters ]])</f>
        <v>0</v>
      </c>
      <c r="BS354" s="405">
        <f>IF(WWWW[[#This Row],[% of HH with access to Sanitary Pad]]&gt;=100%,1,0)</f>
        <v>0</v>
      </c>
      <c r="BT354" s="405">
        <f>IF(WWWW[[#This Row],[Total PoP ]]=0,0,IF(WWWW[[#This Row],['# Hygiene Promoters ]]=0,0,IF(WWWW[[#This Row],[Location Type 1]]="Village",IF(WWWW[[#This Row],[Total PoP ]]/WWWW[[#This Row],['# Hygiene Promoters ]]&lt;1000,1,0),IF(WWWW[[#This Row],[Total PoP ]]/WWWW[[#This Row],['# Hygiene Promoters ]]&lt;600,1,0))))</f>
        <v>0</v>
      </c>
      <c r="BU354" s="405">
        <f>IF(WWWW[[#This Row],[%HH with access to soap]]&gt;=100%,1,0)</f>
        <v>0</v>
      </c>
      <c r="BV354" s="405">
        <f>IF(WWWW[[#This Row],[% of HHs with access to Sanitary pad more than '#%]]+WWWW[[#This Row],[Ratio of Hyiene promoters to people less than '#]]+WWWW[[#This Row],[% of HHs with access to soap more than '#%]]&gt;=2,WWWW[[#This Row],[Total PoP ]],0)</f>
        <v>0</v>
      </c>
      <c r="BW354" s="391">
        <f>WWWW[[#This Row],['# people reached by regular dedicated hygiene promotion_5]]/WWWW[[#This Row],[Total PoP ]]</f>
        <v>0</v>
      </c>
      <c r="BX354" s="391">
        <f>IF(WWWW[[#This Row],['# HH received soaps]]/WWWW[[#This Row],[Total HH]]&gt;1,1,WWWW[[#This Row],['# HH received soaps]]/WWWW[[#This Row],[Total HH]])</f>
        <v>0</v>
      </c>
      <c r="BY354" s="391">
        <f>IF(WWWW[[#This Row],['# HH received Sanitary Pads]]/WWWW[[#This Row],[Total HH]]&gt;1,1,WWWW[[#This Row],['# HH received Sanitary Pads]]/WWWW[[#This Row],[Total HH]])</f>
        <v>0</v>
      </c>
      <c r="BZ354" s="721">
        <f>WWWW[[#This Row],['# HH received soaps]]*5</f>
        <v>0</v>
      </c>
      <c r="CA354" s="721">
        <f>WWWW[[#This Row],['# HH received Sanitary Pads]]*5</f>
        <v>0</v>
      </c>
      <c r="CB354" s="406">
        <f>IF(WWWW[[#This Row],['# People with access to soap]]&gt;WWWW[[#This Row],['# People with access to Sanity Pads]],WWWW[[#This Row],['# People with access to soap]],WWWW[[#This Row],['# People with access to Sanity Pads]])</f>
        <v>0</v>
      </c>
      <c r="CC354" s="405">
        <f>WWWW[[#This Row],[Total HH]]*WWWW[[#This Row],[%HHs with access to functional hand washing stations]]</f>
        <v>0</v>
      </c>
      <c r="CD354" s="240">
        <f>VLOOKUP(WWWW[[#This Row],[Site Name]],SiteDB6[],8,FALSE)</f>
        <v>0</v>
      </c>
      <c r="CE354" s="240">
        <f>VLOOKUP(WWWW[[#This Row],[Site Name]],SiteDB6[],9,FALSE)</f>
        <v>0</v>
      </c>
      <c r="CF354" s="240" t="str">
        <f>VLOOKUP(WWWW[[#This Row],[Site Name]],SiteDB6[],10,FALSE)</f>
        <v>Camp</v>
      </c>
      <c r="CG354" s="240" t="str">
        <f>VLOOKUP(WWWW[[#This Row],[Site Name]],SiteDB6[],11,FALSE)</f>
        <v>Camp</v>
      </c>
      <c r="CH354" s="240" t="str">
        <f>VLOOKUP(WWWW[[#This Row],[Site Name]],SiteDB6[],12,FALSE)</f>
        <v>Camp like setting</v>
      </c>
      <c r="CI354" s="240" t="str">
        <f>VLOOKUP(WWWW[[#This Row],[Site Name]],SiteDB6[],13,FALSE)</f>
        <v>GCA</v>
      </c>
      <c r="CJ354" s="240">
        <f>VLOOKUP(WWWW[[#This Row],[Site Name]],SiteDB6[],14,FALSE)</f>
        <v>22.677008000000001</v>
      </c>
      <c r="CK354" s="240">
        <f>VLOOKUP(WWWW[[#This Row],[Site Name]],SiteDB6[],15,FALSE)</f>
        <v>97.314762999999999</v>
      </c>
      <c r="CL354" s="240" t="str">
        <f>VLOOKUP(WWWW[[#This Row],[Site Name]],SiteDB6[],4,FALSE)</f>
        <v>MMR015CMP244</v>
      </c>
      <c r="CM354" s="404" t="str">
        <f t="shared" si="5"/>
        <v>Notcovered</v>
      </c>
      <c r="CN354" s="404"/>
    </row>
    <row r="355" spans="1:92" ht="15.75" hidden="1" customHeight="1" x14ac:dyDescent="0.25">
      <c r="A355" s="548" t="s">
        <v>1409</v>
      </c>
      <c r="B355" s="533" t="s">
        <v>470</v>
      </c>
      <c r="C355" s="533" t="s">
        <v>878</v>
      </c>
      <c r="D355" s="533" t="s">
        <v>901</v>
      </c>
      <c r="E355" s="533" t="s">
        <v>927</v>
      </c>
      <c r="F355" s="233">
        <f>ROUND(WWWW[[#This Row],[Total PoP ]]/5,0)</f>
        <v>78</v>
      </c>
      <c r="G355" s="414">
        <v>392</v>
      </c>
      <c r="H355" s="233"/>
      <c r="I355" s="233"/>
      <c r="J355" s="234"/>
      <c r="K355" s="233"/>
      <c r="L355" s="402" t="s">
        <v>292</v>
      </c>
      <c r="M355" s="404">
        <v>0</v>
      </c>
      <c r="N355" s="404">
        <v>0</v>
      </c>
      <c r="O355" s="609">
        <v>0</v>
      </c>
      <c r="P355" s="615">
        <v>0</v>
      </c>
      <c r="Q355" s="615"/>
      <c r="R355" s="604"/>
      <c r="S355" s="604">
        <v>0</v>
      </c>
      <c r="T355" s="604"/>
      <c r="U355" s="604"/>
      <c r="V355" s="604"/>
      <c r="W355" s="604"/>
      <c r="X355" s="604"/>
      <c r="Y355" s="604"/>
      <c r="Z355" s="628">
        <v>0</v>
      </c>
      <c r="AA355" s="628"/>
      <c r="AB355" s="629">
        <v>0</v>
      </c>
      <c r="AC355" s="628">
        <v>0</v>
      </c>
      <c r="AD355" s="628" t="s">
        <v>296</v>
      </c>
      <c r="AE355" s="631" t="s">
        <v>296</v>
      </c>
      <c r="AF355" s="631"/>
      <c r="AG355" s="628"/>
      <c r="AH355" s="628"/>
      <c r="AI355" s="659">
        <v>0</v>
      </c>
      <c r="AJ355" s="644"/>
      <c r="AK355" s="644">
        <v>1</v>
      </c>
      <c r="AL355" s="645"/>
      <c r="AM355" s="645"/>
      <c r="AN355" s="659"/>
      <c r="AO355" s="659"/>
      <c r="AP355" s="659"/>
      <c r="AQ355" s="658"/>
      <c r="AR355" s="235" t="str">
        <f>IFERROR(WWWW[[#This Row],['# of Water passed at source]]/WWWW[[#This Row],['# of Water tested at source]],"no test")</f>
        <v>no test</v>
      </c>
      <c r="AS355" s="237" t="str">
        <f>IFERROR(WWWW[[#This Row],['# of Water passed at HH]]/WWWW[[#This Row],['# of Water tested at HH]],"no test")</f>
        <v>no test</v>
      </c>
      <c r="AT355" s="237">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U355" s="237">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AV355" s="237">
        <f>IF(WWWW[[#This Row],[Location Type 1]]="Village",WWWW[[#This Row],[Access to safe drinking water for Village]],WWWW[[#This Row],[Access to safe drinking water for Camp]])</f>
        <v>0</v>
      </c>
      <c r="AW355" s="414">
        <f>WWWW[[#This Row],[%Equitable and continuous access to sufficient quantity of safe drinking water]]*WWWW[[#This Row],[Total PoP ]]</f>
        <v>0</v>
      </c>
      <c r="AX355" s="237">
        <f>IF((WWWW[[#This Row],['# Existing protected/fenced ponds ]]*250)/WWWW[[#This Row],[Total PoP ]]&gt;1,1,WWWW[[#This Row],['# Existing protected/fenced ponds ]]*250/WWWW[[#This Row],[Total PoP ]])</f>
        <v>0</v>
      </c>
      <c r="AY355" s="414">
        <f>WWWW[[#This Row],[Access to unimproved water points]]*WWWW[[#This Row],[Total PoP ]]</f>
        <v>0</v>
      </c>
      <c r="AZ355" s="237">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A355" s="414">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B355" s="414">
        <f>WWWW[[#This Row],['#people Equitable and continuous access to sufficient quantity of domestic water borehole n ponds_2]]/500</f>
        <v>0</v>
      </c>
      <c r="BC355" s="235">
        <f>1-WWWW[[#This Row],[%Equitable and continuous access to sufficient quantity of domestic water borehole n ponds]]</f>
        <v>1</v>
      </c>
      <c r="BD355" s="414">
        <f>WWWW[[#This Row],[%equitable and continuous access to sufficient quantity of safe drinking and domestic water''s GAP]]*WWWW[[#This Row],[Total PoP ]]</f>
        <v>392</v>
      </c>
      <c r="BE355" s="238">
        <f>IF(WWWW[[#This Row],[Total required water points]]-WWWW[[#This Row],['#Water points coverage]]&lt;0,0,WWWW[[#This Row],[Total required water points]]-WWWW[[#This Row],['#Water points coverage]])</f>
        <v>1</v>
      </c>
      <c r="BF355" s="238">
        <f>ROUND(IF(WWWW[[#This Row],[Total PoP ]]&lt;500,1,WWWW[[#This Row],[Total PoP ]]/500),0)</f>
        <v>1</v>
      </c>
      <c r="BG355" s="238" t="str">
        <f>IF(AND(WWWW[[#This Row],[%of Water samples which passed at water source]]="no test",WWWW[[#This Row],[%Water samples which passed at HH]]="no test"),"No Test","Tested")</f>
        <v>No Test</v>
      </c>
      <c r="BH355" s="238">
        <f>WWWW[[#This Row],['# Existing functional latrines]]+WWWW[[#This Row],['# Existing latrines dysfunctional]]</f>
        <v>0</v>
      </c>
      <c r="BI355" s="235">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J355" s="675">
        <f>WWWW[[#This Row],[% people access to functioning Latrine]]*WWWW[[#This Row],[Total PoP ]]</f>
        <v>0</v>
      </c>
      <c r="BK355" s="235">
        <f>IF(WWWW[[#This Row],[Location Type 1]]="camp",WWWW[[#This Row],['# potential required new latrines]]/(WWWW[[#This Row],[Total PoP ]]/20),WWWW[[#This Row],['# potential required new latrines]]/(WWWW[[#This Row],[Total PoP ]]/6))</f>
        <v>0.99489795918367352</v>
      </c>
      <c r="BL355" s="414">
        <f>IF(WWWW[[#This Row],[Total required Latrines]]-WWWW[[#This Row],[Total '# of latrine]]&lt;0,0,WWWW[[#This Row],[Total required Latrines]]-WWWW[[#This Row],[Total '# of latrine]])</f>
        <v>65</v>
      </c>
      <c r="BM355" s="238">
        <f>ROUND(IF(WWWW[[#This Row],[Location Type 1]]="camp",WWWW[[#This Row],[Total PoP ]]/20,WWWW[[#This Row],[Total PoP ]]/6),0)</f>
        <v>65</v>
      </c>
      <c r="BN355" s="239">
        <f>IF(OR(WWWW[[#This Row],['# Existing latrines dysfunctional]]="",WWWW[[#This Row],['# Existing latrines dysfunctional]]=0),0,WWWW[[#This Row],['# Existing latrines dysfunctional]]/WWWW[[#This Row],[Total '# of latrine]])</f>
        <v>0</v>
      </c>
      <c r="BO355" s="675">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P355" s="235">
        <f>WWWW[[#This Row],[People adopt basic personal and community hygiene practices]]/WWWW[[#This Row],[Total PoP ]]</f>
        <v>0</v>
      </c>
      <c r="BQ355" s="239">
        <f>1-WWWW[[#This Row],[Hygiene Coverage%]]</f>
        <v>1</v>
      </c>
      <c r="BR355" s="414">
        <f>IF(500*WWWW[[#This Row],['# Hygiene Promoters ]]&gt;WWWW[[#This Row],[Total PoP ]],WWWW[[#This Row],[Total PoP ]],500*WWWW[[#This Row],['# Hygiene Promoters ]])</f>
        <v>0</v>
      </c>
      <c r="BS355" s="414">
        <f>IF(WWWW[[#This Row],[% of HH with access to Sanitary Pad]]&gt;=100%,1,0)</f>
        <v>0</v>
      </c>
      <c r="BT355" s="414">
        <f>IF(WWWW[[#This Row],[Total PoP ]]=0,0,IF(WWWW[[#This Row],['# Hygiene Promoters ]]=0,0,IF(WWWW[[#This Row],[Location Type 1]]="Village",IF(WWWW[[#This Row],[Total PoP ]]/WWWW[[#This Row],['# Hygiene Promoters ]]&lt;1000,1,0),IF(WWWW[[#This Row],[Total PoP ]]/WWWW[[#This Row],['# Hygiene Promoters ]]&lt;600,1,0))))</f>
        <v>0</v>
      </c>
      <c r="BU355" s="414">
        <f>IF(WWWW[[#This Row],[%HH with access to soap]]&gt;=100%,1,0)</f>
        <v>0</v>
      </c>
      <c r="BV355" s="414">
        <f>IF(WWWW[[#This Row],[% of HHs with access to Sanitary pad more than '#%]]+WWWW[[#This Row],[Ratio of Hyiene promoters to people less than '#]]+WWWW[[#This Row],[% of HHs with access to soap more than '#%]]&gt;=2,WWWW[[#This Row],[Total PoP ]],0)</f>
        <v>0</v>
      </c>
      <c r="BW355" s="346">
        <f>WWWW[[#This Row],['# people reached by regular dedicated hygiene promotion_5]]/WWWW[[#This Row],[Total PoP ]]</f>
        <v>0</v>
      </c>
      <c r="BX355" s="346">
        <f>IF(WWWW[[#This Row],['# HH received soaps]]/WWWW[[#This Row],[Total HH]]&gt;1,1,WWWW[[#This Row],['# HH received soaps]]/WWWW[[#This Row],[Total HH]])</f>
        <v>0</v>
      </c>
      <c r="BY355" s="346">
        <f>IF(WWWW[[#This Row],['# HH received Sanitary Pads]]/WWWW[[#This Row],[Total HH]]&gt;1,1,WWWW[[#This Row],['# HH received Sanitary Pads]]/WWWW[[#This Row],[Total HH]])</f>
        <v>0</v>
      </c>
      <c r="BZ355" s="720">
        <f>WWWW[[#This Row],['# HH received soaps]]*5</f>
        <v>0</v>
      </c>
      <c r="CA355" s="720">
        <f>WWWW[[#This Row],['# HH received Sanitary Pads]]*5</f>
        <v>0</v>
      </c>
      <c r="CB355" s="238">
        <f>IF(WWWW[[#This Row],['# People with access to soap]]&gt;WWWW[[#This Row],['# People with access to Sanity Pads]],WWWW[[#This Row],['# People with access to soap]],WWWW[[#This Row],['# People with access to Sanity Pads]])</f>
        <v>0</v>
      </c>
      <c r="CC355" s="414">
        <f>WWWW[[#This Row],[Total HH]]*WWWW[[#This Row],[%HHs with access to functional hand washing stations]]</f>
        <v>0</v>
      </c>
      <c r="CD355" s="240">
        <f>VLOOKUP(WWWW[[#This Row],[Site Name]],SiteDB6[],8,FALSE)</f>
        <v>0</v>
      </c>
      <c r="CE355" s="240">
        <f>VLOOKUP(WWWW[[#This Row],[Site Name]],SiteDB6[],9,FALSE)</f>
        <v>0</v>
      </c>
      <c r="CF355" s="240" t="str">
        <f>VLOOKUP(WWWW[[#This Row],[Site Name]],SiteDB6[],10,FALSE)</f>
        <v>Camp</v>
      </c>
      <c r="CG355" s="240" t="str">
        <f>VLOOKUP(WWWW[[#This Row],[Site Name]],SiteDB6[],11,FALSE)</f>
        <v>Village Type Camp</v>
      </c>
      <c r="CH355" s="240" t="str">
        <f>VLOOKUP(WWWW[[#This Row],[Site Name]],SiteDB6[],12,FALSE)</f>
        <v>Host Families</v>
      </c>
      <c r="CI355" s="240" t="str">
        <f>VLOOKUP(WWWW[[#This Row],[Site Name]],SiteDB6[],13,FALSE)</f>
        <v>NGCA</v>
      </c>
      <c r="CJ355" s="240">
        <f>VLOOKUP(WWWW[[#This Row],[Site Name]],SiteDB6[],14,FALSE)</f>
        <v>23.372409999999999</v>
      </c>
      <c r="CK355" s="240">
        <f>VLOOKUP(WWWW[[#This Row],[Site Name]],SiteDB6[],15,FALSE)</f>
        <v>98.352670000000003</v>
      </c>
      <c r="CL355" s="240" t="str">
        <f>VLOOKUP(WWWW[[#This Row],[Site Name]],SiteDB6[],4,FALSE)</f>
        <v>MMR015CMP207</v>
      </c>
      <c r="CM355" s="235" t="str">
        <f t="shared" si="5"/>
        <v>Notcovered</v>
      </c>
      <c r="CN355" s="235"/>
    </row>
    <row r="356" spans="1:92" ht="15.75" customHeight="1" x14ac:dyDescent="0.25">
      <c r="A356" s="532" t="s">
        <v>1409</v>
      </c>
      <c r="B356" s="533" t="s">
        <v>297</v>
      </c>
      <c r="C356" s="533" t="s">
        <v>878</v>
      </c>
      <c r="D356" s="533" t="s">
        <v>888</v>
      </c>
      <c r="E356" s="533" t="s">
        <v>928</v>
      </c>
      <c r="F356" s="233">
        <v>154</v>
      </c>
      <c r="G356" s="414">
        <v>779</v>
      </c>
      <c r="H356" s="233"/>
      <c r="I356" s="233" t="s">
        <v>2220</v>
      </c>
      <c r="J356" s="234">
        <v>43799</v>
      </c>
      <c r="K356" s="233">
        <v>0</v>
      </c>
      <c r="L356" s="233" t="s">
        <v>48</v>
      </c>
      <c r="M356" s="235">
        <v>0.5</v>
      </c>
      <c r="N356" s="235">
        <v>0.8</v>
      </c>
      <c r="O356" s="609">
        <v>0</v>
      </c>
      <c r="P356" s="615">
        <v>1</v>
      </c>
      <c r="Q356" s="615"/>
      <c r="R356" s="604"/>
      <c r="S356" s="604">
        <v>0</v>
      </c>
      <c r="T356" s="604">
        <v>0</v>
      </c>
      <c r="U356" s="604">
        <v>0</v>
      </c>
      <c r="V356" s="604">
        <v>0</v>
      </c>
      <c r="W356" s="604">
        <v>0</v>
      </c>
      <c r="X356" s="604">
        <v>0</v>
      </c>
      <c r="Y356" s="604"/>
      <c r="Z356" s="628">
        <v>60</v>
      </c>
      <c r="AA356" s="628">
        <v>0</v>
      </c>
      <c r="AB356" s="629">
        <v>0</v>
      </c>
      <c r="AC356" s="628">
        <v>0</v>
      </c>
      <c r="AD356" s="628" t="s">
        <v>293</v>
      </c>
      <c r="AE356" s="631" t="s">
        <v>293</v>
      </c>
      <c r="AF356" s="631"/>
      <c r="AG356" s="628"/>
      <c r="AH356" s="628"/>
      <c r="AI356" s="659">
        <v>1</v>
      </c>
      <c r="AJ356" s="650" t="s">
        <v>386</v>
      </c>
      <c r="AK356" s="644">
        <v>0</v>
      </c>
      <c r="AL356" s="645">
        <v>11</v>
      </c>
      <c r="AM356" s="645">
        <v>3</v>
      </c>
      <c r="AN356" s="647">
        <v>0</v>
      </c>
      <c r="AO356" s="647">
        <v>0</v>
      </c>
      <c r="AP356" s="647"/>
      <c r="AQ356" s="658"/>
      <c r="AR356" s="235" t="str">
        <f>IFERROR(WWWW[[#This Row],['# of Water passed at source]]/WWWW[[#This Row],['# of Water tested at source]],"no test")</f>
        <v>no test</v>
      </c>
      <c r="AS356" s="237" t="str">
        <f>IFERROR(WWWW[[#This Row],['# of Water passed at HH]]/WWWW[[#This Row],['# of Water tested at HH]],"no test")</f>
        <v>no test</v>
      </c>
      <c r="AT356" s="237">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U356" s="237">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0.3209242618741977</v>
      </c>
      <c r="AV356" s="237">
        <f>IF(WWWW[[#This Row],[Location Type 1]]="Village",WWWW[[#This Row],[Access to safe drinking water for Village]],WWWW[[#This Row],[Access to safe drinking water for Camp]])</f>
        <v>1</v>
      </c>
      <c r="AW356" s="414">
        <f>WWWW[[#This Row],[%Equitable and continuous access to sufficient quantity of safe drinking water]]*WWWW[[#This Row],[Total PoP ]]</f>
        <v>779</v>
      </c>
      <c r="AX356" s="237">
        <f>IF((WWWW[[#This Row],['# Existing protected/fenced ponds ]]*250)/WWWW[[#This Row],[Total PoP ]]&gt;1,1,WWWW[[#This Row],['# Existing protected/fenced ponds ]]*250/WWWW[[#This Row],[Total PoP ]])</f>
        <v>0</v>
      </c>
      <c r="AY356" s="414">
        <f>WWWW[[#This Row],[Access to unimproved water points]]*WWWW[[#This Row],[Total PoP ]]</f>
        <v>0</v>
      </c>
      <c r="AZ356" s="237">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A356" s="414">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779</v>
      </c>
      <c r="BB356" s="414">
        <f>WWWW[[#This Row],['#people Equitable and continuous access to sufficient quantity of domestic water borehole n ponds_2]]/500</f>
        <v>1.5580000000000001</v>
      </c>
      <c r="BC356" s="235">
        <f>1-WWWW[[#This Row],[%Equitable and continuous access to sufficient quantity of domestic water borehole n ponds]]</f>
        <v>0</v>
      </c>
      <c r="BD356" s="414">
        <f>WWWW[[#This Row],[%equitable and continuous access to sufficient quantity of safe drinking and domestic water''s GAP]]*WWWW[[#This Row],[Total PoP ]]</f>
        <v>0</v>
      </c>
      <c r="BE356" s="238">
        <f>IF(WWWW[[#This Row],[Total required water points]]-WWWW[[#This Row],['#Water points coverage]]&lt;0,0,WWWW[[#This Row],[Total required water points]]-WWWW[[#This Row],['#Water points coverage]])</f>
        <v>0.44199999999999995</v>
      </c>
      <c r="BF356" s="238">
        <f>ROUND(IF(WWWW[[#This Row],[Total PoP ]]&lt;500,1,WWWW[[#This Row],[Total PoP ]]/500),0)</f>
        <v>2</v>
      </c>
      <c r="BG356" s="238" t="str">
        <f>IF(AND(WWWW[[#This Row],[%of Water samples which passed at water source]]="no test",WWWW[[#This Row],[%Water samples which passed at HH]]="no test"),"No Test","Tested")</f>
        <v>No Test</v>
      </c>
      <c r="BH356" s="238">
        <f>WWWW[[#This Row],['# Existing functional latrines]]+WWWW[[#This Row],['# Existing latrines dysfunctional]]</f>
        <v>60</v>
      </c>
      <c r="BI356" s="235">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1</v>
      </c>
      <c r="BJ356" s="675">
        <f>WWWW[[#This Row],[% people access to functioning Latrine]]*WWWW[[#This Row],[Total PoP ]]</f>
        <v>779</v>
      </c>
      <c r="BK356" s="235">
        <f>IF(WWWW[[#This Row],[Location Type 1]]="camp",WWWW[[#This Row],['# potential required new latrines]]/(WWWW[[#This Row],[Total PoP ]]/20),WWWW[[#This Row],['# potential required new latrines]]/(WWWW[[#This Row],[Total PoP ]]/6))</f>
        <v>0</v>
      </c>
      <c r="BL356" s="414">
        <f>IF(WWWW[[#This Row],[Total required Latrines]]-WWWW[[#This Row],[Total '# of latrine]]&lt;0,0,WWWW[[#This Row],[Total required Latrines]]-WWWW[[#This Row],[Total '# of latrine]])</f>
        <v>0</v>
      </c>
      <c r="BM356" s="238">
        <f>ROUND(IF(WWWW[[#This Row],[Location Type 1]]="camp",WWWW[[#This Row],[Total PoP ]]/20,WWWW[[#This Row],[Total PoP ]]/6),0)</f>
        <v>39</v>
      </c>
      <c r="BN356" s="239">
        <f>IF(OR(WWWW[[#This Row],['# Existing latrines dysfunctional]]="",WWWW[[#This Row],['# Existing latrines dysfunctional]]=0),0,WWWW[[#This Row],['# Existing latrines dysfunctional]]/WWWW[[#This Row],[Total '# of latrine]])</f>
        <v>0</v>
      </c>
      <c r="BO356" s="675">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P356" s="235">
        <f>WWWW[[#This Row],[People adopt basic personal and community hygiene practices]]/WWWW[[#This Row],[Total PoP ]]</f>
        <v>0</v>
      </c>
      <c r="BQ356" s="239">
        <f>1-WWWW[[#This Row],[Hygiene Coverage%]]</f>
        <v>1</v>
      </c>
      <c r="BR356" s="414">
        <f>IF(500*WWWW[[#This Row],['# Hygiene Promoters ]]&gt;WWWW[[#This Row],[Total PoP ]],WWWW[[#This Row],[Total PoP ]],500*WWWW[[#This Row],['# Hygiene Promoters ]])</f>
        <v>779</v>
      </c>
      <c r="BS356" s="414">
        <f>IF(WWWW[[#This Row],[% of HH with access to Sanitary Pad]]&gt;=100%,1,0)</f>
        <v>0</v>
      </c>
      <c r="BT356" s="414">
        <f>IF(WWWW[[#This Row],[Total PoP ]]=0,0,IF(WWWW[[#This Row],['# Hygiene Promoters ]]=0,0,IF(WWWW[[#This Row],[Location Type 1]]="Village",IF(WWWW[[#This Row],[Total PoP ]]/WWWW[[#This Row],['# Hygiene Promoters ]]&lt;1000,1,0),IF(WWWW[[#This Row],[Total PoP ]]/WWWW[[#This Row],['# Hygiene Promoters ]]&lt;600,1,0))))</f>
        <v>1</v>
      </c>
      <c r="BU356" s="414">
        <f>IF(WWWW[[#This Row],[%HH with access to soap]]&gt;=100%,1,0)</f>
        <v>0</v>
      </c>
      <c r="BV356" s="414">
        <f>IF(WWWW[[#This Row],[% of HHs with access to Sanitary pad more than '#%]]+WWWW[[#This Row],[Ratio of Hyiene promoters to people less than '#]]+WWWW[[#This Row],[% of HHs with access to soap more than '#%]]&gt;=2,WWWW[[#This Row],[Total PoP ]],0)</f>
        <v>0</v>
      </c>
      <c r="BW356" s="346">
        <f>WWWW[[#This Row],['# people reached by regular dedicated hygiene promotion_5]]/WWWW[[#This Row],[Total PoP ]]</f>
        <v>1</v>
      </c>
      <c r="BX356" s="346">
        <f>IF(WWWW[[#This Row],['# HH received soaps]]/WWWW[[#This Row],[Total HH]]&gt;1,1,WWWW[[#This Row],['# HH received soaps]]/WWWW[[#This Row],[Total HH]])</f>
        <v>0</v>
      </c>
      <c r="BY356" s="346">
        <f>IF(WWWW[[#This Row],['# HH received Sanitary Pads]]/WWWW[[#This Row],[Total HH]]&gt;1,1,WWWW[[#This Row],['# HH received Sanitary Pads]]/WWWW[[#This Row],[Total HH]])</f>
        <v>0</v>
      </c>
      <c r="BZ356" s="720">
        <f>WWWW[[#This Row],['# HH received soaps]]*5</f>
        <v>0</v>
      </c>
      <c r="CA356" s="720">
        <f>WWWW[[#This Row],['# HH received Sanitary Pads]]*5</f>
        <v>0</v>
      </c>
      <c r="CB356" s="238">
        <f>IF(WWWW[[#This Row],['# People with access to soap]]&gt;WWWW[[#This Row],['# People with access to Sanity Pads]],WWWW[[#This Row],['# People with access to soap]],WWWW[[#This Row],['# People with access to Sanity Pads]])</f>
        <v>0</v>
      </c>
      <c r="CC356" s="414">
        <f>WWWW[[#This Row],[Total HH]]*WWWW[[#This Row],[%HHs with access to functional hand washing stations]]</f>
        <v>154</v>
      </c>
      <c r="CD356" s="240">
        <f>VLOOKUP(WWWW[[#This Row],[Site Name]],SiteDB6[],8,FALSE)</f>
        <v>0</v>
      </c>
      <c r="CE356" s="240">
        <f>VLOOKUP(WWWW[[#This Row],[Site Name]],SiteDB6[],9,FALSE)</f>
        <v>0</v>
      </c>
      <c r="CF356" s="240" t="str">
        <f>VLOOKUP(WWWW[[#This Row],[Site Name]],SiteDB6[],10,FALSE)</f>
        <v>Camp</v>
      </c>
      <c r="CG356" s="240" t="str">
        <f>VLOOKUP(WWWW[[#This Row],[Site Name]],SiteDB6[],11,FALSE)</f>
        <v>Camp</v>
      </c>
      <c r="CH356" s="240" t="str">
        <f>VLOOKUP(WWWW[[#This Row],[Site Name]],SiteDB6[],12,FALSE)</f>
        <v>Host Families</v>
      </c>
      <c r="CI356" s="240" t="str">
        <f>VLOOKUP(WWWW[[#This Row],[Site Name]],SiteDB6[],13,FALSE)</f>
        <v>GCA</v>
      </c>
      <c r="CJ356" s="240">
        <f>VLOOKUP(WWWW[[#This Row],[Site Name]],SiteDB6[],14,FALSE)</f>
        <v>24.08738</v>
      </c>
      <c r="CK356" s="240">
        <f>VLOOKUP(WWWW[[#This Row],[Site Name]],SiteDB6[],15,FALSE)</f>
        <v>98.115809999999996</v>
      </c>
      <c r="CL356" s="240" t="str">
        <f>VLOOKUP(WWWW[[#This Row],[Site Name]],SiteDB6[],4,FALSE)</f>
        <v>MMR015CMP022</v>
      </c>
      <c r="CM356" s="235" t="str">
        <f t="shared" si="5"/>
        <v>Covered</v>
      </c>
      <c r="CN356" s="235"/>
    </row>
    <row r="357" spans="1:92" ht="15.75" customHeight="1" x14ac:dyDescent="0.25">
      <c r="A357" s="532" t="s">
        <v>1409</v>
      </c>
      <c r="B357" s="533" t="s">
        <v>297</v>
      </c>
      <c r="C357" s="533" t="s">
        <v>878</v>
      </c>
      <c r="D357" s="533" t="s">
        <v>888</v>
      </c>
      <c r="E357" s="533" t="s">
        <v>936</v>
      </c>
      <c r="F357" s="414">
        <v>27</v>
      </c>
      <c r="G357" s="414">
        <v>134</v>
      </c>
      <c r="H357" s="233"/>
      <c r="I357" s="233"/>
      <c r="J357" s="234"/>
      <c r="K357" s="233"/>
      <c r="L357" s="233" t="s">
        <v>48</v>
      </c>
      <c r="M357" s="235" t="s">
        <v>296</v>
      </c>
      <c r="N357" s="235" t="s">
        <v>296</v>
      </c>
      <c r="O357" s="609">
        <v>0</v>
      </c>
      <c r="P357" s="615">
        <v>0</v>
      </c>
      <c r="Q357" s="615"/>
      <c r="R357" s="604"/>
      <c r="S357" s="604">
        <v>0</v>
      </c>
      <c r="T357" s="604">
        <v>0</v>
      </c>
      <c r="U357" s="604">
        <v>0</v>
      </c>
      <c r="V357" s="604">
        <v>0</v>
      </c>
      <c r="W357" s="604">
        <v>0</v>
      </c>
      <c r="X357" s="604">
        <v>0</v>
      </c>
      <c r="Y357" s="604"/>
      <c r="Z357" s="628">
        <v>0</v>
      </c>
      <c r="AA357" s="628">
        <v>0</v>
      </c>
      <c r="AB357" s="629">
        <v>0</v>
      </c>
      <c r="AC357" s="628">
        <v>0</v>
      </c>
      <c r="AD357" s="628" t="s">
        <v>296</v>
      </c>
      <c r="AE357" s="628" t="s">
        <v>296</v>
      </c>
      <c r="AF357" s="631"/>
      <c r="AG357" s="628"/>
      <c r="AH357" s="628"/>
      <c r="AI357" s="659"/>
      <c r="AJ357" s="644"/>
      <c r="AK357" s="644">
        <v>0</v>
      </c>
      <c r="AL357" s="645"/>
      <c r="AM357" s="645"/>
      <c r="AN357" s="647">
        <v>0</v>
      </c>
      <c r="AO357" s="647">
        <v>0</v>
      </c>
      <c r="AP357" s="647"/>
      <c r="AQ357" s="658"/>
      <c r="AR357" s="235" t="str">
        <f>IFERROR(WWWW[[#This Row],['# of Water passed at source]]/WWWW[[#This Row],['# of Water tested at source]],"no test")</f>
        <v>no test</v>
      </c>
      <c r="AS357" s="237" t="str">
        <f>IFERROR(WWWW[[#This Row],['# of Water passed at HH]]/WWWW[[#This Row],['# of Water tested at HH]],"no test")</f>
        <v>no test</v>
      </c>
      <c r="AT357" s="237">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U357" s="237">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AV357" s="237">
        <f>IF(WWWW[[#This Row],[Location Type 1]]="Village",WWWW[[#This Row],[Access to safe drinking water for Village]],WWWW[[#This Row],[Access to safe drinking water for Camp]])</f>
        <v>0</v>
      </c>
      <c r="AW357" s="414">
        <f>WWWW[[#This Row],[%Equitable and continuous access to sufficient quantity of safe drinking water]]*WWWW[[#This Row],[Total PoP ]]</f>
        <v>0</v>
      </c>
      <c r="AX357" s="237">
        <f>IF((WWWW[[#This Row],['# Existing protected/fenced ponds ]]*250)/WWWW[[#This Row],[Total PoP ]]&gt;1,1,WWWW[[#This Row],['# Existing protected/fenced ponds ]]*250/WWWW[[#This Row],[Total PoP ]])</f>
        <v>0</v>
      </c>
      <c r="AY357" s="414">
        <f>WWWW[[#This Row],[Access to unimproved water points]]*WWWW[[#This Row],[Total PoP ]]</f>
        <v>0</v>
      </c>
      <c r="AZ357" s="237">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A357" s="414">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B357" s="414">
        <f>WWWW[[#This Row],['#people Equitable and continuous access to sufficient quantity of domestic water borehole n ponds_2]]/500</f>
        <v>0</v>
      </c>
      <c r="BC357" s="235">
        <f>1-WWWW[[#This Row],[%Equitable and continuous access to sufficient quantity of domestic water borehole n ponds]]</f>
        <v>1</v>
      </c>
      <c r="BD357" s="414">
        <f>WWWW[[#This Row],[%equitable and continuous access to sufficient quantity of safe drinking and domestic water''s GAP]]*WWWW[[#This Row],[Total PoP ]]</f>
        <v>134</v>
      </c>
      <c r="BE357" s="238">
        <f>IF(WWWW[[#This Row],[Total required water points]]-WWWW[[#This Row],['#Water points coverage]]&lt;0,0,WWWW[[#This Row],[Total required water points]]-WWWW[[#This Row],['#Water points coverage]])</f>
        <v>1</v>
      </c>
      <c r="BF357" s="238">
        <f>ROUND(IF(WWWW[[#This Row],[Total PoP ]]&lt;500,1,WWWW[[#This Row],[Total PoP ]]/500),0)</f>
        <v>1</v>
      </c>
      <c r="BG357" s="238" t="str">
        <f>IF(AND(WWWW[[#This Row],[%of Water samples which passed at water source]]="no test",WWWW[[#This Row],[%Water samples which passed at HH]]="no test"),"No Test","Tested")</f>
        <v>No Test</v>
      </c>
      <c r="BH357" s="238">
        <f>WWWW[[#This Row],['# Existing functional latrines]]+WWWW[[#This Row],['# Existing latrines dysfunctional]]</f>
        <v>0</v>
      </c>
      <c r="BI357" s="235">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v>
      </c>
      <c r="BJ357" s="675">
        <f>WWWW[[#This Row],[% people access to functioning Latrine]]*WWWW[[#This Row],[Total PoP ]]</f>
        <v>0</v>
      </c>
      <c r="BK357" s="235">
        <f>IF(WWWW[[#This Row],[Location Type 1]]="camp",WWWW[[#This Row],['# potential required new latrines]]/(WWWW[[#This Row],[Total PoP ]]/20),WWWW[[#This Row],['# potential required new latrines]]/(WWWW[[#This Row],[Total PoP ]]/6))</f>
        <v>1.044776119402985</v>
      </c>
      <c r="BL357" s="414">
        <f>IF(WWWW[[#This Row],[Total required Latrines]]-WWWW[[#This Row],[Total '# of latrine]]&lt;0,0,WWWW[[#This Row],[Total required Latrines]]-WWWW[[#This Row],[Total '# of latrine]])</f>
        <v>7</v>
      </c>
      <c r="BM357" s="238">
        <f>ROUND(IF(WWWW[[#This Row],[Location Type 1]]="camp",WWWW[[#This Row],[Total PoP ]]/20,WWWW[[#This Row],[Total PoP ]]/6),0)</f>
        <v>7</v>
      </c>
      <c r="BN357" s="239">
        <f>IF(OR(WWWW[[#This Row],['# Existing latrines dysfunctional]]="",WWWW[[#This Row],['# Existing latrines dysfunctional]]=0),0,WWWW[[#This Row],['# Existing latrines dysfunctional]]/WWWW[[#This Row],[Total '# of latrine]])</f>
        <v>0</v>
      </c>
      <c r="BO357" s="675">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P357" s="235">
        <f>WWWW[[#This Row],[People adopt basic personal and community hygiene practices]]/WWWW[[#This Row],[Total PoP ]]</f>
        <v>0</v>
      </c>
      <c r="BQ357" s="239">
        <f>1-WWWW[[#This Row],[Hygiene Coverage%]]</f>
        <v>1</v>
      </c>
      <c r="BR357" s="414">
        <f>IF(500*WWWW[[#This Row],['# Hygiene Promoters ]]&gt;WWWW[[#This Row],[Total PoP ]],WWWW[[#This Row],[Total PoP ]],500*WWWW[[#This Row],['# Hygiene Promoters ]])</f>
        <v>0</v>
      </c>
      <c r="BS357" s="414">
        <f>IF(WWWW[[#This Row],[% of HH with access to Sanitary Pad]]&gt;=100%,1,0)</f>
        <v>0</v>
      </c>
      <c r="BT357" s="414">
        <f>IF(WWWW[[#This Row],[Total PoP ]]=0,0,IF(WWWW[[#This Row],['# Hygiene Promoters ]]=0,0,IF(WWWW[[#This Row],[Location Type 1]]="Village",IF(WWWW[[#This Row],[Total PoP ]]/WWWW[[#This Row],['# Hygiene Promoters ]]&lt;1000,1,0),IF(WWWW[[#This Row],[Total PoP ]]/WWWW[[#This Row],['# Hygiene Promoters ]]&lt;600,1,0))))</f>
        <v>0</v>
      </c>
      <c r="BU357" s="414">
        <f>IF(WWWW[[#This Row],[%HH with access to soap]]&gt;=100%,1,0)</f>
        <v>0</v>
      </c>
      <c r="BV357" s="414">
        <f>IF(WWWW[[#This Row],[% of HHs with access to Sanitary pad more than '#%]]+WWWW[[#This Row],[Ratio of Hyiene promoters to people less than '#]]+WWWW[[#This Row],[% of HHs with access to soap more than '#%]]&gt;=2,WWWW[[#This Row],[Total PoP ]],0)</f>
        <v>0</v>
      </c>
      <c r="BW357" s="346">
        <f>WWWW[[#This Row],['# people reached by regular dedicated hygiene promotion_5]]/WWWW[[#This Row],[Total PoP ]]</f>
        <v>0</v>
      </c>
      <c r="BX357" s="346">
        <f>IF(WWWW[[#This Row],['# HH received soaps]]/WWWW[[#This Row],[Total HH]]&gt;1,1,WWWW[[#This Row],['# HH received soaps]]/WWWW[[#This Row],[Total HH]])</f>
        <v>0</v>
      </c>
      <c r="BY357" s="346">
        <f>IF(WWWW[[#This Row],['# HH received Sanitary Pads]]/WWWW[[#This Row],[Total HH]]&gt;1,1,WWWW[[#This Row],['# HH received Sanitary Pads]]/WWWW[[#This Row],[Total HH]])</f>
        <v>0</v>
      </c>
      <c r="BZ357" s="720">
        <f>WWWW[[#This Row],['# HH received soaps]]*5</f>
        <v>0</v>
      </c>
      <c r="CA357" s="720">
        <f>WWWW[[#This Row],['# HH received Sanitary Pads]]*5</f>
        <v>0</v>
      </c>
      <c r="CB357" s="238">
        <f>IF(WWWW[[#This Row],['# People with access to soap]]&gt;WWWW[[#This Row],['# People with access to Sanity Pads]],WWWW[[#This Row],['# People with access to soap]],WWWW[[#This Row],['# People with access to Sanity Pads]])</f>
        <v>0</v>
      </c>
      <c r="CC357" s="414">
        <f>WWWW[[#This Row],[Total HH]]*WWWW[[#This Row],[%HHs with access to functional hand washing stations]]</f>
        <v>0</v>
      </c>
      <c r="CD357" s="240">
        <f>VLOOKUP(WWWW[[#This Row],[Site Name]],SiteDB6[],8,FALSE)</f>
        <v>0</v>
      </c>
      <c r="CE357" s="240">
        <f>VLOOKUP(WWWW[[#This Row],[Site Name]],SiteDB6[],9,FALSE)</f>
        <v>0</v>
      </c>
      <c r="CF357" s="240" t="str">
        <f>VLOOKUP(WWWW[[#This Row],[Site Name]],SiteDB6[],10,FALSE)</f>
        <v>Camp</v>
      </c>
      <c r="CG357" s="240" t="str">
        <f>VLOOKUP(WWWW[[#This Row],[Site Name]],SiteDB6[],11,FALSE)</f>
        <v>Camp</v>
      </c>
      <c r="CH357" s="240" t="str">
        <f>VLOOKUP(WWWW[[#This Row],[Site Name]],SiteDB6[],12,FALSE)</f>
        <v>Closed Camp</v>
      </c>
      <c r="CI357" s="240" t="str">
        <f>VLOOKUP(WWWW[[#This Row],[Site Name]],SiteDB6[],13,FALSE)</f>
        <v>GCA</v>
      </c>
      <c r="CJ357" s="240">
        <f>VLOOKUP(WWWW[[#This Row],[Site Name]],SiteDB6[],14,FALSE)</f>
        <v>0</v>
      </c>
      <c r="CK357" s="240">
        <f>VLOOKUP(WWWW[[#This Row],[Site Name]],SiteDB6[],15,FALSE)</f>
        <v>0</v>
      </c>
      <c r="CL357" s="240" t="str">
        <f>VLOOKUP(WWWW[[#This Row],[Site Name]],SiteDB6[],4,FALSE)</f>
        <v>MMR015CMP236</v>
      </c>
      <c r="CM357" s="235" t="str">
        <f t="shared" si="5"/>
        <v>Covered</v>
      </c>
      <c r="CN357" s="235"/>
    </row>
    <row r="358" spans="1:92" ht="15.75" customHeight="1" x14ac:dyDescent="0.25">
      <c r="A358" s="532" t="s">
        <v>1409</v>
      </c>
      <c r="B358" s="533" t="s">
        <v>2664</v>
      </c>
      <c r="C358" s="533" t="s">
        <v>878</v>
      </c>
      <c r="D358" s="533" t="s">
        <v>882</v>
      </c>
      <c r="E358" s="533" t="s">
        <v>908</v>
      </c>
      <c r="F358" s="233">
        <v>86</v>
      </c>
      <c r="G358" s="414">
        <v>510</v>
      </c>
      <c r="H358" s="233">
        <v>40</v>
      </c>
      <c r="I358" s="233" t="s">
        <v>2665</v>
      </c>
      <c r="J358" s="234" t="s">
        <v>2628</v>
      </c>
      <c r="K358" s="233">
        <v>0</v>
      </c>
      <c r="L358" s="233" t="s">
        <v>48</v>
      </c>
      <c r="M358" s="235">
        <v>0.11</v>
      </c>
      <c r="N358" s="235">
        <v>0.5</v>
      </c>
      <c r="O358" s="609">
        <v>0</v>
      </c>
      <c r="P358" s="615">
        <v>0</v>
      </c>
      <c r="Q358" s="615">
        <v>21600</v>
      </c>
      <c r="R358" s="604">
        <v>0</v>
      </c>
      <c r="S358" s="604">
        <v>8</v>
      </c>
      <c r="T358" s="604">
        <v>0</v>
      </c>
      <c r="U358" s="604">
        <v>0</v>
      </c>
      <c r="V358" s="604">
        <v>0</v>
      </c>
      <c r="W358" s="604">
        <v>0</v>
      </c>
      <c r="X358" s="604">
        <v>0</v>
      </c>
      <c r="Y358" s="604"/>
      <c r="Z358" s="628">
        <v>89</v>
      </c>
      <c r="AA358" s="628">
        <v>0</v>
      </c>
      <c r="AB358" s="629">
        <v>0</v>
      </c>
      <c r="AC358" s="628">
        <v>89</v>
      </c>
      <c r="AD358" s="628" t="s">
        <v>296</v>
      </c>
      <c r="AE358" s="631" t="s">
        <v>296</v>
      </c>
      <c r="AF358" s="631">
        <v>0</v>
      </c>
      <c r="AG358" s="628">
        <v>0</v>
      </c>
      <c r="AH358" s="628"/>
      <c r="AI358" s="659">
        <v>0</v>
      </c>
      <c r="AJ358" s="644"/>
      <c r="AK358" s="644">
        <v>2</v>
      </c>
      <c r="AL358" s="645">
        <v>0</v>
      </c>
      <c r="AM358" s="645">
        <v>0</v>
      </c>
      <c r="AN358" s="647">
        <v>77</v>
      </c>
      <c r="AO358" s="647">
        <v>0</v>
      </c>
      <c r="AP358" s="647"/>
      <c r="AQ358" s="658"/>
      <c r="AR358" s="235" t="str">
        <f>IFERROR(WWWW[[#This Row],['# of Water passed at source]]/WWWW[[#This Row],['# of Water tested at source]],"no test")</f>
        <v>no test</v>
      </c>
      <c r="AS358" s="237" t="str">
        <f>IFERROR(WWWW[[#This Row],['# of Water passed at HH]]/WWWW[[#This Row],['# of Water tested at HH]],"no test")</f>
        <v>no test</v>
      </c>
      <c r="AT358" s="237">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U358" s="237">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AV358" s="237">
        <f>IF(WWWW[[#This Row],[Location Type 1]]="Village",WWWW[[#This Row],[Access to safe drinking water for Village]],WWWW[[#This Row],[Access to safe drinking water for Camp]])</f>
        <v>1</v>
      </c>
      <c r="AW358" s="414">
        <f>WWWW[[#This Row],[%Equitable and continuous access to sufficient quantity of safe drinking water]]*WWWW[[#This Row],[Total PoP ]]</f>
        <v>510</v>
      </c>
      <c r="AX358" s="237">
        <f>IF((WWWW[[#This Row],['# Existing protected/fenced ponds ]]*250)/WWWW[[#This Row],[Total PoP ]]&gt;1,1,WWWW[[#This Row],['# Existing protected/fenced ponds ]]*250/WWWW[[#This Row],[Total PoP ]])</f>
        <v>0</v>
      </c>
      <c r="AY358" s="414">
        <f>WWWW[[#This Row],[Access to unimproved water points]]*WWWW[[#This Row],[Total PoP ]]</f>
        <v>0</v>
      </c>
      <c r="AZ358" s="237">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A358" s="414">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510</v>
      </c>
      <c r="BB358" s="414">
        <f>WWWW[[#This Row],['#people Equitable and continuous access to sufficient quantity of domestic water borehole n ponds_2]]/500</f>
        <v>1.02</v>
      </c>
      <c r="BC358" s="235">
        <f>1-WWWW[[#This Row],[%Equitable and continuous access to sufficient quantity of domestic water borehole n ponds]]</f>
        <v>0</v>
      </c>
      <c r="BD358" s="414">
        <f>WWWW[[#This Row],[%equitable and continuous access to sufficient quantity of safe drinking and domestic water''s GAP]]*WWWW[[#This Row],[Total PoP ]]</f>
        <v>0</v>
      </c>
      <c r="BE358" s="238">
        <f>IF(WWWW[[#This Row],[Total required water points]]-WWWW[[#This Row],['#Water points coverage]]&lt;0,0,WWWW[[#This Row],[Total required water points]]-WWWW[[#This Row],['#Water points coverage]])</f>
        <v>0</v>
      </c>
      <c r="BF358" s="238">
        <f>ROUND(IF(WWWW[[#This Row],[Total PoP ]]&lt;500,1,WWWW[[#This Row],[Total PoP ]]/500),0)</f>
        <v>1</v>
      </c>
      <c r="BG358" s="238" t="str">
        <f>IF(AND(WWWW[[#This Row],[%of Water samples which passed at water source]]="no test",WWWW[[#This Row],[%Water samples which passed at HH]]="no test"),"No Test","Tested")</f>
        <v>No Test</v>
      </c>
      <c r="BH358" s="238">
        <f>WWWW[[#This Row],['# Existing functional latrines]]+WWWW[[#This Row],['# Existing latrines dysfunctional]]</f>
        <v>89</v>
      </c>
      <c r="BI358" s="235">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1</v>
      </c>
      <c r="BJ358" s="675">
        <f>WWWW[[#This Row],[% people access to functioning Latrine]]*WWWW[[#This Row],[Total PoP ]]</f>
        <v>510</v>
      </c>
      <c r="BK358" s="235">
        <f>IF(WWWW[[#This Row],[Location Type 1]]="camp",WWWW[[#This Row],['# potential required new latrines]]/(WWWW[[#This Row],[Total PoP ]]/20),WWWW[[#This Row],['# potential required new latrines]]/(WWWW[[#This Row],[Total PoP ]]/6))</f>
        <v>0</v>
      </c>
      <c r="BL358" s="414">
        <f>IF(WWWW[[#This Row],[Total required Latrines]]-WWWW[[#This Row],[Total '# of latrine]]&lt;0,0,WWWW[[#This Row],[Total required Latrines]]-WWWW[[#This Row],[Total '# of latrine]])</f>
        <v>0</v>
      </c>
      <c r="BM358" s="238">
        <f>ROUND(IF(WWWW[[#This Row],[Location Type 1]]="camp",WWWW[[#This Row],[Total PoP ]]/20,WWWW[[#This Row],[Total PoP ]]/6),0)</f>
        <v>85</v>
      </c>
      <c r="BN358" s="239">
        <f>IF(OR(WWWW[[#This Row],['# Existing latrines dysfunctional]]="",WWWW[[#This Row],['# Existing latrines dysfunctional]]=0),0,WWWW[[#This Row],['# Existing latrines dysfunctional]]/WWWW[[#This Row],[Total '# of latrine]])</f>
        <v>0</v>
      </c>
      <c r="BO358" s="675">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P358" s="235">
        <f>WWWW[[#This Row],[People adopt basic personal and community hygiene practices]]/WWWW[[#This Row],[Total PoP ]]</f>
        <v>0</v>
      </c>
      <c r="BQ358" s="239">
        <f>1-WWWW[[#This Row],[Hygiene Coverage%]]</f>
        <v>1</v>
      </c>
      <c r="BR358" s="414">
        <f>IF(500*WWWW[[#This Row],['# Hygiene Promoters ]]&gt;WWWW[[#This Row],[Total PoP ]],WWWW[[#This Row],[Total PoP ]],500*WWWW[[#This Row],['# Hygiene Promoters ]])</f>
        <v>0</v>
      </c>
      <c r="BS358" s="414">
        <f>IF(WWWW[[#This Row],[% of HH with access to Sanitary Pad]]&gt;=100%,1,0)</f>
        <v>0</v>
      </c>
      <c r="BT358" s="414">
        <f>IF(WWWW[[#This Row],[Total PoP ]]=0,0,IF(WWWW[[#This Row],['# Hygiene Promoters ]]=0,0,IF(WWWW[[#This Row],[Location Type 1]]="Village",IF(WWWW[[#This Row],[Total PoP ]]/WWWW[[#This Row],['# Hygiene Promoters ]]&lt;1000,1,0),IF(WWWW[[#This Row],[Total PoP ]]/WWWW[[#This Row],['# Hygiene Promoters ]]&lt;600,1,0))))</f>
        <v>0</v>
      </c>
      <c r="BU358" s="414">
        <f>IF(WWWW[[#This Row],[%HH with access to soap]]&gt;=100%,1,0)</f>
        <v>0</v>
      </c>
      <c r="BV358" s="414">
        <f>IF(WWWW[[#This Row],[% of HHs with access to Sanitary pad more than '#%]]+WWWW[[#This Row],[Ratio of Hyiene promoters to people less than '#]]+WWWW[[#This Row],[% of HHs with access to soap more than '#%]]&gt;=2,WWWW[[#This Row],[Total PoP ]],0)</f>
        <v>0</v>
      </c>
      <c r="BW358" s="346">
        <f>WWWW[[#This Row],['# people reached by regular dedicated hygiene promotion_5]]/WWWW[[#This Row],[Total PoP ]]</f>
        <v>0</v>
      </c>
      <c r="BX358" s="346">
        <f>IF(WWWW[[#This Row],['# HH received soaps]]/WWWW[[#This Row],[Total HH]]&gt;1,1,WWWW[[#This Row],['# HH received soaps]]/WWWW[[#This Row],[Total HH]])</f>
        <v>0.89534883720930236</v>
      </c>
      <c r="BY358" s="346">
        <f>IF(WWWW[[#This Row],['# HH received Sanitary Pads]]/WWWW[[#This Row],[Total HH]]&gt;1,1,WWWW[[#This Row],['# HH received Sanitary Pads]]/WWWW[[#This Row],[Total HH]])</f>
        <v>0</v>
      </c>
      <c r="BZ358" s="720">
        <f>WWWW[[#This Row],['# HH received soaps]]*5</f>
        <v>385</v>
      </c>
      <c r="CA358" s="720">
        <f>WWWW[[#This Row],['# HH received Sanitary Pads]]*5</f>
        <v>0</v>
      </c>
      <c r="CB358" s="238">
        <f>IF(WWWW[[#This Row],['# People with access to soap]]&gt;WWWW[[#This Row],['# People with access to Sanity Pads]],WWWW[[#This Row],['# People with access to soap]],WWWW[[#This Row],['# People with access to Sanity Pads]])</f>
        <v>385</v>
      </c>
      <c r="CC358" s="414">
        <f>WWWW[[#This Row],[Total HH]]*WWWW[[#This Row],[%HHs with access to functional hand washing stations]]</f>
        <v>0</v>
      </c>
      <c r="CD358" s="240" t="str">
        <f>VLOOKUP(WWWW[[#This Row],[Site Name]],SiteDB6[],8,FALSE)</f>
        <v>Yes</v>
      </c>
      <c r="CE358" s="240" t="str">
        <f>VLOOKUP(WWWW[[#This Row],[Site Name]],SiteDB6[],9,FALSE)</f>
        <v>KBC</v>
      </c>
      <c r="CF358" s="240" t="str">
        <f>VLOOKUP(WWWW[[#This Row],[Site Name]],SiteDB6[],10,FALSE)</f>
        <v>Camp</v>
      </c>
      <c r="CG358" s="240" t="str">
        <f>VLOOKUP(WWWW[[#This Row],[Site Name]],SiteDB6[],11,FALSE)</f>
        <v>Village Type Camp</v>
      </c>
      <c r="CH358" s="240" t="str">
        <f>VLOOKUP(WWWW[[#This Row],[Site Name]],SiteDB6[],12,FALSE)</f>
        <v>Closed Camp</v>
      </c>
      <c r="CI358" s="240" t="str">
        <f>VLOOKUP(WWWW[[#This Row],[Site Name]],SiteDB6[],13,FALSE)</f>
        <v>GCA</v>
      </c>
      <c r="CJ358" s="240">
        <f>VLOOKUP(WWWW[[#This Row],[Site Name]],SiteDB6[],14,FALSE)</f>
        <v>23.4008</v>
      </c>
      <c r="CK358" s="240">
        <f>VLOOKUP(WWWW[[#This Row],[Site Name]],SiteDB6[],15,FALSE)</f>
        <v>97.848529999999997</v>
      </c>
      <c r="CL358" s="240" t="str">
        <f>VLOOKUP(WWWW[[#This Row],[Site Name]],SiteDB6[],4,FALSE)</f>
        <v>MMR015CMP015</v>
      </c>
      <c r="CM358" s="235" t="str">
        <f t="shared" si="5"/>
        <v>Covered</v>
      </c>
      <c r="CN358" s="235"/>
    </row>
    <row r="359" spans="1:92" ht="15.75" customHeight="1" x14ac:dyDescent="0.25">
      <c r="A359" s="532" t="s">
        <v>1409</v>
      </c>
      <c r="B359" s="533" t="s">
        <v>348</v>
      </c>
      <c r="C359" s="533" t="s">
        <v>878</v>
      </c>
      <c r="D359" s="533" t="s">
        <v>882</v>
      </c>
      <c r="E359" s="533" t="s">
        <v>909</v>
      </c>
      <c r="F359" s="233">
        <v>61</v>
      </c>
      <c r="G359" s="414">
        <v>292</v>
      </c>
      <c r="H359" s="233"/>
      <c r="I359" s="233" t="s">
        <v>899</v>
      </c>
      <c r="J359" s="234" t="s">
        <v>2603</v>
      </c>
      <c r="K359" s="233">
        <v>0</v>
      </c>
      <c r="L359" s="233" t="s">
        <v>48</v>
      </c>
      <c r="M359" s="235">
        <v>0.7</v>
      </c>
      <c r="N359" s="235"/>
      <c r="O359" s="609"/>
      <c r="P359" s="615">
        <v>2</v>
      </c>
      <c r="Q359" s="615">
        <v>8100</v>
      </c>
      <c r="R359" s="604"/>
      <c r="S359" s="604">
        <v>3</v>
      </c>
      <c r="T359" s="604">
        <v>0</v>
      </c>
      <c r="U359" s="604">
        <v>0</v>
      </c>
      <c r="V359" s="604">
        <v>0</v>
      </c>
      <c r="W359" s="604">
        <v>0</v>
      </c>
      <c r="X359" s="604">
        <v>0</v>
      </c>
      <c r="Y359" s="604"/>
      <c r="Z359" s="628">
        <v>10</v>
      </c>
      <c r="AA359" s="628">
        <v>0</v>
      </c>
      <c r="AB359" s="629">
        <v>0</v>
      </c>
      <c r="AC359" s="628">
        <v>10</v>
      </c>
      <c r="AD359" s="628" t="s">
        <v>293</v>
      </c>
      <c r="AE359" s="631" t="s">
        <v>293</v>
      </c>
      <c r="AF359" s="631">
        <v>0</v>
      </c>
      <c r="AG359" s="628">
        <v>0</v>
      </c>
      <c r="AH359" s="628"/>
      <c r="AI359" s="659">
        <v>0.7</v>
      </c>
      <c r="AJ359" s="650" t="s">
        <v>386</v>
      </c>
      <c r="AK359" s="644"/>
      <c r="AL359" s="645">
        <v>2</v>
      </c>
      <c r="AM359" s="645">
        <v>1</v>
      </c>
      <c r="AN359" s="647">
        <v>0</v>
      </c>
      <c r="AO359" s="647">
        <v>0</v>
      </c>
      <c r="AP359" s="647"/>
      <c r="AQ359" s="658"/>
      <c r="AR359" s="235" t="str">
        <f>IFERROR(WWWW[[#This Row],['# of Water passed at source]]/WWWW[[#This Row],['# of Water tested at source]],"no test")</f>
        <v>no test</v>
      </c>
      <c r="AS359" s="237" t="str">
        <f>IFERROR(WWWW[[#This Row],['# of Water passed at HH]]/WWWW[[#This Row],['# of Water tested at HH]],"no test")</f>
        <v>no test</v>
      </c>
      <c r="AT359" s="237">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U359" s="237">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AV359" s="237">
        <f>IF(WWWW[[#This Row],[Location Type 1]]="Village",WWWW[[#This Row],[Access to safe drinking water for Village]],WWWW[[#This Row],[Access to safe drinking water for Camp]])</f>
        <v>1</v>
      </c>
      <c r="AW359" s="414">
        <f>WWWW[[#This Row],[%Equitable and continuous access to sufficient quantity of safe drinking water]]*WWWW[[#This Row],[Total PoP ]]</f>
        <v>292</v>
      </c>
      <c r="AX359" s="237">
        <f>IF((WWWW[[#This Row],['# Existing protected/fenced ponds ]]*250)/WWWW[[#This Row],[Total PoP ]]&gt;1,1,WWWW[[#This Row],['# Existing protected/fenced ponds ]]*250/WWWW[[#This Row],[Total PoP ]])</f>
        <v>0</v>
      </c>
      <c r="AY359" s="414">
        <f>WWWW[[#This Row],[Access to unimproved water points]]*WWWW[[#This Row],[Total PoP ]]</f>
        <v>0</v>
      </c>
      <c r="AZ359" s="237">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A359" s="414">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292</v>
      </c>
      <c r="BB359" s="414">
        <f>WWWW[[#This Row],['#people Equitable and continuous access to sufficient quantity of domestic water borehole n ponds_2]]/500</f>
        <v>0.58399999999999996</v>
      </c>
      <c r="BC359" s="235">
        <f>1-WWWW[[#This Row],[%Equitable and continuous access to sufficient quantity of domestic water borehole n ponds]]</f>
        <v>0</v>
      </c>
      <c r="BD359" s="414">
        <f>WWWW[[#This Row],[%equitable and continuous access to sufficient quantity of safe drinking and domestic water''s GAP]]*WWWW[[#This Row],[Total PoP ]]</f>
        <v>0</v>
      </c>
      <c r="BE359" s="238">
        <f>IF(WWWW[[#This Row],[Total required water points]]-WWWW[[#This Row],['#Water points coverage]]&lt;0,0,WWWW[[#This Row],[Total required water points]]-WWWW[[#This Row],['#Water points coverage]])</f>
        <v>0.41600000000000004</v>
      </c>
      <c r="BF359" s="238">
        <f>ROUND(IF(WWWW[[#This Row],[Total PoP ]]&lt;500,1,WWWW[[#This Row],[Total PoP ]]/500),0)</f>
        <v>1</v>
      </c>
      <c r="BG359" s="238" t="str">
        <f>IF(AND(WWWW[[#This Row],[%of Water samples which passed at water source]]="no test",WWWW[[#This Row],[%Water samples which passed at HH]]="no test"),"No Test","Tested")</f>
        <v>No Test</v>
      </c>
      <c r="BH359" s="238">
        <f>WWWW[[#This Row],['# Existing functional latrines]]+WWWW[[#This Row],['# Existing latrines dysfunctional]]</f>
        <v>10</v>
      </c>
      <c r="BI359" s="235">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0.68493150684931503</v>
      </c>
      <c r="BJ359" s="675">
        <f>WWWW[[#This Row],[% people access to functioning Latrine]]*WWWW[[#This Row],[Total PoP ]]</f>
        <v>200</v>
      </c>
      <c r="BK359" s="235">
        <f>IF(WWWW[[#This Row],[Location Type 1]]="camp",WWWW[[#This Row],['# potential required new latrines]]/(WWWW[[#This Row],[Total PoP ]]/20),WWWW[[#This Row],['# potential required new latrines]]/(WWWW[[#This Row],[Total PoP ]]/6))</f>
        <v>0.34246575342465752</v>
      </c>
      <c r="BL359" s="414">
        <f>IF(WWWW[[#This Row],[Total required Latrines]]-WWWW[[#This Row],[Total '# of latrine]]&lt;0,0,WWWW[[#This Row],[Total required Latrines]]-WWWW[[#This Row],[Total '# of latrine]])</f>
        <v>5</v>
      </c>
      <c r="BM359" s="238">
        <f>ROUND(IF(WWWW[[#This Row],[Location Type 1]]="camp",WWWW[[#This Row],[Total PoP ]]/20,WWWW[[#This Row],[Total PoP ]]/6),0)</f>
        <v>15</v>
      </c>
      <c r="BN359" s="239">
        <f>IF(OR(WWWW[[#This Row],['# Existing latrines dysfunctional]]="",WWWW[[#This Row],['# Existing latrines dysfunctional]]=0),0,WWWW[[#This Row],['# Existing latrines dysfunctional]]/WWWW[[#This Row],[Total '# of latrine]])</f>
        <v>0</v>
      </c>
      <c r="BO359" s="675">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P359" s="235">
        <f>WWWW[[#This Row],[People adopt basic personal and community hygiene practices]]/WWWW[[#This Row],[Total PoP ]]</f>
        <v>0</v>
      </c>
      <c r="BQ359" s="239">
        <f>1-WWWW[[#This Row],[Hygiene Coverage%]]</f>
        <v>1</v>
      </c>
      <c r="BR359" s="414">
        <f>IF(500*WWWW[[#This Row],['# Hygiene Promoters ]]&gt;WWWW[[#This Row],[Total PoP ]],WWWW[[#This Row],[Total PoP ]],500*WWWW[[#This Row],['# Hygiene Promoters ]])</f>
        <v>292</v>
      </c>
      <c r="BS359" s="414">
        <f>IF(WWWW[[#This Row],[% of HH with access to Sanitary Pad]]&gt;=100%,1,0)</f>
        <v>0</v>
      </c>
      <c r="BT359" s="414">
        <f>IF(WWWW[[#This Row],[Total PoP ]]=0,0,IF(WWWW[[#This Row],['# Hygiene Promoters ]]=0,0,IF(WWWW[[#This Row],[Location Type 1]]="Village",IF(WWWW[[#This Row],[Total PoP ]]/WWWW[[#This Row],['# Hygiene Promoters ]]&lt;1000,1,0),IF(WWWW[[#This Row],[Total PoP ]]/WWWW[[#This Row],['# Hygiene Promoters ]]&lt;600,1,0))))</f>
        <v>1</v>
      </c>
      <c r="BU359" s="414">
        <f>IF(WWWW[[#This Row],[%HH with access to soap]]&gt;=100%,1,0)</f>
        <v>0</v>
      </c>
      <c r="BV359" s="414">
        <f>IF(WWWW[[#This Row],[% of HHs with access to Sanitary pad more than '#%]]+WWWW[[#This Row],[Ratio of Hyiene promoters to people less than '#]]+WWWW[[#This Row],[% of HHs with access to soap more than '#%]]&gt;=2,WWWW[[#This Row],[Total PoP ]],0)</f>
        <v>0</v>
      </c>
      <c r="BW359" s="346">
        <f>WWWW[[#This Row],['# people reached by regular dedicated hygiene promotion_5]]/WWWW[[#This Row],[Total PoP ]]</f>
        <v>1</v>
      </c>
      <c r="BX359" s="346">
        <f>IF(WWWW[[#This Row],['# HH received soaps]]/WWWW[[#This Row],[Total HH]]&gt;1,1,WWWW[[#This Row],['# HH received soaps]]/WWWW[[#This Row],[Total HH]])</f>
        <v>0</v>
      </c>
      <c r="BY359" s="346">
        <f>IF(WWWW[[#This Row],['# HH received Sanitary Pads]]/WWWW[[#This Row],[Total HH]]&gt;1,1,WWWW[[#This Row],['# HH received Sanitary Pads]]/WWWW[[#This Row],[Total HH]])</f>
        <v>0</v>
      </c>
      <c r="BZ359" s="720">
        <f>WWWW[[#This Row],['# HH received soaps]]*5</f>
        <v>0</v>
      </c>
      <c r="CA359" s="720">
        <f>WWWW[[#This Row],['# HH received Sanitary Pads]]*5</f>
        <v>0</v>
      </c>
      <c r="CB359" s="238">
        <f>IF(WWWW[[#This Row],['# People with access to soap]]&gt;WWWW[[#This Row],['# People with access to Sanity Pads]],WWWW[[#This Row],['# People with access to soap]],WWWW[[#This Row],['# People with access to Sanity Pads]])</f>
        <v>0</v>
      </c>
      <c r="CC359" s="414">
        <f>WWWW[[#This Row],[Total HH]]*WWWW[[#This Row],[%HHs with access to functional hand washing stations]]</f>
        <v>42.699999999999996</v>
      </c>
      <c r="CD359" s="240" t="str">
        <f>VLOOKUP(WWWW[[#This Row],[Site Name]],SiteDB6[],8,FALSE)</f>
        <v>Yes</v>
      </c>
      <c r="CE359" s="240" t="str">
        <f>VLOOKUP(WWWW[[#This Row],[Site Name]],SiteDB6[],9,FALSE)</f>
        <v>KBC</v>
      </c>
      <c r="CF359" s="240" t="str">
        <f>VLOOKUP(WWWW[[#This Row],[Site Name]],SiteDB6[],10,FALSE)</f>
        <v>Camp</v>
      </c>
      <c r="CG359" s="240" t="str">
        <f>VLOOKUP(WWWW[[#This Row],[Site Name]],SiteDB6[],11,FALSE)</f>
        <v>Camp</v>
      </c>
      <c r="CH359" s="240" t="str">
        <f>VLOOKUP(WWWW[[#This Row],[Site Name]],SiteDB6[],12,FALSE)</f>
        <v>Camp</v>
      </c>
      <c r="CI359" s="240" t="str">
        <f>VLOOKUP(WWWW[[#This Row],[Site Name]],SiteDB6[],13,FALSE)</f>
        <v>GCA</v>
      </c>
      <c r="CJ359" s="240">
        <f>VLOOKUP(WWWW[[#This Row],[Site Name]],SiteDB6[],14,FALSE)</f>
        <v>23.450914000000001</v>
      </c>
      <c r="CK359" s="240">
        <f>VLOOKUP(WWWW[[#This Row],[Site Name]],SiteDB6[],15,FALSE)</f>
        <v>97.926813999999993</v>
      </c>
      <c r="CL359" s="240" t="str">
        <f>VLOOKUP(WWWW[[#This Row],[Site Name]],SiteDB6[],4,FALSE)</f>
        <v>MMR015CMP016</v>
      </c>
      <c r="CM359" s="235" t="str">
        <f t="shared" si="5"/>
        <v>Covered</v>
      </c>
      <c r="CN359" s="235"/>
    </row>
    <row r="360" spans="1:92" ht="15.75" customHeight="1" x14ac:dyDescent="0.25">
      <c r="A360" s="532" t="s">
        <v>1409</v>
      </c>
      <c r="B360" s="533" t="s">
        <v>2614</v>
      </c>
      <c r="C360" s="533" t="s">
        <v>878</v>
      </c>
      <c r="D360" s="533" t="s">
        <v>882</v>
      </c>
      <c r="E360" s="533" t="s">
        <v>914</v>
      </c>
      <c r="F360" s="233">
        <v>35</v>
      </c>
      <c r="G360" s="414">
        <v>141</v>
      </c>
      <c r="H360" s="233"/>
      <c r="I360" s="233" t="s">
        <v>2627</v>
      </c>
      <c r="J360" s="234" t="s">
        <v>2628</v>
      </c>
      <c r="K360" s="233">
        <v>0</v>
      </c>
      <c r="L360" s="233" t="s">
        <v>48</v>
      </c>
      <c r="M360" s="235">
        <v>0.66</v>
      </c>
      <c r="N360" s="235">
        <v>1</v>
      </c>
      <c r="O360" s="609">
        <v>0</v>
      </c>
      <c r="P360" s="615">
        <v>1</v>
      </c>
      <c r="Q360" s="615">
        <v>4725</v>
      </c>
      <c r="R360" s="604">
        <v>0</v>
      </c>
      <c r="S360" s="604">
        <v>7</v>
      </c>
      <c r="T360" s="604">
        <v>0</v>
      </c>
      <c r="U360" s="604">
        <v>0</v>
      </c>
      <c r="V360" s="604">
        <v>0</v>
      </c>
      <c r="W360" s="604">
        <v>0</v>
      </c>
      <c r="X360" s="604">
        <v>0</v>
      </c>
      <c r="Y360" s="604"/>
      <c r="Z360" s="628">
        <v>12</v>
      </c>
      <c r="AA360" s="628">
        <v>4</v>
      </c>
      <c r="AB360" s="629">
        <v>0</v>
      </c>
      <c r="AC360" s="628">
        <v>12</v>
      </c>
      <c r="AD360" s="628" t="s">
        <v>293</v>
      </c>
      <c r="AE360" s="631" t="s">
        <v>293</v>
      </c>
      <c r="AF360" s="631">
        <v>0</v>
      </c>
      <c r="AG360" s="628">
        <v>0</v>
      </c>
      <c r="AH360" s="628"/>
      <c r="AI360" s="659">
        <v>0</v>
      </c>
      <c r="AJ360" s="644"/>
      <c r="AK360" s="644">
        <v>2</v>
      </c>
      <c r="AL360" s="645">
        <v>2</v>
      </c>
      <c r="AM360" s="645">
        <v>1</v>
      </c>
      <c r="AN360" s="647">
        <v>38</v>
      </c>
      <c r="AO360" s="647">
        <v>0</v>
      </c>
      <c r="AP360" s="647"/>
      <c r="AQ360" s="658"/>
      <c r="AR360" s="235" t="str">
        <f>IFERROR(WWWW[[#This Row],['# of Water passed at source]]/WWWW[[#This Row],['# of Water tested at source]],"no test")</f>
        <v>no test</v>
      </c>
      <c r="AS360" s="237" t="str">
        <f>IFERROR(WWWW[[#This Row],['# of Water passed at HH]]/WWWW[[#This Row],['# of Water tested at HH]],"no test")</f>
        <v>no test</v>
      </c>
      <c r="AT360" s="237">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U360" s="237">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AV360" s="237">
        <f>IF(WWWW[[#This Row],[Location Type 1]]="Village",WWWW[[#This Row],[Access to safe drinking water for Village]],WWWW[[#This Row],[Access to safe drinking water for Camp]])</f>
        <v>1</v>
      </c>
      <c r="AW360" s="414">
        <f>WWWW[[#This Row],[%Equitable and continuous access to sufficient quantity of safe drinking water]]*WWWW[[#This Row],[Total PoP ]]</f>
        <v>141</v>
      </c>
      <c r="AX360" s="237">
        <f>IF((WWWW[[#This Row],['# Existing protected/fenced ponds ]]*250)/WWWW[[#This Row],[Total PoP ]]&gt;1,1,WWWW[[#This Row],['# Existing protected/fenced ponds ]]*250/WWWW[[#This Row],[Total PoP ]])</f>
        <v>0</v>
      </c>
      <c r="AY360" s="414">
        <f>WWWW[[#This Row],[Access to unimproved water points]]*WWWW[[#This Row],[Total PoP ]]</f>
        <v>0</v>
      </c>
      <c r="AZ360" s="237">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A360" s="414">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141</v>
      </c>
      <c r="BB360" s="414">
        <f>WWWW[[#This Row],['#people Equitable and continuous access to sufficient quantity of domestic water borehole n ponds_2]]/500</f>
        <v>0.28199999999999997</v>
      </c>
      <c r="BC360" s="235">
        <f>1-WWWW[[#This Row],[%Equitable and continuous access to sufficient quantity of domestic water borehole n ponds]]</f>
        <v>0</v>
      </c>
      <c r="BD360" s="414">
        <f>WWWW[[#This Row],[%equitable and continuous access to sufficient quantity of safe drinking and domestic water''s GAP]]*WWWW[[#This Row],[Total PoP ]]</f>
        <v>0</v>
      </c>
      <c r="BE360" s="238">
        <f>IF(WWWW[[#This Row],[Total required water points]]-WWWW[[#This Row],['#Water points coverage]]&lt;0,0,WWWW[[#This Row],[Total required water points]]-WWWW[[#This Row],['#Water points coverage]])</f>
        <v>0.71799999999999997</v>
      </c>
      <c r="BF360" s="238">
        <f>ROUND(IF(WWWW[[#This Row],[Total PoP ]]&lt;500,1,WWWW[[#This Row],[Total PoP ]]/500),0)</f>
        <v>1</v>
      </c>
      <c r="BG360" s="238" t="str">
        <f>IF(AND(WWWW[[#This Row],[%of Water samples which passed at water source]]="no test",WWWW[[#This Row],[%Water samples which passed at HH]]="no test"),"No Test","Tested")</f>
        <v>No Test</v>
      </c>
      <c r="BH360" s="238">
        <f>WWWW[[#This Row],['# Existing functional latrines]]+WWWW[[#This Row],['# Existing latrines dysfunctional]]</f>
        <v>16</v>
      </c>
      <c r="BI360" s="235">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1</v>
      </c>
      <c r="BJ360" s="675">
        <f>WWWW[[#This Row],[% people access to functioning Latrine]]*WWWW[[#This Row],[Total PoP ]]</f>
        <v>141</v>
      </c>
      <c r="BK360" s="235">
        <f>IF(WWWW[[#This Row],[Location Type 1]]="camp",WWWW[[#This Row],['# potential required new latrines]]/(WWWW[[#This Row],[Total PoP ]]/20),WWWW[[#This Row],['# potential required new latrines]]/(WWWW[[#This Row],[Total PoP ]]/6))</f>
        <v>0</v>
      </c>
      <c r="BL360" s="414">
        <f>IF(WWWW[[#This Row],[Total required Latrines]]-WWWW[[#This Row],[Total '# of latrine]]&lt;0,0,WWWW[[#This Row],[Total required Latrines]]-WWWW[[#This Row],[Total '# of latrine]])</f>
        <v>0</v>
      </c>
      <c r="BM360" s="238">
        <f>ROUND(IF(WWWW[[#This Row],[Location Type 1]]="camp",WWWW[[#This Row],[Total PoP ]]/20,WWWW[[#This Row],[Total PoP ]]/6),0)</f>
        <v>7</v>
      </c>
      <c r="BN360" s="239">
        <f>IF(OR(WWWW[[#This Row],['# Existing latrines dysfunctional]]="",WWWW[[#This Row],['# Existing latrines dysfunctional]]=0),0,WWWW[[#This Row],['# Existing latrines dysfunctional]]/WWWW[[#This Row],[Total '# of latrine]])</f>
        <v>0.25</v>
      </c>
      <c r="BO360" s="675">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P360" s="235">
        <f>WWWW[[#This Row],[People adopt basic personal and community hygiene practices]]/WWWW[[#This Row],[Total PoP ]]</f>
        <v>1</v>
      </c>
      <c r="BQ360" s="239">
        <f>1-WWWW[[#This Row],[Hygiene Coverage%]]</f>
        <v>0</v>
      </c>
      <c r="BR360" s="414">
        <f>IF(500*WWWW[[#This Row],['# Hygiene Promoters ]]&gt;WWWW[[#This Row],[Total PoP ]],WWWW[[#This Row],[Total PoP ]],500*WWWW[[#This Row],['# Hygiene Promoters ]])</f>
        <v>141</v>
      </c>
      <c r="BS360" s="414">
        <f>IF(WWWW[[#This Row],[% of HH with access to Sanitary Pad]]&gt;=100%,1,0)</f>
        <v>0</v>
      </c>
      <c r="BT360" s="414">
        <f>IF(WWWW[[#This Row],[Total PoP ]]=0,0,IF(WWWW[[#This Row],['# Hygiene Promoters ]]=0,0,IF(WWWW[[#This Row],[Location Type 1]]="Village",IF(WWWW[[#This Row],[Total PoP ]]/WWWW[[#This Row],['# Hygiene Promoters ]]&lt;1000,1,0),IF(WWWW[[#This Row],[Total PoP ]]/WWWW[[#This Row],['# Hygiene Promoters ]]&lt;600,1,0))))</f>
        <v>1</v>
      </c>
      <c r="BU360" s="414">
        <f>IF(WWWW[[#This Row],[%HH with access to soap]]&gt;=100%,1,0)</f>
        <v>1</v>
      </c>
      <c r="BV360" s="414">
        <f>IF(WWWW[[#This Row],[% of HHs with access to Sanitary pad more than '#%]]+WWWW[[#This Row],[Ratio of Hyiene promoters to people less than '#]]+WWWW[[#This Row],[% of HHs with access to soap more than '#%]]&gt;=2,WWWW[[#This Row],[Total PoP ]],0)</f>
        <v>141</v>
      </c>
      <c r="BW360" s="346">
        <f>WWWW[[#This Row],['# people reached by regular dedicated hygiene promotion_5]]/WWWW[[#This Row],[Total PoP ]]</f>
        <v>1</v>
      </c>
      <c r="BX360" s="346">
        <f>IF(WWWW[[#This Row],['# HH received soaps]]/WWWW[[#This Row],[Total HH]]&gt;1,1,WWWW[[#This Row],['# HH received soaps]]/WWWW[[#This Row],[Total HH]])</f>
        <v>1</v>
      </c>
      <c r="BY360" s="346">
        <f>IF(WWWW[[#This Row],['# HH received Sanitary Pads]]/WWWW[[#This Row],[Total HH]]&gt;1,1,WWWW[[#This Row],['# HH received Sanitary Pads]]/WWWW[[#This Row],[Total HH]])</f>
        <v>0</v>
      </c>
      <c r="BZ360" s="720">
        <f>WWWW[[#This Row],['# HH received soaps]]*5</f>
        <v>190</v>
      </c>
      <c r="CA360" s="720">
        <f>WWWW[[#This Row],['# HH received Sanitary Pads]]*5</f>
        <v>0</v>
      </c>
      <c r="CB360" s="238">
        <f>IF(WWWW[[#This Row],['# People with access to soap]]&gt;WWWW[[#This Row],['# People with access to Sanity Pads]],WWWW[[#This Row],['# People with access to soap]],WWWW[[#This Row],['# People with access to Sanity Pads]])</f>
        <v>190</v>
      </c>
      <c r="CC360" s="414">
        <f>WWWW[[#This Row],[Total HH]]*WWWW[[#This Row],[%HHs with access to functional hand washing stations]]</f>
        <v>0</v>
      </c>
      <c r="CD360" s="240" t="str">
        <f>VLOOKUP(WWWW[[#This Row],[Site Name]],SiteDB6[],8,FALSE)</f>
        <v>Yes</v>
      </c>
      <c r="CE360" s="240" t="str">
        <f>VLOOKUP(WWWW[[#This Row],[Site Name]],SiteDB6[],9,FALSE)</f>
        <v>KBC</v>
      </c>
      <c r="CF360" s="240" t="str">
        <f>VLOOKUP(WWWW[[#This Row],[Site Name]],SiteDB6[],10,FALSE)</f>
        <v>Camp</v>
      </c>
      <c r="CG360" s="240" t="str">
        <f>VLOOKUP(WWWW[[#This Row],[Site Name]],SiteDB6[],11,FALSE)</f>
        <v>Camp</v>
      </c>
      <c r="CH360" s="240" t="str">
        <f>VLOOKUP(WWWW[[#This Row],[Site Name]],SiteDB6[],12,FALSE)</f>
        <v>Camp like setting</v>
      </c>
      <c r="CI360" s="240" t="str">
        <f>VLOOKUP(WWWW[[#This Row],[Site Name]],SiteDB6[],13,FALSE)</f>
        <v>GCA</v>
      </c>
      <c r="CJ360" s="240">
        <f>VLOOKUP(WWWW[[#This Row],[Site Name]],SiteDB6[],14,FALSE)</f>
        <v>23.460349999999998</v>
      </c>
      <c r="CK360" s="240">
        <f>VLOOKUP(WWWW[[#This Row],[Site Name]],SiteDB6[],15,FALSE)</f>
        <v>97.947360000000003</v>
      </c>
      <c r="CL360" s="240" t="str">
        <f>VLOOKUP(WWWW[[#This Row],[Site Name]],SiteDB6[],4,FALSE)</f>
        <v>MMR015CMP245</v>
      </c>
      <c r="CM360" s="235" t="str">
        <f t="shared" si="5"/>
        <v>Covered</v>
      </c>
      <c r="CN360" s="235"/>
    </row>
    <row r="361" spans="1:92" ht="15.75" customHeight="1" x14ac:dyDescent="0.25">
      <c r="A361" s="532" t="s">
        <v>1409</v>
      </c>
      <c r="B361" s="533" t="s">
        <v>894</v>
      </c>
      <c r="C361" s="533" t="s">
        <v>878</v>
      </c>
      <c r="D361" s="533" t="s">
        <v>882</v>
      </c>
      <c r="E361" s="533" t="s">
        <v>883</v>
      </c>
      <c r="F361" s="233">
        <v>30</v>
      </c>
      <c r="G361" s="414">
        <v>138</v>
      </c>
      <c r="H361" s="233"/>
      <c r="I361" s="233" t="s">
        <v>2617</v>
      </c>
      <c r="J361" s="234" t="s">
        <v>2618</v>
      </c>
      <c r="K361" s="233">
        <v>0</v>
      </c>
      <c r="L361" s="233" t="s">
        <v>48</v>
      </c>
      <c r="M361" s="235">
        <v>0.5</v>
      </c>
      <c r="N361" s="235">
        <v>1</v>
      </c>
      <c r="O361" s="609">
        <v>1</v>
      </c>
      <c r="P361" s="615"/>
      <c r="Q361" s="615">
        <v>6000</v>
      </c>
      <c r="R361" s="604"/>
      <c r="S361" s="604">
        <v>1</v>
      </c>
      <c r="T361" s="604">
        <v>2</v>
      </c>
      <c r="U361" s="604">
        <v>0</v>
      </c>
      <c r="V361" s="604">
        <v>4</v>
      </c>
      <c r="W361" s="604">
        <v>4</v>
      </c>
      <c r="X361" s="604">
        <v>4</v>
      </c>
      <c r="Y361" s="604"/>
      <c r="Z361" s="628">
        <v>8</v>
      </c>
      <c r="AA361" s="628">
        <v>4</v>
      </c>
      <c r="AB361" s="629">
        <v>2</v>
      </c>
      <c r="AC361" s="628">
        <v>8</v>
      </c>
      <c r="AD361" s="628" t="s">
        <v>293</v>
      </c>
      <c r="AE361" s="631" t="s">
        <v>293</v>
      </c>
      <c r="AF361" s="631">
        <v>2</v>
      </c>
      <c r="AG361" s="628">
        <v>0</v>
      </c>
      <c r="AH361" s="628"/>
      <c r="AI361" s="659">
        <v>0.7</v>
      </c>
      <c r="AJ361" s="644" t="s">
        <v>294</v>
      </c>
      <c r="AK361" s="644">
        <v>2</v>
      </c>
      <c r="AL361" s="645">
        <v>1</v>
      </c>
      <c r="AM361" s="645">
        <v>2</v>
      </c>
      <c r="AN361" s="647">
        <v>29</v>
      </c>
      <c r="AO361" s="647">
        <v>0</v>
      </c>
      <c r="AP361" s="647" t="s">
        <v>48</v>
      </c>
      <c r="AQ361" s="658"/>
      <c r="AR361" s="235">
        <f>IFERROR(WWWW[[#This Row],['# of Water passed at source]]/WWWW[[#This Row],['# of Water tested at source]],"no test")</f>
        <v>0</v>
      </c>
      <c r="AS361" s="237">
        <f>IFERROR(WWWW[[#This Row],['# of Water passed at HH]]/WWWW[[#This Row],['# of Water tested at HH]],"no test")</f>
        <v>1</v>
      </c>
      <c r="AT361" s="237">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U361" s="237">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AV361" s="237">
        <f>IF(WWWW[[#This Row],[Location Type 1]]="Village",WWWW[[#This Row],[Access to safe drinking water for Village]],WWWW[[#This Row],[Access to safe drinking water for Camp]])</f>
        <v>1</v>
      </c>
      <c r="AW361" s="414">
        <f>WWWW[[#This Row],[%Equitable and continuous access to sufficient quantity of safe drinking water]]*WWWW[[#This Row],[Total PoP ]]</f>
        <v>138</v>
      </c>
      <c r="AX361" s="237">
        <f>IF((WWWW[[#This Row],['# Existing protected/fenced ponds ]]*250)/WWWW[[#This Row],[Total PoP ]]&gt;1,1,WWWW[[#This Row],['# Existing protected/fenced ponds ]]*250/WWWW[[#This Row],[Total PoP ]])</f>
        <v>0</v>
      </c>
      <c r="AY361" s="414">
        <f>WWWW[[#This Row],[Access to unimproved water points]]*WWWW[[#This Row],[Total PoP ]]</f>
        <v>0</v>
      </c>
      <c r="AZ361" s="237">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A361" s="414">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138</v>
      </c>
      <c r="BB361" s="414">
        <f>WWWW[[#This Row],['#people Equitable and continuous access to sufficient quantity of domestic water borehole n ponds_2]]/500</f>
        <v>0.27600000000000002</v>
      </c>
      <c r="BC361" s="235">
        <f>1-WWWW[[#This Row],[%Equitable and continuous access to sufficient quantity of domestic water borehole n ponds]]</f>
        <v>0</v>
      </c>
      <c r="BD361" s="414">
        <f>WWWW[[#This Row],[%equitable and continuous access to sufficient quantity of safe drinking and domestic water''s GAP]]*WWWW[[#This Row],[Total PoP ]]</f>
        <v>0</v>
      </c>
      <c r="BE361" s="238">
        <f>IF(WWWW[[#This Row],[Total required water points]]-WWWW[[#This Row],['#Water points coverage]]&lt;0,0,WWWW[[#This Row],[Total required water points]]-WWWW[[#This Row],['#Water points coverage]])</f>
        <v>0.72399999999999998</v>
      </c>
      <c r="BF361" s="238">
        <f>ROUND(IF(WWWW[[#This Row],[Total PoP ]]&lt;500,1,WWWW[[#This Row],[Total PoP ]]/500),0)</f>
        <v>1</v>
      </c>
      <c r="BG361" s="238" t="str">
        <f>IF(AND(WWWW[[#This Row],[%of Water samples which passed at water source]]="no test",WWWW[[#This Row],[%Water samples which passed at HH]]="no test"),"No Test","Tested")</f>
        <v>Tested</v>
      </c>
      <c r="BH361" s="238">
        <f>WWWW[[#This Row],['# Existing functional latrines]]+WWWW[[#This Row],['# Existing latrines dysfunctional]]</f>
        <v>12</v>
      </c>
      <c r="BI361" s="235">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1</v>
      </c>
      <c r="BJ361" s="675">
        <f>WWWW[[#This Row],[% people access to functioning Latrine]]*WWWW[[#This Row],[Total PoP ]]</f>
        <v>138</v>
      </c>
      <c r="BK361" s="235">
        <f>IF(WWWW[[#This Row],[Location Type 1]]="camp",WWWW[[#This Row],['# potential required new latrines]]/(WWWW[[#This Row],[Total PoP ]]/20),WWWW[[#This Row],['# potential required new latrines]]/(WWWW[[#This Row],[Total PoP ]]/6))</f>
        <v>0</v>
      </c>
      <c r="BL361" s="414">
        <f>IF(WWWW[[#This Row],[Total required Latrines]]-WWWW[[#This Row],[Total '# of latrine]]&lt;0,0,WWWW[[#This Row],[Total required Latrines]]-WWWW[[#This Row],[Total '# of latrine]])</f>
        <v>0</v>
      </c>
      <c r="BM361" s="238">
        <f>ROUND(IF(WWWW[[#This Row],[Location Type 1]]="camp",WWWW[[#This Row],[Total PoP ]]/20,WWWW[[#This Row],[Total PoP ]]/6),0)</f>
        <v>7</v>
      </c>
      <c r="BN361" s="239">
        <f>IF(OR(WWWW[[#This Row],['# Existing latrines dysfunctional]]="",WWWW[[#This Row],['# Existing latrines dysfunctional]]=0),0,WWWW[[#This Row],['# Existing latrines dysfunctional]]/WWWW[[#This Row],[Total '# of latrine]])</f>
        <v>0.33333333333333331</v>
      </c>
      <c r="BO361" s="675">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40</v>
      </c>
      <c r="BP361" s="235">
        <f>WWWW[[#This Row],[People adopt basic personal and community hygiene practices]]/WWWW[[#This Row],[Total PoP ]]</f>
        <v>0</v>
      </c>
      <c r="BQ361" s="239">
        <f>1-WWWW[[#This Row],[Hygiene Coverage%]]</f>
        <v>1</v>
      </c>
      <c r="BR361" s="414">
        <f>IF(500*WWWW[[#This Row],['# Hygiene Promoters ]]&gt;WWWW[[#This Row],[Total PoP ]],WWWW[[#This Row],[Total PoP ]],500*WWWW[[#This Row],['# Hygiene Promoters ]])</f>
        <v>138</v>
      </c>
      <c r="BS361" s="414">
        <f>IF(WWWW[[#This Row],[% of HH with access to Sanitary Pad]]&gt;=100%,1,0)</f>
        <v>0</v>
      </c>
      <c r="BT361" s="414">
        <f>IF(WWWW[[#This Row],[Total PoP ]]=0,0,IF(WWWW[[#This Row],['# Hygiene Promoters ]]=0,0,IF(WWWW[[#This Row],[Location Type 1]]="Village",IF(WWWW[[#This Row],[Total PoP ]]/WWWW[[#This Row],['# Hygiene Promoters ]]&lt;1000,1,0),IF(WWWW[[#This Row],[Total PoP ]]/WWWW[[#This Row],['# Hygiene Promoters ]]&lt;600,1,0))))</f>
        <v>1</v>
      </c>
      <c r="BU361" s="414">
        <f>IF(WWWW[[#This Row],[%HH with access to soap]]&gt;=100%,1,0)</f>
        <v>0</v>
      </c>
      <c r="BV361" s="414">
        <f>IF(WWWW[[#This Row],[% of HHs with access to Sanitary pad more than '#%]]+WWWW[[#This Row],[Ratio of Hyiene promoters to people less than '#]]+WWWW[[#This Row],[% of HHs with access to soap more than '#%]]&gt;=2,WWWW[[#This Row],[Total PoP ]],0)</f>
        <v>0</v>
      </c>
      <c r="BW361" s="346">
        <f>WWWW[[#This Row],['# people reached by regular dedicated hygiene promotion_5]]/WWWW[[#This Row],[Total PoP ]]</f>
        <v>1</v>
      </c>
      <c r="BX361" s="346">
        <f>IF(WWWW[[#This Row],['# HH received soaps]]/WWWW[[#This Row],[Total HH]]&gt;1,1,WWWW[[#This Row],['# HH received soaps]]/WWWW[[#This Row],[Total HH]])</f>
        <v>0.96666666666666667</v>
      </c>
      <c r="BY361" s="346">
        <f>IF(WWWW[[#This Row],['# HH received Sanitary Pads]]/WWWW[[#This Row],[Total HH]]&gt;1,1,WWWW[[#This Row],['# HH received Sanitary Pads]]/WWWW[[#This Row],[Total HH]])</f>
        <v>0</v>
      </c>
      <c r="BZ361" s="720">
        <f>WWWW[[#This Row],['# HH received soaps]]*5</f>
        <v>145</v>
      </c>
      <c r="CA361" s="720">
        <f>WWWW[[#This Row],['# HH received Sanitary Pads]]*5</f>
        <v>0</v>
      </c>
      <c r="CB361" s="238">
        <f>IF(WWWW[[#This Row],['# People with access to soap]]&gt;WWWW[[#This Row],['# People with access to Sanity Pads]],WWWW[[#This Row],['# People with access to soap]],WWWW[[#This Row],['# People with access to Sanity Pads]])</f>
        <v>145</v>
      </c>
      <c r="CC361" s="414">
        <f>WWWW[[#This Row],[Total HH]]*WWWW[[#This Row],[%HHs with access to functional hand washing stations]]</f>
        <v>21</v>
      </c>
      <c r="CD361" s="240" t="str">
        <f>VLOOKUP(WWWW[[#This Row],[Site Name]],SiteDB6[],8,FALSE)</f>
        <v>Yes</v>
      </c>
      <c r="CE361" s="240" t="str">
        <f>VLOOKUP(WWWW[[#This Row],[Site Name]],SiteDB6[],9,FALSE)</f>
        <v>KMSS-LSO</v>
      </c>
      <c r="CF361" s="240" t="str">
        <f>VLOOKUP(WWWW[[#This Row],[Site Name]],SiteDB6[],10,FALSE)</f>
        <v>Camp</v>
      </c>
      <c r="CG361" s="240" t="str">
        <f>VLOOKUP(WWWW[[#This Row],[Site Name]],SiteDB6[],11,FALSE)</f>
        <v>Camp</v>
      </c>
      <c r="CH361" s="240" t="str">
        <f>VLOOKUP(WWWW[[#This Row],[Site Name]],SiteDB6[],12,FALSE)</f>
        <v>Camp</v>
      </c>
      <c r="CI361" s="240" t="str">
        <f>VLOOKUP(WWWW[[#This Row],[Site Name]],SiteDB6[],13,FALSE)</f>
        <v>GCA</v>
      </c>
      <c r="CJ361" s="240">
        <f>VLOOKUP(WWWW[[#This Row],[Site Name]],SiteDB6[],14,FALSE)</f>
        <v>23.460349999999998</v>
      </c>
      <c r="CK361" s="240">
        <f>VLOOKUP(WWWW[[#This Row],[Site Name]],SiteDB6[],15,FALSE)</f>
        <v>97.947360000000003</v>
      </c>
      <c r="CL361" s="240" t="str">
        <f>VLOOKUP(WWWW[[#This Row],[Site Name]],SiteDB6[],4,FALSE)</f>
        <v>MMR015CMP017</v>
      </c>
      <c r="CM361" s="235" t="str">
        <f t="shared" si="5"/>
        <v>Covered</v>
      </c>
      <c r="CN361" s="235"/>
    </row>
    <row r="362" spans="1:92" ht="15.75" customHeight="1" x14ac:dyDescent="0.25">
      <c r="A362" s="532" t="s">
        <v>1409</v>
      </c>
      <c r="B362" s="533" t="s">
        <v>297</v>
      </c>
      <c r="C362" s="533" t="s">
        <v>878</v>
      </c>
      <c r="D362" s="533" t="s">
        <v>882</v>
      </c>
      <c r="E362" s="533" t="s">
        <v>935</v>
      </c>
      <c r="F362" s="233">
        <v>36</v>
      </c>
      <c r="G362" s="414">
        <v>145</v>
      </c>
      <c r="H362" s="233"/>
      <c r="I362" s="233" t="s">
        <v>306</v>
      </c>
      <c r="J362" s="234">
        <v>43131</v>
      </c>
      <c r="K362" s="233">
        <v>0</v>
      </c>
      <c r="L362" s="233" t="s">
        <v>48</v>
      </c>
      <c r="M362" s="235">
        <v>1</v>
      </c>
      <c r="N362" s="235">
        <v>1</v>
      </c>
      <c r="O362" s="609">
        <v>0</v>
      </c>
      <c r="P362" s="615">
        <v>1</v>
      </c>
      <c r="Q362" s="615"/>
      <c r="R362" s="604"/>
      <c r="S362" s="604">
        <v>0</v>
      </c>
      <c r="T362" s="604">
        <v>0</v>
      </c>
      <c r="U362" s="604">
        <v>0</v>
      </c>
      <c r="V362" s="604">
        <v>0</v>
      </c>
      <c r="W362" s="604">
        <v>0</v>
      </c>
      <c r="X362" s="604">
        <v>0</v>
      </c>
      <c r="Y362" s="604"/>
      <c r="Z362" s="628">
        <v>12</v>
      </c>
      <c r="AA362" s="628">
        <v>0</v>
      </c>
      <c r="AB362" s="629">
        <v>0</v>
      </c>
      <c r="AC362" s="628">
        <v>0</v>
      </c>
      <c r="AD362" s="628" t="s">
        <v>293</v>
      </c>
      <c r="AE362" s="631" t="s">
        <v>293</v>
      </c>
      <c r="AF362" s="631"/>
      <c r="AG362" s="628"/>
      <c r="AH362" s="628"/>
      <c r="AI362" s="659">
        <v>1</v>
      </c>
      <c r="AJ362" s="644"/>
      <c r="AK362" s="644">
        <v>0</v>
      </c>
      <c r="AL362" s="645">
        <v>2</v>
      </c>
      <c r="AM362" s="645">
        <v>1</v>
      </c>
      <c r="AN362" s="647">
        <v>0</v>
      </c>
      <c r="AO362" s="647">
        <v>0</v>
      </c>
      <c r="AP362" s="647"/>
      <c r="AQ362" s="658"/>
      <c r="AR362" s="235" t="str">
        <f>IFERROR(WWWW[[#This Row],['# of Water passed at source]]/WWWW[[#This Row],['# of Water tested at source]],"no test")</f>
        <v>no test</v>
      </c>
      <c r="AS362" s="237" t="str">
        <f>IFERROR(WWWW[[#This Row],['# of Water passed at HH]]/WWWW[[#This Row],['# of Water tested at HH]],"no test")</f>
        <v>no test</v>
      </c>
      <c r="AT362" s="237">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U362" s="237">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AV362" s="237">
        <f>IF(WWWW[[#This Row],[Location Type 1]]="Village",WWWW[[#This Row],[Access to safe drinking water for Village]],WWWW[[#This Row],[Access to safe drinking water for Camp]])</f>
        <v>1</v>
      </c>
      <c r="AW362" s="414">
        <f>WWWW[[#This Row],[%Equitable and continuous access to sufficient quantity of safe drinking water]]*WWWW[[#This Row],[Total PoP ]]</f>
        <v>145</v>
      </c>
      <c r="AX362" s="237">
        <f>IF((WWWW[[#This Row],['# Existing protected/fenced ponds ]]*250)/WWWW[[#This Row],[Total PoP ]]&gt;1,1,WWWW[[#This Row],['# Existing protected/fenced ponds ]]*250/WWWW[[#This Row],[Total PoP ]])</f>
        <v>0</v>
      </c>
      <c r="AY362" s="414">
        <f>WWWW[[#This Row],[Access to unimproved water points]]*WWWW[[#This Row],[Total PoP ]]</f>
        <v>0</v>
      </c>
      <c r="AZ362" s="237">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A362" s="414">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145</v>
      </c>
      <c r="BB362" s="414">
        <f>WWWW[[#This Row],['#people Equitable and continuous access to sufficient quantity of domestic water borehole n ponds_2]]/500</f>
        <v>0.28999999999999998</v>
      </c>
      <c r="BC362" s="235">
        <f>1-WWWW[[#This Row],[%Equitable and continuous access to sufficient quantity of domestic water borehole n ponds]]</f>
        <v>0</v>
      </c>
      <c r="BD362" s="414">
        <f>WWWW[[#This Row],[%equitable and continuous access to sufficient quantity of safe drinking and domestic water''s GAP]]*WWWW[[#This Row],[Total PoP ]]</f>
        <v>0</v>
      </c>
      <c r="BE362" s="238">
        <f>IF(WWWW[[#This Row],[Total required water points]]-WWWW[[#This Row],['#Water points coverage]]&lt;0,0,WWWW[[#This Row],[Total required water points]]-WWWW[[#This Row],['#Water points coverage]])</f>
        <v>0.71</v>
      </c>
      <c r="BF362" s="238">
        <f>ROUND(IF(WWWW[[#This Row],[Total PoP ]]&lt;500,1,WWWW[[#This Row],[Total PoP ]]/500),0)</f>
        <v>1</v>
      </c>
      <c r="BG362" s="238" t="str">
        <f>IF(AND(WWWW[[#This Row],[%of Water samples which passed at water source]]="no test",WWWW[[#This Row],[%Water samples which passed at HH]]="no test"),"No Test","Tested")</f>
        <v>No Test</v>
      </c>
      <c r="BH362" s="238">
        <f>WWWW[[#This Row],['# Existing functional latrines]]+WWWW[[#This Row],['# Existing latrines dysfunctional]]</f>
        <v>12</v>
      </c>
      <c r="BI362" s="235">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1</v>
      </c>
      <c r="BJ362" s="675">
        <f>WWWW[[#This Row],[% people access to functioning Latrine]]*WWWW[[#This Row],[Total PoP ]]</f>
        <v>145</v>
      </c>
      <c r="BK362" s="235">
        <f>IF(WWWW[[#This Row],[Location Type 1]]="camp",WWWW[[#This Row],['# potential required new latrines]]/(WWWW[[#This Row],[Total PoP ]]/20),WWWW[[#This Row],['# potential required new latrines]]/(WWWW[[#This Row],[Total PoP ]]/6))</f>
        <v>0</v>
      </c>
      <c r="BL362" s="414">
        <f>IF(WWWW[[#This Row],[Total required Latrines]]-WWWW[[#This Row],[Total '# of latrine]]&lt;0,0,WWWW[[#This Row],[Total required Latrines]]-WWWW[[#This Row],[Total '# of latrine]])</f>
        <v>0</v>
      </c>
      <c r="BM362" s="238">
        <f>ROUND(IF(WWWW[[#This Row],[Location Type 1]]="camp",WWWW[[#This Row],[Total PoP ]]/20,WWWW[[#This Row],[Total PoP ]]/6),0)</f>
        <v>7</v>
      </c>
      <c r="BN362" s="239">
        <f>IF(OR(WWWW[[#This Row],['# Existing latrines dysfunctional]]="",WWWW[[#This Row],['# Existing latrines dysfunctional]]=0),0,WWWW[[#This Row],['# Existing latrines dysfunctional]]/WWWW[[#This Row],[Total '# of latrine]])</f>
        <v>0</v>
      </c>
      <c r="BO362" s="675">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P362" s="235">
        <f>WWWW[[#This Row],[People adopt basic personal and community hygiene practices]]/WWWW[[#This Row],[Total PoP ]]</f>
        <v>0</v>
      </c>
      <c r="BQ362" s="239">
        <f>1-WWWW[[#This Row],[Hygiene Coverage%]]</f>
        <v>1</v>
      </c>
      <c r="BR362" s="414">
        <f>IF(500*WWWW[[#This Row],['# Hygiene Promoters ]]&gt;WWWW[[#This Row],[Total PoP ]],WWWW[[#This Row],[Total PoP ]],500*WWWW[[#This Row],['# Hygiene Promoters ]])</f>
        <v>145</v>
      </c>
      <c r="BS362" s="414">
        <f>IF(WWWW[[#This Row],[% of HH with access to Sanitary Pad]]&gt;=100%,1,0)</f>
        <v>0</v>
      </c>
      <c r="BT362" s="414">
        <f>IF(WWWW[[#This Row],[Total PoP ]]=0,0,IF(WWWW[[#This Row],['# Hygiene Promoters ]]=0,0,IF(WWWW[[#This Row],[Location Type 1]]="Village",IF(WWWW[[#This Row],[Total PoP ]]/WWWW[[#This Row],['# Hygiene Promoters ]]&lt;1000,1,0),IF(WWWW[[#This Row],[Total PoP ]]/WWWW[[#This Row],['# Hygiene Promoters ]]&lt;600,1,0))))</f>
        <v>1</v>
      </c>
      <c r="BU362" s="414">
        <f>IF(WWWW[[#This Row],[%HH with access to soap]]&gt;=100%,1,0)</f>
        <v>0</v>
      </c>
      <c r="BV362" s="414">
        <f>IF(WWWW[[#This Row],[% of HHs with access to Sanitary pad more than '#%]]+WWWW[[#This Row],[Ratio of Hyiene promoters to people less than '#]]+WWWW[[#This Row],[% of HHs with access to soap more than '#%]]&gt;=2,WWWW[[#This Row],[Total PoP ]],0)</f>
        <v>0</v>
      </c>
      <c r="BW362" s="346">
        <f>WWWW[[#This Row],['# people reached by regular dedicated hygiene promotion_5]]/WWWW[[#This Row],[Total PoP ]]</f>
        <v>1</v>
      </c>
      <c r="BX362" s="346">
        <f>IF(WWWW[[#This Row],['# HH received soaps]]/WWWW[[#This Row],[Total HH]]&gt;1,1,WWWW[[#This Row],['# HH received soaps]]/WWWW[[#This Row],[Total HH]])</f>
        <v>0</v>
      </c>
      <c r="BY362" s="346">
        <f>IF(WWWW[[#This Row],['# HH received Sanitary Pads]]/WWWW[[#This Row],[Total HH]]&gt;1,1,WWWW[[#This Row],['# HH received Sanitary Pads]]/WWWW[[#This Row],[Total HH]])</f>
        <v>0</v>
      </c>
      <c r="BZ362" s="720">
        <f>WWWW[[#This Row],['# HH received soaps]]*5</f>
        <v>0</v>
      </c>
      <c r="CA362" s="720">
        <f>WWWW[[#This Row],['# HH received Sanitary Pads]]*5</f>
        <v>0</v>
      </c>
      <c r="CB362" s="238">
        <f>IF(WWWW[[#This Row],['# People with access to soap]]&gt;WWWW[[#This Row],['# People with access to Sanity Pads]],WWWW[[#This Row],['# People with access to soap]],WWWW[[#This Row],['# People with access to Sanity Pads]])</f>
        <v>0</v>
      </c>
      <c r="CC362" s="414">
        <f>WWWW[[#This Row],[Total HH]]*WWWW[[#This Row],[%HHs with access to functional hand washing stations]]</f>
        <v>36</v>
      </c>
      <c r="CD362" s="240">
        <f>VLOOKUP(WWWW[[#This Row],[Site Name]],SiteDB6[],8,FALSE)</f>
        <v>0</v>
      </c>
      <c r="CE362" s="240">
        <f>VLOOKUP(WWWW[[#This Row],[Site Name]],SiteDB6[],9,FALSE)</f>
        <v>0</v>
      </c>
      <c r="CF362" s="240" t="str">
        <f>VLOOKUP(WWWW[[#This Row],[Site Name]],SiteDB6[],10,FALSE)</f>
        <v>Camp_not registered</v>
      </c>
      <c r="CG362" s="240" t="str">
        <f>VLOOKUP(WWWW[[#This Row],[Site Name]],SiteDB6[],11,FALSE)</f>
        <v>Camp</v>
      </c>
      <c r="CH362" s="240" t="str">
        <f>VLOOKUP(WWWW[[#This Row],[Site Name]],SiteDB6[],12,FALSE)</f>
        <v>Camp</v>
      </c>
      <c r="CI362" s="240" t="str">
        <f>VLOOKUP(WWWW[[#This Row],[Site Name]],SiteDB6[],13,FALSE)</f>
        <v>GCA</v>
      </c>
      <c r="CJ362" s="240">
        <f>VLOOKUP(WWWW[[#This Row],[Site Name]],SiteDB6[],14,FALSE)</f>
        <v>0</v>
      </c>
      <c r="CK362" s="240">
        <f>VLOOKUP(WWWW[[#This Row],[Site Name]],SiteDB6[],15,FALSE)</f>
        <v>0</v>
      </c>
      <c r="CL362" s="240">
        <f>VLOOKUP(WWWW[[#This Row],[Site Name]],SiteDB6[],4,FALSE)</f>
        <v>0</v>
      </c>
      <c r="CM362" s="235" t="str">
        <f t="shared" si="5"/>
        <v>Covered</v>
      </c>
      <c r="CN362" s="235"/>
    </row>
    <row r="363" spans="1:92" ht="15.75" customHeight="1" x14ac:dyDescent="0.25">
      <c r="A363" s="532" t="s">
        <v>1409</v>
      </c>
      <c r="B363" s="533" t="s">
        <v>2614</v>
      </c>
      <c r="C363" s="533" t="s">
        <v>878</v>
      </c>
      <c r="D363" s="533" t="s">
        <v>903</v>
      </c>
      <c r="E363" s="533" t="s">
        <v>911</v>
      </c>
      <c r="F363" s="233">
        <v>69</v>
      </c>
      <c r="G363" s="414">
        <v>282</v>
      </c>
      <c r="H363" s="233">
        <v>72</v>
      </c>
      <c r="I363" s="233" t="s">
        <v>2634</v>
      </c>
      <c r="J363" s="234" t="s">
        <v>2633</v>
      </c>
      <c r="K363" s="233"/>
      <c r="L363" s="233" t="s">
        <v>48</v>
      </c>
      <c r="M363" s="235">
        <v>0.4</v>
      </c>
      <c r="N363" s="235">
        <v>0.2</v>
      </c>
      <c r="O363" s="609">
        <v>2</v>
      </c>
      <c r="P363" s="615"/>
      <c r="Q363" s="615">
        <v>7500</v>
      </c>
      <c r="R363" s="604"/>
      <c r="S363" s="604">
        <v>1</v>
      </c>
      <c r="T363" s="604">
        <v>0</v>
      </c>
      <c r="U363" s="604">
        <v>0</v>
      </c>
      <c r="V363" s="604">
        <v>0</v>
      </c>
      <c r="W363" s="604">
        <v>0</v>
      </c>
      <c r="X363" s="604">
        <v>0</v>
      </c>
      <c r="Y363" s="604"/>
      <c r="Z363" s="628">
        <v>16</v>
      </c>
      <c r="AA363" s="628">
        <v>0</v>
      </c>
      <c r="AB363" s="629">
        <v>0</v>
      </c>
      <c r="AC363" s="628">
        <v>16</v>
      </c>
      <c r="AD363" s="628" t="s">
        <v>293</v>
      </c>
      <c r="AE363" s="631" t="s">
        <v>293</v>
      </c>
      <c r="AF363" s="631">
        <v>0</v>
      </c>
      <c r="AG363" s="628">
        <v>0</v>
      </c>
      <c r="AH363" s="628"/>
      <c r="AI363" s="659">
        <v>1</v>
      </c>
      <c r="AJ363" s="650" t="s">
        <v>386</v>
      </c>
      <c r="AK363" s="644"/>
      <c r="AL363" s="645">
        <v>2</v>
      </c>
      <c r="AM363" s="645">
        <v>1</v>
      </c>
      <c r="AN363" s="647">
        <v>59</v>
      </c>
      <c r="AO363" s="647">
        <v>0</v>
      </c>
      <c r="AP363" s="647"/>
      <c r="AQ363" s="658"/>
      <c r="AR363" s="235" t="str">
        <f>IFERROR(WWWW[[#This Row],['# of Water passed at source]]/WWWW[[#This Row],['# of Water tested at source]],"no test")</f>
        <v>no test</v>
      </c>
      <c r="AS363" s="237" t="str">
        <f>IFERROR(WWWW[[#This Row],['# of Water passed at HH]]/WWWW[[#This Row],['# of Water tested at HH]],"no test")</f>
        <v>no test</v>
      </c>
      <c r="AT363" s="237">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U363" s="237">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AV363" s="237">
        <f>IF(WWWW[[#This Row],[Location Type 1]]="Village",WWWW[[#This Row],[Access to safe drinking water for Village]],WWWW[[#This Row],[Access to safe drinking water for Camp]])</f>
        <v>1</v>
      </c>
      <c r="AW363" s="414">
        <f>WWWW[[#This Row],[%Equitable and continuous access to sufficient quantity of safe drinking water]]*WWWW[[#This Row],[Total PoP ]]</f>
        <v>282</v>
      </c>
      <c r="AX363" s="237">
        <f>IF((WWWW[[#This Row],['# Existing protected/fenced ponds ]]*250)/WWWW[[#This Row],[Total PoP ]]&gt;1,1,WWWW[[#This Row],['# Existing protected/fenced ponds ]]*250/WWWW[[#This Row],[Total PoP ]])</f>
        <v>0</v>
      </c>
      <c r="AY363" s="414">
        <f>WWWW[[#This Row],[Access to unimproved water points]]*WWWW[[#This Row],[Total PoP ]]</f>
        <v>0</v>
      </c>
      <c r="AZ363" s="237">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A363" s="414">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282</v>
      </c>
      <c r="BB363" s="414">
        <f>WWWW[[#This Row],['#people Equitable and continuous access to sufficient quantity of domestic water borehole n ponds_2]]/500</f>
        <v>0.56399999999999995</v>
      </c>
      <c r="BC363" s="235">
        <f>1-WWWW[[#This Row],[%Equitable and continuous access to sufficient quantity of domestic water borehole n ponds]]</f>
        <v>0</v>
      </c>
      <c r="BD363" s="414">
        <f>WWWW[[#This Row],[%equitable and continuous access to sufficient quantity of safe drinking and domestic water''s GAP]]*WWWW[[#This Row],[Total PoP ]]</f>
        <v>0</v>
      </c>
      <c r="BE363" s="238">
        <f>IF(WWWW[[#This Row],[Total required water points]]-WWWW[[#This Row],['#Water points coverage]]&lt;0,0,WWWW[[#This Row],[Total required water points]]-WWWW[[#This Row],['#Water points coverage]])</f>
        <v>0.43600000000000005</v>
      </c>
      <c r="BF363" s="238">
        <f>ROUND(IF(WWWW[[#This Row],[Total PoP ]]&lt;500,1,WWWW[[#This Row],[Total PoP ]]/500),0)</f>
        <v>1</v>
      </c>
      <c r="BG363" s="238" t="str">
        <f>IF(AND(WWWW[[#This Row],[%of Water samples which passed at water source]]="no test",WWWW[[#This Row],[%Water samples which passed at HH]]="no test"),"No Test","Tested")</f>
        <v>No Test</v>
      </c>
      <c r="BH363" s="238">
        <f>WWWW[[#This Row],['# Existing functional latrines]]+WWWW[[#This Row],['# Existing latrines dysfunctional]]</f>
        <v>16</v>
      </c>
      <c r="BI363" s="235">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1</v>
      </c>
      <c r="BJ363" s="675">
        <f>WWWW[[#This Row],[% people access to functioning Latrine]]*WWWW[[#This Row],[Total PoP ]]</f>
        <v>282</v>
      </c>
      <c r="BK363" s="235">
        <f>IF(WWWW[[#This Row],[Location Type 1]]="camp",WWWW[[#This Row],['# potential required new latrines]]/(WWWW[[#This Row],[Total PoP ]]/20),WWWW[[#This Row],['# potential required new latrines]]/(WWWW[[#This Row],[Total PoP ]]/6))</f>
        <v>0</v>
      </c>
      <c r="BL363" s="414">
        <f>IF(WWWW[[#This Row],[Total required Latrines]]-WWWW[[#This Row],[Total '# of latrine]]&lt;0,0,WWWW[[#This Row],[Total required Latrines]]-WWWW[[#This Row],[Total '# of latrine]])</f>
        <v>0</v>
      </c>
      <c r="BM363" s="238">
        <f>ROUND(IF(WWWW[[#This Row],[Location Type 1]]="camp",WWWW[[#This Row],[Total PoP ]]/20,WWWW[[#This Row],[Total PoP ]]/6),0)</f>
        <v>14</v>
      </c>
      <c r="BN363" s="239">
        <f>IF(OR(WWWW[[#This Row],['# Existing latrines dysfunctional]]="",WWWW[[#This Row],['# Existing latrines dysfunctional]]=0),0,WWWW[[#This Row],['# Existing latrines dysfunctional]]/WWWW[[#This Row],[Total '# of latrine]])</f>
        <v>0</v>
      </c>
      <c r="BO363" s="675">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P363" s="235">
        <f>WWWW[[#This Row],[People adopt basic personal and community hygiene practices]]/WWWW[[#This Row],[Total PoP ]]</f>
        <v>0</v>
      </c>
      <c r="BQ363" s="239">
        <f>1-WWWW[[#This Row],[Hygiene Coverage%]]</f>
        <v>1</v>
      </c>
      <c r="BR363" s="414">
        <f>IF(500*WWWW[[#This Row],['# Hygiene Promoters ]]&gt;WWWW[[#This Row],[Total PoP ]],WWWW[[#This Row],[Total PoP ]],500*WWWW[[#This Row],['# Hygiene Promoters ]])</f>
        <v>282</v>
      </c>
      <c r="BS363" s="414">
        <f>IF(WWWW[[#This Row],[% of HH with access to Sanitary Pad]]&gt;=100%,1,0)</f>
        <v>0</v>
      </c>
      <c r="BT363" s="414">
        <f>IF(WWWW[[#This Row],[Total PoP ]]=0,0,IF(WWWW[[#This Row],['# Hygiene Promoters ]]=0,0,IF(WWWW[[#This Row],[Location Type 1]]="Village",IF(WWWW[[#This Row],[Total PoP ]]/WWWW[[#This Row],['# Hygiene Promoters ]]&lt;1000,1,0),IF(WWWW[[#This Row],[Total PoP ]]/WWWW[[#This Row],['# Hygiene Promoters ]]&lt;600,1,0))))</f>
        <v>1</v>
      </c>
      <c r="BU363" s="414">
        <f>IF(WWWW[[#This Row],[%HH with access to soap]]&gt;=100%,1,0)</f>
        <v>0</v>
      </c>
      <c r="BV363" s="414">
        <f>IF(WWWW[[#This Row],[% of HHs with access to Sanitary pad more than '#%]]+WWWW[[#This Row],[Ratio of Hyiene promoters to people less than '#]]+WWWW[[#This Row],[% of HHs with access to soap more than '#%]]&gt;=2,WWWW[[#This Row],[Total PoP ]],0)</f>
        <v>0</v>
      </c>
      <c r="BW363" s="346">
        <f>WWWW[[#This Row],['# people reached by regular dedicated hygiene promotion_5]]/WWWW[[#This Row],[Total PoP ]]</f>
        <v>1</v>
      </c>
      <c r="BX363" s="346">
        <f>IF(WWWW[[#This Row],['# HH received soaps]]/WWWW[[#This Row],[Total HH]]&gt;1,1,WWWW[[#This Row],['# HH received soaps]]/WWWW[[#This Row],[Total HH]])</f>
        <v>0.85507246376811596</v>
      </c>
      <c r="BY363" s="346">
        <f>IF(WWWW[[#This Row],['# HH received Sanitary Pads]]/WWWW[[#This Row],[Total HH]]&gt;1,1,WWWW[[#This Row],['# HH received Sanitary Pads]]/WWWW[[#This Row],[Total HH]])</f>
        <v>0</v>
      </c>
      <c r="BZ363" s="720">
        <f>WWWW[[#This Row],['# HH received soaps]]*5</f>
        <v>295</v>
      </c>
      <c r="CA363" s="720">
        <f>WWWW[[#This Row],['# HH received Sanitary Pads]]*5</f>
        <v>0</v>
      </c>
      <c r="CB363" s="238">
        <f>IF(WWWW[[#This Row],['# People with access to soap]]&gt;WWWW[[#This Row],['# People with access to Sanity Pads]],WWWW[[#This Row],['# People with access to soap]],WWWW[[#This Row],['# People with access to Sanity Pads]])</f>
        <v>295</v>
      </c>
      <c r="CC363" s="414">
        <f>WWWW[[#This Row],[Total HH]]*WWWW[[#This Row],[%HHs with access to functional hand washing stations]]</f>
        <v>69</v>
      </c>
      <c r="CD363" s="240" t="str">
        <f>VLOOKUP(WWWW[[#This Row],[Site Name]],SiteDB6[],8,FALSE)</f>
        <v>Yes</v>
      </c>
      <c r="CE363" s="240" t="str">
        <f>VLOOKUP(WWWW[[#This Row],[Site Name]],SiteDB6[],9,FALSE)</f>
        <v>KMSS-LSO</v>
      </c>
      <c r="CF363" s="240" t="str">
        <f>VLOOKUP(WWWW[[#This Row],[Site Name]],SiteDB6[],10,FALSE)</f>
        <v>Camp</v>
      </c>
      <c r="CG363" s="240" t="str">
        <f>VLOOKUP(WWWW[[#This Row],[Site Name]],SiteDB6[],11,FALSE)</f>
        <v>Camp</v>
      </c>
      <c r="CH363" s="240" t="str">
        <f>VLOOKUP(WWWW[[#This Row],[Site Name]],SiteDB6[],12,FALSE)</f>
        <v>Camp like setting</v>
      </c>
      <c r="CI363" s="240" t="str">
        <f>VLOOKUP(WWWW[[#This Row],[Site Name]],SiteDB6[],13,FALSE)</f>
        <v>GCA</v>
      </c>
      <c r="CJ363" s="240">
        <f>VLOOKUP(WWWW[[#This Row],[Site Name]],SiteDB6[],14,FALSE)</f>
        <v>23.099304</v>
      </c>
      <c r="CK363" s="240">
        <f>VLOOKUP(WWWW[[#This Row],[Site Name]],SiteDB6[],15,FALSE)</f>
        <v>97.400671000000003</v>
      </c>
      <c r="CL363" s="240" t="str">
        <f>VLOOKUP(WWWW[[#This Row],[Site Name]],SiteDB6[],4,FALSE)</f>
        <v>MMR015CMP248</v>
      </c>
      <c r="CM363" s="235" t="str">
        <f t="shared" si="5"/>
        <v>Covered</v>
      </c>
      <c r="CN363" s="235"/>
    </row>
    <row r="364" spans="1:92" ht="15.75" customHeight="1" x14ac:dyDescent="0.25">
      <c r="A364" s="532" t="s">
        <v>1409</v>
      </c>
      <c r="B364" s="533" t="s">
        <v>457</v>
      </c>
      <c r="C364" s="533" t="s">
        <v>878</v>
      </c>
      <c r="D364" s="533" t="s">
        <v>903</v>
      </c>
      <c r="E364" s="533" t="s">
        <v>1296</v>
      </c>
      <c r="F364" s="233">
        <v>58</v>
      </c>
      <c r="G364" s="414">
        <v>257</v>
      </c>
      <c r="H364" s="233"/>
      <c r="I364" s="233" t="s">
        <v>459</v>
      </c>
      <c r="J364" s="234">
        <v>43421</v>
      </c>
      <c r="K364" s="233"/>
      <c r="L364" s="233" t="s">
        <v>48</v>
      </c>
      <c r="M364" s="235">
        <v>0.28999999999999998</v>
      </c>
      <c r="N364" s="235">
        <v>0.28999999999999998</v>
      </c>
      <c r="O364" s="609">
        <v>0</v>
      </c>
      <c r="P364" s="615">
        <v>1</v>
      </c>
      <c r="Q364" s="615">
        <f>500*15</f>
        <v>7500</v>
      </c>
      <c r="R364" s="604">
        <v>0</v>
      </c>
      <c r="S364" s="604">
        <v>1</v>
      </c>
      <c r="T364" s="604">
        <v>0</v>
      </c>
      <c r="U364" s="604">
        <v>0</v>
      </c>
      <c r="V364" s="604">
        <v>0</v>
      </c>
      <c r="W364" s="604">
        <v>0</v>
      </c>
      <c r="X364" s="604">
        <v>0</v>
      </c>
      <c r="Y364" s="604"/>
      <c r="Z364" s="628">
        <v>10</v>
      </c>
      <c r="AA364" s="628">
        <v>0</v>
      </c>
      <c r="AB364" s="629">
        <v>0</v>
      </c>
      <c r="AC364" s="628">
        <v>10</v>
      </c>
      <c r="AD364" s="628" t="s">
        <v>293</v>
      </c>
      <c r="AE364" s="631" t="s">
        <v>342</v>
      </c>
      <c r="AF364" s="631">
        <v>0</v>
      </c>
      <c r="AG364" s="628">
        <v>0</v>
      </c>
      <c r="AH364" s="628"/>
      <c r="AI364" s="659">
        <v>0</v>
      </c>
      <c r="AJ364" s="644"/>
      <c r="AK364" s="644">
        <v>0</v>
      </c>
      <c r="AL364" s="645">
        <v>1</v>
      </c>
      <c r="AM364" s="645">
        <v>1</v>
      </c>
      <c r="AN364" s="647">
        <v>58</v>
      </c>
      <c r="AO364" s="647">
        <v>0</v>
      </c>
      <c r="AP364" s="647"/>
      <c r="AQ364" s="658"/>
      <c r="AR364" s="235" t="str">
        <f>IFERROR(WWWW[[#This Row],['# of Water passed at source]]/WWWW[[#This Row],['# of Water tested at source]],"no test")</f>
        <v>no test</v>
      </c>
      <c r="AS364" s="237" t="str">
        <f>IFERROR(WWWW[[#This Row],['# of Water passed at HH]]/WWWW[[#This Row],['# of Water tested at HH]],"no test")</f>
        <v>no test</v>
      </c>
      <c r="AT364" s="237">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U364" s="237">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AV364" s="237">
        <f>IF(WWWW[[#This Row],[Location Type 1]]="Village",WWWW[[#This Row],[Access to safe drinking water for Village]],WWWW[[#This Row],[Access to safe drinking water for Camp]])</f>
        <v>1</v>
      </c>
      <c r="AW364" s="414">
        <f>WWWW[[#This Row],[%Equitable and continuous access to sufficient quantity of safe drinking water]]*WWWW[[#This Row],[Total PoP ]]</f>
        <v>257</v>
      </c>
      <c r="AX364" s="237">
        <f>IF((WWWW[[#This Row],['# Existing protected/fenced ponds ]]*250)/WWWW[[#This Row],[Total PoP ]]&gt;1,1,WWWW[[#This Row],['# Existing protected/fenced ponds ]]*250/WWWW[[#This Row],[Total PoP ]])</f>
        <v>0</v>
      </c>
      <c r="AY364" s="414">
        <f>WWWW[[#This Row],[Access to unimproved water points]]*WWWW[[#This Row],[Total PoP ]]</f>
        <v>0</v>
      </c>
      <c r="AZ364" s="237">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A364" s="414">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257</v>
      </c>
      <c r="BB364" s="414">
        <f>WWWW[[#This Row],['#people Equitable and continuous access to sufficient quantity of domestic water borehole n ponds_2]]/500</f>
        <v>0.51400000000000001</v>
      </c>
      <c r="BC364" s="235">
        <f>1-WWWW[[#This Row],[%Equitable and continuous access to sufficient quantity of domestic water borehole n ponds]]</f>
        <v>0</v>
      </c>
      <c r="BD364" s="414">
        <f>WWWW[[#This Row],[%equitable and continuous access to sufficient quantity of safe drinking and domestic water''s GAP]]*WWWW[[#This Row],[Total PoP ]]</f>
        <v>0</v>
      </c>
      <c r="BE364" s="238">
        <f>IF(WWWW[[#This Row],[Total required water points]]-WWWW[[#This Row],['#Water points coverage]]&lt;0,0,WWWW[[#This Row],[Total required water points]]-WWWW[[#This Row],['#Water points coverage]])</f>
        <v>0.48599999999999999</v>
      </c>
      <c r="BF364" s="238">
        <f>ROUND(IF(WWWW[[#This Row],[Total PoP ]]&lt;500,1,WWWW[[#This Row],[Total PoP ]]/500),0)</f>
        <v>1</v>
      </c>
      <c r="BG364" s="238" t="str">
        <f>IF(AND(WWWW[[#This Row],[%of Water samples which passed at water source]]="no test",WWWW[[#This Row],[%Water samples which passed at HH]]="no test"),"No Test","Tested")</f>
        <v>No Test</v>
      </c>
      <c r="BH364" s="238">
        <f>WWWW[[#This Row],['# Existing functional latrines]]+WWWW[[#This Row],['# Existing latrines dysfunctional]]</f>
        <v>10</v>
      </c>
      <c r="BI364" s="235">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0.77821011673151752</v>
      </c>
      <c r="BJ364" s="675">
        <f>WWWW[[#This Row],[% people access to functioning Latrine]]*WWWW[[#This Row],[Total PoP ]]</f>
        <v>200</v>
      </c>
      <c r="BK364" s="235">
        <f>IF(WWWW[[#This Row],[Location Type 1]]="camp",WWWW[[#This Row],['# potential required new latrines]]/(WWWW[[#This Row],[Total PoP ]]/20),WWWW[[#This Row],['# potential required new latrines]]/(WWWW[[#This Row],[Total PoP ]]/6))</f>
        <v>0.23346303501945526</v>
      </c>
      <c r="BL364" s="414">
        <f>IF(WWWW[[#This Row],[Total required Latrines]]-WWWW[[#This Row],[Total '# of latrine]]&lt;0,0,WWWW[[#This Row],[Total required Latrines]]-WWWW[[#This Row],[Total '# of latrine]])</f>
        <v>3</v>
      </c>
      <c r="BM364" s="238">
        <f>ROUND(IF(WWWW[[#This Row],[Location Type 1]]="camp",WWWW[[#This Row],[Total PoP ]]/20,WWWW[[#This Row],[Total PoP ]]/6),0)</f>
        <v>13</v>
      </c>
      <c r="BN364" s="239">
        <f>IF(OR(WWWW[[#This Row],['# Existing latrines dysfunctional]]="",WWWW[[#This Row],['# Existing latrines dysfunctional]]=0),0,WWWW[[#This Row],['# Existing latrines dysfunctional]]/WWWW[[#This Row],[Total '# of latrine]])</f>
        <v>0</v>
      </c>
      <c r="BO364" s="675">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P364" s="235">
        <f>WWWW[[#This Row],[People adopt basic personal and community hygiene practices]]/WWWW[[#This Row],[Total PoP ]]</f>
        <v>1</v>
      </c>
      <c r="BQ364" s="239">
        <f>1-WWWW[[#This Row],[Hygiene Coverage%]]</f>
        <v>0</v>
      </c>
      <c r="BR364" s="414">
        <f>IF(500*WWWW[[#This Row],['# Hygiene Promoters ]]&gt;WWWW[[#This Row],[Total PoP ]],WWWW[[#This Row],[Total PoP ]],500*WWWW[[#This Row],['# Hygiene Promoters ]])</f>
        <v>257</v>
      </c>
      <c r="BS364" s="414">
        <f>IF(WWWW[[#This Row],[% of HH with access to Sanitary Pad]]&gt;=100%,1,0)</f>
        <v>0</v>
      </c>
      <c r="BT364" s="414">
        <f>IF(WWWW[[#This Row],[Total PoP ]]=0,0,IF(WWWW[[#This Row],['# Hygiene Promoters ]]=0,0,IF(WWWW[[#This Row],[Location Type 1]]="Village",IF(WWWW[[#This Row],[Total PoP ]]/WWWW[[#This Row],['# Hygiene Promoters ]]&lt;1000,1,0),IF(WWWW[[#This Row],[Total PoP ]]/WWWW[[#This Row],['# Hygiene Promoters ]]&lt;600,1,0))))</f>
        <v>1</v>
      </c>
      <c r="BU364" s="414">
        <f>IF(WWWW[[#This Row],[%HH with access to soap]]&gt;=100%,1,0)</f>
        <v>1</v>
      </c>
      <c r="BV364" s="414">
        <f>IF(WWWW[[#This Row],[% of HHs with access to Sanitary pad more than '#%]]+WWWW[[#This Row],[Ratio of Hyiene promoters to people less than '#]]+WWWW[[#This Row],[% of HHs with access to soap more than '#%]]&gt;=2,WWWW[[#This Row],[Total PoP ]],0)</f>
        <v>257</v>
      </c>
      <c r="BW364" s="346">
        <f>WWWW[[#This Row],['# people reached by regular dedicated hygiene promotion_5]]/WWWW[[#This Row],[Total PoP ]]</f>
        <v>1</v>
      </c>
      <c r="BX364" s="346">
        <f>IF(WWWW[[#This Row],['# HH received soaps]]/WWWW[[#This Row],[Total HH]]&gt;1,1,WWWW[[#This Row],['# HH received soaps]]/WWWW[[#This Row],[Total HH]])</f>
        <v>1</v>
      </c>
      <c r="BY364" s="346">
        <f>IF(WWWW[[#This Row],['# HH received Sanitary Pads]]/WWWW[[#This Row],[Total HH]]&gt;1,1,WWWW[[#This Row],['# HH received Sanitary Pads]]/WWWW[[#This Row],[Total HH]])</f>
        <v>0</v>
      </c>
      <c r="BZ364" s="720">
        <f>WWWW[[#This Row],['# HH received soaps]]*5</f>
        <v>290</v>
      </c>
      <c r="CA364" s="720">
        <f>WWWW[[#This Row],['# HH received Sanitary Pads]]*5</f>
        <v>0</v>
      </c>
      <c r="CB364" s="238">
        <f>IF(WWWW[[#This Row],['# People with access to soap]]&gt;WWWW[[#This Row],['# People with access to Sanity Pads]],WWWW[[#This Row],['# People with access to soap]],WWWW[[#This Row],['# People with access to Sanity Pads]])</f>
        <v>290</v>
      </c>
      <c r="CC364" s="414">
        <f>WWWW[[#This Row],[Total HH]]*WWWW[[#This Row],[%HHs with access to functional hand washing stations]]</f>
        <v>0</v>
      </c>
      <c r="CD364" s="240">
        <f>VLOOKUP(WWWW[[#This Row],[Site Name]],SiteDB6[],8,FALSE)</f>
        <v>0</v>
      </c>
      <c r="CE364" s="240">
        <f>VLOOKUP(WWWW[[#This Row],[Site Name]],SiteDB6[],9,FALSE)</f>
        <v>0</v>
      </c>
      <c r="CF364" s="240" t="str">
        <f>VLOOKUP(WWWW[[#This Row],[Site Name]],SiteDB6[],10,FALSE)</f>
        <v>Camp_not registered</v>
      </c>
      <c r="CG364" s="240" t="str">
        <f>VLOOKUP(WWWW[[#This Row],[Site Name]],SiteDB6[],11,FALSE)</f>
        <v>Camp</v>
      </c>
      <c r="CH364" s="240" t="str">
        <f>VLOOKUP(WWWW[[#This Row],[Site Name]],SiteDB6[],12,FALSE)</f>
        <v>Camp</v>
      </c>
      <c r="CI364" s="240" t="str">
        <f>VLOOKUP(WWWW[[#This Row],[Site Name]],SiteDB6[],13,FALSE)</f>
        <v>GCA</v>
      </c>
      <c r="CJ364" s="240">
        <f>VLOOKUP(WWWW[[#This Row],[Site Name]],SiteDB6[],14,FALSE)</f>
        <v>0</v>
      </c>
      <c r="CK364" s="240">
        <f>VLOOKUP(WWWW[[#This Row],[Site Name]],SiteDB6[],15,FALSE)</f>
        <v>0</v>
      </c>
      <c r="CL364" s="240">
        <f>VLOOKUP(WWWW[[#This Row],[Site Name]],SiteDB6[],4,FALSE)</f>
        <v>0</v>
      </c>
      <c r="CM364" s="235" t="str">
        <f t="shared" si="5"/>
        <v>Covered</v>
      </c>
      <c r="CN364" s="235"/>
    </row>
    <row r="365" spans="1:92" ht="15.75" customHeight="1" x14ac:dyDescent="0.25">
      <c r="A365" s="532" t="s">
        <v>1409</v>
      </c>
      <c r="B365" s="533" t="s">
        <v>348</v>
      </c>
      <c r="C365" s="533" t="s">
        <v>878</v>
      </c>
      <c r="D365" s="533" t="s">
        <v>903</v>
      </c>
      <c r="E365" s="533" t="s">
        <v>912</v>
      </c>
      <c r="F365" s="233">
        <v>28</v>
      </c>
      <c r="G365" s="414">
        <v>128</v>
      </c>
      <c r="H365" s="233"/>
      <c r="I365" s="233" t="s">
        <v>899</v>
      </c>
      <c r="J365" s="234" t="s">
        <v>2603</v>
      </c>
      <c r="K365" s="233">
        <v>0</v>
      </c>
      <c r="L365" s="233" t="s">
        <v>292</v>
      </c>
      <c r="M365" s="235">
        <v>0</v>
      </c>
      <c r="N365" s="235">
        <v>0</v>
      </c>
      <c r="O365" s="609"/>
      <c r="P365" s="615">
        <v>1</v>
      </c>
      <c r="Q365" s="615">
        <v>1800</v>
      </c>
      <c r="R365" s="604"/>
      <c r="S365" s="604">
        <v>2</v>
      </c>
      <c r="T365" s="604">
        <v>0</v>
      </c>
      <c r="U365" s="604">
        <v>0</v>
      </c>
      <c r="V365" s="604">
        <v>0</v>
      </c>
      <c r="W365" s="604">
        <v>0</v>
      </c>
      <c r="X365" s="604">
        <v>0</v>
      </c>
      <c r="Y365" s="604"/>
      <c r="Z365" s="628">
        <v>7</v>
      </c>
      <c r="AA365" s="628">
        <v>0</v>
      </c>
      <c r="AB365" s="629">
        <v>0</v>
      </c>
      <c r="AC365" s="628">
        <v>5</v>
      </c>
      <c r="AD365" s="628" t="s">
        <v>293</v>
      </c>
      <c r="AE365" s="631" t="s">
        <v>293</v>
      </c>
      <c r="AF365" s="631">
        <v>0</v>
      </c>
      <c r="AG365" s="628">
        <v>0</v>
      </c>
      <c r="AH365" s="628"/>
      <c r="AI365" s="659">
        <v>0.7</v>
      </c>
      <c r="AJ365" s="650" t="s">
        <v>386</v>
      </c>
      <c r="AK365" s="644"/>
      <c r="AL365" s="645">
        <v>2</v>
      </c>
      <c r="AM365" s="645">
        <v>1</v>
      </c>
      <c r="AN365" s="647">
        <v>0</v>
      </c>
      <c r="AO365" s="647">
        <v>0</v>
      </c>
      <c r="AP365" s="647"/>
      <c r="AQ365" s="658"/>
      <c r="AR365" s="235" t="str">
        <f>IFERROR(WWWW[[#This Row],['# of Water passed at source]]/WWWW[[#This Row],['# of Water tested at source]],"no test")</f>
        <v>no test</v>
      </c>
      <c r="AS365" s="237" t="str">
        <f>IFERROR(WWWW[[#This Row],['# of Water passed at HH]]/WWWW[[#This Row],['# of Water tested at HH]],"no test")</f>
        <v>no test</v>
      </c>
      <c r="AT365" s="237">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U365" s="237">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AV365" s="237">
        <f>IF(WWWW[[#This Row],[Location Type 1]]="Village",WWWW[[#This Row],[Access to safe drinking water for Village]],WWWW[[#This Row],[Access to safe drinking water for Camp]])</f>
        <v>1</v>
      </c>
      <c r="AW365" s="414">
        <f>WWWW[[#This Row],[%Equitable and continuous access to sufficient quantity of safe drinking water]]*WWWW[[#This Row],[Total PoP ]]</f>
        <v>128</v>
      </c>
      <c r="AX365" s="237">
        <f>IF((WWWW[[#This Row],['# Existing protected/fenced ponds ]]*250)/WWWW[[#This Row],[Total PoP ]]&gt;1,1,WWWW[[#This Row],['# Existing protected/fenced ponds ]]*250/WWWW[[#This Row],[Total PoP ]])</f>
        <v>0</v>
      </c>
      <c r="AY365" s="414">
        <f>WWWW[[#This Row],[Access to unimproved water points]]*WWWW[[#This Row],[Total PoP ]]</f>
        <v>0</v>
      </c>
      <c r="AZ365" s="237">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A365" s="414">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128</v>
      </c>
      <c r="BB365" s="414">
        <f>WWWW[[#This Row],['#people Equitable and continuous access to sufficient quantity of domestic water borehole n ponds_2]]/500</f>
        <v>0.25600000000000001</v>
      </c>
      <c r="BC365" s="235">
        <f>1-WWWW[[#This Row],[%Equitable and continuous access to sufficient quantity of domestic water borehole n ponds]]</f>
        <v>0</v>
      </c>
      <c r="BD365" s="414">
        <f>WWWW[[#This Row],[%equitable and continuous access to sufficient quantity of safe drinking and domestic water''s GAP]]*WWWW[[#This Row],[Total PoP ]]</f>
        <v>0</v>
      </c>
      <c r="BE365" s="238">
        <f>IF(WWWW[[#This Row],[Total required water points]]-WWWW[[#This Row],['#Water points coverage]]&lt;0,0,WWWW[[#This Row],[Total required water points]]-WWWW[[#This Row],['#Water points coverage]])</f>
        <v>0.74399999999999999</v>
      </c>
      <c r="BF365" s="238">
        <f>ROUND(IF(WWWW[[#This Row],[Total PoP ]]&lt;500,1,WWWW[[#This Row],[Total PoP ]]/500),0)</f>
        <v>1</v>
      </c>
      <c r="BG365" s="238" t="str">
        <f>IF(AND(WWWW[[#This Row],[%of Water samples which passed at water source]]="no test",WWWW[[#This Row],[%Water samples which passed at HH]]="no test"),"No Test","Tested")</f>
        <v>No Test</v>
      </c>
      <c r="BH365" s="238">
        <f>WWWW[[#This Row],['# Existing functional latrines]]+WWWW[[#This Row],['# Existing latrines dysfunctional]]</f>
        <v>7</v>
      </c>
      <c r="BI365" s="235">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1</v>
      </c>
      <c r="BJ365" s="675">
        <f>WWWW[[#This Row],[% people access to functioning Latrine]]*WWWW[[#This Row],[Total PoP ]]</f>
        <v>128</v>
      </c>
      <c r="BK365" s="235">
        <f>IF(WWWW[[#This Row],[Location Type 1]]="camp",WWWW[[#This Row],['# potential required new latrines]]/(WWWW[[#This Row],[Total PoP ]]/20),WWWW[[#This Row],['# potential required new latrines]]/(WWWW[[#This Row],[Total PoP ]]/6))</f>
        <v>0</v>
      </c>
      <c r="BL365" s="414">
        <f>IF(WWWW[[#This Row],[Total required Latrines]]-WWWW[[#This Row],[Total '# of latrine]]&lt;0,0,WWWW[[#This Row],[Total required Latrines]]-WWWW[[#This Row],[Total '# of latrine]])</f>
        <v>0</v>
      </c>
      <c r="BM365" s="238">
        <f>ROUND(IF(WWWW[[#This Row],[Location Type 1]]="camp",WWWW[[#This Row],[Total PoP ]]/20,WWWW[[#This Row],[Total PoP ]]/6),0)</f>
        <v>6</v>
      </c>
      <c r="BN365" s="239">
        <f>IF(OR(WWWW[[#This Row],['# Existing latrines dysfunctional]]="",WWWW[[#This Row],['# Existing latrines dysfunctional]]=0),0,WWWW[[#This Row],['# Existing latrines dysfunctional]]/WWWW[[#This Row],[Total '# of latrine]])</f>
        <v>0</v>
      </c>
      <c r="BO365" s="675">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P365" s="235">
        <f>WWWW[[#This Row],[People adopt basic personal and community hygiene practices]]/WWWW[[#This Row],[Total PoP ]]</f>
        <v>0</v>
      </c>
      <c r="BQ365" s="239">
        <f>1-WWWW[[#This Row],[Hygiene Coverage%]]</f>
        <v>1</v>
      </c>
      <c r="BR365" s="414">
        <f>IF(500*WWWW[[#This Row],['# Hygiene Promoters ]]&gt;WWWW[[#This Row],[Total PoP ]],WWWW[[#This Row],[Total PoP ]],500*WWWW[[#This Row],['# Hygiene Promoters ]])</f>
        <v>128</v>
      </c>
      <c r="BS365" s="414">
        <f>IF(WWWW[[#This Row],[% of HH with access to Sanitary Pad]]&gt;=100%,1,0)</f>
        <v>0</v>
      </c>
      <c r="BT365" s="414">
        <f>IF(WWWW[[#This Row],[Total PoP ]]=0,0,IF(WWWW[[#This Row],['# Hygiene Promoters ]]=0,0,IF(WWWW[[#This Row],[Location Type 1]]="Village",IF(WWWW[[#This Row],[Total PoP ]]/WWWW[[#This Row],['# Hygiene Promoters ]]&lt;1000,1,0),IF(WWWW[[#This Row],[Total PoP ]]/WWWW[[#This Row],['# Hygiene Promoters ]]&lt;600,1,0))))</f>
        <v>1</v>
      </c>
      <c r="BU365" s="414">
        <f>IF(WWWW[[#This Row],[%HH with access to soap]]&gt;=100%,1,0)</f>
        <v>0</v>
      </c>
      <c r="BV365" s="414">
        <f>IF(WWWW[[#This Row],[% of HHs with access to Sanitary pad more than '#%]]+WWWW[[#This Row],[Ratio of Hyiene promoters to people less than '#]]+WWWW[[#This Row],[% of HHs with access to soap more than '#%]]&gt;=2,WWWW[[#This Row],[Total PoP ]],0)</f>
        <v>0</v>
      </c>
      <c r="BW365" s="346">
        <f>WWWW[[#This Row],['# people reached by regular dedicated hygiene promotion_5]]/WWWW[[#This Row],[Total PoP ]]</f>
        <v>1</v>
      </c>
      <c r="BX365" s="346">
        <f>IF(WWWW[[#This Row],['# HH received soaps]]/WWWW[[#This Row],[Total HH]]&gt;1,1,WWWW[[#This Row],['# HH received soaps]]/WWWW[[#This Row],[Total HH]])</f>
        <v>0</v>
      </c>
      <c r="BY365" s="346">
        <f>IF(WWWW[[#This Row],['# HH received Sanitary Pads]]/WWWW[[#This Row],[Total HH]]&gt;1,1,WWWW[[#This Row],['# HH received Sanitary Pads]]/WWWW[[#This Row],[Total HH]])</f>
        <v>0</v>
      </c>
      <c r="BZ365" s="720">
        <f>WWWW[[#This Row],['# HH received soaps]]*5</f>
        <v>0</v>
      </c>
      <c r="CA365" s="720">
        <f>WWWW[[#This Row],['# HH received Sanitary Pads]]*5</f>
        <v>0</v>
      </c>
      <c r="CB365" s="238">
        <f>IF(WWWW[[#This Row],['# People with access to soap]]&gt;WWWW[[#This Row],['# People with access to Sanity Pads]],WWWW[[#This Row],['# People with access to soap]],WWWW[[#This Row],['# People with access to Sanity Pads]])</f>
        <v>0</v>
      </c>
      <c r="CC365" s="414">
        <f>WWWW[[#This Row],[Total HH]]*WWWW[[#This Row],[%HHs with access to functional hand washing stations]]</f>
        <v>19.599999999999998</v>
      </c>
      <c r="CD365" s="240" t="str">
        <f>VLOOKUP(WWWW[[#This Row],[Site Name]],SiteDB6[],8,FALSE)</f>
        <v>Yes</v>
      </c>
      <c r="CE365" s="240" t="str">
        <f>VLOOKUP(WWWW[[#This Row],[Site Name]],SiteDB6[],9,FALSE)</f>
        <v>KMSS-LSO</v>
      </c>
      <c r="CF365" s="240" t="str">
        <f>VLOOKUP(WWWW[[#This Row],[Site Name]],SiteDB6[],10,FALSE)</f>
        <v>Camp</v>
      </c>
      <c r="CG365" s="240" t="str">
        <f>VLOOKUP(WWWW[[#This Row],[Site Name]],SiteDB6[],11,FALSE)</f>
        <v>Camp</v>
      </c>
      <c r="CH365" s="240" t="str">
        <f>VLOOKUP(WWWW[[#This Row],[Site Name]],SiteDB6[],12,FALSE)</f>
        <v>Camp like setting</v>
      </c>
      <c r="CI365" s="240" t="str">
        <f>VLOOKUP(WWWW[[#This Row],[Site Name]],SiteDB6[],13,FALSE)</f>
        <v>GCA</v>
      </c>
      <c r="CJ365" s="240">
        <f>VLOOKUP(WWWW[[#This Row],[Site Name]],SiteDB6[],14,FALSE)</f>
        <v>0</v>
      </c>
      <c r="CK365" s="240">
        <f>VLOOKUP(WWWW[[#This Row],[Site Name]],SiteDB6[],15,FALSE)</f>
        <v>0</v>
      </c>
      <c r="CL365" s="240" t="str">
        <f>VLOOKUP(WWWW[[#This Row],[Site Name]],SiteDB6[],4,FALSE)</f>
        <v>MMR015CMP232</v>
      </c>
      <c r="CM365" s="235" t="str">
        <f t="shared" si="5"/>
        <v>Covered</v>
      </c>
      <c r="CN365" s="235"/>
    </row>
    <row r="366" spans="1:92" ht="15.75" customHeight="1" x14ac:dyDescent="0.25">
      <c r="A366" s="532" t="s">
        <v>1409</v>
      </c>
      <c r="B366" s="533" t="s">
        <v>1423</v>
      </c>
      <c r="C366" s="533" t="s">
        <v>878</v>
      </c>
      <c r="D366" s="533" t="s">
        <v>882</v>
      </c>
      <c r="E366" s="533" t="s">
        <v>915</v>
      </c>
      <c r="F366" s="233">
        <v>145</v>
      </c>
      <c r="G366" s="414">
        <v>721</v>
      </c>
      <c r="H366" s="233"/>
      <c r="I366" s="233" t="s">
        <v>2619</v>
      </c>
      <c r="J366" s="234" t="s">
        <v>2620</v>
      </c>
      <c r="K366" s="233">
        <v>0</v>
      </c>
      <c r="L366" s="233" t="s">
        <v>48</v>
      </c>
      <c r="M366" s="235">
        <v>0.6</v>
      </c>
      <c r="N366" s="235">
        <v>1</v>
      </c>
      <c r="O366" s="609">
        <v>1</v>
      </c>
      <c r="P366" s="615"/>
      <c r="Q366" s="615">
        <v>7200</v>
      </c>
      <c r="R366" s="604"/>
      <c r="S366" s="604">
        <v>2</v>
      </c>
      <c r="T366" s="604">
        <v>0</v>
      </c>
      <c r="U366" s="604">
        <v>0</v>
      </c>
      <c r="V366" s="604">
        <v>0</v>
      </c>
      <c r="W366" s="604">
        <v>0</v>
      </c>
      <c r="X366" s="604">
        <v>0</v>
      </c>
      <c r="Y366" s="604"/>
      <c r="Z366" s="628">
        <v>20</v>
      </c>
      <c r="AA366" s="628"/>
      <c r="AB366" s="629"/>
      <c r="AC366" s="628">
        <v>20</v>
      </c>
      <c r="AD366" s="628" t="s">
        <v>293</v>
      </c>
      <c r="AE366" s="631" t="s">
        <v>293</v>
      </c>
      <c r="AF366" s="631"/>
      <c r="AG366" s="628"/>
      <c r="AH366" s="628"/>
      <c r="AI366" s="659">
        <v>0</v>
      </c>
      <c r="AJ366" s="644" t="s">
        <v>294</v>
      </c>
      <c r="AK366" s="644">
        <v>1</v>
      </c>
      <c r="AL366" s="645">
        <v>3</v>
      </c>
      <c r="AM366" s="645">
        <v>1</v>
      </c>
      <c r="AN366" s="647">
        <v>0</v>
      </c>
      <c r="AO366" s="647">
        <v>0</v>
      </c>
      <c r="AP366" s="647"/>
      <c r="AQ366" s="658"/>
      <c r="AR366" s="235" t="str">
        <f>IFERROR(WWWW[[#This Row],['# of Water passed at source]]/WWWW[[#This Row],['# of Water tested at source]],"no test")</f>
        <v>no test</v>
      </c>
      <c r="AS366" s="237" t="str">
        <f>IFERROR(WWWW[[#This Row],['# of Water passed at HH]]/WWWW[[#This Row],['# of Water tested at HH]],"no test")</f>
        <v>no test</v>
      </c>
      <c r="AT366" s="237">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U366" s="237">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AV366" s="237">
        <f>IF(WWWW[[#This Row],[Location Type 1]]="Village",WWWW[[#This Row],[Access to safe drinking water for Village]],WWWW[[#This Row],[Access to safe drinking water for Camp]])</f>
        <v>1</v>
      </c>
      <c r="AW366" s="414">
        <f>WWWW[[#This Row],[%Equitable and continuous access to sufficient quantity of safe drinking water]]*WWWW[[#This Row],[Total PoP ]]</f>
        <v>721</v>
      </c>
      <c r="AX366" s="237">
        <f>IF((WWWW[[#This Row],['# Existing protected/fenced ponds ]]*250)/WWWW[[#This Row],[Total PoP ]]&gt;1,1,WWWW[[#This Row],['# Existing protected/fenced ponds ]]*250/WWWW[[#This Row],[Total PoP ]])</f>
        <v>0</v>
      </c>
      <c r="AY366" s="414">
        <f>WWWW[[#This Row],[Access to unimproved water points]]*WWWW[[#This Row],[Total PoP ]]</f>
        <v>0</v>
      </c>
      <c r="AZ366" s="237">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A366" s="414">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721</v>
      </c>
      <c r="BB366" s="414">
        <f>WWWW[[#This Row],['#people Equitable and continuous access to sufficient quantity of domestic water borehole n ponds_2]]/500</f>
        <v>1.4419999999999999</v>
      </c>
      <c r="BC366" s="235">
        <f>1-WWWW[[#This Row],[%Equitable and continuous access to sufficient quantity of domestic water borehole n ponds]]</f>
        <v>0</v>
      </c>
      <c r="BD366" s="414">
        <f>WWWW[[#This Row],[%equitable and continuous access to sufficient quantity of safe drinking and domestic water''s GAP]]*WWWW[[#This Row],[Total PoP ]]</f>
        <v>0</v>
      </c>
      <c r="BE366" s="238">
        <f>IF(WWWW[[#This Row],[Total required water points]]-WWWW[[#This Row],['#Water points coverage]]&lt;0,0,WWWW[[#This Row],[Total required water points]]-WWWW[[#This Row],['#Water points coverage]])</f>
        <v>0</v>
      </c>
      <c r="BF366" s="238">
        <f>ROUND(IF(WWWW[[#This Row],[Total PoP ]]&lt;500,1,WWWW[[#This Row],[Total PoP ]]/500),0)</f>
        <v>1</v>
      </c>
      <c r="BG366" s="238" t="str">
        <f>IF(AND(WWWW[[#This Row],[%of Water samples which passed at water source]]="no test",WWWW[[#This Row],[%Water samples which passed at HH]]="no test"),"No Test","Tested")</f>
        <v>No Test</v>
      </c>
      <c r="BH366" s="238">
        <f>WWWW[[#This Row],['# Existing functional latrines]]+WWWW[[#This Row],['# Existing latrines dysfunctional]]</f>
        <v>20</v>
      </c>
      <c r="BI366" s="235">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0.55478502080443826</v>
      </c>
      <c r="BJ366" s="675">
        <f>WWWW[[#This Row],[% people access to functioning Latrine]]*WWWW[[#This Row],[Total PoP ]]</f>
        <v>400</v>
      </c>
      <c r="BK366" s="235">
        <f>IF(WWWW[[#This Row],[Location Type 1]]="camp",WWWW[[#This Row],['# potential required new latrines]]/(WWWW[[#This Row],[Total PoP ]]/20),WWWW[[#This Row],['# potential required new latrines]]/(WWWW[[#This Row],[Total PoP ]]/6))</f>
        <v>0.44382801664355065</v>
      </c>
      <c r="BL366" s="414">
        <f>IF(WWWW[[#This Row],[Total required Latrines]]-WWWW[[#This Row],[Total '# of latrine]]&lt;0,0,WWWW[[#This Row],[Total required Latrines]]-WWWW[[#This Row],[Total '# of latrine]])</f>
        <v>16</v>
      </c>
      <c r="BM366" s="238">
        <f>ROUND(IF(WWWW[[#This Row],[Location Type 1]]="camp",WWWW[[#This Row],[Total PoP ]]/20,WWWW[[#This Row],[Total PoP ]]/6),0)</f>
        <v>36</v>
      </c>
      <c r="BN366" s="239">
        <f>IF(OR(WWWW[[#This Row],['# Existing latrines dysfunctional]]="",WWWW[[#This Row],['# Existing latrines dysfunctional]]=0),0,WWWW[[#This Row],['# Existing latrines dysfunctional]]/WWWW[[#This Row],[Total '# of latrine]])</f>
        <v>0</v>
      </c>
      <c r="BO366" s="675">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P366" s="235">
        <f>WWWW[[#This Row],[People adopt basic personal and community hygiene practices]]/WWWW[[#This Row],[Total PoP ]]</f>
        <v>0</v>
      </c>
      <c r="BQ366" s="239">
        <f>1-WWWW[[#This Row],[Hygiene Coverage%]]</f>
        <v>1</v>
      </c>
      <c r="BR366" s="414">
        <f>IF(500*WWWW[[#This Row],['# Hygiene Promoters ]]&gt;WWWW[[#This Row],[Total PoP ]],WWWW[[#This Row],[Total PoP ]],500*WWWW[[#This Row],['# Hygiene Promoters ]])</f>
        <v>500</v>
      </c>
      <c r="BS366" s="414">
        <f>IF(WWWW[[#This Row],[% of HH with access to Sanitary Pad]]&gt;=100%,1,0)</f>
        <v>0</v>
      </c>
      <c r="BT366" s="414">
        <f>IF(WWWW[[#This Row],[Total PoP ]]=0,0,IF(WWWW[[#This Row],['# Hygiene Promoters ]]=0,0,IF(WWWW[[#This Row],[Location Type 1]]="Village",IF(WWWW[[#This Row],[Total PoP ]]/WWWW[[#This Row],['# Hygiene Promoters ]]&lt;1000,1,0),IF(WWWW[[#This Row],[Total PoP ]]/WWWW[[#This Row],['# Hygiene Promoters ]]&lt;600,1,0))))</f>
        <v>0</v>
      </c>
      <c r="BU366" s="414">
        <f>IF(WWWW[[#This Row],[%HH with access to soap]]&gt;=100%,1,0)</f>
        <v>0</v>
      </c>
      <c r="BV366" s="414">
        <f>IF(WWWW[[#This Row],[% of HHs with access to Sanitary pad more than '#%]]+WWWW[[#This Row],[Ratio of Hyiene promoters to people less than '#]]+WWWW[[#This Row],[% of HHs with access to soap more than '#%]]&gt;=2,WWWW[[#This Row],[Total PoP ]],0)</f>
        <v>0</v>
      </c>
      <c r="BW366" s="346">
        <f>WWWW[[#This Row],['# people reached by regular dedicated hygiene promotion_5]]/WWWW[[#This Row],[Total PoP ]]</f>
        <v>0.69348127600554788</v>
      </c>
      <c r="BX366" s="346">
        <f>IF(WWWW[[#This Row],['# HH received soaps]]/WWWW[[#This Row],[Total HH]]&gt;1,1,WWWW[[#This Row],['# HH received soaps]]/WWWW[[#This Row],[Total HH]])</f>
        <v>0</v>
      </c>
      <c r="BY366" s="346">
        <f>IF(WWWW[[#This Row],['# HH received Sanitary Pads]]/WWWW[[#This Row],[Total HH]]&gt;1,1,WWWW[[#This Row],['# HH received Sanitary Pads]]/WWWW[[#This Row],[Total HH]])</f>
        <v>0</v>
      </c>
      <c r="BZ366" s="720">
        <f>WWWW[[#This Row],['# HH received soaps]]*5</f>
        <v>0</v>
      </c>
      <c r="CA366" s="720">
        <f>WWWW[[#This Row],['# HH received Sanitary Pads]]*5</f>
        <v>0</v>
      </c>
      <c r="CB366" s="238">
        <f>IF(WWWW[[#This Row],['# People with access to soap]]&gt;WWWW[[#This Row],['# People with access to Sanity Pads]],WWWW[[#This Row],['# People with access to soap]],WWWW[[#This Row],['# People with access to Sanity Pads]])</f>
        <v>0</v>
      </c>
      <c r="CC366" s="414">
        <f>WWWW[[#This Row],[Total HH]]*WWWW[[#This Row],[%HHs with access to functional hand washing stations]]</f>
        <v>0</v>
      </c>
      <c r="CD366" s="240" t="str">
        <f>VLOOKUP(WWWW[[#This Row],[Site Name]],SiteDB6[],8,FALSE)</f>
        <v>Yes</v>
      </c>
      <c r="CE366" s="240" t="str">
        <f>VLOOKUP(WWWW[[#This Row],[Site Name]],SiteDB6[],9,FALSE)</f>
        <v>KBC</v>
      </c>
      <c r="CF366" s="240" t="str">
        <f>VLOOKUP(WWWW[[#This Row],[Site Name]],SiteDB6[],10,FALSE)</f>
        <v>Camp</v>
      </c>
      <c r="CG366" s="240" t="str">
        <f>VLOOKUP(WWWW[[#This Row],[Site Name]],SiteDB6[],11,FALSE)</f>
        <v>Camp</v>
      </c>
      <c r="CH366" s="240" t="str">
        <f>VLOOKUP(WWWW[[#This Row],[Site Name]],SiteDB6[],12,FALSE)</f>
        <v>Camp</v>
      </c>
      <c r="CI366" s="240" t="str">
        <f>VLOOKUP(WWWW[[#This Row],[Site Name]],SiteDB6[],13,FALSE)</f>
        <v>GCA</v>
      </c>
      <c r="CJ366" s="240">
        <f>VLOOKUP(WWWW[[#This Row],[Site Name]],SiteDB6[],14,FALSE)</f>
        <v>23.591999999999999</v>
      </c>
      <c r="CK366" s="240">
        <f>VLOOKUP(WWWW[[#This Row],[Site Name]],SiteDB6[],15,FALSE)</f>
        <v>97.796999999999997</v>
      </c>
      <c r="CL366" s="240" t="str">
        <f>VLOOKUP(WWWW[[#This Row],[Site Name]],SiteDB6[],4,FALSE)</f>
        <v>MMR015CMP220</v>
      </c>
      <c r="CM366" s="235" t="str">
        <f t="shared" si="5"/>
        <v>Covered</v>
      </c>
      <c r="CN366" s="235"/>
    </row>
    <row r="367" spans="1:92" ht="15.75" customHeight="1" x14ac:dyDescent="0.25">
      <c r="A367" s="532" t="s">
        <v>1409</v>
      </c>
      <c r="B367" s="533" t="s">
        <v>457</v>
      </c>
      <c r="C367" s="533" t="s">
        <v>878</v>
      </c>
      <c r="D367" s="533" t="s">
        <v>882</v>
      </c>
      <c r="E367" s="533" t="s">
        <v>923</v>
      </c>
      <c r="F367" s="233">
        <v>20</v>
      </c>
      <c r="G367" s="414">
        <v>82</v>
      </c>
      <c r="H367" s="233">
        <v>20</v>
      </c>
      <c r="I367" s="233" t="s">
        <v>459</v>
      </c>
      <c r="J367" s="234">
        <v>43421</v>
      </c>
      <c r="K367" s="233"/>
      <c r="L367" s="233" t="s">
        <v>48</v>
      </c>
      <c r="M367" s="235">
        <v>0.56999999999999995</v>
      </c>
      <c r="N367" s="235">
        <v>0.43</v>
      </c>
      <c r="O367" s="609">
        <v>0</v>
      </c>
      <c r="P367" s="615">
        <v>0</v>
      </c>
      <c r="Q367" s="615">
        <f>500*15</f>
        <v>7500</v>
      </c>
      <c r="R367" s="604">
        <v>0</v>
      </c>
      <c r="S367" s="604">
        <v>0</v>
      </c>
      <c r="T367" s="604">
        <v>0</v>
      </c>
      <c r="U367" s="604">
        <v>0</v>
      </c>
      <c r="V367" s="604">
        <v>0</v>
      </c>
      <c r="W367" s="604">
        <v>0</v>
      </c>
      <c r="X367" s="604">
        <v>0</v>
      </c>
      <c r="Y367" s="604"/>
      <c r="Z367" s="628">
        <v>6</v>
      </c>
      <c r="AA367" s="628">
        <v>0</v>
      </c>
      <c r="AB367" s="629">
        <v>0</v>
      </c>
      <c r="AC367" s="628">
        <v>6</v>
      </c>
      <c r="AD367" s="628" t="s">
        <v>342</v>
      </c>
      <c r="AE367" s="631" t="s">
        <v>342</v>
      </c>
      <c r="AF367" s="631">
        <v>0</v>
      </c>
      <c r="AG367" s="628">
        <v>0</v>
      </c>
      <c r="AH367" s="628"/>
      <c r="AI367" s="659">
        <v>1</v>
      </c>
      <c r="AJ367" s="650" t="s">
        <v>386</v>
      </c>
      <c r="AK367" s="644">
        <v>0</v>
      </c>
      <c r="AL367" s="645">
        <v>1</v>
      </c>
      <c r="AM367" s="645">
        <v>1</v>
      </c>
      <c r="AN367" s="647">
        <v>20</v>
      </c>
      <c r="AO367" s="647">
        <v>0</v>
      </c>
      <c r="AP367" s="647"/>
      <c r="AQ367" s="658"/>
      <c r="AR367" s="235" t="str">
        <f>IFERROR(WWWW[[#This Row],['# of Water passed at source]]/WWWW[[#This Row],['# of Water tested at source]],"no test")</f>
        <v>no test</v>
      </c>
      <c r="AS367" s="237" t="str">
        <f>IFERROR(WWWW[[#This Row],['# of Water passed at HH]]/WWWW[[#This Row],['# of Water tested at HH]],"no test")</f>
        <v>no test</v>
      </c>
      <c r="AT367" s="237">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U367" s="237">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AV367" s="237">
        <f>IF(WWWW[[#This Row],[Location Type 1]]="Village",WWWW[[#This Row],[Access to safe drinking water for Village]],WWWW[[#This Row],[Access to safe drinking water for Camp]])</f>
        <v>1</v>
      </c>
      <c r="AW367" s="414">
        <f>WWWW[[#This Row],[%Equitable and continuous access to sufficient quantity of safe drinking water]]*WWWW[[#This Row],[Total PoP ]]</f>
        <v>82</v>
      </c>
      <c r="AX367" s="237">
        <f>IF((WWWW[[#This Row],['# Existing protected/fenced ponds ]]*250)/WWWW[[#This Row],[Total PoP ]]&gt;1,1,WWWW[[#This Row],['# Existing protected/fenced ponds ]]*250/WWWW[[#This Row],[Total PoP ]])</f>
        <v>0</v>
      </c>
      <c r="AY367" s="414">
        <f>WWWW[[#This Row],[Access to unimproved water points]]*WWWW[[#This Row],[Total PoP ]]</f>
        <v>0</v>
      </c>
      <c r="AZ367" s="237">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A367" s="414">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82</v>
      </c>
      <c r="BB367" s="414">
        <f>WWWW[[#This Row],['#people Equitable and continuous access to sufficient quantity of domestic water borehole n ponds_2]]/500</f>
        <v>0.16400000000000001</v>
      </c>
      <c r="BC367" s="235">
        <f>1-WWWW[[#This Row],[%Equitable and continuous access to sufficient quantity of domestic water borehole n ponds]]</f>
        <v>0</v>
      </c>
      <c r="BD367" s="414">
        <f>WWWW[[#This Row],[%equitable and continuous access to sufficient quantity of safe drinking and domestic water''s GAP]]*WWWW[[#This Row],[Total PoP ]]</f>
        <v>0</v>
      </c>
      <c r="BE367" s="238">
        <f>IF(WWWW[[#This Row],[Total required water points]]-WWWW[[#This Row],['#Water points coverage]]&lt;0,0,WWWW[[#This Row],[Total required water points]]-WWWW[[#This Row],['#Water points coverage]])</f>
        <v>0.83599999999999997</v>
      </c>
      <c r="BF367" s="238">
        <f>ROUND(IF(WWWW[[#This Row],[Total PoP ]]&lt;500,1,WWWW[[#This Row],[Total PoP ]]/500),0)</f>
        <v>1</v>
      </c>
      <c r="BG367" s="238" t="str">
        <f>IF(AND(WWWW[[#This Row],[%of Water samples which passed at water source]]="no test",WWWW[[#This Row],[%Water samples which passed at HH]]="no test"),"No Test","Tested")</f>
        <v>No Test</v>
      </c>
      <c r="BH367" s="238">
        <f>WWWW[[#This Row],['# Existing functional latrines]]+WWWW[[#This Row],['# Existing latrines dysfunctional]]</f>
        <v>6</v>
      </c>
      <c r="BI367" s="235">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1</v>
      </c>
      <c r="BJ367" s="675">
        <f>WWWW[[#This Row],[% people access to functioning Latrine]]*WWWW[[#This Row],[Total PoP ]]</f>
        <v>82</v>
      </c>
      <c r="BK367" s="235">
        <f>IF(WWWW[[#This Row],[Location Type 1]]="camp",WWWW[[#This Row],['# potential required new latrines]]/(WWWW[[#This Row],[Total PoP ]]/20),WWWW[[#This Row],['# potential required new latrines]]/(WWWW[[#This Row],[Total PoP ]]/6))</f>
        <v>0</v>
      </c>
      <c r="BL367" s="414">
        <f>IF(WWWW[[#This Row],[Total required Latrines]]-WWWW[[#This Row],[Total '# of latrine]]&lt;0,0,WWWW[[#This Row],[Total required Latrines]]-WWWW[[#This Row],[Total '# of latrine]])</f>
        <v>0</v>
      </c>
      <c r="BM367" s="238">
        <f>ROUND(IF(WWWW[[#This Row],[Location Type 1]]="camp",WWWW[[#This Row],[Total PoP ]]/20,WWWW[[#This Row],[Total PoP ]]/6),0)</f>
        <v>4</v>
      </c>
      <c r="BN367" s="239">
        <f>IF(OR(WWWW[[#This Row],['# Existing latrines dysfunctional]]="",WWWW[[#This Row],['# Existing latrines dysfunctional]]=0),0,WWWW[[#This Row],['# Existing latrines dysfunctional]]/WWWW[[#This Row],[Total '# of latrine]])</f>
        <v>0</v>
      </c>
      <c r="BO367" s="675">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P367" s="235">
        <f>WWWW[[#This Row],[People adopt basic personal and community hygiene practices]]/WWWW[[#This Row],[Total PoP ]]</f>
        <v>1</v>
      </c>
      <c r="BQ367" s="239">
        <f>1-WWWW[[#This Row],[Hygiene Coverage%]]</f>
        <v>0</v>
      </c>
      <c r="BR367" s="414">
        <f>IF(500*WWWW[[#This Row],['# Hygiene Promoters ]]&gt;WWWW[[#This Row],[Total PoP ]],WWWW[[#This Row],[Total PoP ]],500*WWWW[[#This Row],['# Hygiene Promoters ]])</f>
        <v>82</v>
      </c>
      <c r="BS367" s="414">
        <f>IF(WWWW[[#This Row],[% of HH with access to Sanitary Pad]]&gt;=100%,1,0)</f>
        <v>0</v>
      </c>
      <c r="BT367" s="414">
        <f>IF(WWWW[[#This Row],[Total PoP ]]=0,0,IF(WWWW[[#This Row],['# Hygiene Promoters ]]=0,0,IF(WWWW[[#This Row],[Location Type 1]]="Village",IF(WWWW[[#This Row],[Total PoP ]]/WWWW[[#This Row],['# Hygiene Promoters ]]&lt;1000,1,0),IF(WWWW[[#This Row],[Total PoP ]]/WWWW[[#This Row],['# Hygiene Promoters ]]&lt;600,1,0))))</f>
        <v>1</v>
      </c>
      <c r="BU367" s="414">
        <f>IF(WWWW[[#This Row],[%HH with access to soap]]&gt;=100%,1,0)</f>
        <v>1</v>
      </c>
      <c r="BV367" s="414">
        <f>IF(WWWW[[#This Row],[% of HHs with access to Sanitary pad more than '#%]]+WWWW[[#This Row],[Ratio of Hyiene promoters to people less than '#]]+WWWW[[#This Row],[% of HHs with access to soap more than '#%]]&gt;=2,WWWW[[#This Row],[Total PoP ]],0)</f>
        <v>82</v>
      </c>
      <c r="BW367" s="346">
        <f>WWWW[[#This Row],['# people reached by regular dedicated hygiene promotion_5]]/WWWW[[#This Row],[Total PoP ]]</f>
        <v>1</v>
      </c>
      <c r="BX367" s="346">
        <f>IF(WWWW[[#This Row],['# HH received soaps]]/WWWW[[#This Row],[Total HH]]&gt;1,1,WWWW[[#This Row],['# HH received soaps]]/WWWW[[#This Row],[Total HH]])</f>
        <v>1</v>
      </c>
      <c r="BY367" s="346">
        <f>IF(WWWW[[#This Row],['# HH received Sanitary Pads]]/WWWW[[#This Row],[Total HH]]&gt;1,1,WWWW[[#This Row],['# HH received Sanitary Pads]]/WWWW[[#This Row],[Total HH]])</f>
        <v>0</v>
      </c>
      <c r="BZ367" s="720">
        <f>WWWW[[#This Row],['# HH received soaps]]*5</f>
        <v>100</v>
      </c>
      <c r="CA367" s="720">
        <f>WWWW[[#This Row],['# HH received Sanitary Pads]]*5</f>
        <v>0</v>
      </c>
      <c r="CB367" s="238">
        <f>IF(WWWW[[#This Row],['# People with access to soap]]&gt;WWWW[[#This Row],['# People with access to Sanity Pads]],WWWW[[#This Row],['# People with access to soap]],WWWW[[#This Row],['# People with access to Sanity Pads]])</f>
        <v>100</v>
      </c>
      <c r="CC367" s="414">
        <f>WWWW[[#This Row],[Total HH]]*WWWW[[#This Row],[%HHs with access to functional hand washing stations]]</f>
        <v>20</v>
      </c>
      <c r="CD367" s="240">
        <f>VLOOKUP(WWWW[[#This Row],[Site Name]],SiteDB6[],8,FALSE)</f>
        <v>0</v>
      </c>
      <c r="CE367" s="240">
        <f>VLOOKUP(WWWW[[#This Row],[Site Name]],SiteDB6[],9,FALSE)</f>
        <v>0</v>
      </c>
      <c r="CF367" s="240" t="str">
        <f>VLOOKUP(WWWW[[#This Row],[Site Name]],SiteDB6[],10,FALSE)</f>
        <v>Camp</v>
      </c>
      <c r="CG367" s="240" t="str">
        <f>VLOOKUP(WWWW[[#This Row],[Site Name]],SiteDB6[],11,FALSE)</f>
        <v>Camp</v>
      </c>
      <c r="CH367" s="240" t="str">
        <f>VLOOKUP(WWWW[[#This Row],[Site Name]],SiteDB6[],12,FALSE)</f>
        <v>Camp like setting</v>
      </c>
      <c r="CI367" s="240" t="str">
        <f>VLOOKUP(WWWW[[#This Row],[Site Name]],SiteDB6[],13,FALSE)</f>
        <v>GCA</v>
      </c>
      <c r="CJ367" s="240">
        <f>VLOOKUP(WWWW[[#This Row],[Site Name]],SiteDB6[],14,FALSE)</f>
        <v>0</v>
      </c>
      <c r="CK367" s="240">
        <f>VLOOKUP(WWWW[[#This Row],[Site Name]],SiteDB6[],15,FALSE)</f>
        <v>0</v>
      </c>
      <c r="CL367" s="240" t="str">
        <f>VLOOKUP(WWWW[[#This Row],[Site Name]],SiteDB6[],4,FALSE)</f>
        <v>MMR015CMP246</v>
      </c>
      <c r="CM367" s="235" t="str">
        <f t="shared" si="5"/>
        <v>Covered</v>
      </c>
      <c r="CN367" s="235"/>
    </row>
    <row r="368" spans="1:92" ht="15.75" customHeight="1" x14ac:dyDescent="0.25">
      <c r="A368" s="532" t="s">
        <v>1409</v>
      </c>
      <c r="B368" s="533" t="s">
        <v>2574</v>
      </c>
      <c r="C368" s="533" t="s">
        <v>878</v>
      </c>
      <c r="D368" s="533" t="s">
        <v>885</v>
      </c>
      <c r="E368" s="533" t="s">
        <v>917</v>
      </c>
      <c r="F368" s="233">
        <v>33</v>
      </c>
      <c r="G368" s="414">
        <v>143</v>
      </c>
      <c r="H368" s="233"/>
      <c r="I368" s="233" t="s">
        <v>899</v>
      </c>
      <c r="J368" s="234" t="s">
        <v>2603</v>
      </c>
      <c r="K368" s="233">
        <v>0</v>
      </c>
      <c r="L368" s="233" t="s">
        <v>48</v>
      </c>
      <c r="M368" s="235">
        <v>0.5</v>
      </c>
      <c r="N368" s="235">
        <v>1</v>
      </c>
      <c r="O368" s="609"/>
      <c r="P368" s="615">
        <v>1</v>
      </c>
      <c r="Q368" s="615">
        <v>6750</v>
      </c>
      <c r="R368" s="604"/>
      <c r="S368" s="604">
        <v>6</v>
      </c>
      <c r="T368" s="604">
        <v>0</v>
      </c>
      <c r="U368" s="604">
        <v>0</v>
      </c>
      <c r="V368" s="604">
        <v>0</v>
      </c>
      <c r="W368" s="604">
        <v>0</v>
      </c>
      <c r="X368" s="604">
        <v>0</v>
      </c>
      <c r="Y368" s="604"/>
      <c r="Z368" s="628">
        <v>18</v>
      </c>
      <c r="AA368" s="628">
        <v>0</v>
      </c>
      <c r="AB368" s="629">
        <v>0</v>
      </c>
      <c r="AC368" s="628">
        <v>18</v>
      </c>
      <c r="AD368" s="628" t="s">
        <v>293</v>
      </c>
      <c r="AE368" s="631" t="s">
        <v>293</v>
      </c>
      <c r="AF368" s="631">
        <v>0</v>
      </c>
      <c r="AG368" s="628">
        <v>0</v>
      </c>
      <c r="AH368" s="628"/>
      <c r="AI368" s="659">
        <v>0.6</v>
      </c>
      <c r="AJ368" s="650" t="s">
        <v>386</v>
      </c>
      <c r="AK368" s="644"/>
      <c r="AL368" s="645">
        <v>5</v>
      </c>
      <c r="AM368" s="645">
        <v>2</v>
      </c>
      <c r="AN368" s="647">
        <v>0</v>
      </c>
      <c r="AO368" s="647">
        <v>0</v>
      </c>
      <c r="AP368" s="647"/>
      <c r="AQ368" s="658"/>
      <c r="AR368" s="235" t="str">
        <f>IFERROR(WWWW[[#This Row],['# of Water passed at source]]/WWWW[[#This Row],['# of Water tested at source]],"no test")</f>
        <v>no test</v>
      </c>
      <c r="AS368" s="237" t="str">
        <f>IFERROR(WWWW[[#This Row],['# of Water passed at HH]]/WWWW[[#This Row],['# of Water tested at HH]],"no test")</f>
        <v>no test</v>
      </c>
      <c r="AT368" s="237">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U368" s="237">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AV368" s="237">
        <f>IF(WWWW[[#This Row],[Location Type 1]]="Village",WWWW[[#This Row],[Access to safe drinking water for Village]],WWWW[[#This Row],[Access to safe drinking water for Camp]])</f>
        <v>1</v>
      </c>
      <c r="AW368" s="414">
        <f>WWWW[[#This Row],[%Equitable and continuous access to sufficient quantity of safe drinking water]]*WWWW[[#This Row],[Total PoP ]]</f>
        <v>143</v>
      </c>
      <c r="AX368" s="237">
        <f>IF((WWWW[[#This Row],['# Existing protected/fenced ponds ]]*250)/WWWW[[#This Row],[Total PoP ]]&gt;1,1,WWWW[[#This Row],['# Existing protected/fenced ponds ]]*250/WWWW[[#This Row],[Total PoP ]])</f>
        <v>0</v>
      </c>
      <c r="AY368" s="414">
        <f>WWWW[[#This Row],[Access to unimproved water points]]*WWWW[[#This Row],[Total PoP ]]</f>
        <v>0</v>
      </c>
      <c r="AZ368" s="237">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A368" s="414">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143</v>
      </c>
      <c r="BB368" s="414">
        <f>WWWW[[#This Row],['#people Equitable and continuous access to sufficient quantity of domestic water borehole n ponds_2]]/500</f>
        <v>0.28599999999999998</v>
      </c>
      <c r="BC368" s="235">
        <f>1-WWWW[[#This Row],[%Equitable and continuous access to sufficient quantity of domestic water borehole n ponds]]</f>
        <v>0</v>
      </c>
      <c r="BD368" s="414">
        <f>WWWW[[#This Row],[%equitable and continuous access to sufficient quantity of safe drinking and domestic water''s GAP]]*WWWW[[#This Row],[Total PoP ]]</f>
        <v>0</v>
      </c>
      <c r="BE368" s="238">
        <f>IF(WWWW[[#This Row],[Total required water points]]-WWWW[[#This Row],['#Water points coverage]]&lt;0,0,WWWW[[#This Row],[Total required water points]]-WWWW[[#This Row],['#Water points coverage]])</f>
        <v>0.71399999999999997</v>
      </c>
      <c r="BF368" s="238">
        <f>ROUND(IF(WWWW[[#This Row],[Total PoP ]]&lt;500,1,WWWW[[#This Row],[Total PoP ]]/500),0)</f>
        <v>1</v>
      </c>
      <c r="BG368" s="238" t="str">
        <f>IF(AND(WWWW[[#This Row],[%of Water samples which passed at water source]]="no test",WWWW[[#This Row],[%Water samples which passed at HH]]="no test"),"No Test","Tested")</f>
        <v>No Test</v>
      </c>
      <c r="BH368" s="238">
        <f>WWWW[[#This Row],['# Existing functional latrines]]+WWWW[[#This Row],['# Existing latrines dysfunctional]]</f>
        <v>18</v>
      </c>
      <c r="BI368" s="235">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1</v>
      </c>
      <c r="BJ368" s="675">
        <f>WWWW[[#This Row],[% people access to functioning Latrine]]*WWWW[[#This Row],[Total PoP ]]</f>
        <v>143</v>
      </c>
      <c r="BK368" s="235">
        <f>IF(WWWW[[#This Row],[Location Type 1]]="camp",WWWW[[#This Row],['# potential required new latrines]]/(WWWW[[#This Row],[Total PoP ]]/20),WWWW[[#This Row],['# potential required new latrines]]/(WWWW[[#This Row],[Total PoP ]]/6))</f>
        <v>0</v>
      </c>
      <c r="BL368" s="414">
        <f>IF(WWWW[[#This Row],[Total required Latrines]]-WWWW[[#This Row],[Total '# of latrine]]&lt;0,0,WWWW[[#This Row],[Total required Latrines]]-WWWW[[#This Row],[Total '# of latrine]])</f>
        <v>0</v>
      </c>
      <c r="BM368" s="238">
        <f>ROUND(IF(WWWW[[#This Row],[Location Type 1]]="camp",WWWW[[#This Row],[Total PoP ]]/20,WWWW[[#This Row],[Total PoP ]]/6),0)</f>
        <v>7</v>
      </c>
      <c r="BN368" s="239">
        <f>IF(OR(WWWW[[#This Row],['# Existing latrines dysfunctional]]="",WWWW[[#This Row],['# Existing latrines dysfunctional]]=0),0,WWWW[[#This Row],['# Existing latrines dysfunctional]]/WWWW[[#This Row],[Total '# of latrine]])</f>
        <v>0</v>
      </c>
      <c r="BO368" s="675">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P368" s="235">
        <f>WWWW[[#This Row],[People adopt basic personal and community hygiene practices]]/WWWW[[#This Row],[Total PoP ]]</f>
        <v>0</v>
      </c>
      <c r="BQ368" s="239">
        <f>1-WWWW[[#This Row],[Hygiene Coverage%]]</f>
        <v>1</v>
      </c>
      <c r="BR368" s="414">
        <f>IF(500*WWWW[[#This Row],['# Hygiene Promoters ]]&gt;WWWW[[#This Row],[Total PoP ]],WWWW[[#This Row],[Total PoP ]],500*WWWW[[#This Row],['# Hygiene Promoters ]])</f>
        <v>143</v>
      </c>
      <c r="BS368" s="414">
        <f>IF(WWWW[[#This Row],[% of HH with access to Sanitary Pad]]&gt;=100%,1,0)</f>
        <v>0</v>
      </c>
      <c r="BT368" s="414">
        <f>IF(WWWW[[#This Row],[Total PoP ]]=0,0,IF(WWWW[[#This Row],['# Hygiene Promoters ]]=0,0,IF(WWWW[[#This Row],[Location Type 1]]="Village",IF(WWWW[[#This Row],[Total PoP ]]/WWWW[[#This Row],['# Hygiene Promoters ]]&lt;1000,1,0),IF(WWWW[[#This Row],[Total PoP ]]/WWWW[[#This Row],['# Hygiene Promoters ]]&lt;600,1,0))))</f>
        <v>1</v>
      </c>
      <c r="BU368" s="414">
        <f>IF(WWWW[[#This Row],[%HH with access to soap]]&gt;=100%,1,0)</f>
        <v>0</v>
      </c>
      <c r="BV368" s="414">
        <f>IF(WWWW[[#This Row],[% of HHs with access to Sanitary pad more than '#%]]+WWWW[[#This Row],[Ratio of Hyiene promoters to people less than '#]]+WWWW[[#This Row],[% of HHs with access to soap more than '#%]]&gt;=2,WWWW[[#This Row],[Total PoP ]],0)</f>
        <v>0</v>
      </c>
      <c r="BW368" s="346">
        <f>WWWW[[#This Row],['# people reached by regular dedicated hygiene promotion_5]]/WWWW[[#This Row],[Total PoP ]]</f>
        <v>1</v>
      </c>
      <c r="BX368" s="346">
        <f>IF(WWWW[[#This Row],['# HH received soaps]]/WWWW[[#This Row],[Total HH]]&gt;1,1,WWWW[[#This Row],['# HH received soaps]]/WWWW[[#This Row],[Total HH]])</f>
        <v>0</v>
      </c>
      <c r="BY368" s="346">
        <f>IF(WWWW[[#This Row],['# HH received Sanitary Pads]]/WWWW[[#This Row],[Total HH]]&gt;1,1,WWWW[[#This Row],['# HH received Sanitary Pads]]/WWWW[[#This Row],[Total HH]])</f>
        <v>0</v>
      </c>
      <c r="BZ368" s="720">
        <f>WWWW[[#This Row],['# HH received soaps]]*5</f>
        <v>0</v>
      </c>
      <c r="CA368" s="720">
        <f>WWWW[[#This Row],['# HH received Sanitary Pads]]*5</f>
        <v>0</v>
      </c>
      <c r="CB368" s="238">
        <f>IF(WWWW[[#This Row],['# People with access to soap]]&gt;WWWW[[#This Row],['# People with access to Sanity Pads]],WWWW[[#This Row],['# People with access to soap]],WWWW[[#This Row],['# People with access to Sanity Pads]])</f>
        <v>0</v>
      </c>
      <c r="CC368" s="414">
        <f>WWWW[[#This Row],[Total HH]]*WWWW[[#This Row],[%HHs with access to functional hand washing stations]]</f>
        <v>19.8</v>
      </c>
      <c r="CD368" s="240" t="str">
        <f>VLOOKUP(WWWW[[#This Row],[Site Name]],SiteDB6[],8,FALSE)</f>
        <v>Yes</v>
      </c>
      <c r="CE368" s="240" t="str">
        <f>VLOOKUP(WWWW[[#This Row],[Site Name]],SiteDB6[],9,FALSE)</f>
        <v>KBC</v>
      </c>
      <c r="CF368" s="240" t="str">
        <f>VLOOKUP(WWWW[[#This Row],[Site Name]],SiteDB6[],10,FALSE)</f>
        <v>Camp</v>
      </c>
      <c r="CG368" s="240" t="str">
        <f>VLOOKUP(WWWW[[#This Row],[Site Name]],SiteDB6[],11,FALSE)</f>
        <v>Camp</v>
      </c>
      <c r="CH368" s="240" t="str">
        <f>VLOOKUP(WWWW[[#This Row],[Site Name]],SiteDB6[],12,FALSE)</f>
        <v>Camp</v>
      </c>
      <c r="CI368" s="240" t="str">
        <f>VLOOKUP(WWWW[[#This Row],[Site Name]],SiteDB6[],13,FALSE)</f>
        <v>GCA</v>
      </c>
      <c r="CJ368" s="240">
        <f>VLOOKUP(WWWW[[#This Row],[Site Name]],SiteDB6[],14,FALSE)</f>
        <v>23.250678000000001</v>
      </c>
      <c r="CK368" s="240">
        <f>VLOOKUP(WWWW[[#This Row],[Site Name]],SiteDB6[],15,FALSE)</f>
        <v>97.124403000000001</v>
      </c>
      <c r="CL368" s="240" t="str">
        <f>VLOOKUP(WWWW[[#This Row],[Site Name]],SiteDB6[],4,FALSE)</f>
        <v>MMR015CMP009</v>
      </c>
      <c r="CM368" s="235" t="str">
        <f t="shared" si="5"/>
        <v>Covered</v>
      </c>
      <c r="CN368" s="235"/>
    </row>
    <row r="369" spans="1:92" ht="15.75" customHeight="1" x14ac:dyDescent="0.25">
      <c r="A369" s="532" t="s">
        <v>1409</v>
      </c>
      <c r="B369" s="533" t="s">
        <v>43</v>
      </c>
      <c r="C369" s="533" t="s">
        <v>878</v>
      </c>
      <c r="D369" s="533" t="s">
        <v>885</v>
      </c>
      <c r="E369" s="533" t="s">
        <v>886</v>
      </c>
      <c r="F369" s="233">
        <v>29</v>
      </c>
      <c r="G369" s="414">
        <v>171</v>
      </c>
      <c r="H369" s="233"/>
      <c r="I369" s="233" t="s">
        <v>884</v>
      </c>
      <c r="J369" s="234">
        <v>43465</v>
      </c>
      <c r="K369" s="233">
        <v>0</v>
      </c>
      <c r="L369" s="233" t="s">
        <v>48</v>
      </c>
      <c r="M369" s="235">
        <v>0.5</v>
      </c>
      <c r="N369" s="235">
        <v>1</v>
      </c>
      <c r="O369" s="609">
        <v>0</v>
      </c>
      <c r="P369" s="615">
        <v>1</v>
      </c>
      <c r="Q369" s="615">
        <v>7200</v>
      </c>
      <c r="R369" s="604"/>
      <c r="S369" s="604">
        <v>2</v>
      </c>
      <c r="T369" s="604">
        <v>2</v>
      </c>
      <c r="U369" s="604"/>
      <c r="V369" s="604">
        <v>4</v>
      </c>
      <c r="W369" s="604">
        <v>4</v>
      </c>
      <c r="X369" s="604">
        <v>4</v>
      </c>
      <c r="Y369" s="604"/>
      <c r="Z369" s="628">
        <v>4</v>
      </c>
      <c r="AA369" s="628">
        <v>4</v>
      </c>
      <c r="AB369" s="629">
        <v>4</v>
      </c>
      <c r="AC369" s="628">
        <v>10</v>
      </c>
      <c r="AD369" s="628" t="s">
        <v>293</v>
      </c>
      <c r="AE369" s="631" t="s">
        <v>1379</v>
      </c>
      <c r="AF369" s="631">
        <v>4</v>
      </c>
      <c r="AG369" s="628">
        <v>0</v>
      </c>
      <c r="AH369" s="628"/>
      <c r="AI369" s="659">
        <v>1</v>
      </c>
      <c r="AJ369" s="650" t="s">
        <v>386</v>
      </c>
      <c r="AK369" s="644">
        <v>0</v>
      </c>
      <c r="AL369" s="645">
        <v>2</v>
      </c>
      <c r="AM369" s="645">
        <v>2</v>
      </c>
      <c r="AN369" s="647">
        <v>29</v>
      </c>
      <c r="AO369" s="647">
        <v>0</v>
      </c>
      <c r="AP369" s="647" t="s">
        <v>48</v>
      </c>
      <c r="AQ369" s="658"/>
      <c r="AR369" s="235">
        <f>IFERROR(WWWW[[#This Row],['# of Water passed at source]]/WWWW[[#This Row],['# of Water tested at source]],"no test")</f>
        <v>0</v>
      </c>
      <c r="AS369" s="237">
        <f>IFERROR(WWWW[[#This Row],['# of Water passed at HH]]/WWWW[[#This Row],['# of Water tested at HH]],"no test")</f>
        <v>1</v>
      </c>
      <c r="AT369" s="237">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U369" s="237">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AV369" s="237">
        <f>IF(WWWW[[#This Row],[Location Type 1]]="Village",WWWW[[#This Row],[Access to safe drinking water for Village]],WWWW[[#This Row],[Access to safe drinking water for Camp]])</f>
        <v>1</v>
      </c>
      <c r="AW369" s="414">
        <f>WWWW[[#This Row],[%Equitable and continuous access to sufficient quantity of safe drinking water]]*WWWW[[#This Row],[Total PoP ]]</f>
        <v>171</v>
      </c>
      <c r="AX369" s="237">
        <f>IF((WWWW[[#This Row],['# Existing protected/fenced ponds ]]*250)/WWWW[[#This Row],[Total PoP ]]&gt;1,1,WWWW[[#This Row],['# Existing protected/fenced ponds ]]*250/WWWW[[#This Row],[Total PoP ]])</f>
        <v>0</v>
      </c>
      <c r="AY369" s="414">
        <f>WWWW[[#This Row],[Access to unimproved water points]]*WWWW[[#This Row],[Total PoP ]]</f>
        <v>0</v>
      </c>
      <c r="AZ369" s="237">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A369" s="414">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171</v>
      </c>
      <c r="BB369" s="414">
        <f>WWWW[[#This Row],['#people Equitable and continuous access to sufficient quantity of domestic water borehole n ponds_2]]/500</f>
        <v>0.34200000000000003</v>
      </c>
      <c r="BC369" s="235">
        <f>1-WWWW[[#This Row],[%Equitable and continuous access to sufficient quantity of domestic water borehole n ponds]]</f>
        <v>0</v>
      </c>
      <c r="BD369" s="414">
        <f>WWWW[[#This Row],[%equitable and continuous access to sufficient quantity of safe drinking and domestic water''s GAP]]*WWWW[[#This Row],[Total PoP ]]</f>
        <v>0</v>
      </c>
      <c r="BE369" s="238">
        <f>IF(WWWW[[#This Row],[Total required water points]]-WWWW[[#This Row],['#Water points coverage]]&lt;0,0,WWWW[[#This Row],[Total required water points]]-WWWW[[#This Row],['#Water points coverage]])</f>
        <v>0.65799999999999992</v>
      </c>
      <c r="BF369" s="238">
        <f>ROUND(IF(WWWW[[#This Row],[Total PoP ]]&lt;500,1,WWWW[[#This Row],[Total PoP ]]/500),0)</f>
        <v>1</v>
      </c>
      <c r="BG369" s="238" t="str">
        <f>IF(AND(WWWW[[#This Row],[%of Water samples which passed at water source]]="no test",WWWW[[#This Row],[%Water samples which passed at HH]]="no test"),"No Test","Tested")</f>
        <v>Tested</v>
      </c>
      <c r="BH369" s="238">
        <f>WWWW[[#This Row],['# Existing functional latrines]]+WWWW[[#This Row],['# Existing latrines dysfunctional]]</f>
        <v>8</v>
      </c>
      <c r="BI369" s="235">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0.46783625730994149</v>
      </c>
      <c r="BJ369" s="675">
        <f>WWWW[[#This Row],[% people access to functioning Latrine]]*WWWW[[#This Row],[Total PoP ]]</f>
        <v>80</v>
      </c>
      <c r="BK369" s="235">
        <f>IF(WWWW[[#This Row],[Location Type 1]]="camp",WWWW[[#This Row],['# potential required new latrines]]/(WWWW[[#This Row],[Total PoP ]]/20),WWWW[[#This Row],['# potential required new latrines]]/(WWWW[[#This Row],[Total PoP ]]/6))</f>
        <v>0.11695906432748537</v>
      </c>
      <c r="BL369" s="414">
        <f>IF(WWWW[[#This Row],[Total required Latrines]]-WWWW[[#This Row],[Total '# of latrine]]&lt;0,0,WWWW[[#This Row],[Total required Latrines]]-WWWW[[#This Row],[Total '# of latrine]])</f>
        <v>1</v>
      </c>
      <c r="BM369" s="238">
        <f>ROUND(IF(WWWW[[#This Row],[Location Type 1]]="camp",WWWW[[#This Row],[Total PoP ]]/20,WWWW[[#This Row],[Total PoP ]]/6),0)</f>
        <v>9</v>
      </c>
      <c r="BN369" s="239">
        <f>IF(OR(WWWW[[#This Row],['# Existing latrines dysfunctional]]="",WWWW[[#This Row],['# Existing latrines dysfunctional]]=0),0,WWWW[[#This Row],['# Existing latrines dysfunctional]]/WWWW[[#This Row],[Total '# of latrine]])</f>
        <v>0.5</v>
      </c>
      <c r="BO369" s="675">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80</v>
      </c>
      <c r="BP369" s="235">
        <f>WWWW[[#This Row],[People adopt basic personal and community hygiene practices]]/WWWW[[#This Row],[Total PoP ]]</f>
        <v>1</v>
      </c>
      <c r="BQ369" s="239">
        <f>1-WWWW[[#This Row],[Hygiene Coverage%]]</f>
        <v>0</v>
      </c>
      <c r="BR369" s="414">
        <f>IF(500*WWWW[[#This Row],['# Hygiene Promoters ]]&gt;WWWW[[#This Row],[Total PoP ]],WWWW[[#This Row],[Total PoP ]],500*WWWW[[#This Row],['# Hygiene Promoters ]])</f>
        <v>171</v>
      </c>
      <c r="BS369" s="414">
        <f>IF(WWWW[[#This Row],[% of HH with access to Sanitary Pad]]&gt;=100%,1,0)</f>
        <v>0</v>
      </c>
      <c r="BT369" s="414">
        <f>IF(WWWW[[#This Row],[Total PoP ]]=0,0,IF(WWWW[[#This Row],['# Hygiene Promoters ]]=0,0,IF(WWWW[[#This Row],[Location Type 1]]="Village",IF(WWWW[[#This Row],[Total PoP ]]/WWWW[[#This Row],['# Hygiene Promoters ]]&lt;1000,1,0),IF(WWWW[[#This Row],[Total PoP ]]/WWWW[[#This Row],['# Hygiene Promoters ]]&lt;600,1,0))))</f>
        <v>1</v>
      </c>
      <c r="BU369" s="414">
        <f>IF(WWWW[[#This Row],[%HH with access to soap]]&gt;=100%,1,0)</f>
        <v>1</v>
      </c>
      <c r="BV369" s="414">
        <f>IF(WWWW[[#This Row],[% of HHs with access to Sanitary pad more than '#%]]+WWWW[[#This Row],[Ratio of Hyiene promoters to people less than '#]]+WWWW[[#This Row],[% of HHs with access to soap more than '#%]]&gt;=2,WWWW[[#This Row],[Total PoP ]],0)</f>
        <v>171</v>
      </c>
      <c r="BW369" s="346">
        <f>WWWW[[#This Row],['# people reached by regular dedicated hygiene promotion_5]]/WWWW[[#This Row],[Total PoP ]]</f>
        <v>1</v>
      </c>
      <c r="BX369" s="346">
        <f>IF(WWWW[[#This Row],['# HH received soaps]]/WWWW[[#This Row],[Total HH]]&gt;1,1,WWWW[[#This Row],['# HH received soaps]]/WWWW[[#This Row],[Total HH]])</f>
        <v>1</v>
      </c>
      <c r="BY369" s="346">
        <f>IF(WWWW[[#This Row],['# HH received Sanitary Pads]]/WWWW[[#This Row],[Total HH]]&gt;1,1,WWWW[[#This Row],['# HH received Sanitary Pads]]/WWWW[[#This Row],[Total HH]])</f>
        <v>0</v>
      </c>
      <c r="BZ369" s="720">
        <f>WWWW[[#This Row],['# HH received soaps]]*5</f>
        <v>145</v>
      </c>
      <c r="CA369" s="720">
        <f>WWWW[[#This Row],['# HH received Sanitary Pads]]*5</f>
        <v>0</v>
      </c>
      <c r="CB369" s="238">
        <f>IF(WWWW[[#This Row],['# People with access to soap]]&gt;WWWW[[#This Row],['# People with access to Sanity Pads]],WWWW[[#This Row],['# People with access to soap]],WWWW[[#This Row],['# People with access to Sanity Pads]])</f>
        <v>145</v>
      </c>
      <c r="CC369" s="414">
        <f>WWWW[[#This Row],[Total HH]]*WWWW[[#This Row],[%HHs with access to functional hand washing stations]]</f>
        <v>29</v>
      </c>
      <c r="CD369" s="240" t="str">
        <f>VLOOKUP(WWWW[[#This Row],[Site Name]],SiteDB6[],8,FALSE)</f>
        <v>Yes</v>
      </c>
      <c r="CE369" s="240" t="str">
        <f>VLOOKUP(WWWW[[#This Row],[Site Name]],SiteDB6[],9,FALSE)</f>
        <v>KMSS-LSO</v>
      </c>
      <c r="CF369" s="240" t="str">
        <f>VLOOKUP(WWWW[[#This Row],[Site Name]],SiteDB6[],10,FALSE)</f>
        <v>Camp</v>
      </c>
      <c r="CG369" s="240" t="str">
        <f>VLOOKUP(WWWW[[#This Row],[Site Name]],SiteDB6[],11,FALSE)</f>
        <v>Camp</v>
      </c>
      <c r="CH369" s="240" t="str">
        <f>VLOOKUP(WWWW[[#This Row],[Site Name]],SiteDB6[],12,FALSE)</f>
        <v>Camp</v>
      </c>
      <c r="CI369" s="240" t="str">
        <f>VLOOKUP(WWWW[[#This Row],[Site Name]],SiteDB6[],13,FALSE)</f>
        <v>GCA</v>
      </c>
      <c r="CJ369" s="240">
        <f>VLOOKUP(WWWW[[#This Row],[Site Name]],SiteDB6[],14,FALSE)</f>
        <v>23.24661</v>
      </c>
      <c r="CK369" s="240">
        <f>VLOOKUP(WWWW[[#This Row],[Site Name]],SiteDB6[],15,FALSE)</f>
        <v>97.116680000000002</v>
      </c>
      <c r="CL369" s="240" t="str">
        <f>VLOOKUP(WWWW[[#This Row],[Site Name]],SiteDB6[],4,FALSE)</f>
        <v>MMR015CMP209</v>
      </c>
      <c r="CM369" s="235" t="str">
        <f t="shared" si="5"/>
        <v>Covered</v>
      </c>
      <c r="CN369" s="235"/>
    </row>
    <row r="370" spans="1:92" ht="15.75" customHeight="1" x14ac:dyDescent="0.25">
      <c r="A370" s="532" t="s">
        <v>1409</v>
      </c>
      <c r="B370" s="533" t="s">
        <v>348</v>
      </c>
      <c r="C370" s="533" t="s">
        <v>878</v>
      </c>
      <c r="D370" s="533" t="s">
        <v>882</v>
      </c>
      <c r="E370" s="533" t="s">
        <v>918</v>
      </c>
      <c r="F370" s="233">
        <v>69</v>
      </c>
      <c r="G370" s="414">
        <v>305</v>
      </c>
      <c r="H370" s="233"/>
      <c r="I370" s="233" t="s">
        <v>899</v>
      </c>
      <c r="J370" s="234" t="s">
        <v>2603</v>
      </c>
      <c r="K370" s="233">
        <v>0</v>
      </c>
      <c r="L370" s="233" t="s">
        <v>48</v>
      </c>
      <c r="M370" s="235">
        <v>0.6</v>
      </c>
      <c r="N370" s="235">
        <v>0</v>
      </c>
      <c r="O370" s="609">
        <v>0</v>
      </c>
      <c r="P370" s="615">
        <v>0</v>
      </c>
      <c r="Q370" s="615"/>
      <c r="R370" s="604"/>
      <c r="S370" s="604">
        <v>16</v>
      </c>
      <c r="T370" s="604">
        <v>0</v>
      </c>
      <c r="U370" s="604">
        <v>0</v>
      </c>
      <c r="V370" s="604">
        <v>0</v>
      </c>
      <c r="W370" s="604">
        <v>0</v>
      </c>
      <c r="X370" s="604">
        <v>0</v>
      </c>
      <c r="Y370" s="604"/>
      <c r="Z370" s="628">
        <v>75</v>
      </c>
      <c r="AA370" s="628">
        <v>0</v>
      </c>
      <c r="AB370" s="629">
        <v>0</v>
      </c>
      <c r="AC370" s="628">
        <v>75</v>
      </c>
      <c r="AD370" s="628" t="s">
        <v>293</v>
      </c>
      <c r="AE370" s="631" t="s">
        <v>293</v>
      </c>
      <c r="AF370" s="631">
        <v>0</v>
      </c>
      <c r="AG370" s="628">
        <v>0</v>
      </c>
      <c r="AH370" s="628"/>
      <c r="AI370" s="659">
        <v>0.3</v>
      </c>
      <c r="AJ370" s="644" t="s">
        <v>294</v>
      </c>
      <c r="AK370" s="644">
        <v>4</v>
      </c>
      <c r="AL370" s="645"/>
      <c r="AM370" s="645">
        <v>3</v>
      </c>
      <c r="AN370" s="647">
        <v>0</v>
      </c>
      <c r="AO370" s="647">
        <v>0</v>
      </c>
      <c r="AP370" s="647"/>
      <c r="AQ370" s="658"/>
      <c r="AR370" s="235" t="str">
        <f>IFERROR(WWWW[[#This Row],['# of Water passed at source]]/WWWW[[#This Row],['# of Water tested at source]],"no test")</f>
        <v>no test</v>
      </c>
      <c r="AS370" s="237" t="str">
        <f>IFERROR(WWWW[[#This Row],['# of Water passed at HH]]/WWWW[[#This Row],['# of Water tested at HH]],"no test")</f>
        <v>no test</v>
      </c>
      <c r="AT370" s="237">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U370" s="237">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AV370" s="237">
        <f>IF(WWWW[[#This Row],[Location Type 1]]="Village",WWWW[[#This Row],[Access to safe drinking water for Village]],WWWW[[#This Row],[Access to safe drinking water for Camp]])</f>
        <v>0</v>
      </c>
      <c r="AW370" s="414">
        <f>WWWW[[#This Row],[%Equitable and continuous access to sufficient quantity of safe drinking water]]*WWWW[[#This Row],[Total PoP ]]</f>
        <v>0</v>
      </c>
      <c r="AX370" s="237">
        <f>IF((WWWW[[#This Row],['# Existing protected/fenced ponds ]]*250)/WWWW[[#This Row],[Total PoP ]]&gt;1,1,WWWW[[#This Row],['# Existing protected/fenced ponds ]]*250/WWWW[[#This Row],[Total PoP ]])</f>
        <v>0</v>
      </c>
      <c r="AY370" s="414">
        <f>WWWW[[#This Row],[Access to unimproved water points]]*WWWW[[#This Row],[Total PoP ]]</f>
        <v>0</v>
      </c>
      <c r="AZ370" s="237">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A370" s="414">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B370" s="414">
        <f>WWWW[[#This Row],['#people Equitable and continuous access to sufficient quantity of domestic water borehole n ponds_2]]/500</f>
        <v>0</v>
      </c>
      <c r="BC370" s="235">
        <f>1-WWWW[[#This Row],[%Equitable and continuous access to sufficient quantity of domestic water borehole n ponds]]</f>
        <v>1</v>
      </c>
      <c r="BD370" s="414">
        <f>WWWW[[#This Row],[%equitable and continuous access to sufficient quantity of safe drinking and domestic water''s GAP]]*WWWW[[#This Row],[Total PoP ]]</f>
        <v>305</v>
      </c>
      <c r="BE370" s="238">
        <f>IF(WWWW[[#This Row],[Total required water points]]-WWWW[[#This Row],['#Water points coverage]]&lt;0,0,WWWW[[#This Row],[Total required water points]]-WWWW[[#This Row],['#Water points coverage]])</f>
        <v>1</v>
      </c>
      <c r="BF370" s="238">
        <f>ROUND(IF(WWWW[[#This Row],[Total PoP ]]&lt;500,1,WWWW[[#This Row],[Total PoP ]]/500),0)</f>
        <v>1</v>
      </c>
      <c r="BG370" s="238" t="str">
        <f>IF(AND(WWWW[[#This Row],[%of Water samples which passed at water source]]="no test",WWWW[[#This Row],[%Water samples which passed at HH]]="no test"),"No Test","Tested")</f>
        <v>No Test</v>
      </c>
      <c r="BH370" s="238">
        <f>WWWW[[#This Row],['# Existing functional latrines]]+WWWW[[#This Row],['# Existing latrines dysfunctional]]</f>
        <v>75</v>
      </c>
      <c r="BI370" s="235">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1</v>
      </c>
      <c r="BJ370" s="675">
        <f>WWWW[[#This Row],[% people access to functioning Latrine]]*WWWW[[#This Row],[Total PoP ]]</f>
        <v>305</v>
      </c>
      <c r="BK370" s="235">
        <f>IF(WWWW[[#This Row],[Location Type 1]]="camp",WWWW[[#This Row],['# potential required new latrines]]/(WWWW[[#This Row],[Total PoP ]]/20),WWWW[[#This Row],['# potential required new latrines]]/(WWWW[[#This Row],[Total PoP ]]/6))</f>
        <v>0</v>
      </c>
      <c r="BL370" s="414">
        <f>IF(WWWW[[#This Row],[Total required Latrines]]-WWWW[[#This Row],[Total '# of latrine]]&lt;0,0,WWWW[[#This Row],[Total required Latrines]]-WWWW[[#This Row],[Total '# of latrine]])</f>
        <v>0</v>
      </c>
      <c r="BM370" s="238">
        <f>ROUND(IF(WWWW[[#This Row],[Location Type 1]]="camp",WWWW[[#This Row],[Total PoP ]]/20,WWWW[[#This Row],[Total PoP ]]/6),0)</f>
        <v>51</v>
      </c>
      <c r="BN370" s="239">
        <f>IF(OR(WWWW[[#This Row],['# Existing latrines dysfunctional]]="",WWWW[[#This Row],['# Existing latrines dysfunctional]]=0),0,WWWW[[#This Row],['# Existing latrines dysfunctional]]/WWWW[[#This Row],[Total '# of latrine]])</f>
        <v>0</v>
      </c>
      <c r="BO370" s="675">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P370" s="235">
        <f>WWWW[[#This Row],[People adopt basic personal and community hygiene practices]]/WWWW[[#This Row],[Total PoP ]]</f>
        <v>0</v>
      </c>
      <c r="BQ370" s="239">
        <f>1-WWWW[[#This Row],[Hygiene Coverage%]]</f>
        <v>1</v>
      </c>
      <c r="BR370" s="414">
        <f>IF(500*WWWW[[#This Row],['# Hygiene Promoters ]]&gt;WWWW[[#This Row],[Total PoP ]],WWWW[[#This Row],[Total PoP ]],500*WWWW[[#This Row],['# Hygiene Promoters ]])</f>
        <v>305</v>
      </c>
      <c r="BS370" s="414">
        <f>IF(WWWW[[#This Row],[% of HH with access to Sanitary Pad]]&gt;=100%,1,0)</f>
        <v>0</v>
      </c>
      <c r="BT370" s="414">
        <f>IF(WWWW[[#This Row],[Total PoP ]]=0,0,IF(WWWW[[#This Row],['# Hygiene Promoters ]]=0,0,IF(WWWW[[#This Row],[Location Type 1]]="Village",IF(WWWW[[#This Row],[Total PoP ]]/WWWW[[#This Row],['# Hygiene Promoters ]]&lt;1000,1,0),IF(WWWW[[#This Row],[Total PoP ]]/WWWW[[#This Row],['# Hygiene Promoters ]]&lt;600,1,0))))</f>
        <v>1</v>
      </c>
      <c r="BU370" s="414">
        <f>IF(WWWW[[#This Row],[%HH with access to soap]]&gt;=100%,1,0)</f>
        <v>0</v>
      </c>
      <c r="BV370" s="414">
        <f>IF(WWWW[[#This Row],[% of HHs with access to Sanitary pad more than '#%]]+WWWW[[#This Row],[Ratio of Hyiene promoters to people less than '#]]+WWWW[[#This Row],[% of HHs with access to soap more than '#%]]&gt;=2,WWWW[[#This Row],[Total PoP ]],0)</f>
        <v>0</v>
      </c>
      <c r="BW370" s="346">
        <f>WWWW[[#This Row],['# people reached by regular dedicated hygiene promotion_5]]/WWWW[[#This Row],[Total PoP ]]</f>
        <v>1</v>
      </c>
      <c r="BX370" s="346">
        <f>IF(WWWW[[#This Row],['# HH received soaps]]/WWWW[[#This Row],[Total HH]]&gt;1,1,WWWW[[#This Row],['# HH received soaps]]/WWWW[[#This Row],[Total HH]])</f>
        <v>0</v>
      </c>
      <c r="BY370" s="346">
        <f>IF(WWWW[[#This Row],['# HH received Sanitary Pads]]/WWWW[[#This Row],[Total HH]]&gt;1,1,WWWW[[#This Row],['# HH received Sanitary Pads]]/WWWW[[#This Row],[Total HH]])</f>
        <v>0</v>
      </c>
      <c r="BZ370" s="720">
        <f>WWWW[[#This Row],['# HH received soaps]]*5</f>
        <v>0</v>
      </c>
      <c r="CA370" s="720">
        <f>WWWW[[#This Row],['# HH received Sanitary Pads]]*5</f>
        <v>0</v>
      </c>
      <c r="CB370" s="238">
        <f>IF(WWWW[[#This Row],['# People with access to soap]]&gt;WWWW[[#This Row],['# People with access to Sanity Pads]],WWWW[[#This Row],['# People with access to soap]],WWWW[[#This Row],['# People with access to Sanity Pads]])</f>
        <v>0</v>
      </c>
      <c r="CC370" s="414">
        <f>WWWW[[#This Row],[Total HH]]*WWWW[[#This Row],[%HHs with access to functional hand washing stations]]</f>
        <v>20.7</v>
      </c>
      <c r="CD370" s="240" t="str">
        <f>VLOOKUP(WWWW[[#This Row],[Site Name]],SiteDB6[],8,FALSE)</f>
        <v>Yes</v>
      </c>
      <c r="CE370" s="240" t="str">
        <f>VLOOKUP(WWWW[[#This Row],[Site Name]],SiteDB6[],9,FALSE)</f>
        <v>KBC</v>
      </c>
      <c r="CF370" s="240" t="str">
        <f>VLOOKUP(WWWW[[#This Row],[Site Name]],SiteDB6[],10,FALSE)</f>
        <v>Camp</v>
      </c>
      <c r="CG370" s="240" t="str">
        <f>VLOOKUP(WWWW[[#This Row],[Site Name]],SiteDB6[],11,FALSE)</f>
        <v>Village Type Camp</v>
      </c>
      <c r="CH370" s="240" t="str">
        <f>VLOOKUP(WWWW[[#This Row],[Site Name]],SiteDB6[],12,FALSE)</f>
        <v>Camp</v>
      </c>
      <c r="CI370" s="240" t="str">
        <f>VLOOKUP(WWWW[[#This Row],[Site Name]],SiteDB6[],13,FALSE)</f>
        <v>GCA</v>
      </c>
      <c r="CJ370" s="240">
        <f>VLOOKUP(WWWW[[#This Row],[Site Name]],SiteDB6[],14,FALSE)</f>
        <v>23.588920000000002</v>
      </c>
      <c r="CK370" s="240">
        <f>VLOOKUP(WWWW[[#This Row],[Site Name]],SiteDB6[],15,FALSE)</f>
        <v>97.793019999999999</v>
      </c>
      <c r="CL370" s="240" t="str">
        <f>VLOOKUP(WWWW[[#This Row],[Site Name]],SiteDB6[],4,FALSE)</f>
        <v>MMR015CMP018</v>
      </c>
      <c r="CM370" s="235" t="str">
        <f t="shared" si="5"/>
        <v>Covered</v>
      </c>
      <c r="CN370" s="235"/>
    </row>
    <row r="371" spans="1:92" ht="15.75" customHeight="1" x14ac:dyDescent="0.25">
      <c r="A371" s="532" t="s">
        <v>1409</v>
      </c>
      <c r="B371" s="533" t="s">
        <v>2614</v>
      </c>
      <c r="C371" s="533" t="s">
        <v>878</v>
      </c>
      <c r="D371" s="533" t="s">
        <v>879</v>
      </c>
      <c r="E371" s="533" t="s">
        <v>930</v>
      </c>
      <c r="F371" s="233">
        <v>62</v>
      </c>
      <c r="G371" s="414">
        <v>301</v>
      </c>
      <c r="H371" s="233"/>
      <c r="I371" s="233" t="s">
        <v>300</v>
      </c>
      <c r="J371" s="234">
        <v>43830</v>
      </c>
      <c r="K371" s="233">
        <v>0</v>
      </c>
      <c r="L371" s="233" t="s">
        <v>48</v>
      </c>
      <c r="M371" s="235">
        <v>0.67</v>
      </c>
      <c r="N371" s="235">
        <v>1</v>
      </c>
      <c r="O371" s="609">
        <v>0</v>
      </c>
      <c r="P371" s="615">
        <v>0</v>
      </c>
      <c r="Q371" s="615">
        <v>0</v>
      </c>
      <c r="R371" s="604">
        <v>0</v>
      </c>
      <c r="S371" s="604">
        <v>0</v>
      </c>
      <c r="T371" s="604">
        <v>0</v>
      </c>
      <c r="U371" s="604">
        <v>0</v>
      </c>
      <c r="V371" s="604">
        <v>0</v>
      </c>
      <c r="W371" s="604">
        <v>0</v>
      </c>
      <c r="X371" s="604">
        <v>0</v>
      </c>
      <c r="Y371" s="604"/>
      <c r="Z371" s="628">
        <v>10</v>
      </c>
      <c r="AA371" s="628">
        <v>0</v>
      </c>
      <c r="AB371" s="629">
        <v>0</v>
      </c>
      <c r="AC371" s="628">
        <v>10</v>
      </c>
      <c r="AD371" s="628" t="s">
        <v>293</v>
      </c>
      <c r="AE371" s="631" t="s">
        <v>342</v>
      </c>
      <c r="AF371" s="631">
        <v>0</v>
      </c>
      <c r="AG371" s="628">
        <v>0</v>
      </c>
      <c r="AH371" s="628"/>
      <c r="AI371" s="659">
        <v>0</v>
      </c>
      <c r="AJ371" s="650" t="s">
        <v>386</v>
      </c>
      <c r="AK371" s="644">
        <v>0</v>
      </c>
      <c r="AL371" s="645">
        <v>2</v>
      </c>
      <c r="AM371" s="645">
        <v>1</v>
      </c>
      <c r="AN371" s="647">
        <v>0</v>
      </c>
      <c r="AO371" s="647">
        <v>0</v>
      </c>
      <c r="AP371" s="647"/>
      <c r="AQ371" s="658"/>
      <c r="AR371" s="235" t="str">
        <f>IFERROR(WWWW[[#This Row],['# of Water passed at source]]/WWWW[[#This Row],['# of Water tested at source]],"no test")</f>
        <v>no test</v>
      </c>
      <c r="AS371" s="237" t="str">
        <f>IFERROR(WWWW[[#This Row],['# of Water passed at HH]]/WWWW[[#This Row],['# of Water tested at HH]],"no test")</f>
        <v>no test</v>
      </c>
      <c r="AT371" s="237">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0</v>
      </c>
      <c r="AU371" s="237">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0</v>
      </c>
      <c r="AV371" s="237">
        <f>IF(WWWW[[#This Row],[Location Type 1]]="Village",WWWW[[#This Row],[Access to safe drinking water for Village]],WWWW[[#This Row],[Access to safe drinking water for Camp]])</f>
        <v>0</v>
      </c>
      <c r="AW371" s="414">
        <f>WWWW[[#This Row],[%Equitable and continuous access to sufficient quantity of safe drinking water]]*WWWW[[#This Row],[Total PoP ]]</f>
        <v>0</v>
      </c>
      <c r="AX371" s="237">
        <f>IF((WWWW[[#This Row],['# Existing protected/fenced ponds ]]*250)/WWWW[[#This Row],[Total PoP ]]&gt;1,1,WWWW[[#This Row],['# Existing protected/fenced ponds ]]*250/WWWW[[#This Row],[Total PoP ]])</f>
        <v>0</v>
      </c>
      <c r="AY371" s="414">
        <f>WWWW[[#This Row],[Access to unimproved water points]]*WWWW[[#This Row],[Total PoP ]]</f>
        <v>0</v>
      </c>
      <c r="AZ371" s="237">
        <f>IF(WWWW[[#This Row],[Access to unimproved water points]]+WWWW[[#This Row],[%Equitable and continuous access to sufficient quantity of safe drinking water]]&gt;1,1,WWWW[[#This Row],[Access to unimproved water points]]+WWWW[[#This Row],[%Equitable and continuous access to sufficient quantity of safe drinking water]])</f>
        <v>0</v>
      </c>
      <c r="BA371" s="414">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0</v>
      </c>
      <c r="BB371" s="414">
        <f>WWWW[[#This Row],['#people Equitable and continuous access to sufficient quantity of domestic water borehole n ponds_2]]/500</f>
        <v>0</v>
      </c>
      <c r="BC371" s="235">
        <f>1-WWWW[[#This Row],[%Equitable and continuous access to sufficient quantity of domestic water borehole n ponds]]</f>
        <v>1</v>
      </c>
      <c r="BD371" s="414">
        <f>WWWW[[#This Row],[%equitable and continuous access to sufficient quantity of safe drinking and domestic water''s GAP]]*WWWW[[#This Row],[Total PoP ]]</f>
        <v>301</v>
      </c>
      <c r="BE371" s="238">
        <f>IF(WWWW[[#This Row],[Total required water points]]-WWWW[[#This Row],['#Water points coverage]]&lt;0,0,WWWW[[#This Row],[Total required water points]]-WWWW[[#This Row],['#Water points coverage]])</f>
        <v>1</v>
      </c>
      <c r="BF371" s="238">
        <f>ROUND(IF(WWWW[[#This Row],[Total PoP ]]&lt;500,1,WWWW[[#This Row],[Total PoP ]]/500),0)</f>
        <v>1</v>
      </c>
      <c r="BG371" s="238" t="str">
        <f>IF(AND(WWWW[[#This Row],[%of Water samples which passed at water source]]="no test",WWWW[[#This Row],[%Water samples which passed at HH]]="no test"),"No Test","Tested")</f>
        <v>No Test</v>
      </c>
      <c r="BH371" s="238">
        <f>WWWW[[#This Row],['# Existing functional latrines]]+WWWW[[#This Row],['# Existing latrines dysfunctional]]</f>
        <v>10</v>
      </c>
      <c r="BI371" s="235">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0.66445182724252494</v>
      </c>
      <c r="BJ371" s="675">
        <f>WWWW[[#This Row],[% people access to functioning Latrine]]*WWWW[[#This Row],[Total PoP ]]</f>
        <v>200</v>
      </c>
      <c r="BK371" s="235">
        <f>IF(WWWW[[#This Row],[Location Type 1]]="camp",WWWW[[#This Row],['# potential required new latrines]]/(WWWW[[#This Row],[Total PoP ]]/20),WWWW[[#This Row],['# potential required new latrines]]/(WWWW[[#This Row],[Total PoP ]]/6))</f>
        <v>0.33222591362126247</v>
      </c>
      <c r="BL371" s="414">
        <f>IF(WWWW[[#This Row],[Total required Latrines]]-WWWW[[#This Row],[Total '# of latrine]]&lt;0,0,WWWW[[#This Row],[Total required Latrines]]-WWWW[[#This Row],[Total '# of latrine]])</f>
        <v>5</v>
      </c>
      <c r="BM371" s="238">
        <f>ROUND(IF(WWWW[[#This Row],[Location Type 1]]="camp",WWWW[[#This Row],[Total PoP ]]/20,WWWW[[#This Row],[Total PoP ]]/6),0)</f>
        <v>15</v>
      </c>
      <c r="BN371" s="239">
        <f>IF(OR(WWWW[[#This Row],['# Existing latrines dysfunctional]]="",WWWW[[#This Row],['# Existing latrines dysfunctional]]=0),0,WWWW[[#This Row],['# Existing latrines dysfunctional]]/WWWW[[#This Row],[Total '# of latrine]])</f>
        <v>0</v>
      </c>
      <c r="BO371" s="675">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P371" s="235">
        <f>WWWW[[#This Row],[People adopt basic personal and community hygiene practices]]/WWWW[[#This Row],[Total PoP ]]</f>
        <v>0</v>
      </c>
      <c r="BQ371" s="239">
        <f>1-WWWW[[#This Row],[Hygiene Coverage%]]</f>
        <v>1</v>
      </c>
      <c r="BR371" s="414">
        <f>IF(500*WWWW[[#This Row],['# Hygiene Promoters ]]&gt;WWWW[[#This Row],[Total PoP ]],WWWW[[#This Row],[Total PoP ]],500*WWWW[[#This Row],['# Hygiene Promoters ]])</f>
        <v>301</v>
      </c>
      <c r="BS371" s="414">
        <f>IF(WWWW[[#This Row],[% of HH with access to Sanitary Pad]]&gt;=100%,1,0)</f>
        <v>0</v>
      </c>
      <c r="BT371" s="414">
        <f>IF(WWWW[[#This Row],[Total PoP ]]=0,0,IF(WWWW[[#This Row],['# Hygiene Promoters ]]=0,0,IF(WWWW[[#This Row],[Location Type 1]]="Village",IF(WWWW[[#This Row],[Total PoP ]]/WWWW[[#This Row],['# Hygiene Promoters ]]&lt;1000,1,0),IF(WWWW[[#This Row],[Total PoP ]]/WWWW[[#This Row],['# Hygiene Promoters ]]&lt;600,1,0))))</f>
        <v>1</v>
      </c>
      <c r="BU371" s="414">
        <f>IF(WWWW[[#This Row],[%HH with access to soap]]&gt;=100%,1,0)</f>
        <v>0</v>
      </c>
      <c r="BV371" s="414">
        <f>IF(WWWW[[#This Row],[% of HHs with access to Sanitary pad more than '#%]]+WWWW[[#This Row],[Ratio of Hyiene promoters to people less than '#]]+WWWW[[#This Row],[% of HHs with access to soap more than '#%]]&gt;=2,WWWW[[#This Row],[Total PoP ]],0)</f>
        <v>0</v>
      </c>
      <c r="BW371" s="346">
        <f>WWWW[[#This Row],['# people reached by regular dedicated hygiene promotion_5]]/WWWW[[#This Row],[Total PoP ]]</f>
        <v>1</v>
      </c>
      <c r="BX371" s="346">
        <f>IF(WWWW[[#This Row],['# HH received soaps]]/WWWW[[#This Row],[Total HH]]&gt;1,1,WWWW[[#This Row],['# HH received soaps]]/WWWW[[#This Row],[Total HH]])</f>
        <v>0</v>
      </c>
      <c r="BY371" s="346">
        <f>IF(WWWW[[#This Row],['# HH received Sanitary Pads]]/WWWW[[#This Row],[Total HH]]&gt;1,1,WWWW[[#This Row],['# HH received Sanitary Pads]]/WWWW[[#This Row],[Total HH]])</f>
        <v>0</v>
      </c>
      <c r="BZ371" s="720">
        <f>WWWW[[#This Row],['# HH received soaps]]*5</f>
        <v>0</v>
      </c>
      <c r="CA371" s="720">
        <f>WWWW[[#This Row],['# HH received Sanitary Pads]]*5</f>
        <v>0</v>
      </c>
      <c r="CB371" s="238">
        <f>IF(WWWW[[#This Row],['# People with access to soap]]&gt;WWWW[[#This Row],['# People with access to Sanity Pads]],WWWW[[#This Row],['# People with access to soap]],WWWW[[#This Row],['# People with access to Sanity Pads]])</f>
        <v>0</v>
      </c>
      <c r="CC371" s="414">
        <f>WWWW[[#This Row],[Total HH]]*WWWW[[#This Row],[%HHs with access to functional hand washing stations]]</f>
        <v>0</v>
      </c>
      <c r="CD371" s="240">
        <f>VLOOKUP(WWWW[[#This Row],[Site Name]],SiteDB6[],8,FALSE)</f>
        <v>0</v>
      </c>
      <c r="CE371" s="240">
        <f>VLOOKUP(WWWW[[#This Row],[Site Name]],SiteDB6[],9,FALSE)</f>
        <v>0</v>
      </c>
      <c r="CF371" s="240" t="str">
        <f>VLOOKUP(WWWW[[#This Row],[Site Name]],SiteDB6[],10,FALSE)</f>
        <v>Camp</v>
      </c>
      <c r="CG371" s="240" t="str">
        <f>VLOOKUP(WWWW[[#This Row],[Site Name]],SiteDB6[],11,FALSE)</f>
        <v>Camp</v>
      </c>
      <c r="CH371" s="240" t="str">
        <f>VLOOKUP(WWWW[[#This Row],[Site Name]],SiteDB6[],12,FALSE)</f>
        <v>Camp like setting</v>
      </c>
      <c r="CI371" s="240" t="str">
        <f>VLOOKUP(WWWW[[#This Row],[Site Name]],SiteDB6[],13,FALSE)</f>
        <v>GCA</v>
      </c>
      <c r="CJ371" s="240">
        <f>VLOOKUP(WWWW[[#This Row],[Site Name]],SiteDB6[],14,FALSE)</f>
        <v>23.611999999999998</v>
      </c>
      <c r="CK371" s="240">
        <f>VLOOKUP(WWWW[[#This Row],[Site Name]],SiteDB6[],15,FALSE)</f>
        <v>97.506</v>
      </c>
      <c r="CL371" s="240" t="str">
        <f>VLOOKUP(WWWW[[#This Row],[Site Name]],SiteDB6[],4,FALSE)</f>
        <v>MMR015CMP224</v>
      </c>
      <c r="CM371" s="235" t="str">
        <f t="shared" si="5"/>
        <v>Covered</v>
      </c>
      <c r="CN371" s="235"/>
    </row>
    <row r="372" spans="1:92" ht="15.75" customHeight="1" x14ac:dyDescent="0.25">
      <c r="A372" s="532" t="s">
        <v>1409</v>
      </c>
      <c r="B372" s="533" t="s">
        <v>2614</v>
      </c>
      <c r="C372" s="533" t="s">
        <v>878</v>
      </c>
      <c r="D372" s="533" t="s">
        <v>882</v>
      </c>
      <c r="E372" s="533" t="s">
        <v>913</v>
      </c>
      <c r="F372" s="233">
        <v>39</v>
      </c>
      <c r="G372" s="414">
        <v>179</v>
      </c>
      <c r="H372" s="233"/>
      <c r="I372" s="233" t="s">
        <v>2629</v>
      </c>
      <c r="J372" s="234" t="s">
        <v>2628</v>
      </c>
      <c r="K372" s="233">
        <v>0</v>
      </c>
      <c r="L372" s="233" t="s">
        <v>48</v>
      </c>
      <c r="M372" s="235">
        <v>0.44</v>
      </c>
      <c r="N372" s="235">
        <v>1</v>
      </c>
      <c r="O372" s="609">
        <v>0</v>
      </c>
      <c r="P372" s="615">
        <v>0</v>
      </c>
      <c r="Q372" s="615">
        <f>500*15</f>
        <v>7500</v>
      </c>
      <c r="R372" s="604">
        <v>0</v>
      </c>
      <c r="S372" s="604">
        <v>0</v>
      </c>
      <c r="T372" s="604">
        <v>0</v>
      </c>
      <c r="U372" s="604">
        <v>0</v>
      </c>
      <c r="V372" s="604">
        <v>0</v>
      </c>
      <c r="W372" s="604">
        <v>0</v>
      </c>
      <c r="X372" s="604">
        <v>0</v>
      </c>
      <c r="Y372" s="604"/>
      <c r="Z372" s="628">
        <v>20</v>
      </c>
      <c r="AA372" s="628">
        <v>0</v>
      </c>
      <c r="AB372" s="629">
        <v>0</v>
      </c>
      <c r="AC372" s="628">
        <v>20</v>
      </c>
      <c r="AD372" s="628" t="s">
        <v>1379</v>
      </c>
      <c r="AE372" s="631" t="s">
        <v>1379</v>
      </c>
      <c r="AF372" s="631">
        <v>0</v>
      </c>
      <c r="AG372" s="628">
        <v>0</v>
      </c>
      <c r="AH372" s="628"/>
      <c r="AI372" s="659"/>
      <c r="AJ372" s="644" t="s">
        <v>294</v>
      </c>
      <c r="AK372" s="644"/>
      <c r="AL372" s="645"/>
      <c r="AM372" s="645"/>
      <c r="AN372" s="647">
        <v>0</v>
      </c>
      <c r="AO372" s="647">
        <v>0</v>
      </c>
      <c r="AP372" s="647"/>
      <c r="AQ372" s="658"/>
      <c r="AR372" s="235" t="str">
        <f>IFERROR(WWWW[[#This Row],['# of Water passed at source]]/WWWW[[#This Row],['# of Water tested at source]],"no test")</f>
        <v>no test</v>
      </c>
      <c r="AS372" s="237" t="str">
        <f>IFERROR(WWWW[[#This Row],['# of Water passed at HH]]/WWWW[[#This Row],['# of Water tested at HH]],"no test")</f>
        <v>no test</v>
      </c>
      <c r="AT372" s="237">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U372" s="237">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AV372" s="237">
        <f>IF(WWWW[[#This Row],[Location Type 1]]="Village",WWWW[[#This Row],[Access to safe drinking water for Village]],WWWW[[#This Row],[Access to safe drinking water for Camp]])</f>
        <v>1</v>
      </c>
      <c r="AW372" s="414">
        <f>WWWW[[#This Row],[%Equitable and continuous access to sufficient quantity of safe drinking water]]*WWWW[[#This Row],[Total PoP ]]</f>
        <v>179</v>
      </c>
      <c r="AX372" s="237">
        <f>IF((WWWW[[#This Row],['# Existing protected/fenced ponds ]]*250)/WWWW[[#This Row],[Total PoP ]]&gt;1,1,WWWW[[#This Row],['# Existing protected/fenced ponds ]]*250/WWWW[[#This Row],[Total PoP ]])</f>
        <v>0</v>
      </c>
      <c r="AY372" s="414">
        <f>WWWW[[#This Row],[Access to unimproved water points]]*WWWW[[#This Row],[Total PoP ]]</f>
        <v>0</v>
      </c>
      <c r="AZ372" s="237">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A372" s="414">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179</v>
      </c>
      <c r="BB372" s="414">
        <f>WWWW[[#This Row],['#people Equitable and continuous access to sufficient quantity of domestic water borehole n ponds_2]]/500</f>
        <v>0.35799999999999998</v>
      </c>
      <c r="BC372" s="235">
        <f>1-WWWW[[#This Row],[%Equitable and continuous access to sufficient quantity of domestic water borehole n ponds]]</f>
        <v>0</v>
      </c>
      <c r="BD372" s="414">
        <f>WWWW[[#This Row],[%equitable and continuous access to sufficient quantity of safe drinking and domestic water''s GAP]]*WWWW[[#This Row],[Total PoP ]]</f>
        <v>0</v>
      </c>
      <c r="BE372" s="238">
        <f>IF(WWWW[[#This Row],[Total required water points]]-WWWW[[#This Row],['#Water points coverage]]&lt;0,0,WWWW[[#This Row],[Total required water points]]-WWWW[[#This Row],['#Water points coverage]])</f>
        <v>0.64200000000000002</v>
      </c>
      <c r="BF372" s="238">
        <f>ROUND(IF(WWWW[[#This Row],[Total PoP ]]&lt;500,1,WWWW[[#This Row],[Total PoP ]]/500),0)</f>
        <v>1</v>
      </c>
      <c r="BG372" s="238" t="str">
        <f>IF(AND(WWWW[[#This Row],[%of Water samples which passed at water source]]="no test",WWWW[[#This Row],[%Water samples which passed at HH]]="no test"),"No Test","Tested")</f>
        <v>No Test</v>
      </c>
      <c r="BH372" s="238">
        <f>WWWW[[#This Row],['# Existing functional latrines]]+WWWW[[#This Row],['# Existing latrines dysfunctional]]</f>
        <v>20</v>
      </c>
      <c r="BI372" s="235">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1</v>
      </c>
      <c r="BJ372" s="675">
        <f>WWWW[[#This Row],[% people access to functioning Latrine]]*WWWW[[#This Row],[Total PoP ]]</f>
        <v>179</v>
      </c>
      <c r="BK372" s="235">
        <f>IF(WWWW[[#This Row],[Location Type 1]]="camp",WWWW[[#This Row],['# potential required new latrines]]/(WWWW[[#This Row],[Total PoP ]]/20),WWWW[[#This Row],['# potential required new latrines]]/(WWWW[[#This Row],[Total PoP ]]/6))</f>
        <v>0</v>
      </c>
      <c r="BL372" s="414">
        <f>IF(WWWW[[#This Row],[Total required Latrines]]-WWWW[[#This Row],[Total '# of latrine]]&lt;0,0,WWWW[[#This Row],[Total required Latrines]]-WWWW[[#This Row],[Total '# of latrine]])</f>
        <v>0</v>
      </c>
      <c r="BM372" s="238">
        <f>ROUND(IF(WWWW[[#This Row],[Location Type 1]]="camp",WWWW[[#This Row],[Total PoP ]]/20,WWWW[[#This Row],[Total PoP ]]/6),0)</f>
        <v>9</v>
      </c>
      <c r="BN372" s="239">
        <f>IF(OR(WWWW[[#This Row],['# Existing latrines dysfunctional]]="",WWWW[[#This Row],['# Existing latrines dysfunctional]]=0),0,WWWW[[#This Row],['# Existing latrines dysfunctional]]/WWWW[[#This Row],[Total '# of latrine]])</f>
        <v>0</v>
      </c>
      <c r="BO372" s="675">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P372" s="235">
        <f>WWWW[[#This Row],[People adopt basic personal and community hygiene practices]]/WWWW[[#This Row],[Total PoP ]]</f>
        <v>0</v>
      </c>
      <c r="BQ372" s="239">
        <f>1-WWWW[[#This Row],[Hygiene Coverage%]]</f>
        <v>1</v>
      </c>
      <c r="BR372" s="414">
        <f>IF(500*WWWW[[#This Row],['# Hygiene Promoters ]]&gt;WWWW[[#This Row],[Total PoP ]],WWWW[[#This Row],[Total PoP ]],500*WWWW[[#This Row],['# Hygiene Promoters ]])</f>
        <v>0</v>
      </c>
      <c r="BS372" s="414">
        <f>IF(WWWW[[#This Row],[% of HH with access to Sanitary Pad]]&gt;=100%,1,0)</f>
        <v>0</v>
      </c>
      <c r="BT372" s="414">
        <f>IF(WWWW[[#This Row],[Total PoP ]]=0,0,IF(WWWW[[#This Row],['# Hygiene Promoters ]]=0,0,IF(WWWW[[#This Row],[Location Type 1]]="Village",IF(WWWW[[#This Row],[Total PoP ]]/WWWW[[#This Row],['# Hygiene Promoters ]]&lt;1000,1,0),IF(WWWW[[#This Row],[Total PoP ]]/WWWW[[#This Row],['# Hygiene Promoters ]]&lt;600,1,0))))</f>
        <v>0</v>
      </c>
      <c r="BU372" s="414">
        <f>IF(WWWW[[#This Row],[%HH with access to soap]]&gt;=100%,1,0)</f>
        <v>0</v>
      </c>
      <c r="BV372" s="414">
        <f>IF(WWWW[[#This Row],[% of HHs with access to Sanitary pad more than '#%]]+WWWW[[#This Row],[Ratio of Hyiene promoters to people less than '#]]+WWWW[[#This Row],[% of HHs with access to soap more than '#%]]&gt;=2,WWWW[[#This Row],[Total PoP ]],0)</f>
        <v>0</v>
      </c>
      <c r="BW372" s="346">
        <f>WWWW[[#This Row],['# people reached by regular dedicated hygiene promotion_5]]/WWWW[[#This Row],[Total PoP ]]</f>
        <v>0</v>
      </c>
      <c r="BX372" s="346">
        <f>IF(WWWW[[#This Row],['# HH received soaps]]/WWWW[[#This Row],[Total HH]]&gt;1,1,WWWW[[#This Row],['# HH received soaps]]/WWWW[[#This Row],[Total HH]])</f>
        <v>0</v>
      </c>
      <c r="BY372" s="346">
        <f>IF(WWWW[[#This Row],['# HH received Sanitary Pads]]/WWWW[[#This Row],[Total HH]]&gt;1,1,WWWW[[#This Row],['# HH received Sanitary Pads]]/WWWW[[#This Row],[Total HH]])</f>
        <v>0</v>
      </c>
      <c r="BZ372" s="720">
        <f>WWWW[[#This Row],['# HH received soaps]]*5</f>
        <v>0</v>
      </c>
      <c r="CA372" s="720">
        <f>WWWW[[#This Row],['# HH received Sanitary Pads]]*5</f>
        <v>0</v>
      </c>
      <c r="CB372" s="238">
        <f>IF(WWWW[[#This Row],['# People with access to soap]]&gt;WWWW[[#This Row],['# People with access to Sanity Pads]],WWWW[[#This Row],['# People with access to soap]],WWWW[[#This Row],['# People with access to Sanity Pads]])</f>
        <v>0</v>
      </c>
      <c r="CC372" s="414">
        <f>WWWW[[#This Row],[Total HH]]*WWWW[[#This Row],[%HHs with access to functional hand washing stations]]</f>
        <v>0</v>
      </c>
      <c r="CD372" s="240">
        <f>VLOOKUP(WWWW[[#This Row],[Site Name]],SiteDB6[],8,FALSE)</f>
        <v>0</v>
      </c>
      <c r="CE372" s="240">
        <f>VLOOKUP(WWWW[[#This Row],[Site Name]],SiteDB6[],9,FALSE)</f>
        <v>0</v>
      </c>
      <c r="CF372" s="240" t="str">
        <f>VLOOKUP(WWWW[[#This Row],[Site Name]],SiteDB6[],10,FALSE)</f>
        <v>Camp</v>
      </c>
      <c r="CG372" s="240" t="str">
        <f>VLOOKUP(WWWW[[#This Row],[Site Name]],SiteDB6[],11,FALSE)</f>
        <v>Camp</v>
      </c>
      <c r="CH372" s="240" t="str">
        <f>VLOOKUP(WWWW[[#This Row],[Site Name]],SiteDB6[],12,FALSE)</f>
        <v>Camp like setting</v>
      </c>
      <c r="CI372" s="240" t="str">
        <f>VLOOKUP(WWWW[[#This Row],[Site Name]],SiteDB6[],13,FALSE)</f>
        <v>GCA</v>
      </c>
      <c r="CJ372" s="240">
        <f>VLOOKUP(WWWW[[#This Row],[Site Name]],SiteDB6[],14,FALSE)</f>
        <v>23.850999999999999</v>
      </c>
      <c r="CK372" s="240">
        <f>VLOOKUP(WWWW[[#This Row],[Site Name]],SiteDB6[],15,FALSE)</f>
        <v>98.337999999999994</v>
      </c>
      <c r="CL372" s="240" t="str">
        <f>VLOOKUP(WWWW[[#This Row],[Site Name]],SiteDB6[],4,FALSE)</f>
        <v>MMR015CMP227</v>
      </c>
      <c r="CM372" s="235" t="str">
        <f t="shared" si="5"/>
        <v>Covered</v>
      </c>
      <c r="CN372" s="235"/>
    </row>
    <row r="373" spans="1:92" ht="15.75" customHeight="1" x14ac:dyDescent="0.25">
      <c r="A373" s="532" t="s">
        <v>1409</v>
      </c>
      <c r="B373" s="533" t="s">
        <v>891</v>
      </c>
      <c r="C373" s="533" t="s">
        <v>878</v>
      </c>
      <c r="D373" s="533" t="s">
        <v>882</v>
      </c>
      <c r="E373" s="533" t="s">
        <v>892</v>
      </c>
      <c r="F373" s="233">
        <v>44</v>
      </c>
      <c r="G373" s="414">
        <v>265</v>
      </c>
      <c r="H373" s="233"/>
      <c r="I373" s="233" t="s">
        <v>2621</v>
      </c>
      <c r="J373" s="234" t="s">
        <v>2622</v>
      </c>
      <c r="K373" s="233">
        <v>0</v>
      </c>
      <c r="L373" s="233" t="s">
        <v>48</v>
      </c>
      <c r="M373" s="235">
        <v>0.6</v>
      </c>
      <c r="N373" s="235">
        <v>1</v>
      </c>
      <c r="O373" s="609">
        <v>0</v>
      </c>
      <c r="P373" s="615"/>
      <c r="Q373" s="615">
        <v>8100</v>
      </c>
      <c r="R373" s="604"/>
      <c r="S373" s="604">
        <v>12</v>
      </c>
      <c r="T373" s="604">
        <v>0</v>
      </c>
      <c r="U373" s="604">
        <v>0</v>
      </c>
      <c r="V373" s="604">
        <v>0</v>
      </c>
      <c r="W373" s="604">
        <v>0</v>
      </c>
      <c r="X373" s="604">
        <v>0</v>
      </c>
      <c r="Y373" s="604"/>
      <c r="Z373" s="628">
        <v>49</v>
      </c>
      <c r="AA373" s="628">
        <v>0</v>
      </c>
      <c r="AB373" s="629">
        <v>0</v>
      </c>
      <c r="AC373" s="628">
        <v>49</v>
      </c>
      <c r="AD373" s="628" t="s">
        <v>293</v>
      </c>
      <c r="AE373" s="631" t="s">
        <v>342</v>
      </c>
      <c r="AF373" s="631"/>
      <c r="AG373" s="628"/>
      <c r="AH373" s="628"/>
      <c r="AI373" s="659">
        <v>0.3</v>
      </c>
      <c r="AJ373" s="644" t="s">
        <v>294</v>
      </c>
      <c r="AK373" s="644">
        <v>3</v>
      </c>
      <c r="AL373" s="645">
        <v>2</v>
      </c>
      <c r="AM373" s="645">
        <v>3</v>
      </c>
      <c r="AN373" s="647">
        <v>0</v>
      </c>
      <c r="AO373" s="647">
        <v>0</v>
      </c>
      <c r="AP373" s="647"/>
      <c r="AQ373" s="658"/>
      <c r="AR373" s="235" t="str">
        <f>IFERROR(WWWW[[#This Row],['# of Water passed at source]]/WWWW[[#This Row],['# of Water tested at source]],"no test")</f>
        <v>no test</v>
      </c>
      <c r="AS373" s="237" t="str">
        <f>IFERROR(WWWW[[#This Row],['# of Water passed at HH]]/WWWW[[#This Row],['# of Water tested at HH]],"no test")</f>
        <v>no test</v>
      </c>
      <c r="AT373" s="237">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U373" s="237">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AV373" s="237">
        <f>IF(WWWW[[#This Row],[Location Type 1]]="Village",WWWW[[#This Row],[Access to safe drinking water for Village]],WWWW[[#This Row],[Access to safe drinking water for Camp]])</f>
        <v>1</v>
      </c>
      <c r="AW373" s="414">
        <f>WWWW[[#This Row],[%Equitable and continuous access to sufficient quantity of safe drinking water]]*WWWW[[#This Row],[Total PoP ]]</f>
        <v>265</v>
      </c>
      <c r="AX373" s="237">
        <f>IF((WWWW[[#This Row],['# Existing protected/fenced ponds ]]*250)/WWWW[[#This Row],[Total PoP ]]&gt;1,1,WWWW[[#This Row],['# Existing protected/fenced ponds ]]*250/WWWW[[#This Row],[Total PoP ]])</f>
        <v>0</v>
      </c>
      <c r="AY373" s="414">
        <f>WWWW[[#This Row],[Access to unimproved water points]]*WWWW[[#This Row],[Total PoP ]]</f>
        <v>0</v>
      </c>
      <c r="AZ373" s="237">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A373" s="414">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265</v>
      </c>
      <c r="BB373" s="414">
        <f>WWWW[[#This Row],['#people Equitable and continuous access to sufficient quantity of domestic water borehole n ponds_2]]/500</f>
        <v>0.53</v>
      </c>
      <c r="BC373" s="235">
        <f>1-WWWW[[#This Row],[%Equitable and continuous access to sufficient quantity of domestic water borehole n ponds]]</f>
        <v>0</v>
      </c>
      <c r="BD373" s="414">
        <f>WWWW[[#This Row],[%equitable and continuous access to sufficient quantity of safe drinking and domestic water''s GAP]]*WWWW[[#This Row],[Total PoP ]]</f>
        <v>0</v>
      </c>
      <c r="BE373" s="238">
        <f>IF(WWWW[[#This Row],[Total required water points]]-WWWW[[#This Row],['#Water points coverage]]&lt;0,0,WWWW[[#This Row],[Total required water points]]-WWWW[[#This Row],['#Water points coverage]])</f>
        <v>0.47</v>
      </c>
      <c r="BF373" s="238">
        <f>ROUND(IF(WWWW[[#This Row],[Total PoP ]]&lt;500,1,WWWW[[#This Row],[Total PoP ]]/500),0)</f>
        <v>1</v>
      </c>
      <c r="BG373" s="238" t="str">
        <f>IF(AND(WWWW[[#This Row],[%of Water samples which passed at water source]]="no test",WWWW[[#This Row],[%Water samples which passed at HH]]="no test"),"No Test","Tested")</f>
        <v>No Test</v>
      </c>
      <c r="BH373" s="238">
        <f>WWWW[[#This Row],['# Existing functional latrines]]+WWWW[[#This Row],['# Existing latrines dysfunctional]]</f>
        <v>49</v>
      </c>
      <c r="BI373" s="235">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1</v>
      </c>
      <c r="BJ373" s="675">
        <f>WWWW[[#This Row],[% people access to functioning Latrine]]*WWWW[[#This Row],[Total PoP ]]</f>
        <v>265</v>
      </c>
      <c r="BK373" s="235">
        <f>IF(WWWW[[#This Row],[Location Type 1]]="camp",WWWW[[#This Row],['# potential required new latrines]]/(WWWW[[#This Row],[Total PoP ]]/20),WWWW[[#This Row],['# potential required new latrines]]/(WWWW[[#This Row],[Total PoP ]]/6))</f>
        <v>0</v>
      </c>
      <c r="BL373" s="414">
        <f>IF(WWWW[[#This Row],[Total required Latrines]]-WWWW[[#This Row],[Total '# of latrine]]&lt;0,0,WWWW[[#This Row],[Total required Latrines]]-WWWW[[#This Row],[Total '# of latrine]])</f>
        <v>0</v>
      </c>
      <c r="BM373" s="238">
        <f>ROUND(IF(WWWW[[#This Row],[Location Type 1]]="camp",WWWW[[#This Row],[Total PoP ]]/20,WWWW[[#This Row],[Total PoP ]]/6),0)</f>
        <v>44</v>
      </c>
      <c r="BN373" s="239">
        <f>IF(OR(WWWW[[#This Row],['# Existing latrines dysfunctional]]="",WWWW[[#This Row],['# Existing latrines dysfunctional]]=0),0,WWWW[[#This Row],['# Existing latrines dysfunctional]]/WWWW[[#This Row],[Total '# of latrine]])</f>
        <v>0</v>
      </c>
      <c r="BO373" s="675">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P373" s="235">
        <f>WWWW[[#This Row],[People adopt basic personal and community hygiene practices]]/WWWW[[#This Row],[Total PoP ]]</f>
        <v>0</v>
      </c>
      <c r="BQ373" s="239">
        <f>1-WWWW[[#This Row],[Hygiene Coverage%]]</f>
        <v>1</v>
      </c>
      <c r="BR373" s="414">
        <f>IF(500*WWWW[[#This Row],['# Hygiene Promoters ]]&gt;WWWW[[#This Row],[Total PoP ]],WWWW[[#This Row],[Total PoP ]],500*WWWW[[#This Row],['# Hygiene Promoters ]])</f>
        <v>265</v>
      </c>
      <c r="BS373" s="414">
        <f>IF(WWWW[[#This Row],[% of HH with access to Sanitary Pad]]&gt;=100%,1,0)</f>
        <v>0</v>
      </c>
      <c r="BT373" s="414">
        <f>IF(WWWW[[#This Row],[Total PoP ]]=0,0,IF(WWWW[[#This Row],['# Hygiene Promoters ]]=0,0,IF(WWWW[[#This Row],[Location Type 1]]="Village",IF(WWWW[[#This Row],[Total PoP ]]/WWWW[[#This Row],['# Hygiene Promoters ]]&lt;1000,1,0),IF(WWWW[[#This Row],[Total PoP ]]/WWWW[[#This Row],['# Hygiene Promoters ]]&lt;600,1,0))))</f>
        <v>1</v>
      </c>
      <c r="BU373" s="414">
        <f>IF(WWWW[[#This Row],[%HH with access to soap]]&gt;=100%,1,0)</f>
        <v>0</v>
      </c>
      <c r="BV373" s="414">
        <f>IF(WWWW[[#This Row],[% of HHs with access to Sanitary pad more than '#%]]+WWWW[[#This Row],[Ratio of Hyiene promoters to people less than '#]]+WWWW[[#This Row],[% of HHs with access to soap more than '#%]]&gt;=2,WWWW[[#This Row],[Total PoP ]],0)</f>
        <v>0</v>
      </c>
      <c r="BW373" s="346">
        <f>WWWW[[#This Row],['# people reached by regular dedicated hygiene promotion_5]]/WWWW[[#This Row],[Total PoP ]]</f>
        <v>1</v>
      </c>
      <c r="BX373" s="346">
        <f>IF(WWWW[[#This Row],['# HH received soaps]]/WWWW[[#This Row],[Total HH]]&gt;1,1,WWWW[[#This Row],['# HH received soaps]]/WWWW[[#This Row],[Total HH]])</f>
        <v>0</v>
      </c>
      <c r="BY373" s="346">
        <f>IF(WWWW[[#This Row],['# HH received Sanitary Pads]]/WWWW[[#This Row],[Total HH]]&gt;1,1,WWWW[[#This Row],['# HH received Sanitary Pads]]/WWWW[[#This Row],[Total HH]])</f>
        <v>0</v>
      </c>
      <c r="BZ373" s="720">
        <f>WWWW[[#This Row],['# HH received soaps]]*5</f>
        <v>0</v>
      </c>
      <c r="CA373" s="720">
        <f>WWWW[[#This Row],['# HH received Sanitary Pads]]*5</f>
        <v>0</v>
      </c>
      <c r="CB373" s="238">
        <f>IF(WWWW[[#This Row],['# People with access to soap]]&gt;WWWW[[#This Row],['# People with access to Sanity Pads]],WWWW[[#This Row],['# People with access to soap]],WWWW[[#This Row],['# People with access to Sanity Pads]])</f>
        <v>0</v>
      </c>
      <c r="CC373" s="414">
        <f>WWWW[[#This Row],[Total HH]]*WWWW[[#This Row],[%HHs with access to functional hand washing stations]]</f>
        <v>13.2</v>
      </c>
      <c r="CD373" s="240" t="str">
        <f>VLOOKUP(WWWW[[#This Row],[Site Name]],SiteDB6[],8,FALSE)</f>
        <v>Yes</v>
      </c>
      <c r="CE373" s="240" t="str">
        <f>VLOOKUP(WWWW[[#This Row],[Site Name]],SiteDB6[],9,FALSE)</f>
        <v>KBC</v>
      </c>
      <c r="CF373" s="240" t="str">
        <f>VLOOKUP(WWWW[[#This Row],[Site Name]],SiteDB6[],10,FALSE)</f>
        <v>Camp</v>
      </c>
      <c r="CG373" s="240" t="str">
        <f>VLOOKUP(WWWW[[#This Row],[Site Name]],SiteDB6[],11,FALSE)</f>
        <v>Village Type Camp</v>
      </c>
      <c r="CH373" s="240" t="str">
        <f>VLOOKUP(WWWW[[#This Row],[Site Name]],SiteDB6[],12,FALSE)</f>
        <v>Camp</v>
      </c>
      <c r="CI373" s="240" t="str">
        <f>VLOOKUP(WWWW[[#This Row],[Site Name]],SiteDB6[],13,FALSE)</f>
        <v>GCA</v>
      </c>
      <c r="CJ373" s="240">
        <f>VLOOKUP(WWWW[[#This Row],[Site Name]],SiteDB6[],14,FALSE)</f>
        <v>23.400155999999999</v>
      </c>
      <c r="CK373" s="240">
        <f>VLOOKUP(WWWW[[#This Row],[Site Name]],SiteDB6[],15,FALSE)</f>
        <v>98.220614999999995</v>
      </c>
      <c r="CL373" s="240" t="str">
        <f>VLOOKUP(WWWW[[#This Row],[Site Name]],SiteDB6[],4,FALSE)</f>
        <v>MMR015CMP006</v>
      </c>
      <c r="CM373" s="235" t="str">
        <f t="shared" si="5"/>
        <v>Covered</v>
      </c>
      <c r="CN373" s="235"/>
    </row>
    <row r="374" spans="1:92" ht="15.75" customHeight="1" x14ac:dyDescent="0.25">
      <c r="A374" s="232" t="s">
        <v>1409</v>
      </c>
      <c r="B374" s="533" t="s">
        <v>2623</v>
      </c>
      <c r="C374" s="533" t="s">
        <v>878</v>
      </c>
      <c r="D374" s="533" t="s">
        <v>882</v>
      </c>
      <c r="E374" s="533" t="s">
        <v>887</v>
      </c>
      <c r="F374" s="233">
        <v>22</v>
      </c>
      <c r="G374" s="414">
        <v>111</v>
      </c>
      <c r="H374" s="233"/>
      <c r="I374" s="233" t="s">
        <v>2624</v>
      </c>
      <c r="J374" s="234" t="s">
        <v>2625</v>
      </c>
      <c r="K374" s="233">
        <v>0</v>
      </c>
      <c r="L374" s="233" t="s">
        <v>48</v>
      </c>
      <c r="M374" s="235">
        <v>0.5</v>
      </c>
      <c r="N374" s="235">
        <v>1</v>
      </c>
      <c r="O374" s="609">
        <v>0</v>
      </c>
      <c r="P374" s="615">
        <v>0</v>
      </c>
      <c r="Q374" s="615">
        <v>5400</v>
      </c>
      <c r="R374" s="604"/>
      <c r="S374" s="604">
        <v>6</v>
      </c>
      <c r="T374" s="604">
        <v>2</v>
      </c>
      <c r="U374" s="604"/>
      <c r="V374" s="604">
        <v>4</v>
      </c>
      <c r="W374" s="604">
        <v>4</v>
      </c>
      <c r="X374" s="604">
        <v>4</v>
      </c>
      <c r="Y374" s="604"/>
      <c r="Z374" s="628">
        <v>8</v>
      </c>
      <c r="AA374" s="628">
        <v>4</v>
      </c>
      <c r="AB374" s="629">
        <v>0</v>
      </c>
      <c r="AC374" s="628">
        <v>10</v>
      </c>
      <c r="AD374" s="628" t="s">
        <v>293</v>
      </c>
      <c r="AE374" s="631" t="s">
        <v>293</v>
      </c>
      <c r="AF374" s="631">
        <v>0</v>
      </c>
      <c r="AG374" s="628">
        <v>0</v>
      </c>
      <c r="AH374" s="628"/>
      <c r="AI374" s="659">
        <v>1</v>
      </c>
      <c r="AJ374" s="650" t="s">
        <v>386</v>
      </c>
      <c r="AK374" s="644">
        <v>0</v>
      </c>
      <c r="AL374" s="645">
        <v>2</v>
      </c>
      <c r="AM374" s="645">
        <v>2</v>
      </c>
      <c r="AN374" s="647">
        <v>21</v>
      </c>
      <c r="AO374" s="647">
        <v>0</v>
      </c>
      <c r="AP374" s="647" t="s">
        <v>48</v>
      </c>
      <c r="AQ374" s="658"/>
      <c r="AR374" s="235">
        <f>IFERROR(WWWW[[#This Row],['# of Water passed at source]]/WWWW[[#This Row],['# of Water tested at source]],"no test")</f>
        <v>0</v>
      </c>
      <c r="AS374" s="237">
        <f>IFERROR(WWWW[[#This Row],['# of Water passed at HH]]/WWWW[[#This Row],['# of Water tested at HH]],"no test")</f>
        <v>1</v>
      </c>
      <c r="AT374" s="237">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U374" s="237">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AV374" s="237">
        <f>IF(WWWW[[#This Row],[Location Type 1]]="Village",WWWW[[#This Row],[Access to safe drinking water for Village]],WWWW[[#This Row],[Access to safe drinking water for Camp]])</f>
        <v>1</v>
      </c>
      <c r="AW374" s="414">
        <f>WWWW[[#This Row],[%Equitable and continuous access to sufficient quantity of safe drinking water]]*WWWW[[#This Row],[Total PoP ]]</f>
        <v>111</v>
      </c>
      <c r="AX374" s="237">
        <f>IF((WWWW[[#This Row],['# Existing protected/fenced ponds ]]*250)/WWWW[[#This Row],[Total PoP ]]&gt;1,1,WWWW[[#This Row],['# Existing protected/fenced ponds ]]*250/WWWW[[#This Row],[Total PoP ]])</f>
        <v>0</v>
      </c>
      <c r="AY374" s="414">
        <f>WWWW[[#This Row],[Access to unimproved water points]]*WWWW[[#This Row],[Total PoP ]]</f>
        <v>0</v>
      </c>
      <c r="AZ374" s="237">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A374" s="414">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111</v>
      </c>
      <c r="BB374" s="414">
        <f>WWWW[[#This Row],['#people Equitable and continuous access to sufficient quantity of domestic water borehole n ponds_2]]/500</f>
        <v>0.222</v>
      </c>
      <c r="BC374" s="235">
        <f>1-WWWW[[#This Row],[%Equitable and continuous access to sufficient quantity of domestic water borehole n ponds]]</f>
        <v>0</v>
      </c>
      <c r="BD374" s="414">
        <f>WWWW[[#This Row],[%equitable and continuous access to sufficient quantity of safe drinking and domestic water''s GAP]]*WWWW[[#This Row],[Total PoP ]]</f>
        <v>0</v>
      </c>
      <c r="BE374" s="238">
        <f>IF(WWWW[[#This Row],[Total required water points]]-WWWW[[#This Row],['#Water points coverage]]&lt;0,0,WWWW[[#This Row],[Total required water points]]-WWWW[[#This Row],['#Water points coverage]])</f>
        <v>0.77800000000000002</v>
      </c>
      <c r="BF374" s="238">
        <f>ROUND(IF(WWWW[[#This Row],[Total PoP ]]&lt;500,1,WWWW[[#This Row],[Total PoP ]]/500),0)</f>
        <v>1</v>
      </c>
      <c r="BG374" s="238" t="str">
        <f>IF(AND(WWWW[[#This Row],[%of Water samples which passed at water source]]="no test",WWWW[[#This Row],[%Water samples which passed at HH]]="no test"),"No Test","Tested")</f>
        <v>Tested</v>
      </c>
      <c r="BH374" s="238">
        <f>WWWW[[#This Row],['# Existing functional latrines]]+WWWW[[#This Row],['# Existing latrines dysfunctional]]</f>
        <v>12</v>
      </c>
      <c r="BI374" s="235">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1</v>
      </c>
      <c r="BJ374" s="675">
        <f>WWWW[[#This Row],[% people access to functioning Latrine]]*WWWW[[#This Row],[Total PoP ]]</f>
        <v>111</v>
      </c>
      <c r="BK374" s="235">
        <f>IF(WWWW[[#This Row],[Location Type 1]]="camp",WWWW[[#This Row],['# potential required new latrines]]/(WWWW[[#This Row],[Total PoP ]]/20),WWWW[[#This Row],['# potential required new latrines]]/(WWWW[[#This Row],[Total PoP ]]/6))</f>
        <v>0</v>
      </c>
      <c r="BL374" s="414">
        <f>IF(WWWW[[#This Row],[Total required Latrines]]-WWWW[[#This Row],[Total '# of latrine]]&lt;0,0,WWWW[[#This Row],[Total required Latrines]]-WWWW[[#This Row],[Total '# of latrine]])</f>
        <v>0</v>
      </c>
      <c r="BM374" s="238">
        <f>ROUND(IF(WWWW[[#This Row],[Location Type 1]]="camp",WWWW[[#This Row],[Total PoP ]]/20,WWWW[[#This Row],[Total PoP ]]/6),0)</f>
        <v>6</v>
      </c>
      <c r="BN374" s="239">
        <f>IF(OR(WWWW[[#This Row],['# Existing latrines dysfunctional]]="",WWWW[[#This Row],['# Existing latrines dysfunctional]]=0),0,WWWW[[#This Row],['# Existing latrines dysfunctional]]/WWWW[[#This Row],[Total '# of latrine]])</f>
        <v>0.33333333333333331</v>
      </c>
      <c r="BO374" s="675">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P374" s="235">
        <f>WWWW[[#This Row],[People adopt basic personal and community hygiene practices]]/WWWW[[#This Row],[Total PoP ]]</f>
        <v>0</v>
      </c>
      <c r="BQ374" s="239">
        <f>1-WWWW[[#This Row],[Hygiene Coverage%]]</f>
        <v>1</v>
      </c>
      <c r="BR374" s="414">
        <f>IF(500*WWWW[[#This Row],['# Hygiene Promoters ]]&gt;WWWW[[#This Row],[Total PoP ]],WWWW[[#This Row],[Total PoP ]],500*WWWW[[#This Row],['# Hygiene Promoters ]])</f>
        <v>111</v>
      </c>
      <c r="BS374" s="414">
        <f>IF(WWWW[[#This Row],[% of HH with access to Sanitary Pad]]&gt;=100%,1,0)</f>
        <v>0</v>
      </c>
      <c r="BT374" s="414">
        <f>IF(WWWW[[#This Row],[Total PoP ]]=0,0,IF(WWWW[[#This Row],['# Hygiene Promoters ]]=0,0,IF(WWWW[[#This Row],[Location Type 1]]="Village",IF(WWWW[[#This Row],[Total PoP ]]/WWWW[[#This Row],['# Hygiene Promoters ]]&lt;1000,1,0),IF(WWWW[[#This Row],[Total PoP ]]/WWWW[[#This Row],['# Hygiene Promoters ]]&lt;600,1,0))))</f>
        <v>1</v>
      </c>
      <c r="BU374" s="414">
        <f>IF(WWWW[[#This Row],[%HH with access to soap]]&gt;=100%,1,0)</f>
        <v>0</v>
      </c>
      <c r="BV374" s="414">
        <f>IF(WWWW[[#This Row],[% of HHs with access to Sanitary pad more than '#%]]+WWWW[[#This Row],[Ratio of Hyiene promoters to people less than '#]]+WWWW[[#This Row],[% of HHs with access to soap more than '#%]]&gt;=2,WWWW[[#This Row],[Total PoP ]],0)</f>
        <v>0</v>
      </c>
      <c r="BW374" s="346">
        <f>WWWW[[#This Row],['# people reached by regular dedicated hygiene promotion_5]]/WWWW[[#This Row],[Total PoP ]]</f>
        <v>1</v>
      </c>
      <c r="BX374" s="346">
        <f>IF(WWWW[[#This Row],['# HH received soaps]]/WWWW[[#This Row],[Total HH]]&gt;1,1,WWWW[[#This Row],['# HH received soaps]]/WWWW[[#This Row],[Total HH]])</f>
        <v>0.95454545454545459</v>
      </c>
      <c r="BY374" s="346">
        <f>IF(WWWW[[#This Row],['# HH received Sanitary Pads]]/WWWW[[#This Row],[Total HH]]&gt;1,1,WWWW[[#This Row],['# HH received Sanitary Pads]]/WWWW[[#This Row],[Total HH]])</f>
        <v>0</v>
      </c>
      <c r="BZ374" s="720">
        <f>WWWW[[#This Row],['# HH received soaps]]*5</f>
        <v>105</v>
      </c>
      <c r="CA374" s="720">
        <f>WWWW[[#This Row],['# HH received Sanitary Pads]]*5</f>
        <v>0</v>
      </c>
      <c r="CB374" s="238">
        <f>IF(WWWW[[#This Row],['# People with access to soap]]&gt;WWWW[[#This Row],['# People with access to Sanity Pads]],WWWW[[#This Row],['# People with access to soap]],WWWW[[#This Row],['# People with access to Sanity Pads]])</f>
        <v>105</v>
      </c>
      <c r="CC374" s="414">
        <f>WWWW[[#This Row],[Total HH]]*WWWW[[#This Row],[%HHs with access to functional hand washing stations]]</f>
        <v>22</v>
      </c>
      <c r="CD374" s="240" t="str">
        <f>VLOOKUP(WWWW[[#This Row],[Site Name]],SiteDB6[],8,FALSE)</f>
        <v>Yes</v>
      </c>
      <c r="CE374" s="240" t="str">
        <f>VLOOKUP(WWWW[[#This Row],[Site Name]],SiteDB6[],9,FALSE)</f>
        <v>KMSS-LSO</v>
      </c>
      <c r="CF374" s="240" t="str">
        <f>VLOOKUP(WWWW[[#This Row],[Site Name]],SiteDB6[],10,FALSE)</f>
        <v>Camp</v>
      </c>
      <c r="CG374" s="240" t="str">
        <f>VLOOKUP(WWWW[[#This Row],[Site Name]],SiteDB6[],11,FALSE)</f>
        <v>Camp</v>
      </c>
      <c r="CH374" s="240" t="str">
        <f>VLOOKUP(WWWW[[#This Row],[Site Name]],SiteDB6[],12,FALSE)</f>
        <v>Camp</v>
      </c>
      <c r="CI374" s="240" t="str">
        <f>VLOOKUP(WWWW[[#This Row],[Site Name]],SiteDB6[],13,FALSE)</f>
        <v>GCA</v>
      </c>
      <c r="CJ374" s="240">
        <f>VLOOKUP(WWWW[[#This Row],[Site Name]],SiteDB6[],14,FALSE)</f>
        <v>23.463000000000001</v>
      </c>
      <c r="CK374" s="240">
        <f>VLOOKUP(WWWW[[#This Row],[Site Name]],SiteDB6[],15,FALSE)</f>
        <v>98.248999999999995</v>
      </c>
      <c r="CL374" s="240" t="str">
        <f>VLOOKUP(WWWW[[#This Row],[Site Name]],SiteDB6[],4,FALSE)</f>
        <v>MMR015CMP217</v>
      </c>
      <c r="CM374" s="235" t="str">
        <f t="shared" si="5"/>
        <v>Covered</v>
      </c>
      <c r="CN374" s="235"/>
    </row>
    <row r="375" spans="1:92" ht="15.75" customHeight="1" x14ac:dyDescent="0.25">
      <c r="A375" s="232" t="s">
        <v>1409</v>
      </c>
      <c r="B375" s="533" t="s">
        <v>1423</v>
      </c>
      <c r="C375" s="533" t="s">
        <v>878</v>
      </c>
      <c r="D375" s="533" t="s">
        <v>888</v>
      </c>
      <c r="E375" s="533" t="s">
        <v>919</v>
      </c>
      <c r="F375" s="233">
        <v>51</v>
      </c>
      <c r="G375" s="414">
        <v>207</v>
      </c>
      <c r="H375" s="233"/>
      <c r="I375" s="233" t="s">
        <v>2626</v>
      </c>
      <c r="J375" s="234" t="s">
        <v>2622</v>
      </c>
      <c r="K375" s="233">
        <v>0</v>
      </c>
      <c r="L375" s="233" t="s">
        <v>48</v>
      </c>
      <c r="M375" s="235">
        <v>0.5</v>
      </c>
      <c r="N375" s="235">
        <v>1</v>
      </c>
      <c r="O375" s="609">
        <v>0</v>
      </c>
      <c r="P375" s="615">
        <v>1</v>
      </c>
      <c r="Q375" s="615">
        <v>7200</v>
      </c>
      <c r="R375" s="604"/>
      <c r="S375" s="604">
        <v>8</v>
      </c>
      <c r="T375" s="604">
        <v>0</v>
      </c>
      <c r="U375" s="604">
        <v>0</v>
      </c>
      <c r="V375" s="604">
        <v>0</v>
      </c>
      <c r="W375" s="604">
        <v>0</v>
      </c>
      <c r="X375" s="604">
        <v>0</v>
      </c>
      <c r="Y375" s="604"/>
      <c r="Z375" s="628">
        <v>12</v>
      </c>
      <c r="AA375" s="628">
        <v>0</v>
      </c>
      <c r="AB375" s="629">
        <v>0</v>
      </c>
      <c r="AC375" s="628">
        <v>9</v>
      </c>
      <c r="AD375" s="628" t="s">
        <v>293</v>
      </c>
      <c r="AE375" s="631" t="s">
        <v>293</v>
      </c>
      <c r="AF375" s="631"/>
      <c r="AG375" s="628"/>
      <c r="AH375" s="628"/>
      <c r="AI375" s="659">
        <v>0.7</v>
      </c>
      <c r="AJ375" s="650" t="s">
        <v>386</v>
      </c>
      <c r="AK375" s="644">
        <v>0</v>
      </c>
      <c r="AL375" s="645">
        <v>3</v>
      </c>
      <c r="AM375" s="645">
        <v>1</v>
      </c>
      <c r="AN375" s="647">
        <v>0</v>
      </c>
      <c r="AO375" s="647">
        <v>0</v>
      </c>
      <c r="AP375" s="647"/>
      <c r="AQ375" s="658"/>
      <c r="AR375" s="235" t="str">
        <f>IFERROR(WWWW[[#This Row],['# of Water passed at source]]/WWWW[[#This Row],['# of Water tested at source]],"no test")</f>
        <v>no test</v>
      </c>
      <c r="AS375" s="237" t="str">
        <f>IFERROR(WWWW[[#This Row],['# of Water passed at HH]]/WWWW[[#This Row],['# of Water tested at HH]],"no test")</f>
        <v>no test</v>
      </c>
      <c r="AT375" s="237">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U375" s="237">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AV375" s="237">
        <f>IF(WWWW[[#This Row],[Location Type 1]]="Village",WWWW[[#This Row],[Access to safe drinking water for Village]],WWWW[[#This Row],[Access to safe drinking water for Camp]])</f>
        <v>1</v>
      </c>
      <c r="AW375" s="414">
        <f>WWWW[[#This Row],[%Equitable and continuous access to sufficient quantity of safe drinking water]]*WWWW[[#This Row],[Total PoP ]]</f>
        <v>207</v>
      </c>
      <c r="AX375" s="237">
        <f>IF((WWWW[[#This Row],['# Existing protected/fenced ponds ]]*250)/WWWW[[#This Row],[Total PoP ]]&gt;1,1,WWWW[[#This Row],['# Existing protected/fenced ponds ]]*250/WWWW[[#This Row],[Total PoP ]])</f>
        <v>0</v>
      </c>
      <c r="AY375" s="414">
        <f>WWWW[[#This Row],[Access to unimproved water points]]*WWWW[[#This Row],[Total PoP ]]</f>
        <v>0</v>
      </c>
      <c r="AZ375" s="237">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A375" s="414">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207</v>
      </c>
      <c r="BB375" s="414">
        <f>WWWW[[#This Row],['#people Equitable and continuous access to sufficient quantity of domestic water borehole n ponds_2]]/500</f>
        <v>0.41399999999999998</v>
      </c>
      <c r="BC375" s="235">
        <f>1-WWWW[[#This Row],[%Equitable and continuous access to sufficient quantity of domestic water borehole n ponds]]</f>
        <v>0</v>
      </c>
      <c r="BD375" s="414">
        <f>WWWW[[#This Row],[%equitable and continuous access to sufficient quantity of safe drinking and domestic water''s GAP]]*WWWW[[#This Row],[Total PoP ]]</f>
        <v>0</v>
      </c>
      <c r="BE375" s="238">
        <f>IF(WWWW[[#This Row],[Total required water points]]-WWWW[[#This Row],['#Water points coverage]]&lt;0,0,WWWW[[#This Row],[Total required water points]]-WWWW[[#This Row],['#Water points coverage]])</f>
        <v>0.58600000000000008</v>
      </c>
      <c r="BF375" s="238">
        <f>ROUND(IF(WWWW[[#This Row],[Total PoP ]]&lt;500,1,WWWW[[#This Row],[Total PoP ]]/500),0)</f>
        <v>1</v>
      </c>
      <c r="BG375" s="238" t="str">
        <f>IF(AND(WWWW[[#This Row],[%of Water samples which passed at water source]]="no test",WWWW[[#This Row],[%Water samples which passed at HH]]="no test"),"No Test","Tested")</f>
        <v>No Test</v>
      </c>
      <c r="BH375" s="238">
        <f>WWWW[[#This Row],['# Existing functional latrines]]+WWWW[[#This Row],['# Existing latrines dysfunctional]]</f>
        <v>12</v>
      </c>
      <c r="BI375" s="235">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1</v>
      </c>
      <c r="BJ375" s="675">
        <f>WWWW[[#This Row],[% people access to functioning Latrine]]*WWWW[[#This Row],[Total PoP ]]</f>
        <v>207</v>
      </c>
      <c r="BK375" s="235">
        <f>IF(WWWW[[#This Row],[Location Type 1]]="camp",WWWW[[#This Row],['# potential required new latrines]]/(WWWW[[#This Row],[Total PoP ]]/20),WWWW[[#This Row],['# potential required new latrines]]/(WWWW[[#This Row],[Total PoP ]]/6))</f>
        <v>0</v>
      </c>
      <c r="BL375" s="414">
        <f>IF(WWWW[[#This Row],[Total required Latrines]]-WWWW[[#This Row],[Total '# of latrine]]&lt;0,0,WWWW[[#This Row],[Total required Latrines]]-WWWW[[#This Row],[Total '# of latrine]])</f>
        <v>0</v>
      </c>
      <c r="BM375" s="238">
        <f>ROUND(IF(WWWW[[#This Row],[Location Type 1]]="camp",WWWW[[#This Row],[Total PoP ]]/20,WWWW[[#This Row],[Total PoP ]]/6),0)</f>
        <v>10</v>
      </c>
      <c r="BN375" s="239">
        <f>IF(OR(WWWW[[#This Row],['# Existing latrines dysfunctional]]="",WWWW[[#This Row],['# Existing latrines dysfunctional]]=0),0,WWWW[[#This Row],['# Existing latrines dysfunctional]]/WWWW[[#This Row],[Total '# of latrine]])</f>
        <v>0</v>
      </c>
      <c r="BO375" s="675">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P375" s="235">
        <f>WWWW[[#This Row],[People adopt basic personal and community hygiene practices]]/WWWW[[#This Row],[Total PoP ]]</f>
        <v>0</v>
      </c>
      <c r="BQ375" s="239">
        <f>1-WWWW[[#This Row],[Hygiene Coverage%]]</f>
        <v>1</v>
      </c>
      <c r="BR375" s="414">
        <f>IF(500*WWWW[[#This Row],['# Hygiene Promoters ]]&gt;WWWW[[#This Row],[Total PoP ]],WWWW[[#This Row],[Total PoP ]],500*WWWW[[#This Row],['# Hygiene Promoters ]])</f>
        <v>207</v>
      </c>
      <c r="BS375" s="414">
        <f>IF(WWWW[[#This Row],[% of HH with access to Sanitary Pad]]&gt;=100%,1,0)</f>
        <v>0</v>
      </c>
      <c r="BT375" s="414">
        <f>IF(WWWW[[#This Row],[Total PoP ]]=0,0,IF(WWWW[[#This Row],['# Hygiene Promoters ]]=0,0,IF(WWWW[[#This Row],[Location Type 1]]="Village",IF(WWWW[[#This Row],[Total PoP ]]/WWWW[[#This Row],['# Hygiene Promoters ]]&lt;1000,1,0),IF(WWWW[[#This Row],[Total PoP ]]/WWWW[[#This Row],['# Hygiene Promoters ]]&lt;600,1,0))))</f>
        <v>1</v>
      </c>
      <c r="BU375" s="414">
        <f>IF(WWWW[[#This Row],[%HH with access to soap]]&gt;=100%,1,0)</f>
        <v>0</v>
      </c>
      <c r="BV375" s="414">
        <f>IF(WWWW[[#This Row],[% of HHs with access to Sanitary pad more than '#%]]+WWWW[[#This Row],[Ratio of Hyiene promoters to people less than '#]]+WWWW[[#This Row],[% of HHs with access to soap more than '#%]]&gt;=2,WWWW[[#This Row],[Total PoP ]],0)</f>
        <v>0</v>
      </c>
      <c r="BW375" s="346">
        <f>WWWW[[#This Row],['# people reached by regular dedicated hygiene promotion_5]]/WWWW[[#This Row],[Total PoP ]]</f>
        <v>1</v>
      </c>
      <c r="BX375" s="346">
        <f>IF(WWWW[[#This Row],['# HH received soaps]]/WWWW[[#This Row],[Total HH]]&gt;1,1,WWWW[[#This Row],['# HH received soaps]]/WWWW[[#This Row],[Total HH]])</f>
        <v>0</v>
      </c>
      <c r="BY375" s="346">
        <f>IF(WWWW[[#This Row],['# HH received Sanitary Pads]]/WWWW[[#This Row],[Total HH]]&gt;1,1,WWWW[[#This Row],['# HH received Sanitary Pads]]/WWWW[[#This Row],[Total HH]])</f>
        <v>0</v>
      </c>
      <c r="BZ375" s="720">
        <f>WWWW[[#This Row],['# HH received soaps]]*5</f>
        <v>0</v>
      </c>
      <c r="CA375" s="720">
        <f>WWWW[[#This Row],['# HH received Sanitary Pads]]*5</f>
        <v>0</v>
      </c>
      <c r="CB375" s="238">
        <f>IF(WWWW[[#This Row],['# People with access to soap]]&gt;WWWW[[#This Row],['# People with access to Sanity Pads]],WWWW[[#This Row],['# People with access to soap]],WWWW[[#This Row],['# People with access to Sanity Pads]])</f>
        <v>0</v>
      </c>
      <c r="CC375" s="414">
        <f>WWWW[[#This Row],[Total HH]]*WWWW[[#This Row],[%HHs with access to functional hand washing stations]]</f>
        <v>35.699999999999996</v>
      </c>
      <c r="CD375" s="240" t="str">
        <f>VLOOKUP(WWWW[[#This Row],[Site Name]],SiteDB6[],8,FALSE)</f>
        <v>Yes</v>
      </c>
      <c r="CE375" s="240" t="str">
        <f>VLOOKUP(WWWW[[#This Row],[Site Name]],SiteDB6[],9,FALSE)</f>
        <v>KBC</v>
      </c>
      <c r="CF375" s="240" t="str">
        <f>VLOOKUP(WWWW[[#This Row],[Site Name]],SiteDB6[],10,FALSE)</f>
        <v>Camp</v>
      </c>
      <c r="CG375" s="240" t="str">
        <f>VLOOKUP(WWWW[[#This Row],[Site Name]],SiteDB6[],11,FALSE)</f>
        <v>Camp</v>
      </c>
      <c r="CH375" s="240" t="str">
        <f>VLOOKUP(WWWW[[#This Row],[Site Name]],SiteDB6[],12,FALSE)</f>
        <v>Camp</v>
      </c>
      <c r="CI375" s="240" t="str">
        <f>VLOOKUP(WWWW[[#This Row],[Site Name]],SiteDB6[],13,FALSE)</f>
        <v>GCA</v>
      </c>
      <c r="CJ375" s="240">
        <f>VLOOKUP(WWWW[[#This Row],[Site Name]],SiteDB6[],14,FALSE)</f>
        <v>24.006319999999999</v>
      </c>
      <c r="CK375" s="240">
        <f>VLOOKUP(WWWW[[#This Row],[Site Name]],SiteDB6[],15,FALSE)</f>
        <v>97.909400000000005</v>
      </c>
      <c r="CL375" s="240" t="str">
        <f>VLOOKUP(WWWW[[#This Row],[Site Name]],SiteDB6[],4,FALSE)</f>
        <v>MMR015CMP213</v>
      </c>
      <c r="CM375" s="235" t="str">
        <f t="shared" si="5"/>
        <v>Covered</v>
      </c>
      <c r="CN375" s="235"/>
    </row>
    <row r="376" spans="1:92" ht="15.75" customHeight="1" x14ac:dyDescent="0.25">
      <c r="A376" s="532" t="s">
        <v>1409</v>
      </c>
      <c r="B376" s="533" t="s">
        <v>43</v>
      </c>
      <c r="C376" s="533" t="s">
        <v>878</v>
      </c>
      <c r="D376" s="533" t="s">
        <v>888</v>
      </c>
      <c r="E376" s="533" t="s">
        <v>889</v>
      </c>
      <c r="F376" s="233">
        <v>22</v>
      </c>
      <c r="G376" s="414">
        <v>80</v>
      </c>
      <c r="H376" s="233"/>
      <c r="I376" s="233" t="s">
        <v>884</v>
      </c>
      <c r="J376" s="234">
        <v>43465</v>
      </c>
      <c r="K376" s="233">
        <v>0</v>
      </c>
      <c r="L376" s="233" t="s">
        <v>48</v>
      </c>
      <c r="M376" s="235">
        <v>0.5</v>
      </c>
      <c r="N376" s="235">
        <v>1</v>
      </c>
      <c r="O376" s="609">
        <v>1</v>
      </c>
      <c r="P376" s="615">
        <v>1</v>
      </c>
      <c r="Q376" s="615">
        <v>7200</v>
      </c>
      <c r="R376" s="604"/>
      <c r="S376" s="604">
        <v>4</v>
      </c>
      <c r="T376" s="604">
        <v>2</v>
      </c>
      <c r="U376" s="604"/>
      <c r="V376" s="604">
        <v>4</v>
      </c>
      <c r="W376" s="604">
        <v>4</v>
      </c>
      <c r="X376" s="604">
        <v>4</v>
      </c>
      <c r="Y376" s="604"/>
      <c r="Z376" s="628">
        <v>8</v>
      </c>
      <c r="AA376" s="628">
        <v>0</v>
      </c>
      <c r="AB376" s="629">
        <v>0</v>
      </c>
      <c r="AC376" s="628">
        <v>4</v>
      </c>
      <c r="AD376" s="628" t="s">
        <v>293</v>
      </c>
      <c r="AE376" s="631" t="s">
        <v>1379</v>
      </c>
      <c r="AF376" s="631">
        <v>0</v>
      </c>
      <c r="AG376" s="628">
        <v>1</v>
      </c>
      <c r="AH376" s="628"/>
      <c r="AI376" s="659">
        <v>1</v>
      </c>
      <c r="AJ376" s="650" t="s">
        <v>386</v>
      </c>
      <c r="AK376" s="644">
        <v>1</v>
      </c>
      <c r="AL376" s="645">
        <v>0</v>
      </c>
      <c r="AM376" s="645">
        <v>2</v>
      </c>
      <c r="AN376" s="647">
        <v>22</v>
      </c>
      <c r="AO376" s="647">
        <v>0</v>
      </c>
      <c r="AP376" s="647" t="s">
        <v>48</v>
      </c>
      <c r="AQ376" s="658"/>
      <c r="AR376" s="235">
        <f>IFERROR(WWWW[[#This Row],['# of Water passed at source]]/WWWW[[#This Row],['# of Water tested at source]],"no test")</f>
        <v>0</v>
      </c>
      <c r="AS376" s="237">
        <f>IFERROR(WWWW[[#This Row],['# of Water passed at HH]]/WWWW[[#This Row],['# of Water tested at HH]],"no test")</f>
        <v>1</v>
      </c>
      <c r="AT376" s="237">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U376" s="237">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AV376" s="237">
        <f>IF(WWWW[[#This Row],[Location Type 1]]="Village",WWWW[[#This Row],[Access to safe drinking water for Village]],WWWW[[#This Row],[Access to safe drinking water for Camp]])</f>
        <v>1</v>
      </c>
      <c r="AW376" s="414">
        <f>WWWW[[#This Row],[%Equitable and continuous access to sufficient quantity of safe drinking water]]*WWWW[[#This Row],[Total PoP ]]</f>
        <v>80</v>
      </c>
      <c r="AX376" s="237">
        <f>IF((WWWW[[#This Row],['# Existing protected/fenced ponds ]]*250)/WWWW[[#This Row],[Total PoP ]]&gt;1,1,WWWW[[#This Row],['# Existing protected/fenced ponds ]]*250/WWWW[[#This Row],[Total PoP ]])</f>
        <v>0</v>
      </c>
      <c r="AY376" s="414">
        <f>WWWW[[#This Row],[Access to unimproved water points]]*WWWW[[#This Row],[Total PoP ]]</f>
        <v>0</v>
      </c>
      <c r="AZ376" s="237">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A376" s="414">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80</v>
      </c>
      <c r="BB376" s="414">
        <f>WWWW[[#This Row],['#people Equitable and continuous access to sufficient quantity of domestic water borehole n ponds_2]]/500</f>
        <v>0.16</v>
      </c>
      <c r="BC376" s="235">
        <f>1-WWWW[[#This Row],[%Equitable and continuous access to sufficient quantity of domestic water borehole n ponds]]</f>
        <v>0</v>
      </c>
      <c r="BD376" s="414">
        <f>WWWW[[#This Row],[%equitable and continuous access to sufficient quantity of safe drinking and domestic water''s GAP]]*WWWW[[#This Row],[Total PoP ]]</f>
        <v>0</v>
      </c>
      <c r="BE376" s="238">
        <f>IF(WWWW[[#This Row],[Total required water points]]-WWWW[[#This Row],['#Water points coverage]]&lt;0,0,WWWW[[#This Row],[Total required water points]]-WWWW[[#This Row],['#Water points coverage]])</f>
        <v>0.84</v>
      </c>
      <c r="BF376" s="238">
        <f>ROUND(IF(WWWW[[#This Row],[Total PoP ]]&lt;500,1,WWWW[[#This Row],[Total PoP ]]/500),0)</f>
        <v>1</v>
      </c>
      <c r="BG376" s="238" t="str">
        <f>IF(AND(WWWW[[#This Row],[%of Water samples which passed at water source]]="no test",WWWW[[#This Row],[%Water samples which passed at HH]]="no test"),"No Test","Tested")</f>
        <v>Tested</v>
      </c>
      <c r="BH376" s="238">
        <f>WWWW[[#This Row],['# Existing functional latrines]]+WWWW[[#This Row],['# Existing latrines dysfunctional]]</f>
        <v>8</v>
      </c>
      <c r="BI376" s="235">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1</v>
      </c>
      <c r="BJ376" s="675">
        <f>WWWW[[#This Row],[% people access to functioning Latrine]]*WWWW[[#This Row],[Total PoP ]]</f>
        <v>80</v>
      </c>
      <c r="BK376" s="235">
        <f>IF(WWWW[[#This Row],[Location Type 1]]="camp",WWWW[[#This Row],['# potential required new latrines]]/(WWWW[[#This Row],[Total PoP ]]/20),WWWW[[#This Row],['# potential required new latrines]]/(WWWW[[#This Row],[Total PoP ]]/6))</f>
        <v>0</v>
      </c>
      <c r="BL376" s="414">
        <f>IF(WWWW[[#This Row],[Total required Latrines]]-WWWW[[#This Row],[Total '# of latrine]]&lt;0,0,WWWW[[#This Row],[Total required Latrines]]-WWWW[[#This Row],[Total '# of latrine]])</f>
        <v>0</v>
      </c>
      <c r="BM376" s="238">
        <f>ROUND(IF(WWWW[[#This Row],[Location Type 1]]="camp",WWWW[[#This Row],[Total PoP ]]/20,WWWW[[#This Row],[Total PoP ]]/6),0)</f>
        <v>4</v>
      </c>
      <c r="BN376" s="239">
        <f>IF(OR(WWWW[[#This Row],['# Existing latrines dysfunctional]]="",WWWW[[#This Row],['# Existing latrines dysfunctional]]=0),0,WWWW[[#This Row],['# Existing latrines dysfunctional]]/WWWW[[#This Row],[Total '# of latrine]])</f>
        <v>0</v>
      </c>
      <c r="BO376" s="675">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P376" s="235">
        <f>WWWW[[#This Row],[People adopt basic personal and community hygiene practices]]/WWWW[[#This Row],[Total PoP ]]</f>
        <v>1</v>
      </c>
      <c r="BQ376" s="239">
        <f>1-WWWW[[#This Row],[Hygiene Coverage%]]</f>
        <v>0</v>
      </c>
      <c r="BR376" s="414">
        <f>IF(500*WWWW[[#This Row],['# Hygiene Promoters ]]&gt;WWWW[[#This Row],[Total PoP ]],WWWW[[#This Row],[Total PoP ]],500*WWWW[[#This Row],['# Hygiene Promoters ]])</f>
        <v>80</v>
      </c>
      <c r="BS376" s="414">
        <f>IF(WWWW[[#This Row],[% of HH with access to Sanitary Pad]]&gt;=100%,1,0)</f>
        <v>0</v>
      </c>
      <c r="BT376" s="414">
        <f>IF(WWWW[[#This Row],[Total PoP ]]=0,0,IF(WWWW[[#This Row],['# Hygiene Promoters ]]=0,0,IF(WWWW[[#This Row],[Location Type 1]]="Village",IF(WWWW[[#This Row],[Total PoP ]]/WWWW[[#This Row],['# Hygiene Promoters ]]&lt;1000,1,0),IF(WWWW[[#This Row],[Total PoP ]]/WWWW[[#This Row],['# Hygiene Promoters ]]&lt;600,1,0))))</f>
        <v>1</v>
      </c>
      <c r="BU376" s="414">
        <f>IF(WWWW[[#This Row],[%HH with access to soap]]&gt;=100%,1,0)</f>
        <v>1</v>
      </c>
      <c r="BV376" s="414">
        <f>IF(WWWW[[#This Row],[% of HHs with access to Sanitary pad more than '#%]]+WWWW[[#This Row],[Ratio of Hyiene promoters to people less than '#]]+WWWW[[#This Row],[% of HHs with access to soap more than '#%]]&gt;=2,WWWW[[#This Row],[Total PoP ]],0)</f>
        <v>80</v>
      </c>
      <c r="BW376" s="346">
        <f>WWWW[[#This Row],['# people reached by regular dedicated hygiene promotion_5]]/WWWW[[#This Row],[Total PoP ]]</f>
        <v>1</v>
      </c>
      <c r="BX376" s="346">
        <f>IF(WWWW[[#This Row],['# HH received soaps]]/WWWW[[#This Row],[Total HH]]&gt;1,1,WWWW[[#This Row],['# HH received soaps]]/WWWW[[#This Row],[Total HH]])</f>
        <v>1</v>
      </c>
      <c r="BY376" s="346">
        <f>IF(WWWW[[#This Row],['# HH received Sanitary Pads]]/WWWW[[#This Row],[Total HH]]&gt;1,1,WWWW[[#This Row],['# HH received Sanitary Pads]]/WWWW[[#This Row],[Total HH]])</f>
        <v>0</v>
      </c>
      <c r="BZ376" s="720">
        <f>WWWW[[#This Row],['# HH received soaps]]*5</f>
        <v>110</v>
      </c>
      <c r="CA376" s="720">
        <f>WWWW[[#This Row],['# HH received Sanitary Pads]]*5</f>
        <v>0</v>
      </c>
      <c r="CB376" s="238">
        <f>IF(WWWW[[#This Row],['# People with access to soap]]&gt;WWWW[[#This Row],['# People with access to Sanity Pads]],WWWW[[#This Row],['# People with access to soap]],WWWW[[#This Row],['# People with access to Sanity Pads]])</f>
        <v>110</v>
      </c>
      <c r="CC376" s="414">
        <f>WWWW[[#This Row],[Total HH]]*WWWW[[#This Row],[%HHs with access to functional hand washing stations]]</f>
        <v>22</v>
      </c>
      <c r="CD376" s="240" t="str">
        <f>VLOOKUP(WWWW[[#This Row],[Site Name]],SiteDB6[],8,FALSE)</f>
        <v>Yes</v>
      </c>
      <c r="CE376" s="240" t="str">
        <f>VLOOKUP(WWWW[[#This Row],[Site Name]],SiteDB6[],9,FALSE)</f>
        <v>KMSS-LSO</v>
      </c>
      <c r="CF376" s="240" t="str">
        <f>VLOOKUP(WWWW[[#This Row],[Site Name]],SiteDB6[],10,FALSE)</f>
        <v>Camp</v>
      </c>
      <c r="CG376" s="240" t="str">
        <f>VLOOKUP(WWWW[[#This Row],[Site Name]],SiteDB6[],11,FALSE)</f>
        <v>Camp</v>
      </c>
      <c r="CH376" s="240" t="str">
        <f>VLOOKUP(WWWW[[#This Row],[Site Name]],SiteDB6[],12,FALSE)</f>
        <v>Camp</v>
      </c>
      <c r="CI376" s="240" t="str">
        <f>VLOOKUP(WWWW[[#This Row],[Site Name]],SiteDB6[],13,FALSE)</f>
        <v>GCA</v>
      </c>
      <c r="CJ376" s="240">
        <f>VLOOKUP(WWWW[[#This Row],[Site Name]],SiteDB6[],14,FALSE)</f>
        <v>24.006789000000001</v>
      </c>
      <c r="CK376" s="240">
        <f>VLOOKUP(WWWW[[#This Row],[Site Name]],SiteDB6[],15,FALSE)</f>
        <v>97.911647000000002</v>
      </c>
      <c r="CL376" s="240" t="str">
        <f>VLOOKUP(WWWW[[#This Row],[Site Name]],SiteDB6[],4,FALSE)</f>
        <v>MMR015CMP216</v>
      </c>
      <c r="CM376" s="235" t="str">
        <f t="shared" si="5"/>
        <v>Covered</v>
      </c>
      <c r="CN376" s="235"/>
    </row>
    <row r="377" spans="1:92" ht="15.75" customHeight="1" x14ac:dyDescent="0.25">
      <c r="A377" s="532" t="s">
        <v>1409</v>
      </c>
      <c r="B377" s="533" t="s">
        <v>2575</v>
      </c>
      <c r="C377" s="533" t="s">
        <v>878</v>
      </c>
      <c r="D377" s="533" t="s">
        <v>879</v>
      </c>
      <c r="E377" s="533" t="s">
        <v>890</v>
      </c>
      <c r="F377" s="233">
        <v>74</v>
      </c>
      <c r="G377" s="414">
        <v>391</v>
      </c>
      <c r="H377" s="233"/>
      <c r="I377" s="233" t="s">
        <v>2610</v>
      </c>
      <c r="J377" s="234" t="s">
        <v>2611</v>
      </c>
      <c r="K377" s="233">
        <v>0</v>
      </c>
      <c r="L377" s="233" t="s">
        <v>48</v>
      </c>
      <c r="M377" s="235">
        <v>0.4</v>
      </c>
      <c r="N377" s="235">
        <v>0.2</v>
      </c>
      <c r="O377" s="609">
        <v>0</v>
      </c>
      <c r="P377" s="615">
        <v>1</v>
      </c>
      <c r="Q377" s="615">
        <v>14400</v>
      </c>
      <c r="R377" s="604"/>
      <c r="S377" s="604">
        <v>4</v>
      </c>
      <c r="T377" s="604">
        <v>2</v>
      </c>
      <c r="U377" s="604"/>
      <c r="V377" s="604">
        <v>4</v>
      </c>
      <c r="W377" s="604">
        <v>4</v>
      </c>
      <c r="X377" s="604">
        <v>4</v>
      </c>
      <c r="Y377" s="604"/>
      <c r="Z377" s="628">
        <v>17</v>
      </c>
      <c r="AA377" s="628">
        <v>4</v>
      </c>
      <c r="AB377" s="629">
        <v>0</v>
      </c>
      <c r="AC377" s="628">
        <v>5</v>
      </c>
      <c r="AD377" s="628" t="s">
        <v>293</v>
      </c>
      <c r="AE377" s="631" t="s">
        <v>293</v>
      </c>
      <c r="AF377" s="631"/>
      <c r="AG377" s="628"/>
      <c r="AH377" s="628"/>
      <c r="AI377" s="659">
        <v>1</v>
      </c>
      <c r="AJ377" s="650" t="s">
        <v>386</v>
      </c>
      <c r="AK377" s="644"/>
      <c r="AL377" s="645">
        <v>2</v>
      </c>
      <c r="AM377" s="645">
        <v>2</v>
      </c>
      <c r="AN377" s="647">
        <v>74</v>
      </c>
      <c r="AO377" s="647"/>
      <c r="AP377" s="647" t="s">
        <v>48</v>
      </c>
      <c r="AQ377" s="658"/>
      <c r="AR377" s="235">
        <f>IFERROR(WWWW[[#This Row],['# of Water passed at source]]/WWWW[[#This Row],['# of Water tested at source]],"no test")</f>
        <v>0</v>
      </c>
      <c r="AS377" s="237">
        <f>IFERROR(WWWW[[#This Row],['# of Water passed at HH]]/WWWW[[#This Row],['# of Water tested at HH]],"no test")</f>
        <v>1</v>
      </c>
      <c r="AT377" s="237">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U377" s="237">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AV377" s="237">
        <f>IF(WWWW[[#This Row],[Location Type 1]]="Village",WWWW[[#This Row],[Access to safe drinking water for Village]],WWWW[[#This Row],[Access to safe drinking water for Camp]])</f>
        <v>1</v>
      </c>
      <c r="AW377" s="414">
        <f>WWWW[[#This Row],[%Equitable and continuous access to sufficient quantity of safe drinking water]]*WWWW[[#This Row],[Total PoP ]]</f>
        <v>391</v>
      </c>
      <c r="AX377" s="237">
        <f>IF((WWWW[[#This Row],['# Existing protected/fenced ponds ]]*250)/WWWW[[#This Row],[Total PoP ]]&gt;1,1,WWWW[[#This Row],['# Existing protected/fenced ponds ]]*250/WWWW[[#This Row],[Total PoP ]])</f>
        <v>0</v>
      </c>
      <c r="AY377" s="414">
        <f>WWWW[[#This Row],[Access to unimproved water points]]*WWWW[[#This Row],[Total PoP ]]</f>
        <v>0</v>
      </c>
      <c r="AZ377" s="237">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A377" s="414">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391</v>
      </c>
      <c r="BB377" s="414">
        <f>WWWW[[#This Row],['#people Equitable and continuous access to sufficient quantity of domestic water borehole n ponds_2]]/500</f>
        <v>0.78200000000000003</v>
      </c>
      <c r="BC377" s="235">
        <f>1-WWWW[[#This Row],[%Equitable and continuous access to sufficient quantity of domestic water borehole n ponds]]</f>
        <v>0</v>
      </c>
      <c r="BD377" s="414">
        <f>WWWW[[#This Row],[%equitable and continuous access to sufficient quantity of safe drinking and domestic water''s GAP]]*WWWW[[#This Row],[Total PoP ]]</f>
        <v>0</v>
      </c>
      <c r="BE377" s="238">
        <f>IF(WWWW[[#This Row],[Total required water points]]-WWWW[[#This Row],['#Water points coverage]]&lt;0,0,WWWW[[#This Row],[Total required water points]]-WWWW[[#This Row],['#Water points coverage]])</f>
        <v>0.21799999999999997</v>
      </c>
      <c r="BF377" s="238">
        <f>ROUND(IF(WWWW[[#This Row],[Total PoP ]]&lt;500,1,WWWW[[#This Row],[Total PoP ]]/500),0)</f>
        <v>1</v>
      </c>
      <c r="BG377" s="238" t="str">
        <f>IF(AND(WWWW[[#This Row],[%of Water samples which passed at water source]]="no test",WWWW[[#This Row],[%Water samples which passed at HH]]="no test"),"No Test","Tested")</f>
        <v>Tested</v>
      </c>
      <c r="BH377" s="238">
        <f>WWWW[[#This Row],['# Existing functional latrines]]+WWWW[[#This Row],['# Existing latrines dysfunctional]]</f>
        <v>21</v>
      </c>
      <c r="BI377" s="235">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0.86956521739130432</v>
      </c>
      <c r="BJ377" s="675">
        <f>WWWW[[#This Row],[% people access to functioning Latrine]]*WWWW[[#This Row],[Total PoP ]]</f>
        <v>340</v>
      </c>
      <c r="BK377" s="235">
        <f>IF(WWWW[[#This Row],[Location Type 1]]="camp",WWWW[[#This Row],['# potential required new latrines]]/(WWWW[[#This Row],[Total PoP ]]/20),WWWW[[#This Row],['# potential required new latrines]]/(WWWW[[#This Row],[Total PoP ]]/6))</f>
        <v>0</v>
      </c>
      <c r="BL377" s="414">
        <f>IF(WWWW[[#This Row],[Total required Latrines]]-WWWW[[#This Row],[Total '# of latrine]]&lt;0,0,WWWW[[#This Row],[Total required Latrines]]-WWWW[[#This Row],[Total '# of latrine]])</f>
        <v>0</v>
      </c>
      <c r="BM377" s="238">
        <f>ROUND(IF(WWWW[[#This Row],[Location Type 1]]="camp",WWWW[[#This Row],[Total PoP ]]/20,WWWW[[#This Row],[Total PoP ]]/6),0)</f>
        <v>20</v>
      </c>
      <c r="BN377" s="239">
        <f>IF(OR(WWWW[[#This Row],['# Existing latrines dysfunctional]]="",WWWW[[#This Row],['# Existing latrines dysfunctional]]=0),0,WWWW[[#This Row],['# Existing latrines dysfunctional]]/WWWW[[#This Row],[Total '# of latrine]])</f>
        <v>0.19047619047619047</v>
      </c>
      <c r="BO377" s="675">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P377" s="235">
        <f>WWWW[[#This Row],[People adopt basic personal and community hygiene practices]]/WWWW[[#This Row],[Total PoP ]]</f>
        <v>1</v>
      </c>
      <c r="BQ377" s="239">
        <f>1-WWWW[[#This Row],[Hygiene Coverage%]]</f>
        <v>0</v>
      </c>
      <c r="BR377" s="414">
        <f>IF(500*WWWW[[#This Row],['# Hygiene Promoters ]]&gt;WWWW[[#This Row],[Total PoP ]],WWWW[[#This Row],[Total PoP ]],500*WWWW[[#This Row],['# Hygiene Promoters ]])</f>
        <v>391</v>
      </c>
      <c r="BS377" s="414">
        <f>IF(WWWW[[#This Row],[% of HH with access to Sanitary Pad]]&gt;=100%,1,0)</f>
        <v>0</v>
      </c>
      <c r="BT377" s="414">
        <f>IF(WWWW[[#This Row],[Total PoP ]]=0,0,IF(WWWW[[#This Row],['# Hygiene Promoters ]]=0,0,IF(WWWW[[#This Row],[Location Type 1]]="Village",IF(WWWW[[#This Row],[Total PoP ]]/WWWW[[#This Row],['# Hygiene Promoters ]]&lt;1000,1,0),IF(WWWW[[#This Row],[Total PoP ]]/WWWW[[#This Row],['# Hygiene Promoters ]]&lt;600,1,0))))</f>
        <v>1</v>
      </c>
      <c r="BU377" s="414">
        <f>IF(WWWW[[#This Row],[%HH with access to soap]]&gt;=100%,1,0)</f>
        <v>1</v>
      </c>
      <c r="BV377" s="414">
        <f>IF(WWWW[[#This Row],[% of HHs with access to Sanitary pad more than '#%]]+WWWW[[#This Row],[Ratio of Hyiene promoters to people less than '#]]+WWWW[[#This Row],[% of HHs with access to soap more than '#%]]&gt;=2,WWWW[[#This Row],[Total PoP ]],0)</f>
        <v>391</v>
      </c>
      <c r="BW377" s="346">
        <f>WWWW[[#This Row],['# people reached by regular dedicated hygiene promotion_5]]/WWWW[[#This Row],[Total PoP ]]</f>
        <v>1</v>
      </c>
      <c r="BX377" s="346">
        <f>IF(WWWW[[#This Row],['# HH received soaps]]/WWWW[[#This Row],[Total HH]]&gt;1,1,WWWW[[#This Row],['# HH received soaps]]/WWWW[[#This Row],[Total HH]])</f>
        <v>1</v>
      </c>
      <c r="BY377" s="346">
        <f>IF(WWWW[[#This Row],['# HH received Sanitary Pads]]/WWWW[[#This Row],[Total HH]]&gt;1,1,WWWW[[#This Row],['# HH received Sanitary Pads]]/WWWW[[#This Row],[Total HH]])</f>
        <v>0</v>
      </c>
      <c r="BZ377" s="720">
        <f>WWWW[[#This Row],['# HH received soaps]]*5</f>
        <v>370</v>
      </c>
      <c r="CA377" s="720">
        <f>WWWW[[#This Row],['# HH received Sanitary Pads]]*5</f>
        <v>0</v>
      </c>
      <c r="CB377" s="238">
        <f>IF(WWWW[[#This Row],['# People with access to soap]]&gt;WWWW[[#This Row],['# People with access to Sanity Pads]],WWWW[[#This Row],['# People with access to soap]],WWWW[[#This Row],['# People with access to Sanity Pads]])</f>
        <v>370</v>
      </c>
      <c r="CC377" s="414">
        <f>WWWW[[#This Row],[Total HH]]*WWWW[[#This Row],[%HHs with access to functional hand washing stations]]</f>
        <v>74</v>
      </c>
      <c r="CD377" s="240" t="str">
        <f>VLOOKUP(WWWW[[#This Row],[Site Name]],SiteDB6[],8,FALSE)</f>
        <v>Yes</v>
      </c>
      <c r="CE377" s="240" t="str">
        <f>VLOOKUP(WWWW[[#This Row],[Site Name]],SiteDB6[],9,FALSE)</f>
        <v>KBC</v>
      </c>
      <c r="CF377" s="240" t="str">
        <f>VLOOKUP(WWWW[[#This Row],[Site Name]],SiteDB6[],10,FALSE)</f>
        <v>Camp</v>
      </c>
      <c r="CG377" s="240" t="str">
        <f>VLOOKUP(WWWW[[#This Row],[Site Name]],SiteDB6[],11,FALSE)</f>
        <v>Camp</v>
      </c>
      <c r="CH377" s="240" t="str">
        <f>VLOOKUP(WWWW[[#This Row],[Site Name]],SiteDB6[],12,FALSE)</f>
        <v>Camp</v>
      </c>
      <c r="CI377" s="240" t="str">
        <f>VLOOKUP(WWWW[[#This Row],[Site Name]],SiteDB6[],13,FALSE)</f>
        <v>GCA</v>
      </c>
      <c r="CJ377" s="240">
        <f>VLOOKUP(WWWW[[#This Row],[Site Name]],SiteDB6[],14,FALSE)</f>
        <v>23.821380000000001</v>
      </c>
      <c r="CK377" s="240">
        <f>VLOOKUP(WWWW[[#This Row],[Site Name]],SiteDB6[],15,FALSE)</f>
        <v>97.681970000000007</v>
      </c>
      <c r="CL377" s="240" t="str">
        <f>VLOOKUP(WWWW[[#This Row],[Site Name]],SiteDB6[],4,FALSE)</f>
        <v>MMR015CMP004</v>
      </c>
      <c r="CM377" s="235" t="str">
        <f t="shared" si="5"/>
        <v>Covered</v>
      </c>
      <c r="CN377" s="235"/>
    </row>
    <row r="378" spans="1:92" ht="15.75" customHeight="1" x14ac:dyDescent="0.25">
      <c r="A378" s="532" t="s">
        <v>1409</v>
      </c>
      <c r="B378" s="533" t="s">
        <v>932</v>
      </c>
      <c r="C378" s="533" t="s">
        <v>878</v>
      </c>
      <c r="D378" s="533" t="s">
        <v>879</v>
      </c>
      <c r="E378" s="533" t="s">
        <v>933</v>
      </c>
      <c r="F378" s="233">
        <v>69</v>
      </c>
      <c r="G378" s="414">
        <v>359</v>
      </c>
      <c r="H378" s="233"/>
      <c r="I378" s="233" t="s">
        <v>2612</v>
      </c>
      <c r="J378" s="234" t="s">
        <v>2613</v>
      </c>
      <c r="K378" s="233">
        <v>0</v>
      </c>
      <c r="L378" s="233" t="s">
        <v>48</v>
      </c>
      <c r="M378" s="235">
        <v>0.4</v>
      </c>
      <c r="N378" s="235">
        <v>0.2</v>
      </c>
      <c r="O378" s="609">
        <v>0</v>
      </c>
      <c r="P378" s="615">
        <v>1</v>
      </c>
      <c r="Q378" s="606">
        <v>29964</v>
      </c>
      <c r="R378" s="604">
        <v>0</v>
      </c>
      <c r="S378" s="604">
        <v>0</v>
      </c>
      <c r="T378" s="604">
        <v>0</v>
      </c>
      <c r="U378" s="604">
        <v>0</v>
      </c>
      <c r="V378" s="604">
        <v>0</v>
      </c>
      <c r="W378" s="604">
        <v>0</v>
      </c>
      <c r="X378" s="604">
        <v>0</v>
      </c>
      <c r="Y378" s="604"/>
      <c r="Z378" s="628">
        <v>10</v>
      </c>
      <c r="AA378" s="628">
        <v>0</v>
      </c>
      <c r="AB378" s="629">
        <v>0</v>
      </c>
      <c r="AC378" s="628">
        <v>10</v>
      </c>
      <c r="AD378" s="628" t="s">
        <v>293</v>
      </c>
      <c r="AE378" s="631" t="s">
        <v>293</v>
      </c>
      <c r="AF378" s="631"/>
      <c r="AG378" s="628"/>
      <c r="AH378" s="628"/>
      <c r="AI378" s="659">
        <v>1</v>
      </c>
      <c r="AJ378" s="650" t="s">
        <v>386</v>
      </c>
      <c r="AK378" s="644">
        <v>0</v>
      </c>
      <c r="AL378" s="645">
        <v>2</v>
      </c>
      <c r="AM378" s="645">
        <v>1</v>
      </c>
      <c r="AN378" s="647">
        <v>100</v>
      </c>
      <c r="AO378" s="647">
        <v>0</v>
      </c>
      <c r="AP378" s="647"/>
      <c r="AQ378" s="658"/>
      <c r="AR378" s="235" t="str">
        <f>IFERROR(WWWW[[#This Row],['# of Water passed at source]]/WWWW[[#This Row],['# of Water tested at source]],"no test")</f>
        <v>no test</v>
      </c>
      <c r="AS378" s="237" t="str">
        <f>IFERROR(WWWW[[#This Row],['# of Water passed at HH]]/WWWW[[#This Row],['# of Water tested at HH]],"no test")</f>
        <v>no test</v>
      </c>
      <c r="AT378" s="237">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U378" s="237">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AV378" s="237">
        <f>IF(WWWW[[#This Row],[Location Type 1]]="Village",WWWW[[#This Row],[Access to safe drinking water for Village]],WWWW[[#This Row],[Access to safe drinking water for Camp]])</f>
        <v>1</v>
      </c>
      <c r="AW378" s="414">
        <f>WWWW[[#This Row],[%Equitable and continuous access to sufficient quantity of safe drinking water]]*WWWW[[#This Row],[Total PoP ]]</f>
        <v>359</v>
      </c>
      <c r="AX378" s="237">
        <f>IF((WWWW[[#This Row],['# Existing protected/fenced ponds ]]*250)/WWWW[[#This Row],[Total PoP ]]&gt;1,1,WWWW[[#This Row],['# Existing protected/fenced ponds ]]*250/WWWW[[#This Row],[Total PoP ]])</f>
        <v>0</v>
      </c>
      <c r="AY378" s="414">
        <f>WWWW[[#This Row],[Access to unimproved water points]]*WWWW[[#This Row],[Total PoP ]]</f>
        <v>0</v>
      </c>
      <c r="AZ378" s="237">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A378" s="414">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359</v>
      </c>
      <c r="BB378" s="414">
        <f>WWWW[[#This Row],['#people Equitable and continuous access to sufficient quantity of domestic water borehole n ponds_2]]/500</f>
        <v>0.71799999999999997</v>
      </c>
      <c r="BC378" s="235">
        <f>1-WWWW[[#This Row],[%Equitable and continuous access to sufficient quantity of domestic water borehole n ponds]]</f>
        <v>0</v>
      </c>
      <c r="BD378" s="414">
        <f>WWWW[[#This Row],[%equitable and continuous access to sufficient quantity of safe drinking and domestic water''s GAP]]*WWWW[[#This Row],[Total PoP ]]</f>
        <v>0</v>
      </c>
      <c r="BE378" s="238">
        <f>IF(WWWW[[#This Row],[Total required water points]]-WWWW[[#This Row],['#Water points coverage]]&lt;0,0,WWWW[[#This Row],[Total required water points]]-WWWW[[#This Row],['#Water points coverage]])</f>
        <v>0.28200000000000003</v>
      </c>
      <c r="BF378" s="238">
        <f>ROUND(IF(WWWW[[#This Row],[Total PoP ]]&lt;500,1,WWWW[[#This Row],[Total PoP ]]/500),0)</f>
        <v>1</v>
      </c>
      <c r="BG378" s="238" t="str">
        <f>IF(AND(WWWW[[#This Row],[%of Water samples which passed at water source]]="no test",WWWW[[#This Row],[%Water samples which passed at HH]]="no test"),"No Test","Tested")</f>
        <v>No Test</v>
      </c>
      <c r="BH378" s="238">
        <f>WWWW[[#This Row],['# Existing functional latrines]]+WWWW[[#This Row],['# Existing latrines dysfunctional]]</f>
        <v>10</v>
      </c>
      <c r="BI378" s="235">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0.55710306406685239</v>
      </c>
      <c r="BJ378" s="675">
        <f>WWWW[[#This Row],[% people access to functioning Latrine]]*WWWW[[#This Row],[Total PoP ]]</f>
        <v>200</v>
      </c>
      <c r="BK378" s="235">
        <f>IF(WWWW[[#This Row],[Location Type 1]]="camp",WWWW[[#This Row],['# potential required new latrines]]/(WWWW[[#This Row],[Total PoP ]]/20),WWWW[[#This Row],['# potential required new latrines]]/(WWWW[[#This Row],[Total PoP ]]/6))</f>
        <v>0.44568245125348194</v>
      </c>
      <c r="BL378" s="414">
        <f>IF(WWWW[[#This Row],[Total required Latrines]]-WWWW[[#This Row],[Total '# of latrine]]&lt;0,0,WWWW[[#This Row],[Total required Latrines]]-WWWW[[#This Row],[Total '# of latrine]])</f>
        <v>8</v>
      </c>
      <c r="BM378" s="238">
        <f>ROUND(IF(WWWW[[#This Row],[Location Type 1]]="camp",WWWW[[#This Row],[Total PoP ]]/20,WWWW[[#This Row],[Total PoP ]]/6),0)</f>
        <v>18</v>
      </c>
      <c r="BN378" s="239">
        <f>IF(OR(WWWW[[#This Row],['# Existing latrines dysfunctional]]="",WWWW[[#This Row],['# Existing latrines dysfunctional]]=0),0,WWWW[[#This Row],['# Existing latrines dysfunctional]]/WWWW[[#This Row],[Total '# of latrine]])</f>
        <v>0</v>
      </c>
      <c r="BO378" s="675">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P378" s="235">
        <f>WWWW[[#This Row],[People adopt basic personal and community hygiene practices]]/WWWW[[#This Row],[Total PoP ]]</f>
        <v>1</v>
      </c>
      <c r="BQ378" s="239">
        <f>1-WWWW[[#This Row],[Hygiene Coverage%]]</f>
        <v>0</v>
      </c>
      <c r="BR378" s="414">
        <f>IF(500*WWWW[[#This Row],['# Hygiene Promoters ]]&gt;WWWW[[#This Row],[Total PoP ]],WWWW[[#This Row],[Total PoP ]],500*WWWW[[#This Row],['# Hygiene Promoters ]])</f>
        <v>359</v>
      </c>
      <c r="BS378" s="414">
        <f>IF(WWWW[[#This Row],[% of HH with access to Sanitary Pad]]&gt;=100%,1,0)</f>
        <v>0</v>
      </c>
      <c r="BT378" s="414">
        <f>IF(WWWW[[#This Row],[Total PoP ]]=0,0,IF(WWWW[[#This Row],['# Hygiene Promoters ]]=0,0,IF(WWWW[[#This Row],[Location Type 1]]="Village",IF(WWWW[[#This Row],[Total PoP ]]/WWWW[[#This Row],['# Hygiene Promoters ]]&lt;1000,1,0),IF(WWWW[[#This Row],[Total PoP ]]/WWWW[[#This Row],['# Hygiene Promoters ]]&lt;600,1,0))))</f>
        <v>1</v>
      </c>
      <c r="BU378" s="414">
        <f>IF(WWWW[[#This Row],[%HH with access to soap]]&gt;=100%,1,0)</f>
        <v>1</v>
      </c>
      <c r="BV378" s="414">
        <f>IF(WWWW[[#This Row],[% of HHs with access to Sanitary pad more than '#%]]+WWWW[[#This Row],[Ratio of Hyiene promoters to people less than '#]]+WWWW[[#This Row],[% of HHs with access to soap more than '#%]]&gt;=2,WWWW[[#This Row],[Total PoP ]],0)</f>
        <v>359</v>
      </c>
      <c r="BW378" s="346">
        <f>WWWW[[#This Row],['# people reached by regular dedicated hygiene promotion_5]]/WWWW[[#This Row],[Total PoP ]]</f>
        <v>1</v>
      </c>
      <c r="BX378" s="346">
        <f>IF(WWWW[[#This Row],['# HH received soaps]]/WWWW[[#This Row],[Total HH]]&gt;1,1,WWWW[[#This Row],['# HH received soaps]]/WWWW[[#This Row],[Total HH]])</f>
        <v>1</v>
      </c>
      <c r="BY378" s="346">
        <f>IF(WWWW[[#This Row],['# HH received Sanitary Pads]]/WWWW[[#This Row],[Total HH]]&gt;1,1,WWWW[[#This Row],['# HH received Sanitary Pads]]/WWWW[[#This Row],[Total HH]])</f>
        <v>0</v>
      </c>
      <c r="BZ378" s="720">
        <f>WWWW[[#This Row],['# HH received soaps]]*5</f>
        <v>500</v>
      </c>
      <c r="CA378" s="720">
        <f>WWWW[[#This Row],['# HH received Sanitary Pads]]*5</f>
        <v>0</v>
      </c>
      <c r="CB378" s="238">
        <f>IF(WWWW[[#This Row],['# People with access to soap]]&gt;WWWW[[#This Row],['# People with access to Sanity Pads]],WWWW[[#This Row],['# People with access to soap]],WWWW[[#This Row],['# People with access to Sanity Pads]])</f>
        <v>500</v>
      </c>
      <c r="CC378" s="414">
        <f>WWWW[[#This Row],[Total HH]]*WWWW[[#This Row],[%HHs with access to functional hand washing stations]]</f>
        <v>69</v>
      </c>
      <c r="CD378" s="240" t="str">
        <f>VLOOKUP(WWWW[[#This Row],[Site Name]],SiteDB6[],8,FALSE)</f>
        <v>Yes</v>
      </c>
      <c r="CE378" s="240" t="str">
        <f>VLOOKUP(WWWW[[#This Row],[Site Name]],SiteDB6[],9,FALSE)</f>
        <v>KBC</v>
      </c>
      <c r="CF378" s="240" t="str">
        <f>VLOOKUP(WWWW[[#This Row],[Site Name]],SiteDB6[],10,FALSE)</f>
        <v>Camp</v>
      </c>
      <c r="CG378" s="240" t="str">
        <f>VLOOKUP(WWWW[[#This Row],[Site Name]],SiteDB6[],11,FALSE)</f>
        <v>Camp</v>
      </c>
      <c r="CH378" s="240" t="str">
        <f>VLOOKUP(WWWW[[#This Row],[Site Name]],SiteDB6[],12,FALSE)</f>
        <v>Camp</v>
      </c>
      <c r="CI378" s="240" t="str">
        <f>VLOOKUP(WWWW[[#This Row],[Site Name]],SiteDB6[],13,FALSE)</f>
        <v>GCA</v>
      </c>
      <c r="CJ378" s="240">
        <f>VLOOKUP(WWWW[[#This Row],[Site Name]],SiteDB6[],14,FALSE)</f>
        <v>23.828520000000001</v>
      </c>
      <c r="CK378" s="240">
        <f>VLOOKUP(WWWW[[#This Row],[Site Name]],SiteDB6[],15,FALSE)</f>
        <v>97.669557999999995</v>
      </c>
      <c r="CL378" s="240" t="str">
        <f>VLOOKUP(WWWW[[#This Row],[Site Name]],SiteDB6[],4,FALSE)</f>
        <v>MMR015CMP001</v>
      </c>
      <c r="CM378" s="235" t="str">
        <f t="shared" si="5"/>
        <v>Covered</v>
      </c>
      <c r="CN378" s="235"/>
    </row>
    <row r="379" spans="1:92" ht="15.75" customHeight="1" x14ac:dyDescent="0.25">
      <c r="A379" s="532" t="s">
        <v>1409</v>
      </c>
      <c r="B379" s="533" t="s">
        <v>2647</v>
      </c>
      <c r="C379" s="533" t="s">
        <v>878</v>
      </c>
      <c r="D379" s="533" t="s">
        <v>879</v>
      </c>
      <c r="E379" s="533" t="s">
        <v>920</v>
      </c>
      <c r="F379" s="233">
        <v>36</v>
      </c>
      <c r="G379" s="414">
        <v>179</v>
      </c>
      <c r="H379" s="233"/>
      <c r="I379" s="233" t="s">
        <v>2648</v>
      </c>
      <c r="J379" s="234" t="s">
        <v>2649</v>
      </c>
      <c r="K379" s="233"/>
      <c r="L379" s="233" t="s">
        <v>48</v>
      </c>
      <c r="M379" s="235">
        <v>0.56999999999999995</v>
      </c>
      <c r="N379" s="235">
        <v>0.14000000000000001</v>
      </c>
      <c r="O379" s="609">
        <v>0</v>
      </c>
      <c r="P379" s="615">
        <v>2</v>
      </c>
      <c r="Q379" s="615">
        <v>24000</v>
      </c>
      <c r="R379" s="604">
        <v>0</v>
      </c>
      <c r="S379" s="604">
        <v>6</v>
      </c>
      <c r="T379" s="604">
        <v>0</v>
      </c>
      <c r="U379" s="604">
        <v>0</v>
      </c>
      <c r="V379" s="604">
        <v>0</v>
      </c>
      <c r="W379" s="604">
        <v>0</v>
      </c>
      <c r="X379" s="604">
        <v>0</v>
      </c>
      <c r="Y379" s="604"/>
      <c r="Z379" s="598">
        <v>17</v>
      </c>
      <c r="AA379" s="628">
        <v>0</v>
      </c>
      <c r="AB379" s="629">
        <v>0</v>
      </c>
      <c r="AC379" s="598">
        <v>17</v>
      </c>
      <c r="AD379" s="628" t="s">
        <v>342</v>
      </c>
      <c r="AE379" s="631" t="s">
        <v>293</v>
      </c>
      <c r="AF379" s="631">
        <v>0</v>
      </c>
      <c r="AG379" s="628">
        <v>0</v>
      </c>
      <c r="AH379" s="628"/>
      <c r="AI379" s="659">
        <v>1</v>
      </c>
      <c r="AJ379" s="650" t="s">
        <v>386</v>
      </c>
      <c r="AK379" s="644">
        <v>0</v>
      </c>
      <c r="AL379" s="645">
        <v>1</v>
      </c>
      <c r="AM379" s="645">
        <v>2</v>
      </c>
      <c r="AN379" s="647">
        <v>100</v>
      </c>
      <c r="AO379" s="647">
        <v>100</v>
      </c>
      <c r="AP379" s="647"/>
      <c r="AQ379" s="658"/>
      <c r="AR379" s="235" t="str">
        <f>IFERROR(WWWW[[#This Row],['# of Water passed at source]]/WWWW[[#This Row],['# of Water tested at source]],"no test")</f>
        <v>no test</v>
      </c>
      <c r="AS379" s="237" t="str">
        <f>IFERROR(WWWW[[#This Row],['# of Water passed at HH]]/WWWW[[#This Row],['# of Water tested at HH]],"no test")</f>
        <v>no test</v>
      </c>
      <c r="AT379" s="237">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U379" s="237">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AV379" s="237">
        <f>IF(WWWW[[#This Row],[Location Type 1]]="Village",WWWW[[#This Row],[Access to safe drinking water for Village]],WWWW[[#This Row],[Access to safe drinking water for Camp]])</f>
        <v>1</v>
      </c>
      <c r="AW379" s="414">
        <f>WWWW[[#This Row],[%Equitable and continuous access to sufficient quantity of safe drinking water]]*WWWW[[#This Row],[Total PoP ]]</f>
        <v>179</v>
      </c>
      <c r="AX379" s="237">
        <f>IF((WWWW[[#This Row],['# Existing protected/fenced ponds ]]*250)/WWWW[[#This Row],[Total PoP ]]&gt;1,1,WWWW[[#This Row],['# Existing protected/fenced ponds ]]*250/WWWW[[#This Row],[Total PoP ]])</f>
        <v>0</v>
      </c>
      <c r="AY379" s="414">
        <f>WWWW[[#This Row],[Access to unimproved water points]]*WWWW[[#This Row],[Total PoP ]]</f>
        <v>0</v>
      </c>
      <c r="AZ379" s="237">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A379" s="414">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179</v>
      </c>
      <c r="BB379" s="414">
        <f>WWWW[[#This Row],['#people Equitable and continuous access to sufficient quantity of domestic water borehole n ponds_2]]/500</f>
        <v>0.35799999999999998</v>
      </c>
      <c r="BC379" s="235">
        <f>1-WWWW[[#This Row],[%Equitable and continuous access to sufficient quantity of domestic water borehole n ponds]]</f>
        <v>0</v>
      </c>
      <c r="BD379" s="414">
        <f>WWWW[[#This Row],[%equitable and continuous access to sufficient quantity of safe drinking and domestic water''s GAP]]*WWWW[[#This Row],[Total PoP ]]</f>
        <v>0</v>
      </c>
      <c r="BE379" s="238">
        <f>IF(WWWW[[#This Row],[Total required water points]]-WWWW[[#This Row],['#Water points coverage]]&lt;0,0,WWWW[[#This Row],[Total required water points]]-WWWW[[#This Row],['#Water points coverage]])</f>
        <v>0.64200000000000002</v>
      </c>
      <c r="BF379" s="238">
        <f>ROUND(IF(WWWW[[#This Row],[Total PoP ]]&lt;500,1,WWWW[[#This Row],[Total PoP ]]/500),0)</f>
        <v>1</v>
      </c>
      <c r="BG379" s="238" t="str">
        <f>IF(AND(WWWW[[#This Row],[%of Water samples which passed at water source]]="no test",WWWW[[#This Row],[%Water samples which passed at HH]]="no test"),"No Test","Tested")</f>
        <v>No Test</v>
      </c>
      <c r="BH379" s="238">
        <f>WWWW[[#This Row],['# Existing functional latrines]]+WWWW[[#This Row],['# Existing latrines dysfunctional]]</f>
        <v>17</v>
      </c>
      <c r="BI379" s="235">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1</v>
      </c>
      <c r="BJ379" s="675">
        <f>WWWW[[#This Row],[% people access to functioning Latrine]]*WWWW[[#This Row],[Total PoP ]]</f>
        <v>179</v>
      </c>
      <c r="BK379" s="235">
        <f>IF(WWWW[[#This Row],[Location Type 1]]="camp",WWWW[[#This Row],['# potential required new latrines]]/(WWWW[[#This Row],[Total PoP ]]/20),WWWW[[#This Row],['# potential required new latrines]]/(WWWW[[#This Row],[Total PoP ]]/6))</f>
        <v>0</v>
      </c>
      <c r="BL379" s="414">
        <f>IF(WWWW[[#This Row],[Total required Latrines]]-WWWW[[#This Row],[Total '# of latrine]]&lt;0,0,WWWW[[#This Row],[Total required Latrines]]-WWWW[[#This Row],[Total '# of latrine]])</f>
        <v>0</v>
      </c>
      <c r="BM379" s="238">
        <f>ROUND(IF(WWWW[[#This Row],[Location Type 1]]="camp",WWWW[[#This Row],[Total PoP ]]/20,WWWW[[#This Row],[Total PoP ]]/6),0)</f>
        <v>9</v>
      </c>
      <c r="BN379" s="239">
        <f>IF(OR(WWWW[[#This Row],['# Existing latrines dysfunctional]]="",WWWW[[#This Row],['# Existing latrines dysfunctional]]=0),0,WWWW[[#This Row],['# Existing latrines dysfunctional]]/WWWW[[#This Row],[Total '# of latrine]])</f>
        <v>0</v>
      </c>
      <c r="BO379" s="675">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P379" s="235">
        <f>WWWW[[#This Row],[People adopt basic personal and community hygiene practices]]/WWWW[[#This Row],[Total PoP ]]</f>
        <v>1</v>
      </c>
      <c r="BQ379" s="239">
        <f>1-WWWW[[#This Row],[Hygiene Coverage%]]</f>
        <v>0</v>
      </c>
      <c r="BR379" s="414">
        <f>IF(500*WWWW[[#This Row],['# Hygiene Promoters ]]&gt;WWWW[[#This Row],[Total PoP ]],WWWW[[#This Row],[Total PoP ]],500*WWWW[[#This Row],['# Hygiene Promoters ]])</f>
        <v>179</v>
      </c>
      <c r="BS379" s="414">
        <f>IF(WWWW[[#This Row],[% of HH with access to Sanitary Pad]]&gt;=100%,1,0)</f>
        <v>1</v>
      </c>
      <c r="BT379" s="414">
        <f>IF(WWWW[[#This Row],[Total PoP ]]=0,0,IF(WWWW[[#This Row],['# Hygiene Promoters ]]=0,0,IF(WWWW[[#This Row],[Location Type 1]]="Village",IF(WWWW[[#This Row],[Total PoP ]]/WWWW[[#This Row],['# Hygiene Promoters ]]&lt;1000,1,0),IF(WWWW[[#This Row],[Total PoP ]]/WWWW[[#This Row],['# Hygiene Promoters ]]&lt;600,1,0))))</f>
        <v>1</v>
      </c>
      <c r="BU379" s="414">
        <f>IF(WWWW[[#This Row],[%HH with access to soap]]&gt;=100%,1,0)</f>
        <v>1</v>
      </c>
      <c r="BV379" s="414">
        <f>IF(WWWW[[#This Row],[% of HHs with access to Sanitary pad more than '#%]]+WWWW[[#This Row],[Ratio of Hyiene promoters to people less than '#]]+WWWW[[#This Row],[% of HHs with access to soap more than '#%]]&gt;=2,WWWW[[#This Row],[Total PoP ]],0)</f>
        <v>179</v>
      </c>
      <c r="BW379" s="346">
        <f>WWWW[[#This Row],['# people reached by regular dedicated hygiene promotion_5]]/WWWW[[#This Row],[Total PoP ]]</f>
        <v>1</v>
      </c>
      <c r="BX379" s="346">
        <f>IF(WWWW[[#This Row],['# HH received soaps]]/WWWW[[#This Row],[Total HH]]&gt;1,1,WWWW[[#This Row],['# HH received soaps]]/WWWW[[#This Row],[Total HH]])</f>
        <v>1</v>
      </c>
      <c r="BY379" s="346">
        <f>IF(WWWW[[#This Row],['# HH received Sanitary Pads]]/WWWW[[#This Row],[Total HH]]&gt;1,1,WWWW[[#This Row],['# HH received Sanitary Pads]]/WWWW[[#This Row],[Total HH]])</f>
        <v>1</v>
      </c>
      <c r="BZ379" s="720">
        <f>WWWW[[#This Row],['# HH received soaps]]*5</f>
        <v>500</v>
      </c>
      <c r="CA379" s="720">
        <f>WWWW[[#This Row],['# HH received Sanitary Pads]]*5</f>
        <v>500</v>
      </c>
      <c r="CB379" s="238">
        <f>IF(WWWW[[#This Row],['# People with access to soap]]&gt;WWWW[[#This Row],['# People with access to Sanity Pads]],WWWW[[#This Row],['# People with access to soap]],WWWW[[#This Row],['# People with access to Sanity Pads]])</f>
        <v>500</v>
      </c>
      <c r="CC379" s="414">
        <f>WWWW[[#This Row],[Total HH]]*WWWW[[#This Row],[%HHs with access to functional hand washing stations]]</f>
        <v>36</v>
      </c>
      <c r="CD379" s="240" t="str">
        <f>VLOOKUP(WWWW[[#This Row],[Site Name]],SiteDB6[],8,FALSE)</f>
        <v>Yes</v>
      </c>
      <c r="CE379" s="240" t="str">
        <f>VLOOKUP(WWWW[[#This Row],[Site Name]],SiteDB6[],9,FALSE)</f>
        <v>KBC</v>
      </c>
      <c r="CF379" s="240" t="str">
        <f>VLOOKUP(WWWW[[#This Row],[Site Name]],SiteDB6[],10,FALSE)</f>
        <v>Camp</v>
      </c>
      <c r="CG379" s="240" t="str">
        <f>VLOOKUP(WWWW[[#This Row],[Site Name]],SiteDB6[],11,FALSE)</f>
        <v>Camp</v>
      </c>
      <c r="CH379" s="240" t="str">
        <f>VLOOKUP(WWWW[[#This Row],[Site Name]],SiteDB6[],12,FALSE)</f>
        <v>Camp</v>
      </c>
      <c r="CI379" s="240" t="str">
        <f>VLOOKUP(WWWW[[#This Row],[Site Name]],SiteDB6[],13,FALSE)</f>
        <v>GCA</v>
      </c>
      <c r="CJ379" s="240">
        <f>VLOOKUP(WWWW[[#This Row],[Site Name]],SiteDB6[],14,FALSE)</f>
        <v>23.841646999999998</v>
      </c>
      <c r="CK379" s="240">
        <f>VLOOKUP(WWWW[[#This Row],[Site Name]],SiteDB6[],15,FALSE)</f>
        <v>97.700940000000003</v>
      </c>
      <c r="CL379" s="240" t="str">
        <f>VLOOKUP(WWWW[[#This Row],[Site Name]],SiteDB6[],4,FALSE)</f>
        <v>MMR015CMP214</v>
      </c>
      <c r="CM379" s="235" t="str">
        <f t="shared" si="5"/>
        <v>Covered</v>
      </c>
      <c r="CN379" s="235"/>
    </row>
    <row r="380" spans="1:92" ht="15.75" customHeight="1" x14ac:dyDescent="0.25">
      <c r="A380" s="532" t="s">
        <v>1409</v>
      </c>
      <c r="B380" s="533" t="s">
        <v>2575</v>
      </c>
      <c r="C380" s="533" t="s">
        <v>878</v>
      </c>
      <c r="D380" s="533" t="s">
        <v>879</v>
      </c>
      <c r="E380" s="533" t="s">
        <v>880</v>
      </c>
      <c r="F380" s="233">
        <v>44</v>
      </c>
      <c r="G380" s="414">
        <v>214</v>
      </c>
      <c r="H380" s="233">
        <v>115</v>
      </c>
      <c r="I380" s="233" t="s">
        <v>2610</v>
      </c>
      <c r="J380" s="234" t="s">
        <v>2611</v>
      </c>
      <c r="K380" s="233">
        <v>0</v>
      </c>
      <c r="L380" s="233" t="s">
        <v>48</v>
      </c>
      <c r="M380" s="235">
        <v>0.4</v>
      </c>
      <c r="N380" s="235">
        <v>0.4</v>
      </c>
      <c r="O380" s="609">
        <v>1</v>
      </c>
      <c r="P380" s="615">
        <v>1</v>
      </c>
      <c r="Q380" s="615">
        <v>10800</v>
      </c>
      <c r="R380" s="604"/>
      <c r="S380" s="604">
        <v>4</v>
      </c>
      <c r="T380" s="604">
        <v>2</v>
      </c>
      <c r="U380" s="604"/>
      <c r="V380" s="604">
        <v>4</v>
      </c>
      <c r="W380" s="604">
        <v>4</v>
      </c>
      <c r="X380" s="604">
        <v>4</v>
      </c>
      <c r="Y380" s="604"/>
      <c r="Z380" s="628">
        <v>16</v>
      </c>
      <c r="AA380" s="628">
        <v>3</v>
      </c>
      <c r="AB380" s="629">
        <v>1</v>
      </c>
      <c r="AC380" s="628">
        <v>17</v>
      </c>
      <c r="AD380" s="628" t="s">
        <v>293</v>
      </c>
      <c r="AE380" s="631" t="s">
        <v>293</v>
      </c>
      <c r="AF380" s="631"/>
      <c r="AG380" s="628"/>
      <c r="AH380" s="628"/>
      <c r="AI380" s="659">
        <v>1</v>
      </c>
      <c r="AJ380" s="650" t="s">
        <v>386</v>
      </c>
      <c r="AK380" s="644"/>
      <c r="AL380" s="645">
        <v>2</v>
      </c>
      <c r="AM380" s="645">
        <v>4</v>
      </c>
      <c r="AN380" s="647">
        <v>43</v>
      </c>
      <c r="AO380" s="647"/>
      <c r="AP380" s="647" t="s">
        <v>48</v>
      </c>
      <c r="AQ380" s="658"/>
      <c r="AR380" s="235">
        <f>IFERROR(WWWW[[#This Row],['# of Water passed at source]]/WWWW[[#This Row],['# of Water tested at source]],"no test")</f>
        <v>0</v>
      </c>
      <c r="AS380" s="237">
        <f>IFERROR(WWWW[[#This Row],['# of Water passed at HH]]/WWWW[[#This Row],['# of Water tested at HH]],"no test")</f>
        <v>1</v>
      </c>
      <c r="AT380" s="237">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U380" s="237">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AV380" s="237">
        <f>IF(WWWW[[#This Row],[Location Type 1]]="Village",WWWW[[#This Row],[Access to safe drinking water for Village]],WWWW[[#This Row],[Access to safe drinking water for Camp]])</f>
        <v>1</v>
      </c>
      <c r="AW380" s="414">
        <f>WWWW[[#This Row],[%Equitable and continuous access to sufficient quantity of safe drinking water]]*WWWW[[#This Row],[Total PoP ]]</f>
        <v>214</v>
      </c>
      <c r="AX380" s="237">
        <f>IF((WWWW[[#This Row],['# Existing protected/fenced ponds ]]*250)/WWWW[[#This Row],[Total PoP ]]&gt;1,1,WWWW[[#This Row],['# Existing protected/fenced ponds ]]*250/WWWW[[#This Row],[Total PoP ]])</f>
        <v>0</v>
      </c>
      <c r="AY380" s="414">
        <f>WWWW[[#This Row],[Access to unimproved water points]]*WWWW[[#This Row],[Total PoP ]]</f>
        <v>0</v>
      </c>
      <c r="AZ380" s="237">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A380" s="414">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214</v>
      </c>
      <c r="BB380" s="414">
        <f>WWWW[[#This Row],['#people Equitable and continuous access to sufficient quantity of domestic water borehole n ponds_2]]/500</f>
        <v>0.42799999999999999</v>
      </c>
      <c r="BC380" s="235">
        <f>1-WWWW[[#This Row],[%Equitable and continuous access to sufficient quantity of domestic water borehole n ponds]]</f>
        <v>0</v>
      </c>
      <c r="BD380" s="414">
        <f>WWWW[[#This Row],[%equitable and continuous access to sufficient quantity of safe drinking and domestic water''s GAP]]*WWWW[[#This Row],[Total PoP ]]</f>
        <v>0</v>
      </c>
      <c r="BE380" s="238">
        <f>IF(WWWW[[#This Row],[Total required water points]]-WWWW[[#This Row],['#Water points coverage]]&lt;0,0,WWWW[[#This Row],[Total required water points]]-WWWW[[#This Row],['#Water points coverage]])</f>
        <v>0.57200000000000006</v>
      </c>
      <c r="BF380" s="238">
        <f>ROUND(IF(WWWW[[#This Row],[Total PoP ]]&lt;500,1,WWWW[[#This Row],[Total PoP ]]/500),0)</f>
        <v>1</v>
      </c>
      <c r="BG380" s="238" t="str">
        <f>IF(AND(WWWW[[#This Row],[%of Water samples which passed at water source]]="no test",WWWW[[#This Row],[%Water samples which passed at HH]]="no test"),"No Test","Tested")</f>
        <v>Tested</v>
      </c>
      <c r="BH380" s="238">
        <f>WWWW[[#This Row],['# Existing functional latrines]]+WWWW[[#This Row],['# Existing latrines dysfunctional]]</f>
        <v>19</v>
      </c>
      <c r="BI380" s="235">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1</v>
      </c>
      <c r="BJ380" s="675">
        <f>WWWW[[#This Row],[% people access to functioning Latrine]]*WWWW[[#This Row],[Total PoP ]]</f>
        <v>214</v>
      </c>
      <c r="BK380" s="235">
        <f>IF(WWWW[[#This Row],[Location Type 1]]="camp",WWWW[[#This Row],['# potential required new latrines]]/(WWWW[[#This Row],[Total PoP ]]/20),WWWW[[#This Row],['# potential required new latrines]]/(WWWW[[#This Row],[Total PoP ]]/6))</f>
        <v>0</v>
      </c>
      <c r="BL380" s="414">
        <f>IF(WWWW[[#This Row],[Total required Latrines]]-WWWW[[#This Row],[Total '# of latrine]]&lt;0,0,WWWW[[#This Row],[Total required Latrines]]-WWWW[[#This Row],[Total '# of latrine]])</f>
        <v>0</v>
      </c>
      <c r="BM380" s="238">
        <f>ROUND(IF(WWWW[[#This Row],[Location Type 1]]="camp",WWWW[[#This Row],[Total PoP ]]/20,WWWW[[#This Row],[Total PoP ]]/6),0)</f>
        <v>11</v>
      </c>
      <c r="BN380" s="239">
        <f>IF(OR(WWWW[[#This Row],['# Existing latrines dysfunctional]]="",WWWW[[#This Row],['# Existing latrines dysfunctional]]=0),0,WWWW[[#This Row],['# Existing latrines dysfunctional]]/WWWW[[#This Row],[Total '# of latrine]])</f>
        <v>0.15789473684210525</v>
      </c>
      <c r="BO380" s="675">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20</v>
      </c>
      <c r="BP380" s="235">
        <f>WWWW[[#This Row],[People adopt basic personal and community hygiene practices]]/WWWW[[#This Row],[Total PoP ]]</f>
        <v>0</v>
      </c>
      <c r="BQ380" s="239">
        <f>1-WWWW[[#This Row],[Hygiene Coverage%]]</f>
        <v>1</v>
      </c>
      <c r="BR380" s="414">
        <f>IF(500*WWWW[[#This Row],['# Hygiene Promoters ]]&gt;WWWW[[#This Row],[Total PoP ]],WWWW[[#This Row],[Total PoP ]],500*WWWW[[#This Row],['# Hygiene Promoters ]])</f>
        <v>214</v>
      </c>
      <c r="BS380" s="414">
        <f>IF(WWWW[[#This Row],[% of HH with access to Sanitary Pad]]&gt;=100%,1,0)</f>
        <v>0</v>
      </c>
      <c r="BT380" s="414">
        <f>IF(WWWW[[#This Row],[Total PoP ]]=0,0,IF(WWWW[[#This Row],['# Hygiene Promoters ]]=0,0,IF(WWWW[[#This Row],[Location Type 1]]="Village",IF(WWWW[[#This Row],[Total PoP ]]/WWWW[[#This Row],['# Hygiene Promoters ]]&lt;1000,1,0),IF(WWWW[[#This Row],[Total PoP ]]/WWWW[[#This Row],['# Hygiene Promoters ]]&lt;600,1,0))))</f>
        <v>1</v>
      </c>
      <c r="BU380" s="414">
        <f>IF(WWWW[[#This Row],[%HH with access to soap]]&gt;=100%,1,0)</f>
        <v>0</v>
      </c>
      <c r="BV380" s="414">
        <f>IF(WWWW[[#This Row],[% of HHs with access to Sanitary pad more than '#%]]+WWWW[[#This Row],[Ratio of Hyiene promoters to people less than '#]]+WWWW[[#This Row],[% of HHs with access to soap more than '#%]]&gt;=2,WWWW[[#This Row],[Total PoP ]],0)</f>
        <v>0</v>
      </c>
      <c r="BW380" s="346">
        <f>WWWW[[#This Row],['# people reached by regular dedicated hygiene promotion_5]]/WWWW[[#This Row],[Total PoP ]]</f>
        <v>1</v>
      </c>
      <c r="BX380" s="346">
        <f>IF(WWWW[[#This Row],['# HH received soaps]]/WWWW[[#This Row],[Total HH]]&gt;1,1,WWWW[[#This Row],['# HH received soaps]]/WWWW[[#This Row],[Total HH]])</f>
        <v>0.97727272727272729</v>
      </c>
      <c r="BY380" s="346">
        <f>IF(WWWW[[#This Row],['# HH received Sanitary Pads]]/WWWW[[#This Row],[Total HH]]&gt;1,1,WWWW[[#This Row],['# HH received Sanitary Pads]]/WWWW[[#This Row],[Total HH]])</f>
        <v>0</v>
      </c>
      <c r="BZ380" s="720">
        <f>WWWW[[#This Row],['# HH received soaps]]*5</f>
        <v>215</v>
      </c>
      <c r="CA380" s="720">
        <f>WWWW[[#This Row],['# HH received Sanitary Pads]]*5</f>
        <v>0</v>
      </c>
      <c r="CB380" s="238">
        <f>IF(WWWW[[#This Row],['# People with access to soap]]&gt;WWWW[[#This Row],['# People with access to Sanity Pads]],WWWW[[#This Row],['# People with access to soap]],WWWW[[#This Row],['# People with access to Sanity Pads]])</f>
        <v>215</v>
      </c>
      <c r="CC380" s="414">
        <f>WWWW[[#This Row],[Total HH]]*WWWW[[#This Row],[%HHs with access to functional hand washing stations]]</f>
        <v>44</v>
      </c>
      <c r="CD380" s="240" t="str">
        <f>VLOOKUP(WWWW[[#This Row],[Site Name]],SiteDB6[],8,FALSE)</f>
        <v>Yes</v>
      </c>
      <c r="CE380" s="240" t="str">
        <f>VLOOKUP(WWWW[[#This Row],[Site Name]],SiteDB6[],9,FALSE)</f>
        <v>KMSS-LSO</v>
      </c>
      <c r="CF380" s="240" t="str">
        <f>VLOOKUP(WWWW[[#This Row],[Site Name]],SiteDB6[],10,FALSE)</f>
        <v>Camp</v>
      </c>
      <c r="CG380" s="240" t="str">
        <f>VLOOKUP(WWWW[[#This Row],[Site Name]],SiteDB6[],11,FALSE)</f>
        <v>Camp</v>
      </c>
      <c r="CH380" s="240" t="str">
        <f>VLOOKUP(WWWW[[#This Row],[Site Name]],SiteDB6[],12,FALSE)</f>
        <v>Camp</v>
      </c>
      <c r="CI380" s="240" t="str">
        <f>VLOOKUP(WWWW[[#This Row],[Site Name]],SiteDB6[],13,FALSE)</f>
        <v>GCA</v>
      </c>
      <c r="CJ380" s="240">
        <f>VLOOKUP(WWWW[[#This Row],[Site Name]],SiteDB6[],14,FALSE)</f>
        <v>23.828150000000001</v>
      </c>
      <c r="CK380" s="240">
        <f>VLOOKUP(WWWW[[#This Row],[Site Name]],SiteDB6[],15,FALSE)</f>
        <v>97.670360000000002</v>
      </c>
      <c r="CL380" s="240" t="str">
        <f>VLOOKUP(WWWW[[#This Row],[Site Name]],SiteDB6[],4,FALSE)</f>
        <v>MMR015CMP003</v>
      </c>
      <c r="CM380" s="235" t="str">
        <f t="shared" si="5"/>
        <v>Covered</v>
      </c>
      <c r="CN380" s="235" t="s">
        <v>2609</v>
      </c>
    </row>
    <row r="381" spans="1:92" ht="15.75" customHeight="1" x14ac:dyDescent="0.25">
      <c r="A381" s="532" t="s">
        <v>1409</v>
      </c>
      <c r="B381" s="533" t="s">
        <v>2614</v>
      </c>
      <c r="C381" s="533" t="s">
        <v>878</v>
      </c>
      <c r="D381" s="533" t="s">
        <v>882</v>
      </c>
      <c r="E381" s="533" t="s">
        <v>896</v>
      </c>
      <c r="F381" s="233">
        <v>63</v>
      </c>
      <c r="G381" s="414">
        <v>279</v>
      </c>
      <c r="H381" s="233"/>
      <c r="I381" s="233" t="s">
        <v>2630</v>
      </c>
      <c r="J381" s="234" t="s">
        <v>2628</v>
      </c>
      <c r="K381" s="233">
        <v>0</v>
      </c>
      <c r="L381" s="233" t="s">
        <v>48</v>
      </c>
      <c r="M381" s="235">
        <v>0.7</v>
      </c>
      <c r="N381" s="235">
        <v>1</v>
      </c>
      <c r="O381" s="609"/>
      <c r="P381" s="615">
        <v>1</v>
      </c>
      <c r="Q381" s="615">
        <v>15000</v>
      </c>
      <c r="R381" s="604"/>
      <c r="S381" s="604">
        <v>8</v>
      </c>
      <c r="T381" s="604">
        <v>0</v>
      </c>
      <c r="U381" s="604">
        <v>0</v>
      </c>
      <c r="V381" s="604">
        <v>0</v>
      </c>
      <c r="W381" s="604">
        <v>0</v>
      </c>
      <c r="X381" s="604">
        <v>0</v>
      </c>
      <c r="Y381" s="604"/>
      <c r="Z381" s="628">
        <v>14</v>
      </c>
      <c r="AA381" s="628">
        <v>0</v>
      </c>
      <c r="AB381" s="629">
        <v>0</v>
      </c>
      <c r="AC381" s="628">
        <v>14</v>
      </c>
      <c r="AD381" s="628" t="s">
        <v>293</v>
      </c>
      <c r="AE381" s="631" t="s">
        <v>293</v>
      </c>
      <c r="AF381" s="631">
        <v>0</v>
      </c>
      <c r="AG381" s="628">
        <v>0</v>
      </c>
      <c r="AH381" s="628"/>
      <c r="AI381" s="659">
        <v>1</v>
      </c>
      <c r="AJ381" s="650" t="s">
        <v>386</v>
      </c>
      <c r="AK381" s="644"/>
      <c r="AL381" s="645">
        <v>2</v>
      </c>
      <c r="AM381" s="645">
        <v>1</v>
      </c>
      <c r="AN381" s="647">
        <v>57</v>
      </c>
      <c r="AO381" s="647">
        <v>0</v>
      </c>
      <c r="AP381" s="647"/>
      <c r="AQ381" s="658"/>
      <c r="AR381" s="235" t="str">
        <f>IFERROR(WWWW[[#This Row],['# of Water passed at source]]/WWWW[[#This Row],['# of Water tested at source]],"no test")</f>
        <v>no test</v>
      </c>
      <c r="AS381" s="237" t="str">
        <f>IFERROR(WWWW[[#This Row],['# of Water passed at HH]]/WWWW[[#This Row],['# of Water tested at HH]],"no test")</f>
        <v>no test</v>
      </c>
      <c r="AT381" s="237">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U381" s="237">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AV381" s="237">
        <f>IF(WWWW[[#This Row],[Location Type 1]]="Village",WWWW[[#This Row],[Access to safe drinking water for Village]],WWWW[[#This Row],[Access to safe drinking water for Camp]])</f>
        <v>1</v>
      </c>
      <c r="AW381" s="414">
        <f>WWWW[[#This Row],[%Equitable and continuous access to sufficient quantity of safe drinking water]]*WWWW[[#This Row],[Total PoP ]]</f>
        <v>279</v>
      </c>
      <c r="AX381" s="237">
        <f>IF((WWWW[[#This Row],['# Existing protected/fenced ponds ]]*250)/WWWW[[#This Row],[Total PoP ]]&gt;1,1,WWWW[[#This Row],['# Existing protected/fenced ponds ]]*250/WWWW[[#This Row],[Total PoP ]])</f>
        <v>0</v>
      </c>
      <c r="AY381" s="414">
        <f>WWWW[[#This Row],[Access to unimproved water points]]*WWWW[[#This Row],[Total PoP ]]</f>
        <v>0</v>
      </c>
      <c r="AZ381" s="237">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A381" s="414">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279</v>
      </c>
      <c r="BB381" s="414">
        <f>WWWW[[#This Row],['#people Equitable and continuous access to sufficient quantity of domestic water borehole n ponds_2]]/500</f>
        <v>0.55800000000000005</v>
      </c>
      <c r="BC381" s="235">
        <f>1-WWWW[[#This Row],[%Equitable and continuous access to sufficient quantity of domestic water borehole n ponds]]</f>
        <v>0</v>
      </c>
      <c r="BD381" s="414">
        <f>WWWW[[#This Row],[%equitable and continuous access to sufficient quantity of safe drinking and domestic water''s GAP]]*WWWW[[#This Row],[Total PoP ]]</f>
        <v>0</v>
      </c>
      <c r="BE381" s="238">
        <f>IF(WWWW[[#This Row],[Total required water points]]-WWWW[[#This Row],['#Water points coverage]]&lt;0,0,WWWW[[#This Row],[Total required water points]]-WWWW[[#This Row],['#Water points coverage]])</f>
        <v>0.44199999999999995</v>
      </c>
      <c r="BF381" s="238">
        <f>ROUND(IF(WWWW[[#This Row],[Total PoP ]]&lt;500,1,WWWW[[#This Row],[Total PoP ]]/500),0)</f>
        <v>1</v>
      </c>
      <c r="BG381" s="238" t="str">
        <f>IF(AND(WWWW[[#This Row],[%of Water samples which passed at water source]]="no test",WWWW[[#This Row],[%Water samples which passed at HH]]="no test"),"No Test","Tested")</f>
        <v>No Test</v>
      </c>
      <c r="BH381" s="238">
        <f>WWWW[[#This Row],['# Existing functional latrines]]+WWWW[[#This Row],['# Existing latrines dysfunctional]]</f>
        <v>14</v>
      </c>
      <c r="BI381" s="235">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1</v>
      </c>
      <c r="BJ381" s="675">
        <f>WWWW[[#This Row],[% people access to functioning Latrine]]*WWWW[[#This Row],[Total PoP ]]</f>
        <v>279</v>
      </c>
      <c r="BK381" s="235">
        <f>IF(WWWW[[#This Row],[Location Type 1]]="camp",WWWW[[#This Row],['# potential required new latrines]]/(WWWW[[#This Row],[Total PoP ]]/20),WWWW[[#This Row],['# potential required new latrines]]/(WWWW[[#This Row],[Total PoP ]]/6))</f>
        <v>0</v>
      </c>
      <c r="BL381" s="414">
        <f>IF(WWWW[[#This Row],[Total required Latrines]]-WWWW[[#This Row],[Total '# of latrine]]&lt;0,0,WWWW[[#This Row],[Total required Latrines]]-WWWW[[#This Row],[Total '# of latrine]])</f>
        <v>0</v>
      </c>
      <c r="BM381" s="238">
        <f>ROUND(IF(WWWW[[#This Row],[Location Type 1]]="camp",WWWW[[#This Row],[Total PoP ]]/20,WWWW[[#This Row],[Total PoP ]]/6),0)</f>
        <v>14</v>
      </c>
      <c r="BN381" s="239">
        <f>IF(OR(WWWW[[#This Row],['# Existing latrines dysfunctional]]="",WWWW[[#This Row],['# Existing latrines dysfunctional]]=0),0,WWWW[[#This Row],['# Existing latrines dysfunctional]]/WWWW[[#This Row],[Total '# of latrine]])</f>
        <v>0</v>
      </c>
      <c r="BO381" s="675">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P381" s="235">
        <f>WWWW[[#This Row],[People adopt basic personal and community hygiene practices]]/WWWW[[#This Row],[Total PoP ]]</f>
        <v>0</v>
      </c>
      <c r="BQ381" s="239">
        <f>1-WWWW[[#This Row],[Hygiene Coverage%]]</f>
        <v>1</v>
      </c>
      <c r="BR381" s="414">
        <f>IF(500*WWWW[[#This Row],['# Hygiene Promoters ]]&gt;WWWW[[#This Row],[Total PoP ]],WWWW[[#This Row],[Total PoP ]],500*WWWW[[#This Row],['# Hygiene Promoters ]])</f>
        <v>279</v>
      </c>
      <c r="BS381" s="414">
        <f>IF(WWWW[[#This Row],[% of HH with access to Sanitary Pad]]&gt;=100%,1,0)</f>
        <v>0</v>
      </c>
      <c r="BT381" s="414">
        <f>IF(WWWW[[#This Row],[Total PoP ]]=0,0,IF(WWWW[[#This Row],['# Hygiene Promoters ]]=0,0,IF(WWWW[[#This Row],[Location Type 1]]="Village",IF(WWWW[[#This Row],[Total PoP ]]/WWWW[[#This Row],['# Hygiene Promoters ]]&lt;1000,1,0),IF(WWWW[[#This Row],[Total PoP ]]/WWWW[[#This Row],['# Hygiene Promoters ]]&lt;600,1,0))))</f>
        <v>1</v>
      </c>
      <c r="BU381" s="414">
        <f>IF(WWWW[[#This Row],[%HH with access to soap]]&gt;=100%,1,0)</f>
        <v>0</v>
      </c>
      <c r="BV381" s="414">
        <f>IF(WWWW[[#This Row],[% of HHs with access to Sanitary pad more than '#%]]+WWWW[[#This Row],[Ratio of Hyiene promoters to people less than '#]]+WWWW[[#This Row],[% of HHs with access to soap more than '#%]]&gt;=2,WWWW[[#This Row],[Total PoP ]],0)</f>
        <v>0</v>
      </c>
      <c r="BW381" s="346">
        <f>WWWW[[#This Row],['# people reached by regular dedicated hygiene promotion_5]]/WWWW[[#This Row],[Total PoP ]]</f>
        <v>1</v>
      </c>
      <c r="BX381" s="346">
        <f>IF(WWWW[[#This Row],['# HH received soaps]]/WWWW[[#This Row],[Total HH]]&gt;1,1,WWWW[[#This Row],['# HH received soaps]]/WWWW[[#This Row],[Total HH]])</f>
        <v>0.90476190476190477</v>
      </c>
      <c r="BY381" s="346">
        <f>IF(WWWW[[#This Row],['# HH received Sanitary Pads]]/WWWW[[#This Row],[Total HH]]&gt;1,1,WWWW[[#This Row],['# HH received Sanitary Pads]]/WWWW[[#This Row],[Total HH]])</f>
        <v>0</v>
      </c>
      <c r="BZ381" s="720">
        <f>WWWW[[#This Row],['# HH received soaps]]*5</f>
        <v>285</v>
      </c>
      <c r="CA381" s="720">
        <f>WWWW[[#This Row],['# HH received Sanitary Pads]]*5</f>
        <v>0</v>
      </c>
      <c r="CB381" s="238">
        <f>IF(WWWW[[#This Row],['# People with access to soap]]&gt;WWWW[[#This Row],['# People with access to Sanity Pads]],WWWW[[#This Row],['# People with access to soap]],WWWW[[#This Row],['# People with access to Sanity Pads]])</f>
        <v>285</v>
      </c>
      <c r="CC381" s="414">
        <f>WWWW[[#This Row],[Total HH]]*WWWW[[#This Row],[%HHs with access to functional hand washing stations]]</f>
        <v>63</v>
      </c>
      <c r="CD381" s="240" t="str">
        <f>VLOOKUP(WWWW[[#This Row],[Site Name]],SiteDB6[],8,FALSE)</f>
        <v>Yes</v>
      </c>
      <c r="CE381" s="240" t="str">
        <f>VLOOKUP(WWWW[[#This Row],[Site Name]],SiteDB6[],9,FALSE)</f>
        <v>KBC</v>
      </c>
      <c r="CF381" s="240" t="str">
        <f>VLOOKUP(WWWW[[#This Row],[Site Name]],SiteDB6[],10,FALSE)</f>
        <v>Camp</v>
      </c>
      <c r="CG381" s="240" t="str">
        <f>VLOOKUP(WWWW[[#This Row],[Site Name]],SiteDB6[],11,FALSE)</f>
        <v>Camp</v>
      </c>
      <c r="CH381" s="240" t="str">
        <f>VLOOKUP(WWWW[[#This Row],[Site Name]],SiteDB6[],12,FALSE)</f>
        <v>Camp</v>
      </c>
      <c r="CI381" s="240" t="str">
        <f>VLOOKUP(WWWW[[#This Row],[Site Name]],SiteDB6[],13,FALSE)</f>
        <v>GCA</v>
      </c>
      <c r="CJ381" s="240">
        <f>VLOOKUP(WWWW[[#This Row],[Site Name]],SiteDB6[],14,FALSE)</f>
        <v>23.694130000000001</v>
      </c>
      <c r="CK381" s="240">
        <f>VLOOKUP(WWWW[[#This Row],[Site Name]],SiteDB6[],15,FALSE)</f>
        <v>97.818979999999996</v>
      </c>
      <c r="CL381" s="240" t="str">
        <f>VLOOKUP(WWWW[[#This Row],[Site Name]],SiteDB6[],4,FALSE)</f>
        <v>MMR015CMP007</v>
      </c>
      <c r="CM381" s="235" t="str">
        <f t="shared" si="5"/>
        <v>Covered</v>
      </c>
      <c r="CN381" s="235"/>
    </row>
    <row r="382" spans="1:92" ht="15.75" customHeight="1" x14ac:dyDescent="0.25">
      <c r="A382" s="232" t="s">
        <v>1409</v>
      </c>
      <c r="B382" s="533" t="s">
        <v>2614</v>
      </c>
      <c r="C382" s="533" t="s">
        <v>878</v>
      </c>
      <c r="D382" s="533" t="s">
        <v>882</v>
      </c>
      <c r="E382" s="533" t="s">
        <v>898</v>
      </c>
      <c r="F382" s="233">
        <v>39</v>
      </c>
      <c r="G382" s="414">
        <v>146</v>
      </c>
      <c r="H382" s="233">
        <v>23</v>
      </c>
      <c r="I382" s="233" t="s">
        <v>2629</v>
      </c>
      <c r="J382" s="234" t="s">
        <v>2628</v>
      </c>
      <c r="K382" s="233">
        <v>0</v>
      </c>
      <c r="L382" s="233" t="s">
        <v>48</v>
      </c>
      <c r="M382" s="235">
        <v>0.5</v>
      </c>
      <c r="N382" s="235">
        <v>1</v>
      </c>
      <c r="O382" s="609"/>
      <c r="P382" s="615"/>
      <c r="Q382" s="615">
        <v>2700</v>
      </c>
      <c r="R382" s="604"/>
      <c r="S382" s="604">
        <v>3</v>
      </c>
      <c r="T382" s="604">
        <v>0</v>
      </c>
      <c r="U382" s="604">
        <v>0</v>
      </c>
      <c r="V382" s="604">
        <v>0</v>
      </c>
      <c r="W382" s="604">
        <v>0</v>
      </c>
      <c r="X382" s="604">
        <v>0</v>
      </c>
      <c r="Y382" s="604" t="s">
        <v>900</v>
      </c>
      <c r="Z382" s="628">
        <v>5</v>
      </c>
      <c r="AA382" s="628">
        <v>0</v>
      </c>
      <c r="AB382" s="629">
        <v>0</v>
      </c>
      <c r="AC382" s="628">
        <v>5</v>
      </c>
      <c r="AD382" s="628" t="s">
        <v>296</v>
      </c>
      <c r="AE382" s="631" t="s">
        <v>296</v>
      </c>
      <c r="AF382" s="631">
        <v>0</v>
      </c>
      <c r="AG382" s="628">
        <v>0</v>
      </c>
      <c r="AH382" s="628"/>
      <c r="AI382" s="659">
        <v>0</v>
      </c>
      <c r="AJ382" s="644" t="s">
        <v>294</v>
      </c>
      <c r="AK382" s="644"/>
      <c r="AL382" s="645">
        <v>0</v>
      </c>
      <c r="AM382" s="645">
        <v>1</v>
      </c>
      <c r="AN382" s="647">
        <v>32</v>
      </c>
      <c r="AO382" s="647">
        <v>0</v>
      </c>
      <c r="AP382" s="647"/>
      <c r="AQ382" s="658"/>
      <c r="AR382" s="235" t="str">
        <f>IFERROR(WWWW[[#This Row],['# of Water passed at source]]/WWWW[[#This Row],['# of Water tested at source]],"no test")</f>
        <v>no test</v>
      </c>
      <c r="AS382" s="237" t="str">
        <f>IFERROR(WWWW[[#This Row],['# of Water passed at HH]]/WWWW[[#This Row],['# of Water tested at HH]],"no test")</f>
        <v>no test</v>
      </c>
      <c r="AT382" s="237">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U382" s="237">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AV382" s="237">
        <f>IF(WWWW[[#This Row],[Location Type 1]]="Village",WWWW[[#This Row],[Access to safe drinking water for Village]],WWWW[[#This Row],[Access to safe drinking water for Camp]])</f>
        <v>1</v>
      </c>
      <c r="AW382" s="414">
        <f>WWWW[[#This Row],[%Equitable and continuous access to sufficient quantity of safe drinking water]]*WWWW[[#This Row],[Total PoP ]]</f>
        <v>146</v>
      </c>
      <c r="AX382" s="237">
        <f>IF((WWWW[[#This Row],['# Existing protected/fenced ponds ]]*250)/WWWW[[#This Row],[Total PoP ]]&gt;1,1,WWWW[[#This Row],['# Existing protected/fenced ponds ]]*250/WWWW[[#This Row],[Total PoP ]])</f>
        <v>0</v>
      </c>
      <c r="AY382" s="414">
        <f>WWWW[[#This Row],[Access to unimproved water points]]*WWWW[[#This Row],[Total PoP ]]</f>
        <v>0</v>
      </c>
      <c r="AZ382" s="237">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A382" s="414">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146</v>
      </c>
      <c r="BB382" s="414">
        <f>WWWW[[#This Row],['#people Equitable and continuous access to sufficient quantity of domestic water borehole n ponds_2]]/500</f>
        <v>0.29199999999999998</v>
      </c>
      <c r="BC382" s="235">
        <f>1-WWWW[[#This Row],[%Equitable and continuous access to sufficient quantity of domestic water borehole n ponds]]</f>
        <v>0</v>
      </c>
      <c r="BD382" s="414">
        <f>WWWW[[#This Row],[%equitable and continuous access to sufficient quantity of safe drinking and domestic water''s GAP]]*WWWW[[#This Row],[Total PoP ]]</f>
        <v>0</v>
      </c>
      <c r="BE382" s="238">
        <f>IF(WWWW[[#This Row],[Total required water points]]-WWWW[[#This Row],['#Water points coverage]]&lt;0,0,WWWW[[#This Row],[Total required water points]]-WWWW[[#This Row],['#Water points coverage]])</f>
        <v>0.70799999999999996</v>
      </c>
      <c r="BF382" s="238">
        <f>ROUND(IF(WWWW[[#This Row],[Total PoP ]]&lt;500,1,WWWW[[#This Row],[Total PoP ]]/500),0)</f>
        <v>1</v>
      </c>
      <c r="BG382" s="238" t="str">
        <f>IF(AND(WWWW[[#This Row],[%of Water samples which passed at water source]]="no test",WWWW[[#This Row],[%Water samples which passed at HH]]="no test"),"No Test","Tested")</f>
        <v>No Test</v>
      </c>
      <c r="BH382" s="238">
        <f>WWWW[[#This Row],['# Existing functional latrines]]+WWWW[[#This Row],['# Existing latrines dysfunctional]]</f>
        <v>5</v>
      </c>
      <c r="BI382" s="235">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0.68493150684931503</v>
      </c>
      <c r="BJ382" s="675">
        <f>WWWW[[#This Row],[% people access to functioning Latrine]]*WWWW[[#This Row],[Total PoP ]]</f>
        <v>100</v>
      </c>
      <c r="BK382" s="235">
        <f>IF(WWWW[[#This Row],[Location Type 1]]="camp",WWWW[[#This Row],['# potential required new latrines]]/(WWWW[[#This Row],[Total PoP ]]/20),WWWW[[#This Row],['# potential required new latrines]]/(WWWW[[#This Row],[Total PoP ]]/6))</f>
        <v>0.27397260273972601</v>
      </c>
      <c r="BL382" s="414">
        <f>IF(WWWW[[#This Row],[Total required Latrines]]-WWWW[[#This Row],[Total '# of latrine]]&lt;0,0,WWWW[[#This Row],[Total required Latrines]]-WWWW[[#This Row],[Total '# of latrine]])</f>
        <v>2</v>
      </c>
      <c r="BM382" s="238">
        <f>ROUND(IF(WWWW[[#This Row],[Location Type 1]]="camp",WWWW[[#This Row],[Total PoP ]]/20,WWWW[[#This Row],[Total PoP ]]/6),0)</f>
        <v>7</v>
      </c>
      <c r="BN382" s="239">
        <f>IF(OR(WWWW[[#This Row],['# Existing latrines dysfunctional]]="",WWWW[[#This Row],['# Existing latrines dysfunctional]]=0),0,WWWW[[#This Row],['# Existing latrines dysfunctional]]/WWWW[[#This Row],[Total '# of latrine]])</f>
        <v>0</v>
      </c>
      <c r="BO382" s="675">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P382" s="235">
        <f>WWWW[[#This Row],[People adopt basic personal and community hygiene practices]]/WWWW[[#This Row],[Total PoP ]]</f>
        <v>0</v>
      </c>
      <c r="BQ382" s="239">
        <f>1-WWWW[[#This Row],[Hygiene Coverage%]]</f>
        <v>1</v>
      </c>
      <c r="BR382" s="414">
        <f>IF(500*WWWW[[#This Row],['# Hygiene Promoters ]]&gt;WWWW[[#This Row],[Total PoP ]],WWWW[[#This Row],[Total PoP ]],500*WWWW[[#This Row],['# Hygiene Promoters ]])</f>
        <v>146</v>
      </c>
      <c r="BS382" s="414">
        <f>IF(WWWW[[#This Row],[% of HH with access to Sanitary Pad]]&gt;=100%,1,0)</f>
        <v>0</v>
      </c>
      <c r="BT382" s="414">
        <f>IF(WWWW[[#This Row],[Total PoP ]]=0,0,IF(WWWW[[#This Row],['# Hygiene Promoters ]]=0,0,IF(WWWW[[#This Row],[Location Type 1]]="Village",IF(WWWW[[#This Row],[Total PoP ]]/WWWW[[#This Row],['# Hygiene Promoters ]]&lt;1000,1,0),IF(WWWW[[#This Row],[Total PoP ]]/WWWW[[#This Row],['# Hygiene Promoters ]]&lt;600,1,0))))</f>
        <v>1</v>
      </c>
      <c r="BU382" s="414">
        <f>IF(WWWW[[#This Row],[%HH with access to soap]]&gt;=100%,1,0)</f>
        <v>0</v>
      </c>
      <c r="BV382" s="414">
        <f>IF(WWWW[[#This Row],[% of HHs with access to Sanitary pad more than '#%]]+WWWW[[#This Row],[Ratio of Hyiene promoters to people less than '#]]+WWWW[[#This Row],[% of HHs with access to soap more than '#%]]&gt;=2,WWWW[[#This Row],[Total PoP ]],0)</f>
        <v>0</v>
      </c>
      <c r="BW382" s="346">
        <f>WWWW[[#This Row],['# people reached by regular dedicated hygiene promotion_5]]/WWWW[[#This Row],[Total PoP ]]</f>
        <v>1</v>
      </c>
      <c r="BX382" s="346">
        <f>IF(WWWW[[#This Row],['# HH received soaps]]/WWWW[[#This Row],[Total HH]]&gt;1,1,WWWW[[#This Row],['# HH received soaps]]/WWWW[[#This Row],[Total HH]])</f>
        <v>0.82051282051282048</v>
      </c>
      <c r="BY382" s="346">
        <f>IF(WWWW[[#This Row],['# HH received Sanitary Pads]]/WWWW[[#This Row],[Total HH]]&gt;1,1,WWWW[[#This Row],['# HH received Sanitary Pads]]/WWWW[[#This Row],[Total HH]])</f>
        <v>0</v>
      </c>
      <c r="BZ382" s="720">
        <f>WWWW[[#This Row],['# HH received soaps]]*5</f>
        <v>160</v>
      </c>
      <c r="CA382" s="720">
        <f>WWWW[[#This Row],['# HH received Sanitary Pads]]*5</f>
        <v>0</v>
      </c>
      <c r="CB382" s="238">
        <f>IF(WWWW[[#This Row],['# People with access to soap]]&gt;WWWW[[#This Row],['# People with access to Sanity Pads]],WWWW[[#This Row],['# People with access to soap]],WWWW[[#This Row],['# People with access to Sanity Pads]])</f>
        <v>160</v>
      </c>
      <c r="CC382" s="414">
        <f>WWWW[[#This Row],[Total HH]]*WWWW[[#This Row],[%HHs with access to functional hand washing stations]]</f>
        <v>0</v>
      </c>
      <c r="CD382" s="240">
        <f>VLOOKUP(WWWW[[#This Row],[Site Name]],SiteDB6[],8,FALSE)</f>
        <v>0</v>
      </c>
      <c r="CE382" s="240">
        <f>VLOOKUP(WWWW[[#This Row],[Site Name]],SiteDB6[],9,FALSE)</f>
        <v>0</v>
      </c>
      <c r="CF382" s="240" t="str">
        <f>VLOOKUP(WWWW[[#This Row],[Site Name]],SiteDB6[],10,FALSE)</f>
        <v>Camp</v>
      </c>
      <c r="CG382" s="240" t="str">
        <f>VLOOKUP(WWWW[[#This Row],[Site Name]],SiteDB6[],11,FALSE)</f>
        <v>Camp</v>
      </c>
      <c r="CH382" s="240" t="str">
        <f>VLOOKUP(WWWW[[#This Row],[Site Name]],SiteDB6[],12,FALSE)</f>
        <v>Camp like setting</v>
      </c>
      <c r="CI382" s="240" t="str">
        <f>VLOOKUP(WWWW[[#This Row],[Site Name]],SiteDB6[],13,FALSE)</f>
        <v>GCA</v>
      </c>
      <c r="CJ382" s="240">
        <f>VLOOKUP(WWWW[[#This Row],[Site Name]],SiteDB6[],14,FALSE)</f>
        <v>23.682887999999998</v>
      </c>
      <c r="CK382" s="240">
        <f>VLOOKUP(WWWW[[#This Row],[Site Name]],SiteDB6[],15,FALSE)</f>
        <v>97.810101000000003</v>
      </c>
      <c r="CL382" s="240" t="str">
        <f>VLOOKUP(WWWW[[#This Row],[Site Name]],SiteDB6[],4,FALSE)</f>
        <v>MMR015CMP225</v>
      </c>
      <c r="CM382" s="235" t="str">
        <f t="shared" si="5"/>
        <v>Covered</v>
      </c>
      <c r="CN382" s="235"/>
    </row>
    <row r="383" spans="1:92" ht="15.75" customHeight="1" x14ac:dyDescent="0.25">
      <c r="A383" s="232" t="s">
        <v>1409</v>
      </c>
      <c r="B383" s="533" t="s">
        <v>348</v>
      </c>
      <c r="C383" s="533" t="s">
        <v>878</v>
      </c>
      <c r="D383" s="533" t="s">
        <v>901</v>
      </c>
      <c r="E383" s="533" t="s">
        <v>902</v>
      </c>
      <c r="F383" s="233">
        <v>39</v>
      </c>
      <c r="G383" s="414">
        <v>196</v>
      </c>
      <c r="H383" s="233"/>
      <c r="I383" s="233" t="s">
        <v>899</v>
      </c>
      <c r="J383" s="234" t="s">
        <v>2603</v>
      </c>
      <c r="K383" s="233">
        <v>0</v>
      </c>
      <c r="L383" s="233" t="s">
        <v>48</v>
      </c>
      <c r="M383" s="235">
        <v>0.71</v>
      </c>
      <c r="N383" s="235">
        <v>1</v>
      </c>
      <c r="O383" s="609">
        <v>2</v>
      </c>
      <c r="P383" s="615"/>
      <c r="Q383" s="615">
        <v>9000</v>
      </c>
      <c r="R383" s="604"/>
      <c r="S383" s="604">
        <v>2</v>
      </c>
      <c r="T383" s="604">
        <v>0</v>
      </c>
      <c r="U383" s="604">
        <v>0</v>
      </c>
      <c r="V383" s="604">
        <v>0</v>
      </c>
      <c r="W383" s="604">
        <v>0</v>
      </c>
      <c r="X383" s="604">
        <v>0</v>
      </c>
      <c r="Y383" s="604"/>
      <c r="Z383" s="628">
        <v>5</v>
      </c>
      <c r="AA383" s="628">
        <v>3</v>
      </c>
      <c r="AB383" s="629">
        <v>0</v>
      </c>
      <c r="AC383" s="628">
        <v>8</v>
      </c>
      <c r="AD383" s="628" t="s">
        <v>293</v>
      </c>
      <c r="AE383" s="631" t="s">
        <v>342</v>
      </c>
      <c r="AF383" s="631">
        <v>0</v>
      </c>
      <c r="AG383" s="628">
        <v>0</v>
      </c>
      <c r="AH383" s="628"/>
      <c r="AI383" s="659">
        <v>1</v>
      </c>
      <c r="AJ383" s="650" t="s">
        <v>386</v>
      </c>
      <c r="AK383" s="644"/>
      <c r="AL383" s="645">
        <v>4</v>
      </c>
      <c r="AM383" s="645">
        <v>2</v>
      </c>
      <c r="AN383" s="647">
        <v>0</v>
      </c>
      <c r="AO383" s="647">
        <v>0</v>
      </c>
      <c r="AP383" s="647"/>
      <c r="AQ383" s="658"/>
      <c r="AR383" s="235" t="str">
        <f>IFERROR(WWWW[[#This Row],['# of Water passed at source]]/WWWW[[#This Row],['# of Water tested at source]],"no test")</f>
        <v>no test</v>
      </c>
      <c r="AS383" s="237" t="str">
        <f>IFERROR(WWWW[[#This Row],['# of Water passed at HH]]/WWWW[[#This Row],['# of Water tested at HH]],"no test")</f>
        <v>no test</v>
      </c>
      <c r="AT383" s="237">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U383" s="237">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AV383" s="237">
        <f>IF(WWWW[[#This Row],[Location Type 1]]="Village",WWWW[[#This Row],[Access to safe drinking water for Village]],WWWW[[#This Row],[Access to safe drinking water for Camp]])</f>
        <v>1</v>
      </c>
      <c r="AW383" s="414">
        <f>WWWW[[#This Row],[%Equitable and continuous access to sufficient quantity of safe drinking water]]*WWWW[[#This Row],[Total PoP ]]</f>
        <v>196</v>
      </c>
      <c r="AX383" s="237">
        <f>IF((WWWW[[#This Row],['# Existing protected/fenced ponds ]]*250)/WWWW[[#This Row],[Total PoP ]]&gt;1,1,WWWW[[#This Row],['# Existing protected/fenced ponds ]]*250/WWWW[[#This Row],[Total PoP ]])</f>
        <v>0</v>
      </c>
      <c r="AY383" s="414">
        <f>WWWW[[#This Row],[Access to unimproved water points]]*WWWW[[#This Row],[Total PoP ]]</f>
        <v>0</v>
      </c>
      <c r="AZ383" s="237">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A383" s="414">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196</v>
      </c>
      <c r="BB383" s="414">
        <f>WWWW[[#This Row],['#people Equitable and continuous access to sufficient quantity of domestic water borehole n ponds_2]]/500</f>
        <v>0.39200000000000002</v>
      </c>
      <c r="BC383" s="235">
        <f>1-WWWW[[#This Row],[%Equitable and continuous access to sufficient quantity of domestic water borehole n ponds]]</f>
        <v>0</v>
      </c>
      <c r="BD383" s="414">
        <f>WWWW[[#This Row],[%equitable and continuous access to sufficient quantity of safe drinking and domestic water''s GAP]]*WWWW[[#This Row],[Total PoP ]]</f>
        <v>0</v>
      </c>
      <c r="BE383" s="238">
        <f>IF(WWWW[[#This Row],[Total required water points]]-WWWW[[#This Row],['#Water points coverage]]&lt;0,0,WWWW[[#This Row],[Total required water points]]-WWWW[[#This Row],['#Water points coverage]])</f>
        <v>0.60799999999999998</v>
      </c>
      <c r="BF383" s="238">
        <f>ROUND(IF(WWWW[[#This Row],[Total PoP ]]&lt;500,1,WWWW[[#This Row],[Total PoP ]]/500),0)</f>
        <v>1</v>
      </c>
      <c r="BG383" s="238" t="str">
        <f>IF(AND(WWWW[[#This Row],[%of Water samples which passed at water source]]="no test",WWWW[[#This Row],[%Water samples which passed at HH]]="no test"),"No Test","Tested")</f>
        <v>No Test</v>
      </c>
      <c r="BH383" s="238">
        <f>WWWW[[#This Row],['# Existing functional latrines]]+WWWW[[#This Row],['# Existing latrines dysfunctional]]</f>
        <v>8</v>
      </c>
      <c r="BI383" s="235">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0.51020408163265307</v>
      </c>
      <c r="BJ383" s="675">
        <f>WWWW[[#This Row],[% people access to functioning Latrine]]*WWWW[[#This Row],[Total PoP ]]</f>
        <v>100</v>
      </c>
      <c r="BK383" s="235">
        <f>IF(WWWW[[#This Row],[Location Type 1]]="camp",WWWW[[#This Row],['# potential required new latrines]]/(WWWW[[#This Row],[Total PoP ]]/20),WWWW[[#This Row],['# potential required new latrines]]/(WWWW[[#This Row],[Total PoP ]]/6))</f>
        <v>0.2040816326530612</v>
      </c>
      <c r="BL383" s="414">
        <f>IF(WWWW[[#This Row],[Total required Latrines]]-WWWW[[#This Row],[Total '# of latrine]]&lt;0,0,WWWW[[#This Row],[Total required Latrines]]-WWWW[[#This Row],[Total '# of latrine]])</f>
        <v>2</v>
      </c>
      <c r="BM383" s="238">
        <f>ROUND(IF(WWWW[[#This Row],[Location Type 1]]="camp",WWWW[[#This Row],[Total PoP ]]/20,WWWW[[#This Row],[Total PoP ]]/6),0)</f>
        <v>10</v>
      </c>
      <c r="BN383" s="239">
        <f>IF(OR(WWWW[[#This Row],['# Existing latrines dysfunctional]]="",WWWW[[#This Row],['# Existing latrines dysfunctional]]=0),0,WWWW[[#This Row],['# Existing latrines dysfunctional]]/WWWW[[#This Row],[Total '# of latrine]])</f>
        <v>0.375</v>
      </c>
      <c r="BO383" s="675">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P383" s="235">
        <f>WWWW[[#This Row],[People adopt basic personal and community hygiene practices]]/WWWW[[#This Row],[Total PoP ]]</f>
        <v>0</v>
      </c>
      <c r="BQ383" s="239">
        <f>1-WWWW[[#This Row],[Hygiene Coverage%]]</f>
        <v>1</v>
      </c>
      <c r="BR383" s="414">
        <f>IF(500*WWWW[[#This Row],['# Hygiene Promoters ]]&gt;WWWW[[#This Row],[Total PoP ]],WWWW[[#This Row],[Total PoP ]],500*WWWW[[#This Row],['# Hygiene Promoters ]])</f>
        <v>196</v>
      </c>
      <c r="BS383" s="414">
        <f>IF(WWWW[[#This Row],[% of HH with access to Sanitary Pad]]&gt;=100%,1,0)</f>
        <v>0</v>
      </c>
      <c r="BT383" s="414">
        <f>IF(WWWW[[#This Row],[Total PoP ]]=0,0,IF(WWWW[[#This Row],['# Hygiene Promoters ]]=0,0,IF(WWWW[[#This Row],[Location Type 1]]="Village",IF(WWWW[[#This Row],[Total PoP ]]/WWWW[[#This Row],['# Hygiene Promoters ]]&lt;1000,1,0),IF(WWWW[[#This Row],[Total PoP ]]/WWWW[[#This Row],['# Hygiene Promoters ]]&lt;600,1,0))))</f>
        <v>1</v>
      </c>
      <c r="BU383" s="414">
        <f>IF(WWWW[[#This Row],[%HH with access to soap]]&gt;=100%,1,0)</f>
        <v>0</v>
      </c>
      <c r="BV383" s="414">
        <f>IF(WWWW[[#This Row],[% of HHs with access to Sanitary pad more than '#%]]+WWWW[[#This Row],[Ratio of Hyiene promoters to people less than '#]]+WWWW[[#This Row],[% of HHs with access to soap more than '#%]]&gt;=2,WWWW[[#This Row],[Total PoP ]],0)</f>
        <v>0</v>
      </c>
      <c r="BW383" s="346">
        <f>WWWW[[#This Row],['# people reached by regular dedicated hygiene promotion_5]]/WWWW[[#This Row],[Total PoP ]]</f>
        <v>1</v>
      </c>
      <c r="BX383" s="346">
        <f>IF(WWWW[[#This Row],['# HH received soaps]]/WWWW[[#This Row],[Total HH]]&gt;1,1,WWWW[[#This Row],['# HH received soaps]]/WWWW[[#This Row],[Total HH]])</f>
        <v>0</v>
      </c>
      <c r="BY383" s="346">
        <f>IF(WWWW[[#This Row],['# HH received Sanitary Pads]]/WWWW[[#This Row],[Total HH]]&gt;1,1,WWWW[[#This Row],['# HH received Sanitary Pads]]/WWWW[[#This Row],[Total HH]])</f>
        <v>0</v>
      </c>
      <c r="BZ383" s="720">
        <f>WWWW[[#This Row],['# HH received soaps]]*5</f>
        <v>0</v>
      </c>
      <c r="CA383" s="720">
        <f>WWWW[[#This Row],['# HH received Sanitary Pads]]*5</f>
        <v>0</v>
      </c>
      <c r="CB383" s="238">
        <f>IF(WWWW[[#This Row],['# People with access to soap]]&gt;WWWW[[#This Row],['# People with access to Sanity Pads]],WWWW[[#This Row],['# People with access to soap]],WWWW[[#This Row],['# People with access to Sanity Pads]])</f>
        <v>0</v>
      </c>
      <c r="CC383" s="414">
        <f>WWWW[[#This Row],[Total HH]]*WWWW[[#This Row],[%HHs with access to functional hand washing stations]]</f>
        <v>39</v>
      </c>
      <c r="CD383" s="240" t="str">
        <f>VLOOKUP(WWWW[[#This Row],[Site Name]],SiteDB6[],8,FALSE)</f>
        <v>Yes</v>
      </c>
      <c r="CE383" s="240" t="str">
        <f>VLOOKUP(WWWW[[#This Row],[Site Name]],SiteDB6[],9,FALSE)</f>
        <v>KBC</v>
      </c>
      <c r="CF383" s="240" t="str">
        <f>VLOOKUP(WWWW[[#This Row],[Site Name]],SiteDB6[],10,FALSE)</f>
        <v>Camp</v>
      </c>
      <c r="CG383" s="240" t="str">
        <f>VLOOKUP(WWWW[[#This Row],[Site Name]],SiteDB6[],11,FALSE)</f>
        <v>Camp</v>
      </c>
      <c r="CH383" s="240" t="str">
        <f>VLOOKUP(WWWW[[#This Row],[Site Name]],SiteDB6[],12,FALSE)</f>
        <v>Camp</v>
      </c>
      <c r="CI383" s="240" t="str">
        <f>VLOOKUP(WWWW[[#This Row],[Site Name]],SiteDB6[],13,FALSE)</f>
        <v>GCA</v>
      </c>
      <c r="CJ383" s="240">
        <f>VLOOKUP(WWWW[[#This Row],[Site Name]],SiteDB6[],14,FALSE)</f>
        <v>23.354268999999999</v>
      </c>
      <c r="CK383" s="240">
        <f>VLOOKUP(WWWW[[#This Row],[Site Name]],SiteDB6[],15,FALSE)</f>
        <v>98.218626999999998</v>
      </c>
      <c r="CL383" s="240" t="str">
        <f>VLOOKUP(WWWW[[#This Row],[Site Name]],SiteDB6[],4,FALSE)</f>
        <v>MMR015CMP218</v>
      </c>
      <c r="CM383" s="235" t="str">
        <f t="shared" si="5"/>
        <v>Covered</v>
      </c>
      <c r="CN383" s="235"/>
    </row>
    <row r="384" spans="1:92" ht="15.75" customHeight="1" x14ac:dyDescent="0.25">
      <c r="A384" s="532" t="s">
        <v>1409</v>
      </c>
      <c r="B384" s="533" t="s">
        <v>2650</v>
      </c>
      <c r="C384" s="533" t="s">
        <v>878</v>
      </c>
      <c r="D384" s="533" t="s">
        <v>903</v>
      </c>
      <c r="E384" s="533" t="s">
        <v>916</v>
      </c>
      <c r="F384" s="233">
        <v>57</v>
      </c>
      <c r="G384" s="414">
        <v>263</v>
      </c>
      <c r="H384" s="233"/>
      <c r="I384" s="233" t="s">
        <v>2651</v>
      </c>
      <c r="J384" s="234" t="s">
        <v>2652</v>
      </c>
      <c r="K384" s="233"/>
      <c r="L384" s="233" t="s">
        <v>48</v>
      </c>
      <c r="M384" s="235">
        <v>0.8</v>
      </c>
      <c r="N384" s="235">
        <v>0.5</v>
      </c>
      <c r="O384" s="609">
        <v>0</v>
      </c>
      <c r="P384" s="615">
        <v>1</v>
      </c>
      <c r="Q384" s="615">
        <f>500*15</f>
        <v>7500</v>
      </c>
      <c r="R384" s="604">
        <v>0</v>
      </c>
      <c r="S384" s="604">
        <v>7</v>
      </c>
      <c r="T384" s="604">
        <v>0</v>
      </c>
      <c r="U384" s="604">
        <v>0</v>
      </c>
      <c r="V384" s="604">
        <v>0</v>
      </c>
      <c r="W384" s="604">
        <v>0</v>
      </c>
      <c r="X384" s="604">
        <v>0</v>
      </c>
      <c r="Y384" s="604"/>
      <c r="Z384" s="628">
        <v>16</v>
      </c>
      <c r="AA384" s="628">
        <v>0</v>
      </c>
      <c r="AB384" s="629">
        <v>0</v>
      </c>
      <c r="AC384" s="628">
        <v>16</v>
      </c>
      <c r="AD384" s="628" t="s">
        <v>293</v>
      </c>
      <c r="AE384" s="631" t="s">
        <v>293</v>
      </c>
      <c r="AF384" s="631">
        <v>0</v>
      </c>
      <c r="AG384" s="628">
        <v>0</v>
      </c>
      <c r="AH384" s="628"/>
      <c r="AI384" s="659">
        <v>0.8</v>
      </c>
      <c r="AJ384" s="650" t="s">
        <v>386</v>
      </c>
      <c r="AK384" s="644">
        <v>0</v>
      </c>
      <c r="AL384" s="645">
        <v>4</v>
      </c>
      <c r="AM384" s="645">
        <v>2</v>
      </c>
      <c r="AN384" s="647">
        <v>48</v>
      </c>
      <c r="AO384" s="647">
        <v>0</v>
      </c>
      <c r="AP384" s="647"/>
      <c r="AQ384" s="658"/>
      <c r="AR384" s="235" t="str">
        <f>IFERROR(WWWW[[#This Row],['# of Water passed at source]]/WWWW[[#This Row],['# of Water tested at source]],"no test")</f>
        <v>no test</v>
      </c>
      <c r="AS384" s="237" t="str">
        <f>IFERROR(WWWW[[#This Row],['# of Water passed at HH]]/WWWW[[#This Row],['# of Water tested at HH]],"no test")</f>
        <v>no test</v>
      </c>
      <c r="AT384" s="237">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U384" s="237">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AV384" s="237">
        <f>IF(WWWW[[#This Row],[Location Type 1]]="Village",WWWW[[#This Row],[Access to safe drinking water for Village]],WWWW[[#This Row],[Access to safe drinking water for Camp]])</f>
        <v>1</v>
      </c>
      <c r="AW384" s="414">
        <f>WWWW[[#This Row],[%Equitable and continuous access to sufficient quantity of safe drinking water]]*WWWW[[#This Row],[Total PoP ]]</f>
        <v>263</v>
      </c>
      <c r="AX384" s="237">
        <f>IF((WWWW[[#This Row],['# Existing protected/fenced ponds ]]*250)/WWWW[[#This Row],[Total PoP ]]&gt;1,1,WWWW[[#This Row],['# Existing protected/fenced ponds ]]*250/WWWW[[#This Row],[Total PoP ]])</f>
        <v>0</v>
      </c>
      <c r="AY384" s="414">
        <f>WWWW[[#This Row],[Access to unimproved water points]]*WWWW[[#This Row],[Total PoP ]]</f>
        <v>0</v>
      </c>
      <c r="AZ384" s="237">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A384" s="414">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263</v>
      </c>
      <c r="BB384" s="414">
        <f>WWWW[[#This Row],['#people Equitable and continuous access to sufficient quantity of domestic water borehole n ponds_2]]/500</f>
        <v>0.52600000000000002</v>
      </c>
      <c r="BC384" s="235">
        <f>1-WWWW[[#This Row],[%Equitable and continuous access to sufficient quantity of domestic water borehole n ponds]]</f>
        <v>0</v>
      </c>
      <c r="BD384" s="414">
        <f>WWWW[[#This Row],[%equitable and continuous access to sufficient quantity of safe drinking and domestic water''s GAP]]*WWWW[[#This Row],[Total PoP ]]</f>
        <v>0</v>
      </c>
      <c r="BE384" s="238">
        <f>IF(WWWW[[#This Row],[Total required water points]]-WWWW[[#This Row],['#Water points coverage]]&lt;0,0,WWWW[[#This Row],[Total required water points]]-WWWW[[#This Row],['#Water points coverage]])</f>
        <v>0.47399999999999998</v>
      </c>
      <c r="BF384" s="238">
        <f>ROUND(IF(WWWW[[#This Row],[Total PoP ]]&lt;500,1,WWWW[[#This Row],[Total PoP ]]/500),0)</f>
        <v>1</v>
      </c>
      <c r="BG384" s="238" t="str">
        <f>IF(AND(WWWW[[#This Row],[%of Water samples which passed at water source]]="no test",WWWW[[#This Row],[%Water samples which passed at HH]]="no test"),"No Test","Tested")</f>
        <v>No Test</v>
      </c>
      <c r="BH384" s="238">
        <f>WWWW[[#This Row],['# Existing functional latrines]]+WWWW[[#This Row],['# Existing latrines dysfunctional]]</f>
        <v>16</v>
      </c>
      <c r="BI384" s="235">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1</v>
      </c>
      <c r="BJ384" s="675">
        <f>WWWW[[#This Row],[% people access to functioning Latrine]]*WWWW[[#This Row],[Total PoP ]]</f>
        <v>263</v>
      </c>
      <c r="BK384" s="235">
        <f>IF(WWWW[[#This Row],[Location Type 1]]="camp",WWWW[[#This Row],['# potential required new latrines]]/(WWWW[[#This Row],[Total PoP ]]/20),WWWW[[#This Row],['# potential required new latrines]]/(WWWW[[#This Row],[Total PoP ]]/6))</f>
        <v>0</v>
      </c>
      <c r="BL384" s="414">
        <f>IF(WWWW[[#This Row],[Total required Latrines]]-WWWW[[#This Row],[Total '# of latrine]]&lt;0,0,WWWW[[#This Row],[Total required Latrines]]-WWWW[[#This Row],[Total '# of latrine]])</f>
        <v>0</v>
      </c>
      <c r="BM384" s="238">
        <f>ROUND(IF(WWWW[[#This Row],[Location Type 1]]="camp",WWWW[[#This Row],[Total PoP ]]/20,WWWW[[#This Row],[Total PoP ]]/6),0)</f>
        <v>13</v>
      </c>
      <c r="BN384" s="239">
        <f>IF(OR(WWWW[[#This Row],['# Existing latrines dysfunctional]]="",WWWW[[#This Row],['# Existing latrines dysfunctional]]=0),0,WWWW[[#This Row],['# Existing latrines dysfunctional]]/WWWW[[#This Row],[Total '# of latrine]])</f>
        <v>0</v>
      </c>
      <c r="BO384" s="675">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P384" s="235">
        <f>WWWW[[#This Row],[People adopt basic personal and community hygiene practices]]/WWWW[[#This Row],[Total PoP ]]</f>
        <v>0</v>
      </c>
      <c r="BQ384" s="239">
        <f>1-WWWW[[#This Row],[Hygiene Coverage%]]</f>
        <v>1</v>
      </c>
      <c r="BR384" s="414">
        <f>IF(500*WWWW[[#This Row],['# Hygiene Promoters ]]&gt;WWWW[[#This Row],[Total PoP ]],WWWW[[#This Row],[Total PoP ]],500*WWWW[[#This Row],['# Hygiene Promoters ]])</f>
        <v>263</v>
      </c>
      <c r="BS384" s="414">
        <f>IF(WWWW[[#This Row],[% of HH with access to Sanitary Pad]]&gt;=100%,1,0)</f>
        <v>0</v>
      </c>
      <c r="BT384" s="414">
        <f>IF(WWWW[[#This Row],[Total PoP ]]=0,0,IF(WWWW[[#This Row],['# Hygiene Promoters ]]=0,0,IF(WWWW[[#This Row],[Location Type 1]]="Village",IF(WWWW[[#This Row],[Total PoP ]]/WWWW[[#This Row],['# Hygiene Promoters ]]&lt;1000,1,0),IF(WWWW[[#This Row],[Total PoP ]]/WWWW[[#This Row],['# Hygiene Promoters ]]&lt;600,1,0))))</f>
        <v>1</v>
      </c>
      <c r="BU384" s="414">
        <f>IF(WWWW[[#This Row],[%HH with access to soap]]&gt;=100%,1,0)</f>
        <v>0</v>
      </c>
      <c r="BV384" s="414">
        <f>IF(WWWW[[#This Row],[% of HHs with access to Sanitary pad more than '#%]]+WWWW[[#This Row],[Ratio of Hyiene promoters to people less than '#]]+WWWW[[#This Row],[% of HHs with access to soap more than '#%]]&gt;=2,WWWW[[#This Row],[Total PoP ]],0)</f>
        <v>0</v>
      </c>
      <c r="BW384" s="346">
        <f>WWWW[[#This Row],['# people reached by regular dedicated hygiene promotion_5]]/WWWW[[#This Row],[Total PoP ]]</f>
        <v>1</v>
      </c>
      <c r="BX384" s="346">
        <f>IF(WWWW[[#This Row],['# HH received soaps]]/WWWW[[#This Row],[Total HH]]&gt;1,1,WWWW[[#This Row],['# HH received soaps]]/WWWW[[#This Row],[Total HH]])</f>
        <v>0.84210526315789469</v>
      </c>
      <c r="BY384" s="346">
        <f>IF(WWWW[[#This Row],['# HH received Sanitary Pads]]/WWWW[[#This Row],[Total HH]]&gt;1,1,WWWW[[#This Row],['# HH received Sanitary Pads]]/WWWW[[#This Row],[Total HH]])</f>
        <v>0</v>
      </c>
      <c r="BZ384" s="720">
        <f>WWWW[[#This Row],['# HH received soaps]]*5</f>
        <v>240</v>
      </c>
      <c r="CA384" s="720">
        <f>WWWW[[#This Row],['# HH received Sanitary Pads]]*5</f>
        <v>0</v>
      </c>
      <c r="CB384" s="238">
        <f>IF(WWWW[[#This Row],['# People with access to soap]]&gt;WWWW[[#This Row],['# People with access to Sanity Pads]],WWWW[[#This Row],['# People with access to soap]],WWWW[[#This Row],['# People with access to Sanity Pads]])</f>
        <v>240</v>
      </c>
      <c r="CC384" s="414">
        <f>WWWW[[#This Row],[Total HH]]*WWWW[[#This Row],[%HHs with access to functional hand washing stations]]</f>
        <v>45.6</v>
      </c>
      <c r="CD384" s="240" t="str">
        <f>VLOOKUP(WWWW[[#This Row],[Site Name]],SiteDB6[],8,FALSE)</f>
        <v>Yes</v>
      </c>
      <c r="CE384" s="240" t="str">
        <f>VLOOKUP(WWWW[[#This Row],[Site Name]],SiteDB6[],9,FALSE)</f>
        <v>KBC</v>
      </c>
      <c r="CF384" s="240" t="str">
        <f>VLOOKUP(WWWW[[#This Row],[Site Name]],SiteDB6[],10,FALSE)</f>
        <v>Camp</v>
      </c>
      <c r="CG384" s="240" t="str">
        <f>VLOOKUP(WWWW[[#This Row],[Site Name]],SiteDB6[],11,FALSE)</f>
        <v>Camp</v>
      </c>
      <c r="CH384" s="240" t="str">
        <f>VLOOKUP(WWWW[[#This Row],[Site Name]],SiteDB6[],12,FALSE)</f>
        <v>Camp</v>
      </c>
      <c r="CI384" s="240" t="str">
        <f>VLOOKUP(WWWW[[#This Row],[Site Name]],SiteDB6[],13,FALSE)</f>
        <v>GCA</v>
      </c>
      <c r="CJ384" s="240">
        <f>VLOOKUP(WWWW[[#This Row],[Site Name]],SiteDB6[],14,FALSE)</f>
        <v>23.094290000000001</v>
      </c>
      <c r="CK384" s="240">
        <f>VLOOKUP(WWWW[[#This Row],[Site Name]],SiteDB6[],15,FALSE)</f>
        <v>97.404089999999997</v>
      </c>
      <c r="CL384" s="240" t="str">
        <f>VLOOKUP(WWWW[[#This Row],[Site Name]],SiteDB6[],4,FALSE)</f>
        <v>MMR015CMP014</v>
      </c>
      <c r="CM384" s="235" t="str">
        <f t="shared" si="5"/>
        <v>Covered</v>
      </c>
      <c r="CN384" s="235"/>
    </row>
    <row r="385" spans="1:92" ht="15.75" customHeight="1" x14ac:dyDescent="0.25">
      <c r="A385" s="532" t="s">
        <v>1409</v>
      </c>
      <c r="B385" s="533" t="s">
        <v>2614</v>
      </c>
      <c r="C385" s="533" t="s">
        <v>878</v>
      </c>
      <c r="D385" s="533" t="s">
        <v>879</v>
      </c>
      <c r="E385" s="533" t="s">
        <v>922</v>
      </c>
      <c r="F385" s="233">
        <v>121</v>
      </c>
      <c r="G385" s="414">
        <v>504</v>
      </c>
      <c r="H385" s="233"/>
      <c r="I385" s="233" t="s">
        <v>2632</v>
      </c>
      <c r="J385" s="234" t="s">
        <v>2633</v>
      </c>
      <c r="K385" s="233">
        <v>0</v>
      </c>
      <c r="L385" s="233" t="s">
        <v>48</v>
      </c>
      <c r="M385" s="235">
        <v>0.5</v>
      </c>
      <c r="N385" s="235">
        <v>1</v>
      </c>
      <c r="O385" s="609"/>
      <c r="P385" s="615">
        <v>1</v>
      </c>
      <c r="Q385" s="615">
        <v>14400</v>
      </c>
      <c r="R385" s="604"/>
      <c r="S385" s="604">
        <v>2</v>
      </c>
      <c r="T385" s="604">
        <v>0</v>
      </c>
      <c r="U385" s="604">
        <v>0</v>
      </c>
      <c r="V385" s="604">
        <v>0</v>
      </c>
      <c r="W385" s="604">
        <v>0</v>
      </c>
      <c r="X385" s="604">
        <v>0</v>
      </c>
      <c r="Y385" s="604"/>
      <c r="Z385" s="628">
        <v>13</v>
      </c>
      <c r="AA385" s="628">
        <v>3</v>
      </c>
      <c r="AB385" s="629">
        <v>0</v>
      </c>
      <c r="AC385" s="628">
        <v>16</v>
      </c>
      <c r="AD385" s="628" t="s">
        <v>293</v>
      </c>
      <c r="AE385" s="631" t="s">
        <v>293</v>
      </c>
      <c r="AF385" s="631">
        <v>0</v>
      </c>
      <c r="AG385" s="628">
        <v>0</v>
      </c>
      <c r="AH385" s="628"/>
      <c r="AI385" s="659">
        <v>1</v>
      </c>
      <c r="AJ385" s="650" t="s">
        <v>386</v>
      </c>
      <c r="AK385" s="644"/>
      <c r="AL385" s="645">
        <v>4</v>
      </c>
      <c r="AM385" s="645">
        <v>2</v>
      </c>
      <c r="AN385" s="647">
        <v>121</v>
      </c>
      <c r="AO385" s="647">
        <v>0</v>
      </c>
      <c r="AP385" s="647"/>
      <c r="AQ385" s="658"/>
      <c r="AR385" s="235" t="str">
        <f>IFERROR(WWWW[[#This Row],['# of Water passed at source]]/WWWW[[#This Row],['# of Water tested at source]],"no test")</f>
        <v>no test</v>
      </c>
      <c r="AS385" s="237" t="str">
        <f>IFERROR(WWWW[[#This Row],['# of Water passed at HH]]/WWWW[[#This Row],['# of Water tested at HH]],"no test")</f>
        <v>no test</v>
      </c>
      <c r="AT385" s="237">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U385" s="237">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AV385" s="237">
        <f>IF(WWWW[[#This Row],[Location Type 1]]="Village",WWWW[[#This Row],[Access to safe drinking water for Village]],WWWW[[#This Row],[Access to safe drinking water for Camp]])</f>
        <v>1</v>
      </c>
      <c r="AW385" s="414">
        <f>WWWW[[#This Row],[%Equitable and continuous access to sufficient quantity of safe drinking water]]*WWWW[[#This Row],[Total PoP ]]</f>
        <v>504</v>
      </c>
      <c r="AX385" s="237">
        <f>IF((WWWW[[#This Row],['# Existing protected/fenced ponds ]]*250)/WWWW[[#This Row],[Total PoP ]]&gt;1,1,WWWW[[#This Row],['# Existing protected/fenced ponds ]]*250/WWWW[[#This Row],[Total PoP ]])</f>
        <v>0</v>
      </c>
      <c r="AY385" s="414">
        <f>WWWW[[#This Row],[Access to unimproved water points]]*WWWW[[#This Row],[Total PoP ]]</f>
        <v>0</v>
      </c>
      <c r="AZ385" s="237">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A385" s="414">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504</v>
      </c>
      <c r="BB385" s="414">
        <f>WWWW[[#This Row],['#people Equitable and continuous access to sufficient quantity of domestic water borehole n ponds_2]]/500</f>
        <v>1.008</v>
      </c>
      <c r="BC385" s="235">
        <f>1-WWWW[[#This Row],[%Equitable and continuous access to sufficient quantity of domestic water borehole n ponds]]</f>
        <v>0</v>
      </c>
      <c r="BD385" s="414">
        <f>WWWW[[#This Row],[%equitable and continuous access to sufficient quantity of safe drinking and domestic water''s GAP]]*WWWW[[#This Row],[Total PoP ]]</f>
        <v>0</v>
      </c>
      <c r="BE385" s="238">
        <f>IF(WWWW[[#This Row],[Total required water points]]-WWWW[[#This Row],['#Water points coverage]]&lt;0,0,WWWW[[#This Row],[Total required water points]]-WWWW[[#This Row],['#Water points coverage]])</f>
        <v>0</v>
      </c>
      <c r="BF385" s="238">
        <f>ROUND(IF(WWWW[[#This Row],[Total PoP ]]&lt;500,1,WWWW[[#This Row],[Total PoP ]]/500),0)</f>
        <v>1</v>
      </c>
      <c r="BG385" s="238" t="str">
        <f>IF(AND(WWWW[[#This Row],[%of Water samples which passed at water source]]="no test",WWWW[[#This Row],[%Water samples which passed at HH]]="no test"),"No Test","Tested")</f>
        <v>No Test</v>
      </c>
      <c r="BH385" s="238">
        <f>WWWW[[#This Row],['# Existing functional latrines]]+WWWW[[#This Row],['# Existing latrines dysfunctional]]</f>
        <v>16</v>
      </c>
      <c r="BI385" s="235">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0.51587301587301593</v>
      </c>
      <c r="BJ385" s="675">
        <f>WWWW[[#This Row],[% people access to functioning Latrine]]*WWWW[[#This Row],[Total PoP ]]</f>
        <v>260</v>
      </c>
      <c r="BK385" s="235">
        <f>IF(WWWW[[#This Row],[Location Type 1]]="camp",WWWW[[#This Row],['# potential required new latrines]]/(WWWW[[#This Row],[Total PoP ]]/20),WWWW[[#This Row],['# potential required new latrines]]/(WWWW[[#This Row],[Total PoP ]]/6))</f>
        <v>0.35714285714285715</v>
      </c>
      <c r="BL385" s="414">
        <f>IF(WWWW[[#This Row],[Total required Latrines]]-WWWW[[#This Row],[Total '# of latrine]]&lt;0,0,WWWW[[#This Row],[Total required Latrines]]-WWWW[[#This Row],[Total '# of latrine]])</f>
        <v>9</v>
      </c>
      <c r="BM385" s="238">
        <f>ROUND(IF(WWWW[[#This Row],[Location Type 1]]="camp",WWWW[[#This Row],[Total PoP ]]/20,WWWW[[#This Row],[Total PoP ]]/6),0)</f>
        <v>25</v>
      </c>
      <c r="BN385" s="239">
        <f>IF(OR(WWWW[[#This Row],['# Existing latrines dysfunctional]]="",WWWW[[#This Row],['# Existing latrines dysfunctional]]=0),0,WWWW[[#This Row],['# Existing latrines dysfunctional]]/WWWW[[#This Row],[Total '# of latrine]])</f>
        <v>0.1875</v>
      </c>
      <c r="BO385" s="675">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P385" s="235">
        <f>WWWW[[#This Row],[People adopt basic personal and community hygiene practices]]/WWWW[[#This Row],[Total PoP ]]</f>
        <v>1</v>
      </c>
      <c r="BQ385" s="239">
        <f>1-WWWW[[#This Row],[Hygiene Coverage%]]</f>
        <v>0</v>
      </c>
      <c r="BR385" s="414">
        <f>IF(500*WWWW[[#This Row],['# Hygiene Promoters ]]&gt;WWWW[[#This Row],[Total PoP ]],WWWW[[#This Row],[Total PoP ]],500*WWWW[[#This Row],['# Hygiene Promoters ]])</f>
        <v>504</v>
      </c>
      <c r="BS385" s="414">
        <f>IF(WWWW[[#This Row],[% of HH with access to Sanitary Pad]]&gt;=100%,1,0)</f>
        <v>0</v>
      </c>
      <c r="BT385" s="414">
        <f>IF(WWWW[[#This Row],[Total PoP ]]=0,0,IF(WWWW[[#This Row],['# Hygiene Promoters ]]=0,0,IF(WWWW[[#This Row],[Location Type 1]]="Village",IF(WWWW[[#This Row],[Total PoP ]]/WWWW[[#This Row],['# Hygiene Promoters ]]&lt;1000,1,0),IF(WWWW[[#This Row],[Total PoP ]]/WWWW[[#This Row],['# Hygiene Promoters ]]&lt;600,1,0))))</f>
        <v>1</v>
      </c>
      <c r="BU385" s="414">
        <f>IF(WWWW[[#This Row],[%HH with access to soap]]&gt;=100%,1,0)</f>
        <v>1</v>
      </c>
      <c r="BV385" s="414">
        <f>IF(WWWW[[#This Row],[% of HHs with access to Sanitary pad more than '#%]]+WWWW[[#This Row],[Ratio of Hyiene promoters to people less than '#]]+WWWW[[#This Row],[% of HHs with access to soap more than '#%]]&gt;=2,WWWW[[#This Row],[Total PoP ]],0)</f>
        <v>504</v>
      </c>
      <c r="BW385" s="346">
        <f>WWWW[[#This Row],['# people reached by regular dedicated hygiene promotion_5]]/WWWW[[#This Row],[Total PoP ]]</f>
        <v>1</v>
      </c>
      <c r="BX385" s="346">
        <f>IF(WWWW[[#This Row],['# HH received soaps]]/WWWW[[#This Row],[Total HH]]&gt;1,1,WWWW[[#This Row],['# HH received soaps]]/WWWW[[#This Row],[Total HH]])</f>
        <v>1</v>
      </c>
      <c r="BY385" s="346">
        <f>IF(WWWW[[#This Row],['# HH received Sanitary Pads]]/WWWW[[#This Row],[Total HH]]&gt;1,1,WWWW[[#This Row],['# HH received Sanitary Pads]]/WWWW[[#This Row],[Total HH]])</f>
        <v>0</v>
      </c>
      <c r="BZ385" s="720">
        <f>WWWW[[#This Row],['# HH received soaps]]*5</f>
        <v>605</v>
      </c>
      <c r="CA385" s="720">
        <f>WWWW[[#This Row],['# HH received Sanitary Pads]]*5</f>
        <v>0</v>
      </c>
      <c r="CB385" s="238">
        <f>IF(WWWW[[#This Row],['# People with access to soap]]&gt;WWWW[[#This Row],['# People with access to Sanity Pads]],WWWW[[#This Row],['# People with access to soap]],WWWW[[#This Row],['# People with access to Sanity Pads]])</f>
        <v>605</v>
      </c>
      <c r="CC385" s="414">
        <f>WWWW[[#This Row],[Total HH]]*WWWW[[#This Row],[%HHs with access to functional hand washing stations]]</f>
        <v>121</v>
      </c>
      <c r="CD385" s="240" t="str">
        <f>VLOOKUP(WWWW[[#This Row],[Site Name]],SiteDB6[],8,FALSE)</f>
        <v>Yes</v>
      </c>
      <c r="CE385" s="240" t="str">
        <f>VLOOKUP(WWWW[[#This Row],[Site Name]],SiteDB6[],9,FALSE)</f>
        <v>KBC</v>
      </c>
      <c r="CF385" s="240" t="str">
        <f>VLOOKUP(WWWW[[#This Row],[Site Name]],SiteDB6[],10,FALSE)</f>
        <v>Camp</v>
      </c>
      <c r="CG385" s="240" t="str">
        <f>VLOOKUP(WWWW[[#This Row],[Site Name]],SiteDB6[],11,FALSE)</f>
        <v>Camp</v>
      </c>
      <c r="CH385" s="240" t="str">
        <f>VLOOKUP(WWWW[[#This Row],[Site Name]],SiteDB6[],12,FALSE)</f>
        <v>Camp</v>
      </c>
      <c r="CI385" s="240" t="str">
        <f>VLOOKUP(WWWW[[#This Row],[Site Name]],SiteDB6[],13,FALSE)</f>
        <v>GCA</v>
      </c>
      <c r="CJ385" s="240">
        <f>VLOOKUP(WWWW[[#This Row],[Site Name]],SiteDB6[],14,FALSE)</f>
        <v>23.838190000000001</v>
      </c>
      <c r="CK385" s="240">
        <f>VLOOKUP(WWWW[[#This Row],[Site Name]],SiteDB6[],15,FALSE)</f>
        <v>97.709879999999998</v>
      </c>
      <c r="CL385" s="240" t="str">
        <f>VLOOKUP(WWWW[[#This Row],[Site Name]],SiteDB6[],4,FALSE)</f>
        <v>MMR015CMP215</v>
      </c>
      <c r="CM385" s="235" t="str">
        <f t="shared" si="5"/>
        <v>Covered</v>
      </c>
      <c r="CN385" s="235"/>
    </row>
    <row r="386" spans="1:92" ht="15.75" customHeight="1" x14ac:dyDescent="0.25">
      <c r="A386" s="532" t="s">
        <v>1409</v>
      </c>
      <c r="B386" s="533" t="s">
        <v>348</v>
      </c>
      <c r="C386" s="533" t="s">
        <v>878</v>
      </c>
      <c r="D386" s="533" t="s">
        <v>882</v>
      </c>
      <c r="E386" s="533" t="s">
        <v>910</v>
      </c>
      <c r="F386" s="233">
        <v>106</v>
      </c>
      <c r="G386" s="414">
        <v>635</v>
      </c>
      <c r="H386" s="233"/>
      <c r="I386" s="233" t="s">
        <v>899</v>
      </c>
      <c r="J386" s="234" t="s">
        <v>2603</v>
      </c>
      <c r="K386" s="233">
        <v>0</v>
      </c>
      <c r="L386" s="233" t="s">
        <v>48</v>
      </c>
      <c r="M386" s="235">
        <v>0.5</v>
      </c>
      <c r="N386" s="235">
        <v>1</v>
      </c>
      <c r="O386" s="609"/>
      <c r="P386" s="615">
        <v>1</v>
      </c>
      <c r="Q386" s="615">
        <v>9600</v>
      </c>
      <c r="R386" s="604"/>
      <c r="S386" s="604">
        <v>5</v>
      </c>
      <c r="T386" s="604">
        <v>0</v>
      </c>
      <c r="U386" s="604">
        <v>0</v>
      </c>
      <c r="V386" s="604">
        <v>0</v>
      </c>
      <c r="W386" s="604">
        <v>0</v>
      </c>
      <c r="X386" s="604">
        <v>0</v>
      </c>
      <c r="Y386" s="604"/>
      <c r="Z386" s="628">
        <v>106</v>
      </c>
      <c r="AA386" s="628">
        <v>0</v>
      </c>
      <c r="AB386" s="629">
        <v>0</v>
      </c>
      <c r="AC386" s="628">
        <v>106</v>
      </c>
      <c r="AD386" s="628" t="s">
        <v>293</v>
      </c>
      <c r="AE386" s="631" t="s">
        <v>342</v>
      </c>
      <c r="AF386" s="631">
        <v>0</v>
      </c>
      <c r="AG386" s="628">
        <v>0</v>
      </c>
      <c r="AH386" s="628"/>
      <c r="AI386" s="659">
        <v>0.4</v>
      </c>
      <c r="AJ386" s="650" t="s">
        <v>386</v>
      </c>
      <c r="AK386" s="644"/>
      <c r="AL386" s="645"/>
      <c r="AM386" s="645">
        <v>1</v>
      </c>
      <c r="AN386" s="647">
        <v>0</v>
      </c>
      <c r="AO386" s="647">
        <v>0</v>
      </c>
      <c r="AP386" s="647"/>
      <c r="AQ386" s="658"/>
      <c r="AR386" s="235" t="str">
        <f>IFERROR(WWWW[[#This Row],['# of Water passed at source]]/WWWW[[#This Row],['# of Water tested at source]],"no test")</f>
        <v>no test</v>
      </c>
      <c r="AS386" s="237" t="str">
        <f>IFERROR(WWWW[[#This Row],['# of Water passed at HH]]/WWWW[[#This Row],['# of Water tested at HH]],"no test")</f>
        <v>no test</v>
      </c>
      <c r="AT386" s="237">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U386" s="237">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AV386" s="237">
        <f>IF(WWWW[[#This Row],[Location Type 1]]="Village",WWWW[[#This Row],[Access to safe drinking water for Village]],WWWW[[#This Row],[Access to safe drinking water for Camp]])</f>
        <v>1</v>
      </c>
      <c r="AW386" s="414">
        <f>WWWW[[#This Row],[%Equitable and continuous access to sufficient quantity of safe drinking water]]*WWWW[[#This Row],[Total PoP ]]</f>
        <v>635</v>
      </c>
      <c r="AX386" s="237">
        <f>IF((WWWW[[#This Row],['# Existing protected/fenced ponds ]]*250)/WWWW[[#This Row],[Total PoP ]]&gt;1,1,WWWW[[#This Row],['# Existing protected/fenced ponds ]]*250/WWWW[[#This Row],[Total PoP ]])</f>
        <v>0</v>
      </c>
      <c r="AY386" s="414">
        <f>WWWW[[#This Row],[Access to unimproved water points]]*WWWW[[#This Row],[Total PoP ]]</f>
        <v>0</v>
      </c>
      <c r="AZ386" s="237">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A386" s="414">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635</v>
      </c>
      <c r="BB386" s="414">
        <f>WWWW[[#This Row],['#people Equitable and continuous access to sufficient quantity of domestic water borehole n ponds_2]]/500</f>
        <v>1.27</v>
      </c>
      <c r="BC386" s="235">
        <f>1-WWWW[[#This Row],[%Equitable and continuous access to sufficient quantity of domestic water borehole n ponds]]</f>
        <v>0</v>
      </c>
      <c r="BD386" s="414">
        <f>WWWW[[#This Row],[%equitable and continuous access to sufficient quantity of safe drinking and domestic water''s GAP]]*WWWW[[#This Row],[Total PoP ]]</f>
        <v>0</v>
      </c>
      <c r="BE386" s="238">
        <f>IF(WWWW[[#This Row],[Total required water points]]-WWWW[[#This Row],['#Water points coverage]]&lt;0,0,WWWW[[#This Row],[Total required water points]]-WWWW[[#This Row],['#Water points coverage]])</f>
        <v>0</v>
      </c>
      <c r="BF386" s="238">
        <f>ROUND(IF(WWWW[[#This Row],[Total PoP ]]&lt;500,1,WWWW[[#This Row],[Total PoP ]]/500),0)</f>
        <v>1</v>
      </c>
      <c r="BG386" s="238" t="str">
        <f>IF(AND(WWWW[[#This Row],[%of Water samples which passed at water source]]="no test",WWWW[[#This Row],[%Water samples which passed at HH]]="no test"),"No Test","Tested")</f>
        <v>No Test</v>
      </c>
      <c r="BH386" s="238">
        <f>WWWW[[#This Row],['# Existing functional latrines]]+WWWW[[#This Row],['# Existing latrines dysfunctional]]</f>
        <v>106</v>
      </c>
      <c r="BI386" s="235">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1</v>
      </c>
      <c r="BJ386" s="675">
        <f>WWWW[[#This Row],[% people access to functioning Latrine]]*WWWW[[#This Row],[Total PoP ]]</f>
        <v>635</v>
      </c>
      <c r="BK386" s="235">
        <f>IF(WWWW[[#This Row],[Location Type 1]]="camp",WWWW[[#This Row],['# potential required new latrines]]/(WWWW[[#This Row],[Total PoP ]]/20),WWWW[[#This Row],['# potential required new latrines]]/(WWWW[[#This Row],[Total PoP ]]/6))</f>
        <v>0</v>
      </c>
      <c r="BL386" s="414">
        <f>IF(WWWW[[#This Row],[Total required Latrines]]-WWWW[[#This Row],[Total '# of latrine]]&lt;0,0,WWWW[[#This Row],[Total required Latrines]]-WWWW[[#This Row],[Total '# of latrine]])</f>
        <v>0</v>
      </c>
      <c r="BM386" s="238">
        <f>ROUND(IF(WWWW[[#This Row],[Location Type 1]]="camp",WWWW[[#This Row],[Total PoP ]]/20,WWWW[[#This Row],[Total PoP ]]/6),0)</f>
        <v>106</v>
      </c>
      <c r="BN386" s="239">
        <f>IF(OR(WWWW[[#This Row],['# Existing latrines dysfunctional]]="",WWWW[[#This Row],['# Existing latrines dysfunctional]]=0),0,WWWW[[#This Row],['# Existing latrines dysfunctional]]/WWWW[[#This Row],[Total '# of latrine]])</f>
        <v>0</v>
      </c>
      <c r="BO386" s="675">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P386" s="235">
        <f>WWWW[[#This Row],[People adopt basic personal and community hygiene practices]]/WWWW[[#This Row],[Total PoP ]]</f>
        <v>0</v>
      </c>
      <c r="BQ386" s="239">
        <f>1-WWWW[[#This Row],[Hygiene Coverage%]]</f>
        <v>1</v>
      </c>
      <c r="BR386" s="414">
        <f>IF(500*WWWW[[#This Row],['# Hygiene Promoters ]]&gt;WWWW[[#This Row],[Total PoP ]],WWWW[[#This Row],[Total PoP ]],500*WWWW[[#This Row],['# Hygiene Promoters ]])</f>
        <v>500</v>
      </c>
      <c r="BS386" s="414">
        <f>IF(WWWW[[#This Row],[% of HH with access to Sanitary Pad]]&gt;=100%,1,0)</f>
        <v>0</v>
      </c>
      <c r="BT386" s="414">
        <f>IF(WWWW[[#This Row],[Total PoP ]]=0,0,IF(WWWW[[#This Row],['# Hygiene Promoters ]]=0,0,IF(WWWW[[#This Row],[Location Type 1]]="Village",IF(WWWW[[#This Row],[Total PoP ]]/WWWW[[#This Row],['# Hygiene Promoters ]]&lt;1000,1,0),IF(WWWW[[#This Row],[Total PoP ]]/WWWW[[#This Row],['# Hygiene Promoters ]]&lt;600,1,0))))</f>
        <v>0</v>
      </c>
      <c r="BU386" s="414">
        <f>IF(WWWW[[#This Row],[%HH with access to soap]]&gt;=100%,1,0)</f>
        <v>0</v>
      </c>
      <c r="BV386" s="414">
        <f>IF(WWWW[[#This Row],[% of HHs with access to Sanitary pad more than '#%]]+WWWW[[#This Row],[Ratio of Hyiene promoters to people less than '#]]+WWWW[[#This Row],[% of HHs with access to soap more than '#%]]&gt;=2,WWWW[[#This Row],[Total PoP ]],0)</f>
        <v>0</v>
      </c>
      <c r="BW386" s="346">
        <f>WWWW[[#This Row],['# people reached by regular dedicated hygiene promotion_5]]/WWWW[[#This Row],[Total PoP ]]</f>
        <v>0.78740157480314965</v>
      </c>
      <c r="BX386" s="346">
        <f>IF(WWWW[[#This Row],['# HH received soaps]]/WWWW[[#This Row],[Total HH]]&gt;1,1,WWWW[[#This Row],['# HH received soaps]]/WWWW[[#This Row],[Total HH]])</f>
        <v>0</v>
      </c>
      <c r="BY386" s="346">
        <f>IF(WWWW[[#This Row],['# HH received Sanitary Pads]]/WWWW[[#This Row],[Total HH]]&gt;1,1,WWWW[[#This Row],['# HH received Sanitary Pads]]/WWWW[[#This Row],[Total HH]])</f>
        <v>0</v>
      </c>
      <c r="BZ386" s="720">
        <f>WWWW[[#This Row],['# HH received soaps]]*5</f>
        <v>0</v>
      </c>
      <c r="CA386" s="720">
        <f>WWWW[[#This Row],['# HH received Sanitary Pads]]*5</f>
        <v>0</v>
      </c>
      <c r="CB386" s="238">
        <f>IF(WWWW[[#This Row],['# People with access to soap]]&gt;WWWW[[#This Row],['# People with access to Sanity Pads]],WWWW[[#This Row],['# People with access to soap]],WWWW[[#This Row],['# People with access to Sanity Pads]])</f>
        <v>0</v>
      </c>
      <c r="CC386" s="414">
        <f>WWWW[[#This Row],[Total HH]]*WWWW[[#This Row],[%HHs with access to functional hand washing stations]]</f>
        <v>42.400000000000006</v>
      </c>
      <c r="CD386" s="240">
        <f>VLOOKUP(WWWW[[#This Row],[Site Name]],SiteDB6[],8,FALSE)</f>
        <v>0</v>
      </c>
      <c r="CE386" s="240">
        <f>VLOOKUP(WWWW[[#This Row],[Site Name]],SiteDB6[],9,FALSE)</f>
        <v>0</v>
      </c>
      <c r="CF386" s="240" t="str">
        <f>VLOOKUP(WWWW[[#This Row],[Site Name]],SiteDB6[],10,FALSE)</f>
        <v>Camp</v>
      </c>
      <c r="CG386" s="240" t="str">
        <f>VLOOKUP(WWWW[[#This Row],[Site Name]],SiteDB6[],11,FALSE)</f>
        <v>Village Type Camp</v>
      </c>
      <c r="CH386" s="240" t="str">
        <f>VLOOKUP(WWWW[[#This Row],[Site Name]],SiteDB6[],12,FALSE)</f>
        <v>Camp like setting</v>
      </c>
      <c r="CI386" s="240" t="str">
        <f>VLOOKUP(WWWW[[#This Row],[Site Name]],SiteDB6[],13,FALSE)</f>
        <v>GCA</v>
      </c>
      <c r="CJ386" s="240">
        <f>VLOOKUP(WWWW[[#This Row],[Site Name]],SiteDB6[],14,FALSE)</f>
        <v>23.447111</v>
      </c>
      <c r="CK386" s="240">
        <f>VLOOKUP(WWWW[[#This Row],[Site Name]],SiteDB6[],15,FALSE)</f>
        <v>97.868876999999998</v>
      </c>
      <c r="CL386" s="240" t="str">
        <f>VLOOKUP(WWWW[[#This Row],[Site Name]],SiteDB6[],4,FALSE)</f>
        <v>MMR015CMP219</v>
      </c>
      <c r="CM386" s="235" t="str">
        <f t="shared" si="5"/>
        <v>Covered</v>
      </c>
      <c r="CN386" s="235"/>
    </row>
    <row r="387" spans="1:92" ht="15.75" customHeight="1" x14ac:dyDescent="0.25">
      <c r="A387" s="532" t="s">
        <v>1409</v>
      </c>
      <c r="B387" s="533" t="s">
        <v>348</v>
      </c>
      <c r="C387" s="533" t="s">
        <v>878</v>
      </c>
      <c r="D387" s="533" t="s">
        <v>903</v>
      </c>
      <c r="E387" s="533" t="s">
        <v>904</v>
      </c>
      <c r="F387" s="233">
        <v>19</v>
      </c>
      <c r="G387" s="414">
        <v>82</v>
      </c>
      <c r="H387" s="233"/>
      <c r="I387" s="233" t="s">
        <v>899</v>
      </c>
      <c r="J387" s="234" t="s">
        <v>2603</v>
      </c>
      <c r="K387" s="233"/>
      <c r="L387" s="233" t="s">
        <v>296</v>
      </c>
      <c r="M387" s="402" t="s">
        <v>296</v>
      </c>
      <c r="N387" s="402" t="s">
        <v>296</v>
      </c>
      <c r="O387" s="609">
        <v>0</v>
      </c>
      <c r="P387" s="615">
        <v>0</v>
      </c>
      <c r="Q387" s="615">
        <v>17280</v>
      </c>
      <c r="R387" s="604">
        <v>1</v>
      </c>
      <c r="S387" s="604"/>
      <c r="T387" s="604">
        <v>0</v>
      </c>
      <c r="U387" s="604">
        <v>0</v>
      </c>
      <c r="V387" s="604">
        <v>0</v>
      </c>
      <c r="W387" s="604">
        <v>0</v>
      </c>
      <c r="X387" s="604">
        <v>0</v>
      </c>
      <c r="Y387" s="604" t="s">
        <v>905</v>
      </c>
      <c r="Z387" s="628">
        <v>17</v>
      </c>
      <c r="AA387" s="628">
        <v>0</v>
      </c>
      <c r="AB387" s="629">
        <v>0</v>
      </c>
      <c r="AC387" s="628">
        <v>17</v>
      </c>
      <c r="AD387" s="628" t="s">
        <v>342</v>
      </c>
      <c r="AE387" s="631" t="s">
        <v>342</v>
      </c>
      <c r="AF387" s="631">
        <v>0</v>
      </c>
      <c r="AG387" s="628">
        <v>0</v>
      </c>
      <c r="AH387" s="628"/>
      <c r="AI387" s="659">
        <v>0</v>
      </c>
      <c r="AJ387" s="644" t="s">
        <v>294</v>
      </c>
      <c r="AK387" s="644"/>
      <c r="AL387" s="645"/>
      <c r="AM387" s="645">
        <v>1</v>
      </c>
      <c r="AN387" s="647">
        <v>0</v>
      </c>
      <c r="AO387" s="647">
        <v>0</v>
      </c>
      <c r="AP387" s="647"/>
      <c r="AQ387" s="658"/>
      <c r="AR387" s="235" t="str">
        <f>IFERROR(WWWW[[#This Row],['# of Water passed at source]]/WWWW[[#This Row],['# of Water tested at source]],"no test")</f>
        <v>no test</v>
      </c>
      <c r="AS387" s="237" t="str">
        <f>IFERROR(WWWW[[#This Row],['# of Water passed at HH]]/WWWW[[#This Row],['# of Water tested at HH]],"no test")</f>
        <v>no test</v>
      </c>
      <c r="AT387" s="237">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U387" s="237">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AV387" s="237">
        <f>IF(WWWW[[#This Row],[Location Type 1]]="Village",WWWW[[#This Row],[Access to safe drinking water for Village]],WWWW[[#This Row],[Access to safe drinking water for Camp]])</f>
        <v>1</v>
      </c>
      <c r="AW387" s="414">
        <f>WWWW[[#This Row],[%Equitable and continuous access to sufficient quantity of safe drinking water]]*WWWW[[#This Row],[Total PoP ]]</f>
        <v>82</v>
      </c>
      <c r="AX387" s="237">
        <f>IF((WWWW[[#This Row],['# Existing protected/fenced ponds ]]*250)/WWWW[[#This Row],[Total PoP ]]&gt;1,1,WWWW[[#This Row],['# Existing protected/fenced ponds ]]*250/WWWW[[#This Row],[Total PoP ]])</f>
        <v>1</v>
      </c>
      <c r="AY387" s="414">
        <f>WWWW[[#This Row],[Access to unimproved water points]]*WWWW[[#This Row],[Total PoP ]]</f>
        <v>82</v>
      </c>
      <c r="AZ387" s="237">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A387" s="414">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82</v>
      </c>
      <c r="BB387" s="414">
        <f>WWWW[[#This Row],['#people Equitable and continuous access to sufficient quantity of domestic water borehole n ponds_2]]/500</f>
        <v>0.16400000000000001</v>
      </c>
      <c r="BC387" s="235">
        <f>1-WWWW[[#This Row],[%Equitable and continuous access to sufficient quantity of domestic water borehole n ponds]]</f>
        <v>0</v>
      </c>
      <c r="BD387" s="414">
        <f>WWWW[[#This Row],[%equitable and continuous access to sufficient quantity of safe drinking and domestic water''s GAP]]*WWWW[[#This Row],[Total PoP ]]</f>
        <v>0</v>
      </c>
      <c r="BE387" s="238">
        <f>IF(WWWW[[#This Row],[Total required water points]]-WWWW[[#This Row],['#Water points coverage]]&lt;0,0,WWWW[[#This Row],[Total required water points]]-WWWW[[#This Row],['#Water points coverage]])</f>
        <v>0.83599999999999997</v>
      </c>
      <c r="BF387" s="238">
        <f>ROUND(IF(WWWW[[#This Row],[Total PoP ]]&lt;500,1,WWWW[[#This Row],[Total PoP ]]/500),0)</f>
        <v>1</v>
      </c>
      <c r="BG387" s="238" t="str">
        <f>IF(AND(WWWW[[#This Row],[%of Water samples which passed at water source]]="no test",WWWW[[#This Row],[%Water samples which passed at HH]]="no test"),"No Test","Tested")</f>
        <v>No Test</v>
      </c>
      <c r="BH387" s="238">
        <f>WWWW[[#This Row],['# Existing functional latrines]]+WWWW[[#This Row],['# Existing latrines dysfunctional]]</f>
        <v>17</v>
      </c>
      <c r="BI387" s="235">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1</v>
      </c>
      <c r="BJ387" s="675">
        <f>WWWW[[#This Row],[% people access to functioning Latrine]]*WWWW[[#This Row],[Total PoP ]]</f>
        <v>82</v>
      </c>
      <c r="BK387" s="235">
        <f>IF(WWWW[[#This Row],[Location Type 1]]="camp",WWWW[[#This Row],['# potential required new latrines]]/(WWWW[[#This Row],[Total PoP ]]/20),WWWW[[#This Row],['# potential required new latrines]]/(WWWW[[#This Row],[Total PoP ]]/6))</f>
        <v>0</v>
      </c>
      <c r="BL387" s="414">
        <f>IF(WWWW[[#This Row],[Total required Latrines]]-WWWW[[#This Row],[Total '# of latrine]]&lt;0,0,WWWW[[#This Row],[Total required Latrines]]-WWWW[[#This Row],[Total '# of latrine]])</f>
        <v>0</v>
      </c>
      <c r="BM387" s="238">
        <f>ROUND(IF(WWWW[[#This Row],[Location Type 1]]="camp",WWWW[[#This Row],[Total PoP ]]/20,WWWW[[#This Row],[Total PoP ]]/6),0)</f>
        <v>4</v>
      </c>
      <c r="BN387" s="239">
        <f>IF(OR(WWWW[[#This Row],['# Existing latrines dysfunctional]]="",WWWW[[#This Row],['# Existing latrines dysfunctional]]=0),0,WWWW[[#This Row],['# Existing latrines dysfunctional]]/WWWW[[#This Row],[Total '# of latrine]])</f>
        <v>0</v>
      </c>
      <c r="BO387" s="675">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P387" s="235">
        <f>WWWW[[#This Row],[People adopt basic personal and community hygiene practices]]/WWWW[[#This Row],[Total PoP ]]</f>
        <v>0</v>
      </c>
      <c r="BQ387" s="239">
        <f>1-WWWW[[#This Row],[Hygiene Coverage%]]</f>
        <v>1</v>
      </c>
      <c r="BR387" s="414">
        <f>IF(500*WWWW[[#This Row],['# Hygiene Promoters ]]&gt;WWWW[[#This Row],[Total PoP ]],WWWW[[#This Row],[Total PoP ]],500*WWWW[[#This Row],['# Hygiene Promoters ]])</f>
        <v>82</v>
      </c>
      <c r="BS387" s="414">
        <f>IF(WWWW[[#This Row],[% of HH with access to Sanitary Pad]]&gt;=100%,1,0)</f>
        <v>0</v>
      </c>
      <c r="BT387" s="414">
        <f>IF(WWWW[[#This Row],[Total PoP ]]=0,0,IF(WWWW[[#This Row],['# Hygiene Promoters ]]=0,0,IF(WWWW[[#This Row],[Location Type 1]]="Village",IF(WWWW[[#This Row],[Total PoP ]]/WWWW[[#This Row],['# Hygiene Promoters ]]&lt;1000,1,0),IF(WWWW[[#This Row],[Total PoP ]]/WWWW[[#This Row],['# Hygiene Promoters ]]&lt;600,1,0))))</f>
        <v>1</v>
      </c>
      <c r="BU387" s="414">
        <f>IF(WWWW[[#This Row],[%HH with access to soap]]&gt;=100%,1,0)</f>
        <v>0</v>
      </c>
      <c r="BV387" s="414">
        <f>IF(WWWW[[#This Row],[% of HHs with access to Sanitary pad more than '#%]]+WWWW[[#This Row],[Ratio of Hyiene promoters to people less than '#]]+WWWW[[#This Row],[% of HHs with access to soap more than '#%]]&gt;=2,WWWW[[#This Row],[Total PoP ]],0)</f>
        <v>0</v>
      </c>
      <c r="BW387" s="346">
        <f>WWWW[[#This Row],['# people reached by regular dedicated hygiene promotion_5]]/WWWW[[#This Row],[Total PoP ]]</f>
        <v>1</v>
      </c>
      <c r="BX387" s="346">
        <f>IF(WWWW[[#This Row],['# HH received soaps]]/WWWW[[#This Row],[Total HH]]&gt;1,1,WWWW[[#This Row],['# HH received soaps]]/WWWW[[#This Row],[Total HH]])</f>
        <v>0</v>
      </c>
      <c r="BY387" s="346">
        <f>IF(WWWW[[#This Row],['# HH received Sanitary Pads]]/WWWW[[#This Row],[Total HH]]&gt;1,1,WWWW[[#This Row],['# HH received Sanitary Pads]]/WWWW[[#This Row],[Total HH]])</f>
        <v>0</v>
      </c>
      <c r="BZ387" s="720">
        <f>WWWW[[#This Row],['# HH received soaps]]*5</f>
        <v>0</v>
      </c>
      <c r="CA387" s="720">
        <f>WWWW[[#This Row],['# HH received Sanitary Pads]]*5</f>
        <v>0</v>
      </c>
      <c r="CB387" s="238">
        <f>IF(WWWW[[#This Row],['# People with access to soap]]&gt;WWWW[[#This Row],['# People with access to Sanity Pads]],WWWW[[#This Row],['# People with access to soap]],WWWW[[#This Row],['# People with access to Sanity Pads]])</f>
        <v>0</v>
      </c>
      <c r="CC387" s="414">
        <f>WWWW[[#This Row],[Total HH]]*WWWW[[#This Row],[%HHs with access to functional hand washing stations]]</f>
        <v>0</v>
      </c>
      <c r="CD387" s="240">
        <f>VLOOKUP(WWWW[[#This Row],[Site Name]],SiteDB6[],8,FALSE)</f>
        <v>0</v>
      </c>
      <c r="CE387" s="240">
        <f>VLOOKUP(WWWW[[#This Row],[Site Name]],SiteDB6[],9,FALSE)</f>
        <v>0</v>
      </c>
      <c r="CF387" s="240" t="str">
        <f>VLOOKUP(WWWW[[#This Row],[Site Name]],SiteDB6[],10,FALSE)</f>
        <v>Camp</v>
      </c>
      <c r="CG387" s="240" t="str">
        <f>VLOOKUP(WWWW[[#This Row],[Site Name]],SiteDB6[],11,FALSE)</f>
        <v>Camp</v>
      </c>
      <c r="CH387" s="240" t="str">
        <f>VLOOKUP(WWWW[[#This Row],[Site Name]],SiteDB6[],12,FALSE)</f>
        <v>Camp like setting</v>
      </c>
      <c r="CI387" s="240" t="str">
        <f>VLOOKUP(WWWW[[#This Row],[Site Name]],SiteDB6[],13,FALSE)</f>
        <v>GCA</v>
      </c>
      <c r="CJ387" s="240">
        <f>VLOOKUP(WWWW[[#This Row],[Site Name]],SiteDB6[],14,FALSE)</f>
        <v>22.765999999999998</v>
      </c>
      <c r="CK387" s="240">
        <f>VLOOKUP(WWWW[[#This Row],[Site Name]],SiteDB6[],15,FALSE)</f>
        <v>97.358999999999995</v>
      </c>
      <c r="CL387" s="240" t="str">
        <f>VLOOKUP(WWWW[[#This Row],[Site Name]],SiteDB6[],4,FALSE)</f>
        <v>MMR015CMP221</v>
      </c>
      <c r="CM387" s="235" t="str">
        <f t="shared" si="5"/>
        <v>Covered</v>
      </c>
      <c r="CN387" s="235"/>
    </row>
    <row r="388" spans="1:92" ht="15.75" customHeight="1" x14ac:dyDescent="0.25">
      <c r="A388" s="532" t="s">
        <v>1409</v>
      </c>
      <c r="B388" s="533" t="s">
        <v>297</v>
      </c>
      <c r="C388" s="533" t="s">
        <v>878</v>
      </c>
      <c r="D388" s="533" t="s">
        <v>901</v>
      </c>
      <c r="E388" s="533" t="s">
        <v>934</v>
      </c>
      <c r="F388" s="233">
        <v>35</v>
      </c>
      <c r="G388" s="414">
        <v>173</v>
      </c>
      <c r="H388" s="233"/>
      <c r="I388" s="233" t="s">
        <v>457</v>
      </c>
      <c r="J388" s="234">
        <v>43799</v>
      </c>
      <c r="K388" s="233">
        <v>0</v>
      </c>
      <c r="L388" s="233" t="s">
        <v>48</v>
      </c>
      <c r="M388" s="235">
        <v>0.4</v>
      </c>
      <c r="N388" s="235">
        <v>0.8</v>
      </c>
      <c r="O388" s="609">
        <v>1</v>
      </c>
      <c r="P388" s="615">
        <v>0</v>
      </c>
      <c r="Q388" s="615"/>
      <c r="R388" s="604"/>
      <c r="S388" s="604">
        <v>0</v>
      </c>
      <c r="T388" s="604">
        <v>0</v>
      </c>
      <c r="U388" s="604">
        <v>0</v>
      </c>
      <c r="V388" s="604">
        <v>0</v>
      </c>
      <c r="W388" s="604">
        <v>0</v>
      </c>
      <c r="X388" s="604">
        <v>0</v>
      </c>
      <c r="Y388" s="604"/>
      <c r="Z388" s="628">
        <v>37</v>
      </c>
      <c r="AA388" s="628">
        <v>0</v>
      </c>
      <c r="AB388" s="629">
        <v>0</v>
      </c>
      <c r="AC388" s="628">
        <v>0</v>
      </c>
      <c r="AD388" s="628" t="s">
        <v>296</v>
      </c>
      <c r="AE388" s="628" t="s">
        <v>296</v>
      </c>
      <c r="AF388" s="631"/>
      <c r="AG388" s="628"/>
      <c r="AH388" s="628"/>
      <c r="AI388" s="659"/>
      <c r="AJ388" s="644"/>
      <c r="AK388" s="644">
        <v>0</v>
      </c>
      <c r="AL388" s="645"/>
      <c r="AM388" s="645">
        <v>1</v>
      </c>
      <c r="AN388" s="647">
        <v>0</v>
      </c>
      <c r="AO388" s="647">
        <v>0</v>
      </c>
      <c r="AP388" s="647"/>
      <c r="AQ388" s="658"/>
      <c r="AR388" s="235" t="str">
        <f>IFERROR(WWWW[[#This Row],['# of Water passed at source]]/WWWW[[#This Row],['# of Water tested at source]],"no test")</f>
        <v>no test</v>
      </c>
      <c r="AS388" s="237" t="str">
        <f>IFERROR(WWWW[[#This Row],['# of Water passed at HH]]/WWWW[[#This Row],['# of Water tested at HH]],"no test")</f>
        <v>no test</v>
      </c>
      <c r="AT388" s="237">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U388" s="237">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AV388" s="237">
        <f>IF(WWWW[[#This Row],[Location Type 1]]="Village",WWWW[[#This Row],[Access to safe drinking water for Village]],WWWW[[#This Row],[Access to safe drinking water for Camp]])</f>
        <v>1</v>
      </c>
      <c r="AW388" s="414">
        <f>WWWW[[#This Row],[%Equitable and continuous access to sufficient quantity of safe drinking water]]*WWWW[[#This Row],[Total PoP ]]</f>
        <v>173</v>
      </c>
      <c r="AX388" s="237">
        <f>IF((WWWW[[#This Row],['# Existing protected/fenced ponds ]]*250)/WWWW[[#This Row],[Total PoP ]]&gt;1,1,WWWW[[#This Row],['# Existing protected/fenced ponds ]]*250/WWWW[[#This Row],[Total PoP ]])</f>
        <v>0</v>
      </c>
      <c r="AY388" s="414">
        <f>WWWW[[#This Row],[Access to unimproved water points]]*WWWW[[#This Row],[Total PoP ]]</f>
        <v>0</v>
      </c>
      <c r="AZ388" s="237">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A388" s="414">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173</v>
      </c>
      <c r="BB388" s="414">
        <f>WWWW[[#This Row],['#people Equitable and continuous access to sufficient quantity of domestic water borehole n ponds_2]]/500</f>
        <v>0.34599999999999997</v>
      </c>
      <c r="BC388" s="235">
        <f>1-WWWW[[#This Row],[%Equitable and continuous access to sufficient quantity of domestic water borehole n ponds]]</f>
        <v>0</v>
      </c>
      <c r="BD388" s="414">
        <f>WWWW[[#This Row],[%equitable and continuous access to sufficient quantity of safe drinking and domestic water''s GAP]]*WWWW[[#This Row],[Total PoP ]]</f>
        <v>0</v>
      </c>
      <c r="BE388" s="238">
        <f>IF(WWWW[[#This Row],[Total required water points]]-WWWW[[#This Row],['#Water points coverage]]&lt;0,0,WWWW[[#This Row],[Total required water points]]-WWWW[[#This Row],['#Water points coverage]])</f>
        <v>0.65400000000000003</v>
      </c>
      <c r="BF388" s="238">
        <f>ROUND(IF(WWWW[[#This Row],[Total PoP ]]&lt;500,1,WWWW[[#This Row],[Total PoP ]]/500),0)</f>
        <v>1</v>
      </c>
      <c r="BG388" s="238" t="str">
        <f>IF(AND(WWWW[[#This Row],[%of Water samples which passed at water source]]="no test",WWWW[[#This Row],[%Water samples which passed at HH]]="no test"),"No Test","Tested")</f>
        <v>No Test</v>
      </c>
      <c r="BH388" s="238">
        <f>WWWW[[#This Row],['# Existing functional latrines]]+WWWW[[#This Row],['# Existing latrines dysfunctional]]</f>
        <v>37</v>
      </c>
      <c r="BI388" s="235">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1</v>
      </c>
      <c r="BJ388" s="675">
        <f>WWWW[[#This Row],[% people access to functioning Latrine]]*WWWW[[#This Row],[Total PoP ]]</f>
        <v>173</v>
      </c>
      <c r="BK388" s="235">
        <f>IF(WWWW[[#This Row],[Location Type 1]]="camp",WWWW[[#This Row],['# potential required new latrines]]/(WWWW[[#This Row],[Total PoP ]]/20),WWWW[[#This Row],['# potential required new latrines]]/(WWWW[[#This Row],[Total PoP ]]/6))</f>
        <v>0</v>
      </c>
      <c r="BL388" s="414">
        <f>IF(WWWW[[#This Row],[Total required Latrines]]-WWWW[[#This Row],[Total '# of latrine]]&lt;0,0,WWWW[[#This Row],[Total required Latrines]]-WWWW[[#This Row],[Total '# of latrine]])</f>
        <v>0</v>
      </c>
      <c r="BM388" s="238">
        <f>ROUND(IF(WWWW[[#This Row],[Location Type 1]]="camp",WWWW[[#This Row],[Total PoP ]]/20,WWWW[[#This Row],[Total PoP ]]/6),0)</f>
        <v>9</v>
      </c>
      <c r="BN388" s="239">
        <f>IF(OR(WWWW[[#This Row],['# Existing latrines dysfunctional]]="",WWWW[[#This Row],['# Existing latrines dysfunctional]]=0),0,WWWW[[#This Row],['# Existing latrines dysfunctional]]/WWWW[[#This Row],[Total '# of latrine]])</f>
        <v>0</v>
      </c>
      <c r="BO388" s="675">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P388" s="235">
        <f>WWWW[[#This Row],[People adopt basic personal and community hygiene practices]]/WWWW[[#This Row],[Total PoP ]]</f>
        <v>0</v>
      </c>
      <c r="BQ388" s="239">
        <f>1-WWWW[[#This Row],[Hygiene Coverage%]]</f>
        <v>1</v>
      </c>
      <c r="BR388" s="414">
        <f>IF(500*WWWW[[#This Row],['# Hygiene Promoters ]]&gt;WWWW[[#This Row],[Total PoP ]],WWWW[[#This Row],[Total PoP ]],500*WWWW[[#This Row],['# Hygiene Promoters ]])</f>
        <v>173</v>
      </c>
      <c r="BS388" s="414">
        <f>IF(WWWW[[#This Row],[% of HH with access to Sanitary Pad]]&gt;=100%,1,0)</f>
        <v>0</v>
      </c>
      <c r="BT388" s="414">
        <f>IF(WWWW[[#This Row],[Total PoP ]]=0,0,IF(WWWW[[#This Row],['# Hygiene Promoters ]]=0,0,IF(WWWW[[#This Row],[Location Type 1]]="Village",IF(WWWW[[#This Row],[Total PoP ]]/WWWW[[#This Row],['# Hygiene Promoters ]]&lt;1000,1,0),IF(WWWW[[#This Row],[Total PoP ]]/WWWW[[#This Row],['# Hygiene Promoters ]]&lt;600,1,0))))</f>
        <v>1</v>
      </c>
      <c r="BU388" s="414">
        <f>IF(WWWW[[#This Row],[%HH with access to soap]]&gt;=100%,1,0)</f>
        <v>0</v>
      </c>
      <c r="BV388" s="414">
        <f>IF(WWWW[[#This Row],[% of HHs with access to Sanitary pad more than '#%]]+WWWW[[#This Row],[Ratio of Hyiene promoters to people less than '#]]+WWWW[[#This Row],[% of HHs with access to soap more than '#%]]&gt;=2,WWWW[[#This Row],[Total PoP ]],0)</f>
        <v>0</v>
      </c>
      <c r="BW388" s="346">
        <f>WWWW[[#This Row],['# people reached by regular dedicated hygiene promotion_5]]/WWWW[[#This Row],[Total PoP ]]</f>
        <v>1</v>
      </c>
      <c r="BX388" s="346">
        <f>IF(WWWW[[#This Row],['# HH received soaps]]/WWWW[[#This Row],[Total HH]]&gt;1,1,WWWW[[#This Row],['# HH received soaps]]/WWWW[[#This Row],[Total HH]])</f>
        <v>0</v>
      </c>
      <c r="BY388" s="346">
        <f>IF(WWWW[[#This Row],['# HH received Sanitary Pads]]/WWWW[[#This Row],[Total HH]]&gt;1,1,WWWW[[#This Row],['# HH received Sanitary Pads]]/WWWW[[#This Row],[Total HH]])</f>
        <v>0</v>
      </c>
      <c r="BZ388" s="720">
        <f>WWWW[[#This Row],['# HH received soaps]]*5</f>
        <v>0</v>
      </c>
      <c r="CA388" s="720">
        <f>WWWW[[#This Row],['# HH received Sanitary Pads]]*5</f>
        <v>0</v>
      </c>
      <c r="CB388" s="238">
        <f>IF(WWWW[[#This Row],['# People with access to soap]]&gt;WWWW[[#This Row],['# People with access to Sanity Pads]],WWWW[[#This Row],['# People with access to soap]],WWWW[[#This Row],['# People with access to Sanity Pads]])</f>
        <v>0</v>
      </c>
      <c r="CC388" s="414">
        <f>WWWW[[#This Row],[Total HH]]*WWWW[[#This Row],[%HHs with access to functional hand washing stations]]</f>
        <v>0</v>
      </c>
      <c r="CD388" s="240">
        <f>VLOOKUP(WWWW[[#This Row],[Site Name]],SiteDB6[],8,FALSE)</f>
        <v>0</v>
      </c>
      <c r="CE388" s="240">
        <f>VLOOKUP(WWWW[[#This Row],[Site Name]],SiteDB6[],9,FALSE)</f>
        <v>0</v>
      </c>
      <c r="CF388" s="240" t="str">
        <f>VLOOKUP(WWWW[[#This Row],[Site Name]],SiteDB6[],10,FALSE)</f>
        <v>Camp</v>
      </c>
      <c r="CG388" s="240" t="str">
        <f>VLOOKUP(WWWW[[#This Row],[Site Name]],SiteDB6[],11,FALSE)</f>
        <v>Camp</v>
      </c>
      <c r="CH388" s="240" t="str">
        <f>VLOOKUP(WWWW[[#This Row],[Site Name]],SiteDB6[],12,FALSE)</f>
        <v>Closed Camp</v>
      </c>
      <c r="CI388" s="240" t="str">
        <f>VLOOKUP(WWWW[[#This Row],[Site Name]],SiteDB6[],13,FALSE)</f>
        <v>GCA</v>
      </c>
      <c r="CJ388" s="240">
        <f>VLOOKUP(WWWW[[#This Row],[Site Name]],SiteDB6[],14,FALSE)</f>
        <v>23.353999999999999</v>
      </c>
      <c r="CK388" s="240">
        <f>VLOOKUP(WWWW[[#This Row],[Site Name]],SiteDB6[],15,FALSE)</f>
        <v>98.221000000000004</v>
      </c>
      <c r="CL388" s="240" t="str">
        <f>VLOOKUP(WWWW[[#This Row],[Site Name]],SiteDB6[],4,FALSE)</f>
        <v>MMR015CMP226</v>
      </c>
      <c r="CM388" s="235" t="str">
        <f t="shared" si="5"/>
        <v>Covered</v>
      </c>
      <c r="CN388" s="235"/>
    </row>
    <row r="389" spans="1:92" ht="15.75" customHeight="1" x14ac:dyDescent="0.25">
      <c r="A389" s="532" t="s">
        <v>1409</v>
      </c>
      <c r="B389" s="533" t="s">
        <v>348</v>
      </c>
      <c r="C389" s="533" t="s">
        <v>878</v>
      </c>
      <c r="D389" s="533" t="s">
        <v>882</v>
      </c>
      <c r="E389" s="533" t="s">
        <v>906</v>
      </c>
      <c r="F389" s="233">
        <v>190</v>
      </c>
      <c r="G389" s="414">
        <v>917</v>
      </c>
      <c r="H389" s="233"/>
      <c r="I389" s="233" t="s">
        <v>899</v>
      </c>
      <c r="J389" s="234" t="s">
        <v>2603</v>
      </c>
      <c r="K389" s="233">
        <v>0</v>
      </c>
      <c r="L389" s="233" t="s">
        <v>48</v>
      </c>
      <c r="M389" s="235">
        <v>0.6</v>
      </c>
      <c r="N389" s="235"/>
      <c r="O389" s="609"/>
      <c r="P389" s="615"/>
      <c r="Q389" s="615">
        <v>43200</v>
      </c>
      <c r="R389" s="604"/>
      <c r="S389" s="604">
        <v>16</v>
      </c>
      <c r="T389" s="604">
        <v>0</v>
      </c>
      <c r="U389" s="604">
        <v>0</v>
      </c>
      <c r="V389" s="604">
        <v>0</v>
      </c>
      <c r="W389" s="604">
        <v>0</v>
      </c>
      <c r="X389" s="604">
        <v>0</v>
      </c>
      <c r="Y389" s="604"/>
      <c r="Z389" s="628">
        <v>127</v>
      </c>
      <c r="AA389" s="628">
        <v>85</v>
      </c>
      <c r="AB389" s="629">
        <v>0</v>
      </c>
      <c r="AC389" s="628">
        <v>212</v>
      </c>
      <c r="AD389" s="628" t="s">
        <v>1379</v>
      </c>
      <c r="AE389" s="631" t="s">
        <v>342</v>
      </c>
      <c r="AF389" s="631">
        <v>0</v>
      </c>
      <c r="AG389" s="628">
        <v>0</v>
      </c>
      <c r="AH389" s="628"/>
      <c r="AI389" s="659">
        <v>0.6</v>
      </c>
      <c r="AJ389" s="644" t="s">
        <v>301</v>
      </c>
      <c r="AK389" s="644">
        <v>4</v>
      </c>
      <c r="AL389" s="645"/>
      <c r="AM389" s="645">
        <v>1</v>
      </c>
      <c r="AN389" s="647">
        <v>182</v>
      </c>
      <c r="AO389" s="647">
        <v>0</v>
      </c>
      <c r="AP389" s="647"/>
      <c r="AQ389" s="658"/>
      <c r="AR389" s="235" t="str">
        <f>IFERROR(WWWW[[#This Row],['# of Water passed at source]]/WWWW[[#This Row],['# of Water tested at source]],"no test")</f>
        <v>no test</v>
      </c>
      <c r="AS389" s="237" t="str">
        <f>IFERROR(WWWW[[#This Row],['# of Water passed at HH]]/WWWW[[#This Row],['# of Water tested at HH]],"no test")</f>
        <v>no test</v>
      </c>
      <c r="AT389" s="237">
        <f>IF(SUM(WWWW[[#This Row],['# Functioning protected hand dug well]:['# Litres/Day provided]])=0,0,IF((WWWW[[#This Row],['# Functioning protected hand dug well]]*400)+(WWWW[[#This Row],['# Functioning Tube wells/boreholes ]]*500)+(WWWW[[#This Row],['# Litres/Day provided]]/15)/WWWW[[#This Row],[Total PoP ]]&gt;1,1,(WWWW[[#This Row],['# Functioning protected hand dug well]]*400)+(WWWW[[#This Row],['# Functioning Tube wells/boreholes ]]*500)+(WWWW[[#This Row],['# Litres/Day provided]]/15)/WWWW[[#This Row],[Total PoP ]]))</f>
        <v>1</v>
      </c>
      <c r="AU389" s="237">
        <f>IF(SUM(WWWW[[#This Row],['# Functioning protected hand dug well]:['# Litres/Day provided]])=0,0,IF((WWWW[[#This Row],['# Functioning protected hand dug well]]*250+WWWW[[#This Row],['# Functioning Tube wells/boreholes ]]*250+(WWWW[[#This Row],['# Litres/Day provided]]/15))/WWWW[[#This Row],[Total PoP ]]&gt;1,1,(WWWW[[#This Row],['# Functioning protected hand dug well]]*250+WWWW[[#This Row],['# Functioning Tube wells/boreholes ]]*250+(WWWW[[#This Row],['# Litres/Day provided]]/15))/WWWW[[#This Row],[Total PoP ]]))</f>
        <v>1</v>
      </c>
      <c r="AV389" s="237">
        <f>IF(WWWW[[#This Row],[Location Type 1]]="Village",WWWW[[#This Row],[Access to safe drinking water for Village]],WWWW[[#This Row],[Access to safe drinking water for Camp]])</f>
        <v>1</v>
      </c>
      <c r="AW389" s="414">
        <f>WWWW[[#This Row],[%Equitable and continuous access to sufficient quantity of safe drinking water]]*WWWW[[#This Row],[Total PoP ]]</f>
        <v>917</v>
      </c>
      <c r="AX389" s="237">
        <f>IF((WWWW[[#This Row],['# Existing protected/fenced ponds ]]*250)/WWWW[[#This Row],[Total PoP ]]&gt;1,1,WWWW[[#This Row],['# Existing protected/fenced ponds ]]*250/WWWW[[#This Row],[Total PoP ]])</f>
        <v>0</v>
      </c>
      <c r="AY389" s="414">
        <f>WWWW[[#This Row],[Access to unimproved water points]]*WWWW[[#This Row],[Total PoP ]]</f>
        <v>0</v>
      </c>
      <c r="AZ389" s="237">
        <f>IF(WWWW[[#This Row],[Access to unimproved water points]]+WWWW[[#This Row],[%Equitable and continuous access to sufficient quantity of safe drinking water]]&gt;1,1,WWWW[[#This Row],[Access to unimproved water points]]+WWWW[[#This Row],[%Equitable and continuous access to sufficient quantity of safe drinking water]])</f>
        <v>1</v>
      </c>
      <c r="BA389" s="414">
        <f>IF(WWWW[[#This Row],['#ppl Equitable and continuous access to sufficient quantity of safe drinking water_1]]+WWWW[[#This Row],['#People access to unimproved water sources]]&gt;WWWW[[#This Row],[Total PoP ]],WWWW[[#This Row],[Total PoP ]],WWWW[[#This Row],['#ppl Equitable and continuous access to sufficient quantity of safe drinking water_1]]+WWWW[[#This Row],['#People access to unimproved water sources]])</f>
        <v>917</v>
      </c>
      <c r="BB389" s="414">
        <f>WWWW[[#This Row],['#people Equitable and continuous access to sufficient quantity of domestic water borehole n ponds_2]]/500</f>
        <v>1.8340000000000001</v>
      </c>
      <c r="BC389" s="235">
        <f>1-WWWW[[#This Row],[%Equitable and continuous access to sufficient quantity of domestic water borehole n ponds]]</f>
        <v>0</v>
      </c>
      <c r="BD389" s="414">
        <f>WWWW[[#This Row],[%equitable and continuous access to sufficient quantity of safe drinking and domestic water''s GAP]]*WWWW[[#This Row],[Total PoP ]]</f>
        <v>0</v>
      </c>
      <c r="BE389" s="238">
        <f>IF(WWWW[[#This Row],[Total required water points]]-WWWW[[#This Row],['#Water points coverage]]&lt;0,0,WWWW[[#This Row],[Total required water points]]-WWWW[[#This Row],['#Water points coverage]])</f>
        <v>0.16599999999999993</v>
      </c>
      <c r="BF389" s="238">
        <f>ROUND(IF(WWWW[[#This Row],[Total PoP ]]&lt;500,1,WWWW[[#This Row],[Total PoP ]]/500),0)</f>
        <v>2</v>
      </c>
      <c r="BG389" s="238" t="str">
        <f>IF(AND(WWWW[[#This Row],[%of Water samples which passed at water source]]="no test",WWWW[[#This Row],[%Water samples which passed at HH]]="no test"),"No Test","Tested")</f>
        <v>No Test</v>
      </c>
      <c r="BH389" s="238">
        <f>WWWW[[#This Row],['# Existing functional latrines]]+WWWW[[#This Row],['# Existing latrines dysfunctional]]</f>
        <v>212</v>
      </c>
      <c r="BI389" s="235">
        <f>IF(WWWW[[#This Row],[Total PoP ]]="",0,IF(WWWW[[#This Row],[Location Type 1]]="camp",IF((WWWW[[#This Row],['# Existing functional latrines]]*20)/WWWW[[#This Row],[Total PoP ]]&gt;1,1,(WWWW[[#This Row],['# Existing functional latrines]]*20)/WWWW[[#This Row],[Total PoP ]]),IF((WWWW[[#This Row],['# Existing functional latrines]]*6)/WWWW[[#This Row],[Total PoP ]]&gt;1,1,(WWWW[[#This Row],['# Existing functional latrines]]*6)/WWWW[[#This Row],[Total PoP ]])))</f>
        <v>0.83097055616139581</v>
      </c>
      <c r="BJ389" s="675">
        <f>WWWW[[#This Row],[% people access to functioning Latrine]]*WWWW[[#This Row],[Total PoP ]]</f>
        <v>762</v>
      </c>
      <c r="BK389" s="235">
        <f>IF(WWWW[[#This Row],[Location Type 1]]="camp",WWWW[[#This Row],['# potential required new latrines]]/(WWWW[[#This Row],[Total PoP ]]/20),WWWW[[#This Row],['# potential required new latrines]]/(WWWW[[#This Row],[Total PoP ]]/6))</f>
        <v>0</v>
      </c>
      <c r="BL389" s="414">
        <f>IF(WWWW[[#This Row],[Total required Latrines]]-WWWW[[#This Row],[Total '# of latrine]]&lt;0,0,WWWW[[#This Row],[Total required Latrines]]-WWWW[[#This Row],[Total '# of latrine]])</f>
        <v>0</v>
      </c>
      <c r="BM389" s="238">
        <f>ROUND(IF(WWWW[[#This Row],[Location Type 1]]="camp",WWWW[[#This Row],[Total PoP ]]/20,WWWW[[#This Row],[Total PoP ]]/6),0)</f>
        <v>153</v>
      </c>
      <c r="BN389" s="239">
        <f>IF(OR(WWWW[[#This Row],['# Existing latrines dysfunctional]]="",WWWW[[#This Row],['# Existing latrines dysfunctional]]=0),0,WWWW[[#This Row],['# Existing latrines dysfunctional]]/WWWW[[#This Row],[Total '# of latrine]])</f>
        <v>0.40094339622641512</v>
      </c>
      <c r="BO389" s="675">
        <f>IF(WWWW[[#This Row],[Location Type 1]]="Village","N/A",IF(WWWW[[#This Row],[Location Type 1]]="camp",IF(20*WWWW[[#This Row],['# of latrines desludged]]&gt;WWWW[[#This Row],[Total PoP ]],WWWW[[#This Row],[Total PoP ]],20*WWWW[[#This Row],['# of latrines desludged]]),IF(6*WWWW[[#This Row],['# of latrines desludged]]&gt;WWWW[[#This Row],[Total PoP ]],WWWW[[#This Row],[Total PoP ]],6*WWWW[[#This Row],['# of latrines desludged]])))</f>
        <v>0</v>
      </c>
      <c r="BP389" s="235">
        <f>WWWW[[#This Row],[People adopt basic personal and community hygiene practices]]/WWWW[[#This Row],[Total PoP ]]</f>
        <v>0</v>
      </c>
      <c r="BQ389" s="239">
        <f>1-WWWW[[#This Row],[Hygiene Coverage%]]</f>
        <v>1</v>
      </c>
      <c r="BR389" s="414">
        <f>IF(500*WWWW[[#This Row],['# Hygiene Promoters ]]&gt;WWWW[[#This Row],[Total PoP ]],WWWW[[#This Row],[Total PoP ]],500*WWWW[[#This Row],['# Hygiene Promoters ]])</f>
        <v>500</v>
      </c>
      <c r="BS389" s="414">
        <f>IF(WWWW[[#This Row],[% of HH with access to Sanitary Pad]]&gt;=100%,1,0)</f>
        <v>0</v>
      </c>
      <c r="BT389" s="414">
        <f>IF(WWWW[[#This Row],[Total PoP ]]=0,0,IF(WWWW[[#This Row],['# Hygiene Promoters ]]=0,0,IF(WWWW[[#This Row],[Location Type 1]]="Village",IF(WWWW[[#This Row],[Total PoP ]]/WWWW[[#This Row],['# Hygiene Promoters ]]&lt;1000,1,0),IF(WWWW[[#This Row],[Total PoP ]]/WWWW[[#This Row],['# Hygiene Promoters ]]&lt;600,1,0))))</f>
        <v>0</v>
      </c>
      <c r="BU389" s="414">
        <f>IF(WWWW[[#This Row],[%HH with access to soap]]&gt;=100%,1,0)</f>
        <v>0</v>
      </c>
      <c r="BV389" s="414">
        <f>IF(WWWW[[#This Row],[% of HHs with access to Sanitary pad more than '#%]]+WWWW[[#This Row],[Ratio of Hyiene promoters to people less than '#]]+WWWW[[#This Row],[% of HHs with access to soap more than '#%]]&gt;=2,WWWW[[#This Row],[Total PoP ]],0)</f>
        <v>0</v>
      </c>
      <c r="BW389" s="346">
        <f>WWWW[[#This Row],['# people reached by regular dedicated hygiene promotion_5]]/WWWW[[#This Row],[Total PoP ]]</f>
        <v>0.54525627044711011</v>
      </c>
      <c r="BX389" s="346">
        <f>IF(WWWW[[#This Row],['# HH received soaps]]/WWWW[[#This Row],[Total HH]]&gt;1,1,WWWW[[#This Row],['# HH received soaps]]/WWWW[[#This Row],[Total HH]])</f>
        <v>0.95789473684210524</v>
      </c>
      <c r="BY389" s="346">
        <f>IF(WWWW[[#This Row],['# HH received Sanitary Pads]]/WWWW[[#This Row],[Total HH]]&gt;1,1,WWWW[[#This Row],['# HH received Sanitary Pads]]/WWWW[[#This Row],[Total HH]])</f>
        <v>0</v>
      </c>
      <c r="BZ389" s="720">
        <f>WWWW[[#This Row],['# HH received soaps]]*5</f>
        <v>910</v>
      </c>
      <c r="CA389" s="720">
        <f>WWWW[[#This Row],['# HH received Sanitary Pads]]*5</f>
        <v>0</v>
      </c>
      <c r="CB389" s="238">
        <f>IF(WWWW[[#This Row],['# People with access to soap]]&gt;WWWW[[#This Row],['# People with access to Sanity Pads]],WWWW[[#This Row],['# People with access to soap]],WWWW[[#This Row],['# People with access to Sanity Pads]])</f>
        <v>910</v>
      </c>
      <c r="CC389" s="414">
        <f>WWWW[[#This Row],[Total HH]]*WWWW[[#This Row],[%HHs with access to functional hand washing stations]]</f>
        <v>114</v>
      </c>
      <c r="CD389" s="240" t="str">
        <f>VLOOKUP(WWWW[[#This Row],[Site Name]],SiteDB6[],8,FALSE)</f>
        <v>Yes</v>
      </c>
      <c r="CE389" s="240" t="str">
        <f>VLOOKUP(WWWW[[#This Row],[Site Name]],SiteDB6[],9,FALSE)</f>
        <v>KBC</v>
      </c>
      <c r="CF389" s="240" t="str">
        <f>VLOOKUP(WWWW[[#This Row],[Site Name]],SiteDB6[],10,FALSE)</f>
        <v>Camp</v>
      </c>
      <c r="CG389" s="240" t="str">
        <f>VLOOKUP(WWWW[[#This Row],[Site Name]],SiteDB6[],11,FALSE)</f>
        <v>Village Type Camp</v>
      </c>
      <c r="CH389" s="240" t="str">
        <f>VLOOKUP(WWWW[[#This Row],[Site Name]],SiteDB6[],12,FALSE)</f>
        <v>Camp</v>
      </c>
      <c r="CI389" s="240" t="str">
        <f>VLOOKUP(WWWW[[#This Row],[Site Name]],SiteDB6[],13,FALSE)</f>
        <v>GCA</v>
      </c>
      <c r="CJ389" s="240">
        <f>VLOOKUP(WWWW[[#This Row],[Site Name]],SiteDB6[],14,FALSE)</f>
        <v>23.38503</v>
      </c>
      <c r="CK389" s="240">
        <f>VLOOKUP(WWWW[[#This Row],[Site Name]],SiteDB6[],15,FALSE)</f>
        <v>97.837040000000002</v>
      </c>
      <c r="CL389" s="240" t="str">
        <f>VLOOKUP(WWWW[[#This Row],[Site Name]],SiteDB6[],4,FALSE)</f>
        <v>MMR015CMP020</v>
      </c>
      <c r="CM389" s="235" t="str">
        <f t="shared" si="5"/>
        <v>Covered</v>
      </c>
      <c r="CN389" s="235"/>
    </row>
    <row r="391" spans="1:92" x14ac:dyDescent="0.25">
      <c r="Z391" s="45"/>
    </row>
  </sheetData>
  <mergeCells count="3">
    <mergeCell ref="O1:Y1"/>
    <mergeCell ref="Z1:AH1"/>
    <mergeCell ref="AI1:AQ1"/>
  </mergeCells>
  <conditionalFormatting sqref="BK4:BK5">
    <cfRule type="iconSet" priority="25">
      <iconSet reverse="1">
        <cfvo type="percent" val="0"/>
        <cfvo type="percent" val="0" gte="0"/>
        <cfvo type="percent" val="30"/>
      </iconSet>
    </cfRule>
  </conditionalFormatting>
  <conditionalFormatting sqref="BR4:BV4 BQ4:BQ5">
    <cfRule type="iconSet" priority="24">
      <iconSet reverse="1">
        <cfvo type="percent" val="0"/>
        <cfvo type="percent" val="0" gte="0"/>
        <cfvo type="percent" val="30"/>
      </iconSet>
    </cfRule>
  </conditionalFormatting>
  <conditionalFormatting sqref="CE390:CE1048576 CF1:CF2">
    <cfRule type="iconSet" priority="139">
      <iconSet reverse="1">
        <cfvo type="percent" val="0"/>
        <cfvo type="percent" val="0" gte="0"/>
        <cfvo type="percent" val="30"/>
      </iconSet>
    </cfRule>
  </conditionalFormatting>
  <conditionalFormatting sqref="BN4:BO4">
    <cfRule type="iconSet" priority="151">
      <iconSet reverse="1">
        <cfvo type="percent" val="0"/>
        <cfvo type="percent" val="0" gte="0"/>
        <cfvo type="percent" val="10"/>
      </iconSet>
    </cfRule>
  </conditionalFormatting>
  <conditionalFormatting sqref="BK3">
    <cfRule type="iconSet" priority="5">
      <iconSet reverse="1">
        <cfvo type="percent" val="0"/>
        <cfvo type="percent" val="0" gte="0"/>
        <cfvo type="percent" val="30"/>
      </iconSet>
    </cfRule>
  </conditionalFormatting>
  <conditionalFormatting sqref="BQ3">
    <cfRule type="iconSet" priority="4">
      <iconSet reverse="1">
        <cfvo type="percent" val="0"/>
        <cfvo type="percent" val="0" gte="0"/>
        <cfvo type="percent" val="30"/>
      </iconSet>
    </cfRule>
  </conditionalFormatting>
  <conditionalFormatting sqref="E178">
    <cfRule type="duplicateValues" dxfId="833" priority="3"/>
  </conditionalFormatting>
  <conditionalFormatting sqref="E179:E181 E46:E49 E51:E52 E156:E177 E54:E154">
    <cfRule type="duplicateValues" dxfId="832" priority="6091"/>
  </conditionalFormatting>
  <conditionalFormatting sqref="BC5">
    <cfRule type="iconSet" priority="10914">
      <iconSet reverse="1">
        <cfvo type="percent" val="0"/>
        <cfvo type="percent" val="0" gte="0"/>
        <cfvo type="percent" val="30"/>
      </iconSet>
    </cfRule>
  </conditionalFormatting>
  <conditionalFormatting sqref="BC3">
    <cfRule type="iconSet" priority="10917">
      <iconSet reverse="1">
        <cfvo type="percent" val="0"/>
        <cfvo type="percent" val="0" gte="0"/>
        <cfvo type="percent" val="30"/>
      </iconSet>
    </cfRule>
  </conditionalFormatting>
  <conditionalFormatting sqref="E7:E52 E54:E389">
    <cfRule type="duplicateValues" dxfId="831" priority="11000"/>
  </conditionalFormatting>
  <conditionalFormatting sqref="BK7:BK389">
    <cfRule type="iconSet" priority="11003">
      <iconSet reverse="1">
        <cfvo type="percent" val="0"/>
        <cfvo type="percent" val="0" gte="0"/>
        <cfvo type="percent" val="30"/>
      </iconSet>
    </cfRule>
  </conditionalFormatting>
  <conditionalFormatting sqref="BQ7:BQ389">
    <cfRule type="iconSet" priority="11005">
      <iconSet reverse="1">
        <cfvo type="percent" val="0"/>
        <cfvo type="percent" val="0" gte="0"/>
        <cfvo type="percent" val="30"/>
      </iconSet>
    </cfRule>
  </conditionalFormatting>
  <conditionalFormatting sqref="BC7:BC389">
    <cfRule type="iconSet" priority="11007">
      <iconSet reverse="1">
        <cfvo type="percent" val="0"/>
        <cfvo type="percent" val="0" gte="0"/>
        <cfvo type="percent" val="30"/>
      </iconSet>
    </cfRule>
  </conditionalFormatting>
  <dataValidations count="14">
    <dataValidation type="list" allowBlank="1" showInputMessage="1" showErrorMessage="1" sqref="AL4:AN4 E4 AE4:AF4 AI329:AI334 AI262:AI327 AH46:AI48 B390:E1048576 AH390:AJ1048576 AH12:AI13 AI232:AI260 AI336:AI389 AI49:AI230 AH49:AH389">
      <formula1>#REF!</formula1>
    </dataValidation>
    <dataValidation type="whole" operator="greaterThanOrEqual" allowBlank="1" showInputMessage="1" showErrorMessage="1" sqref="AA18 AA22 AB18:AB39 T18:V39 V7:V8 Z7:AC8 O7:T8 AF7:AH11 AK7:AM11 O9:V11 Z9:AA11 AC9:AC11 T12:V13 K7:K45 AB9:AB13 Z331:AA331 H7:H45 AB332:AB333">
      <formula1>0</formula1>
    </dataValidation>
    <dataValidation type="whole" operator="lessThanOrEqual" allowBlank="1" showInputMessage="1" showErrorMessage="1" sqref="U7:U8 W18:W39 W7:W13">
      <formula1>T7</formula1>
    </dataValidation>
    <dataValidation type="list" operator="lessThanOrEqual" allowBlank="1" showInputMessage="1" showErrorMessage="1" sqref="AP7:AP11">
      <formula1>"Yes, No"</formula1>
    </dataValidation>
    <dataValidation type="decimal" operator="lessThanOrEqual" allowBlank="1" showInputMessage="1" showErrorMessage="1" sqref="AI7:AI11 N7:N46 M7:M45 M80:N97 M109:N121 M127:N140 M178:N179 M181:N181 M194:N202 M204:N204 M215:N216 M221:N221 M382:N383 M183:N185">
      <formula1>1</formula1>
    </dataValidation>
    <dataValidation type="whole" operator="lessThanOrEqual" allowBlank="1" showInputMessage="1" showErrorMessage="1" sqref="AN7:AN13">
      <formula1>F7</formula1>
    </dataValidation>
    <dataValidation type="whole" operator="lessThanOrEqual" allowBlank="1" showInputMessage="1" showErrorMessage="1" sqref="AO7:AO13">
      <formula1>F7</formula1>
    </dataValidation>
    <dataValidation operator="greaterThanOrEqual" allowBlank="1" showInputMessage="1" showErrorMessage="1" sqref="Y7:Y13"/>
    <dataValidation type="list" allowBlank="1" showInputMessage="1" showErrorMessage="1" sqref="M337:N337 M180:N180 L7:L389">
      <formula1>"Yes, No, NA"</formula1>
    </dataValidation>
    <dataValidation type="whole" operator="lessThanOrEqual" allowBlank="1" showInputMessage="1" showErrorMessage="1" sqref="AO355">
      <formula1>#REF!</formula1>
    </dataValidation>
    <dataValidation type="list" allowBlank="1" showInputMessage="1" showErrorMessage="1" sqref="D7:D389">
      <formula1>OFFSET(Statestart_1,MATCH(C7, State_list, 0)-1, 1,COUNTIF(State_list,C7),1)</formula1>
    </dataValidation>
    <dataValidation type="list" allowBlank="1" showInputMessage="1" showErrorMessage="1" sqref="C7:C389">
      <formula1>"Kachin, Rakhine, Shan (North)"</formula1>
    </dataValidation>
    <dataValidation type="list" allowBlank="1" showInputMessage="1" showErrorMessage="1" sqref="CM7:CM389">
      <formula1>"Covered, Not_covered"</formula1>
    </dataValidation>
    <dataValidation type="list" allowBlank="1" showInputMessage="1" showErrorMessage="1" sqref="E7:E389">
      <formula1>OFFSET(Tsps_lookstart,MATCH(D7,Tsps_look, 0)-1,1, COUNTIF(Tsps_look,D7),1)</formula1>
    </dataValidation>
  </dataValidations>
  <pageMargins left="0.7" right="0.7" top="0.75" bottom="0.75" header="0.3" footer="0.3"/>
  <pageSetup orientation="portrait" r:id="rId1"/>
  <legacyDrawing r:id="rId2"/>
  <tableParts count="1">
    <tablePart r:id="rId3"/>
  </tableParts>
  <extLst>
    <ext xmlns:x14="http://schemas.microsoft.com/office/spreadsheetml/2009/9/main" uri="{CCE6A557-97BC-4b89-ADB6-D9C93CAAB3DF}">
      <x14:dataValidations xmlns:xm="http://schemas.microsoft.com/office/excel/2006/main" count="11">
        <x14:dataValidation type="list" allowBlank="1" showInputMessage="1" showErrorMessage="1">
          <x14:formula1>
            <xm:f>Lookup!$D$4:$D$37</xm:f>
          </x14:formula1>
          <xm:sqref>D4</xm:sqref>
        </x14:dataValidation>
        <x14:dataValidation type="list" allowBlank="1" showInputMessage="1" showErrorMessage="1">
          <x14:formula1>
            <xm:f>Lookup!$B$4:$B$20</xm:f>
          </x14:formula1>
          <xm:sqref>B4</xm:sqref>
        </x14:dataValidation>
        <x14:dataValidation type="list" allowBlank="1" showInputMessage="1" showErrorMessage="1">
          <x14:formula1>
            <xm:f>Lookup!$C$4:$C$6</xm:f>
          </x14:formula1>
          <xm:sqref>C4</xm:sqref>
        </x14:dataValidation>
        <x14:dataValidation type="list" allowBlank="1" showInputMessage="1" showErrorMessage="1">
          <x14:formula1>
            <xm:f>[6]Lookup!#REF!</xm:f>
          </x14:formula1>
          <xm:sqref>AJ3 AD3</xm:sqref>
        </x14:dataValidation>
        <x14:dataValidation type="list" allowBlank="1" showInputMessage="1" showErrorMessage="1">
          <x14:formula1>
            <xm:f>[7]Lookup!#REF!</xm:f>
          </x14:formula1>
          <xm:sqref>C3:D3</xm:sqref>
        </x14:dataValidation>
        <x14:dataValidation type="list" allowBlank="1" showInputMessage="1" showErrorMessage="1">
          <x14:formula1>
            <xm:f>[7]SiteDatabase!#REF!</xm:f>
          </x14:formula1>
          <xm:sqref>E3</xm:sqref>
        </x14:dataValidation>
        <x14:dataValidation type="list" allowBlank="1" showInputMessage="1" showErrorMessage="1">
          <x14:formula1>
            <xm:f>Lookup!$U$4:$U$7</xm:f>
          </x14:formula1>
          <xm:sqref>AD7:AE52 AD54:AE389 AD53</xm:sqref>
        </x14:dataValidation>
        <x14:dataValidation type="list" allowBlank="1" showInputMessage="1" showErrorMessage="1">
          <x14:formula1>
            <xm:f>Lookup!$X$4:$X$6</xm:f>
          </x14:formula1>
          <xm:sqref>AJ7:AJ389</xm:sqref>
        </x14:dataValidation>
        <x14:dataValidation type="list" allowBlank="1" showInputMessage="1" showErrorMessage="1">
          <x14:formula1>
            <xm:f>Lookup!$B$4:$B$54</xm:f>
          </x14:formula1>
          <xm:sqref>B7:B389</xm:sqref>
        </x14:dataValidation>
        <x14:dataValidation type="list" allowBlank="1" showInputMessage="1" showErrorMessage="1">
          <x14:formula1>
            <xm:f>Lookup!$A$4:$A$24</xm:f>
          </x14:formula1>
          <xm:sqref>A7:A389</xm:sqref>
        </x14:dataValidation>
        <x14:dataValidation type="list" errorStyle="information" allowBlank="1" showInputMessage="1" showErrorMessage="1">
          <x14:formula1>
            <xm:f>Lookup!$I$4:$I$52</xm:f>
          </x14:formula1>
          <xm:sqref>I7:I389</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774"/>
  <sheetViews>
    <sheetView zoomScale="106" zoomScaleNormal="106" workbookViewId="0">
      <pane xSplit="1" ySplit="1" topLeftCell="B2" activePane="bottomRight" state="frozen"/>
      <selection activeCell="E6089" sqref="E6089"/>
      <selection pane="topRight" activeCell="E6089" sqref="E6089"/>
      <selection pane="bottomLeft" activeCell="E6089" sqref="E6089"/>
      <selection pane="bottomRight" activeCell="A5" sqref="A5"/>
    </sheetView>
  </sheetViews>
  <sheetFormatPr defaultRowHeight="12.75" x14ac:dyDescent="0.2"/>
  <cols>
    <col min="1" max="1" width="36.625" style="21" customWidth="1"/>
    <col min="2" max="2" width="13.5" style="21" customWidth="1"/>
    <col min="3" max="3" width="17" style="21" customWidth="1"/>
    <col min="4" max="4" width="13.25" style="21" bestFit="1" customWidth="1"/>
    <col min="5" max="5" width="7.75" style="21" customWidth="1"/>
    <col min="6" max="6" width="12.625" style="21" customWidth="1"/>
    <col min="7" max="7" width="11.25" style="21" customWidth="1"/>
    <col min="8" max="9" width="7.75" style="21" customWidth="1"/>
    <col min="10" max="10" width="14.875" style="21" customWidth="1"/>
    <col min="11" max="11" width="7.75" style="21" customWidth="1"/>
    <col min="12" max="12" width="19.875" style="21" bestFit="1" customWidth="1"/>
    <col min="13" max="14" width="7.75" style="21" customWidth="1"/>
    <col min="15" max="15" width="7.625" style="21" customWidth="1"/>
    <col min="16" max="16" width="10.5" style="21" customWidth="1"/>
    <col min="17" max="17" width="10.125" style="75" customWidth="1"/>
    <col min="18" max="18" width="7.625" style="76" customWidth="1"/>
    <col min="19" max="19" width="8.5" style="21" customWidth="1"/>
    <col min="20" max="20" width="5.625" style="77" customWidth="1"/>
    <col min="21" max="21" width="16.625" style="21" customWidth="1"/>
    <col min="22" max="16384" width="9" style="21"/>
  </cols>
  <sheetData>
    <row r="1" spans="1:24" ht="21.75" customHeight="1" x14ac:dyDescent="0.2">
      <c r="A1" s="21" t="s">
        <v>28</v>
      </c>
      <c r="B1" s="21" t="s">
        <v>2223</v>
      </c>
      <c r="C1" s="21" t="s">
        <v>2224</v>
      </c>
      <c r="D1" s="21" t="s">
        <v>39</v>
      </c>
      <c r="E1" s="21" t="s">
        <v>2225</v>
      </c>
      <c r="F1" s="21" t="s">
        <v>2226</v>
      </c>
      <c r="G1" s="21" t="s">
        <v>2227</v>
      </c>
      <c r="H1" s="21" t="s">
        <v>33</v>
      </c>
      <c r="I1" s="21" t="s">
        <v>34</v>
      </c>
      <c r="J1" s="21" t="s">
        <v>290</v>
      </c>
      <c r="K1" s="21" t="s">
        <v>291</v>
      </c>
      <c r="L1" s="21" t="s">
        <v>937</v>
      </c>
      <c r="M1" s="21" t="s">
        <v>36</v>
      </c>
      <c r="N1" s="21" t="s">
        <v>37</v>
      </c>
      <c r="O1" s="74" t="s">
        <v>38</v>
      </c>
      <c r="P1" s="21" t="s">
        <v>938</v>
      </c>
      <c r="Q1" s="21" t="s">
        <v>27</v>
      </c>
      <c r="R1" s="21" t="s">
        <v>26</v>
      </c>
      <c r="S1" s="21" t="s">
        <v>939</v>
      </c>
      <c r="T1" s="385" t="s">
        <v>2555</v>
      </c>
      <c r="U1" s="386" t="s">
        <v>2556</v>
      </c>
      <c r="V1" s="21" t="s">
        <v>940</v>
      </c>
      <c r="W1" s="77" t="s">
        <v>41</v>
      </c>
      <c r="X1" s="21" t="s">
        <v>941</v>
      </c>
    </row>
    <row r="2" spans="1:24" s="396" customFormat="1" ht="17.25" customHeight="1" x14ac:dyDescent="0.2">
      <c r="A2" s="319" t="s">
        <v>952</v>
      </c>
      <c r="B2" s="319"/>
      <c r="C2" s="319" t="s">
        <v>2230</v>
      </c>
      <c r="D2" s="319" t="s">
        <v>1563</v>
      </c>
      <c r="E2" s="319">
        <v>0</v>
      </c>
      <c r="F2" s="319">
        <v>0</v>
      </c>
      <c r="G2" s="319">
        <v>0</v>
      </c>
      <c r="H2" s="319"/>
      <c r="I2" s="319"/>
      <c r="J2" s="319" t="s">
        <v>50</v>
      </c>
      <c r="K2" s="319" t="s">
        <v>50</v>
      </c>
      <c r="L2" s="319" t="s">
        <v>943</v>
      </c>
      <c r="M2" s="319" t="s">
        <v>51</v>
      </c>
      <c r="N2" s="319"/>
      <c r="O2" s="319"/>
      <c r="P2" s="319" t="s">
        <v>944</v>
      </c>
      <c r="Q2" s="319" t="s">
        <v>351</v>
      </c>
      <c r="R2" s="319" t="s">
        <v>44</v>
      </c>
      <c r="S2" s="319"/>
      <c r="T2" s="534">
        <v>0</v>
      </c>
      <c r="U2" s="535">
        <v>0</v>
      </c>
      <c r="V2" s="319" t="s">
        <v>949</v>
      </c>
      <c r="W2" s="536"/>
      <c r="X2" s="319" t="s">
        <v>952</v>
      </c>
    </row>
    <row r="3" spans="1:24" s="396" customFormat="1" ht="17.25" customHeight="1" x14ac:dyDescent="0.2">
      <c r="A3" s="319" t="s">
        <v>977</v>
      </c>
      <c r="B3" s="319"/>
      <c r="C3" s="319" t="s">
        <v>2230</v>
      </c>
      <c r="D3" s="319" t="s">
        <v>1583</v>
      </c>
      <c r="E3" s="319">
        <v>0</v>
      </c>
      <c r="F3" s="319">
        <v>0</v>
      </c>
      <c r="G3" s="319">
        <v>0</v>
      </c>
      <c r="H3" s="319"/>
      <c r="I3" s="319"/>
      <c r="J3" s="319" t="s">
        <v>50</v>
      </c>
      <c r="K3" s="319" t="s">
        <v>50</v>
      </c>
      <c r="L3" s="319" t="s">
        <v>943</v>
      </c>
      <c r="M3" s="319" t="s">
        <v>51</v>
      </c>
      <c r="N3" s="319"/>
      <c r="O3" s="319"/>
      <c r="P3" s="319" t="s">
        <v>944</v>
      </c>
      <c r="Q3" s="319" t="s">
        <v>351</v>
      </c>
      <c r="R3" s="319" t="s">
        <v>44</v>
      </c>
      <c r="S3" s="319"/>
      <c r="T3" s="534">
        <v>0</v>
      </c>
      <c r="U3" s="535">
        <v>0</v>
      </c>
      <c r="V3" s="319" t="s">
        <v>949</v>
      </c>
      <c r="W3" s="536"/>
      <c r="X3" s="319" t="s">
        <v>977</v>
      </c>
    </row>
    <row r="4" spans="1:24" s="396" customFormat="1" ht="17.25" customHeight="1" x14ac:dyDescent="0.2">
      <c r="A4" s="319" t="s">
        <v>1196</v>
      </c>
      <c r="B4" s="319"/>
      <c r="C4" s="319" t="s">
        <v>2230</v>
      </c>
      <c r="D4" s="319" t="s">
        <v>1985</v>
      </c>
      <c r="E4" s="319">
        <v>0</v>
      </c>
      <c r="F4" s="319">
        <v>0</v>
      </c>
      <c r="G4" s="319">
        <v>0</v>
      </c>
      <c r="H4" s="319"/>
      <c r="I4" s="319"/>
      <c r="J4" s="319" t="s">
        <v>50</v>
      </c>
      <c r="K4" s="319" t="s">
        <v>50</v>
      </c>
      <c r="L4" s="319" t="s">
        <v>943</v>
      </c>
      <c r="M4" s="319" t="s">
        <v>51</v>
      </c>
      <c r="N4" s="319">
        <v>24.262418020999998</v>
      </c>
      <c r="O4" s="319">
        <v>97.221556500999995</v>
      </c>
      <c r="P4" s="319" t="s">
        <v>944</v>
      </c>
      <c r="Q4" s="319" t="s">
        <v>351</v>
      </c>
      <c r="R4" s="319" t="s">
        <v>44</v>
      </c>
      <c r="S4" s="319"/>
      <c r="T4" s="534">
        <v>0</v>
      </c>
      <c r="U4" s="535">
        <v>0</v>
      </c>
      <c r="V4" s="319" t="s">
        <v>949</v>
      </c>
      <c r="W4" s="536"/>
      <c r="X4" s="319" t="s">
        <v>1196</v>
      </c>
    </row>
    <row r="5" spans="1:24" s="396" customFormat="1" ht="17.25" customHeight="1" x14ac:dyDescent="0.2">
      <c r="A5" s="319" t="s">
        <v>953</v>
      </c>
      <c r="B5" s="319"/>
      <c r="C5" s="319" t="s">
        <v>2230</v>
      </c>
      <c r="D5" s="319" t="s">
        <v>1564</v>
      </c>
      <c r="E5" s="319">
        <v>0</v>
      </c>
      <c r="F5" s="319">
        <v>0</v>
      </c>
      <c r="G5" s="319">
        <v>0</v>
      </c>
      <c r="H5" s="319" t="s">
        <v>48</v>
      </c>
      <c r="I5" s="319" t="s">
        <v>1565</v>
      </c>
      <c r="J5" s="319" t="s">
        <v>50</v>
      </c>
      <c r="K5" s="319" t="s">
        <v>50</v>
      </c>
      <c r="L5" s="319" t="s">
        <v>943</v>
      </c>
      <c r="M5" s="319" t="s">
        <v>51</v>
      </c>
      <c r="N5" s="319"/>
      <c r="O5" s="319"/>
      <c r="P5" s="319" t="s">
        <v>944</v>
      </c>
      <c r="Q5" s="319" t="s">
        <v>302</v>
      </c>
      <c r="R5" s="319" t="s">
        <v>44</v>
      </c>
      <c r="S5" s="319"/>
      <c r="T5" s="534">
        <v>0</v>
      </c>
      <c r="U5" s="535">
        <v>0</v>
      </c>
      <c r="V5" s="319" t="s">
        <v>949</v>
      </c>
      <c r="W5" s="536"/>
      <c r="X5" s="319" t="s">
        <v>953</v>
      </c>
    </row>
    <row r="6" spans="1:24" s="396" customFormat="1" ht="17.25" customHeight="1" x14ac:dyDescent="0.2">
      <c r="A6" s="319" t="s">
        <v>1252</v>
      </c>
      <c r="B6" s="319"/>
      <c r="C6" s="319" t="s">
        <v>2230</v>
      </c>
      <c r="D6" s="319" t="s">
        <v>2090</v>
      </c>
      <c r="E6" s="319" t="s">
        <v>2308</v>
      </c>
      <c r="F6" s="319" t="s">
        <v>2309</v>
      </c>
      <c r="G6" s="319">
        <v>166337</v>
      </c>
      <c r="H6" s="319"/>
      <c r="I6" s="319"/>
      <c r="J6" s="319" t="s">
        <v>50</v>
      </c>
      <c r="K6" s="319" t="s">
        <v>50</v>
      </c>
      <c r="L6" s="319" t="s">
        <v>943</v>
      </c>
      <c r="M6" s="319" t="s">
        <v>51</v>
      </c>
      <c r="N6" s="319">
        <v>25.708763000000001</v>
      </c>
      <c r="O6" s="319">
        <v>98.354146999999998</v>
      </c>
      <c r="P6" s="319" t="s">
        <v>957</v>
      </c>
      <c r="Q6" s="319" t="s">
        <v>302</v>
      </c>
      <c r="R6" s="319" t="s">
        <v>44</v>
      </c>
      <c r="S6" s="319" t="s">
        <v>945</v>
      </c>
      <c r="T6" s="534">
        <v>0</v>
      </c>
      <c r="U6" s="535">
        <v>0</v>
      </c>
      <c r="V6" s="319">
        <v>42983</v>
      </c>
      <c r="W6" s="536" t="s">
        <v>1253</v>
      </c>
      <c r="X6" s="319" t="s">
        <v>1252</v>
      </c>
    </row>
    <row r="7" spans="1:24" s="396" customFormat="1" ht="17.25" customHeight="1" x14ac:dyDescent="0.2">
      <c r="A7" s="319" t="s">
        <v>1246</v>
      </c>
      <c r="B7" s="319"/>
      <c r="C7" s="319" t="s">
        <v>2230</v>
      </c>
      <c r="D7" s="319" t="s">
        <v>2070</v>
      </c>
      <c r="E7" s="319" t="s">
        <v>2249</v>
      </c>
      <c r="F7" s="319" t="s">
        <v>2249</v>
      </c>
      <c r="G7" s="319">
        <v>166783</v>
      </c>
      <c r="H7" s="319" t="s">
        <v>48</v>
      </c>
      <c r="I7" s="319" t="s">
        <v>1565</v>
      </c>
      <c r="J7" s="319" t="s">
        <v>50</v>
      </c>
      <c r="K7" s="319" t="s">
        <v>50</v>
      </c>
      <c r="L7" s="319" t="s">
        <v>943</v>
      </c>
      <c r="M7" s="319" t="s">
        <v>51</v>
      </c>
      <c r="N7" s="319">
        <v>25.57921</v>
      </c>
      <c r="O7" s="319">
        <v>96.288250000000005</v>
      </c>
      <c r="P7" s="319" t="s">
        <v>944</v>
      </c>
      <c r="Q7" s="319" t="s">
        <v>304</v>
      </c>
      <c r="R7" s="319" t="s">
        <v>44</v>
      </c>
      <c r="S7" s="319"/>
      <c r="T7" s="534">
        <v>0</v>
      </c>
      <c r="U7" s="535">
        <v>0</v>
      </c>
      <c r="V7" s="319" t="s">
        <v>949</v>
      </c>
      <c r="W7" s="536"/>
      <c r="X7" s="319" t="s">
        <v>1246</v>
      </c>
    </row>
    <row r="8" spans="1:24" s="396" customFormat="1" ht="17.25" customHeight="1" x14ac:dyDescent="0.2">
      <c r="A8" s="319" t="s">
        <v>1248</v>
      </c>
      <c r="B8" s="319"/>
      <c r="C8" s="319" t="s">
        <v>2230</v>
      </c>
      <c r="D8" s="319" t="s">
        <v>2086</v>
      </c>
      <c r="E8" s="319" t="s">
        <v>2306</v>
      </c>
      <c r="F8" s="319" t="s">
        <v>2306</v>
      </c>
      <c r="G8" s="319">
        <v>166773</v>
      </c>
      <c r="H8" s="319" t="s">
        <v>48</v>
      </c>
      <c r="I8" s="319" t="s">
        <v>297</v>
      </c>
      <c r="J8" s="319" t="s">
        <v>50</v>
      </c>
      <c r="K8" s="319" t="s">
        <v>50</v>
      </c>
      <c r="L8" s="319" t="s">
        <v>943</v>
      </c>
      <c r="M8" s="319" t="s">
        <v>51</v>
      </c>
      <c r="N8" s="319">
        <v>25.656130000000001</v>
      </c>
      <c r="O8" s="319">
        <v>96.355270000000004</v>
      </c>
      <c r="P8" s="319" t="s">
        <v>944</v>
      </c>
      <c r="Q8" s="319" t="s">
        <v>304</v>
      </c>
      <c r="R8" s="319" t="s">
        <v>44</v>
      </c>
      <c r="S8" s="319" t="s">
        <v>966</v>
      </c>
      <c r="T8" s="534">
        <v>0</v>
      </c>
      <c r="U8" s="535">
        <v>0</v>
      </c>
      <c r="V8" s="319">
        <v>42983</v>
      </c>
      <c r="W8" s="536" t="s">
        <v>1249</v>
      </c>
      <c r="X8" s="319" t="s">
        <v>1248</v>
      </c>
    </row>
    <row r="9" spans="1:24" s="396" customFormat="1" ht="17.25" customHeight="1" x14ac:dyDescent="0.2">
      <c r="A9" s="319" t="s">
        <v>1250</v>
      </c>
      <c r="B9" s="319"/>
      <c r="C9" s="319" t="s">
        <v>2230</v>
      </c>
      <c r="D9" s="319" t="s">
        <v>2087</v>
      </c>
      <c r="E9" s="319" t="s">
        <v>2306</v>
      </c>
      <c r="F9" s="319" t="s">
        <v>2306</v>
      </c>
      <c r="G9" s="319">
        <v>166773</v>
      </c>
      <c r="H9" s="319"/>
      <c r="I9" s="319"/>
      <c r="J9" s="319" t="s">
        <v>50</v>
      </c>
      <c r="K9" s="319" t="s">
        <v>50</v>
      </c>
      <c r="L9" s="319" t="s">
        <v>943</v>
      </c>
      <c r="M9" s="319" t="s">
        <v>51</v>
      </c>
      <c r="N9" s="319">
        <v>25.658670000000001</v>
      </c>
      <c r="O9" s="319">
        <v>96.354159999999993</v>
      </c>
      <c r="P9" s="319" t="s">
        <v>944</v>
      </c>
      <c r="Q9" s="319" t="s">
        <v>304</v>
      </c>
      <c r="R9" s="319" t="s">
        <v>44</v>
      </c>
      <c r="S9" s="319"/>
      <c r="T9" s="534">
        <v>0</v>
      </c>
      <c r="U9" s="535">
        <v>0</v>
      </c>
      <c r="V9" s="319" t="s">
        <v>949</v>
      </c>
      <c r="W9" s="536"/>
      <c r="X9" s="319" t="s">
        <v>1250</v>
      </c>
    </row>
    <row r="10" spans="1:24" s="396" customFormat="1" ht="17.25" customHeight="1" x14ac:dyDescent="0.2">
      <c r="A10" s="319" t="s">
        <v>1251</v>
      </c>
      <c r="B10" s="319"/>
      <c r="C10" s="319" t="s">
        <v>2230</v>
      </c>
      <c r="D10" s="319" t="s">
        <v>2089</v>
      </c>
      <c r="E10" s="319" t="s">
        <v>2306</v>
      </c>
      <c r="F10" s="319" t="s">
        <v>2307</v>
      </c>
      <c r="G10" s="319">
        <v>216880</v>
      </c>
      <c r="H10" s="319"/>
      <c r="I10" s="319"/>
      <c r="J10" s="319" t="s">
        <v>50</v>
      </c>
      <c r="K10" s="319" t="s">
        <v>50</v>
      </c>
      <c r="L10" s="319" t="s">
        <v>943</v>
      </c>
      <c r="M10" s="319" t="s">
        <v>51</v>
      </c>
      <c r="N10" s="319">
        <v>25.668469999999999</v>
      </c>
      <c r="O10" s="319">
        <v>96.353070000000002</v>
      </c>
      <c r="P10" s="319" t="s">
        <v>944</v>
      </c>
      <c r="Q10" s="319" t="s">
        <v>304</v>
      </c>
      <c r="R10" s="319" t="s">
        <v>44</v>
      </c>
      <c r="S10" s="319"/>
      <c r="T10" s="534">
        <v>0</v>
      </c>
      <c r="U10" s="535">
        <v>0</v>
      </c>
      <c r="V10" s="319" t="s">
        <v>949</v>
      </c>
      <c r="W10" s="536"/>
      <c r="X10" s="319" t="s">
        <v>1251</v>
      </c>
    </row>
    <row r="11" spans="1:24" s="396" customFormat="1" ht="17.25" customHeight="1" x14ac:dyDescent="0.2">
      <c r="A11" s="319" t="s">
        <v>1254</v>
      </c>
      <c r="B11" s="319"/>
      <c r="C11" s="319" t="s">
        <v>2230</v>
      </c>
      <c r="D11" s="319" t="s">
        <v>2091</v>
      </c>
      <c r="E11" s="319" t="s">
        <v>2310</v>
      </c>
      <c r="F11" s="319" t="s">
        <v>2311</v>
      </c>
      <c r="G11" s="319">
        <v>166817</v>
      </c>
      <c r="H11" s="319" t="s">
        <v>48</v>
      </c>
      <c r="I11" s="319" t="s">
        <v>399</v>
      </c>
      <c r="J11" s="319" t="s">
        <v>50</v>
      </c>
      <c r="K11" s="319" t="s">
        <v>50</v>
      </c>
      <c r="L11" s="319" t="s">
        <v>943</v>
      </c>
      <c r="M11" s="319" t="s">
        <v>51</v>
      </c>
      <c r="N11" s="319">
        <v>25.728653000000001</v>
      </c>
      <c r="O11" s="319">
        <v>96.673805000000002</v>
      </c>
      <c r="P11" s="319" t="s">
        <v>944</v>
      </c>
      <c r="Q11" s="319" t="s">
        <v>304</v>
      </c>
      <c r="R11" s="319" t="s">
        <v>44</v>
      </c>
      <c r="S11" s="319"/>
      <c r="T11" s="534">
        <v>0</v>
      </c>
      <c r="U11" s="535">
        <v>0</v>
      </c>
      <c r="V11" s="319" t="s">
        <v>949</v>
      </c>
      <c r="W11" s="536"/>
      <c r="X11" s="319" t="s">
        <v>1254</v>
      </c>
    </row>
    <row r="12" spans="1:24" s="396" customFormat="1" ht="17.25" customHeight="1" x14ac:dyDescent="0.2">
      <c r="A12" s="319" t="s">
        <v>1255</v>
      </c>
      <c r="B12" s="319"/>
      <c r="C12" s="319" t="s">
        <v>2230</v>
      </c>
      <c r="D12" s="319" t="s">
        <v>2093</v>
      </c>
      <c r="E12" s="319" t="s">
        <v>2306</v>
      </c>
      <c r="F12" s="319" t="s">
        <v>2312</v>
      </c>
      <c r="G12" s="319">
        <v>216877</v>
      </c>
      <c r="H12" s="319" t="s">
        <v>48</v>
      </c>
      <c r="I12" s="319" t="s">
        <v>297</v>
      </c>
      <c r="J12" s="319" t="s">
        <v>50</v>
      </c>
      <c r="K12" s="319" t="s">
        <v>50</v>
      </c>
      <c r="L12" s="319" t="s">
        <v>943</v>
      </c>
      <c r="M12" s="319" t="s">
        <v>51</v>
      </c>
      <c r="N12" s="319">
        <v>25.806999999999999</v>
      </c>
      <c r="O12" s="319">
        <v>96.637</v>
      </c>
      <c r="P12" s="319" t="s">
        <v>944</v>
      </c>
      <c r="Q12" s="319" t="s">
        <v>304</v>
      </c>
      <c r="R12" s="319" t="s">
        <v>44</v>
      </c>
      <c r="S12" s="319" t="s">
        <v>966</v>
      </c>
      <c r="T12" s="534">
        <v>0</v>
      </c>
      <c r="U12" s="535">
        <v>0</v>
      </c>
      <c r="V12" s="319">
        <v>42983</v>
      </c>
      <c r="W12" s="536" t="s">
        <v>1249</v>
      </c>
      <c r="X12" s="319" t="s">
        <v>1255</v>
      </c>
    </row>
    <row r="13" spans="1:24" s="396" customFormat="1" ht="17.25" customHeight="1" x14ac:dyDescent="0.2">
      <c r="A13" s="319" t="s">
        <v>1256</v>
      </c>
      <c r="B13" s="319"/>
      <c r="C13" s="319" t="s">
        <v>2230</v>
      </c>
      <c r="D13" s="331" t="s">
        <v>2094</v>
      </c>
      <c r="E13" s="319" t="s">
        <v>2313</v>
      </c>
      <c r="F13" s="319" t="s">
        <v>2313</v>
      </c>
      <c r="G13" s="319">
        <v>166818</v>
      </c>
      <c r="H13" s="319"/>
      <c r="I13" s="319"/>
      <c r="J13" s="319" t="s">
        <v>50</v>
      </c>
      <c r="K13" s="319" t="s">
        <v>50</v>
      </c>
      <c r="L13" s="319" t="s">
        <v>943</v>
      </c>
      <c r="M13" s="319" t="s">
        <v>51</v>
      </c>
      <c r="N13" s="319">
        <v>25.806999999999999</v>
      </c>
      <c r="O13" s="319">
        <v>96.637</v>
      </c>
      <c r="P13" s="319" t="s">
        <v>944</v>
      </c>
      <c r="Q13" s="319" t="s">
        <v>304</v>
      </c>
      <c r="R13" s="319" t="s">
        <v>44</v>
      </c>
      <c r="S13" s="319" t="s">
        <v>945</v>
      </c>
      <c r="T13" s="534">
        <v>0</v>
      </c>
      <c r="U13" s="535">
        <v>0</v>
      </c>
      <c r="V13" s="319">
        <v>42983</v>
      </c>
      <c r="W13" s="536" t="s">
        <v>1257</v>
      </c>
      <c r="X13" s="319"/>
    </row>
    <row r="14" spans="1:24" s="396" customFormat="1" ht="17.25" customHeight="1" x14ac:dyDescent="0.2">
      <c r="A14" s="319" t="s">
        <v>1258</v>
      </c>
      <c r="B14" s="319"/>
      <c r="C14" s="319" t="s">
        <v>2230</v>
      </c>
      <c r="D14" s="319" t="s">
        <v>2097</v>
      </c>
      <c r="E14" s="319" t="s">
        <v>2313</v>
      </c>
      <c r="F14" s="319" t="s">
        <v>2314</v>
      </c>
      <c r="G14" s="319">
        <v>166819</v>
      </c>
      <c r="H14" s="319"/>
      <c r="I14" s="319"/>
      <c r="J14" s="319" t="s">
        <v>50</v>
      </c>
      <c r="K14" s="319" t="s">
        <v>50</v>
      </c>
      <c r="L14" s="319" t="s">
        <v>943</v>
      </c>
      <c r="M14" s="319" t="s">
        <v>51</v>
      </c>
      <c r="N14" s="319">
        <v>25.920006000000001</v>
      </c>
      <c r="O14" s="319">
        <v>96.662092000000001</v>
      </c>
      <c r="P14" s="319" t="s">
        <v>944</v>
      </c>
      <c r="Q14" s="319" t="s">
        <v>304</v>
      </c>
      <c r="R14" s="319" t="s">
        <v>44</v>
      </c>
      <c r="S14" s="319" t="s">
        <v>945</v>
      </c>
      <c r="T14" s="534">
        <v>0</v>
      </c>
      <c r="U14" s="535">
        <v>0</v>
      </c>
      <c r="V14" s="319"/>
      <c r="W14" s="536"/>
      <c r="X14" s="319"/>
    </row>
    <row r="15" spans="1:24" s="396" customFormat="1" ht="17.25" customHeight="1" x14ac:dyDescent="0.2">
      <c r="A15" s="319" t="s">
        <v>1259</v>
      </c>
      <c r="B15" s="319"/>
      <c r="C15" s="319" t="s">
        <v>2230</v>
      </c>
      <c r="D15" s="319" t="s">
        <v>2101</v>
      </c>
      <c r="E15" s="319" t="s">
        <v>2313</v>
      </c>
      <c r="F15" s="319" t="s">
        <v>2314</v>
      </c>
      <c r="G15" s="319">
        <v>166819</v>
      </c>
      <c r="H15" s="319"/>
      <c r="I15" s="319"/>
      <c r="J15" s="319" t="s">
        <v>50</v>
      </c>
      <c r="K15" s="319" t="s">
        <v>50</v>
      </c>
      <c r="L15" s="319" t="s">
        <v>943</v>
      </c>
      <c r="M15" s="319" t="s">
        <v>51</v>
      </c>
      <c r="N15" s="319">
        <v>25.920006000000001</v>
      </c>
      <c r="O15" s="319">
        <v>96.662092000000001</v>
      </c>
      <c r="P15" s="319" t="s">
        <v>944</v>
      </c>
      <c r="Q15" s="319" t="s">
        <v>304</v>
      </c>
      <c r="R15" s="319" t="s">
        <v>44</v>
      </c>
      <c r="S15" s="319" t="s">
        <v>945</v>
      </c>
      <c r="T15" s="534">
        <v>0</v>
      </c>
      <c r="U15" s="535">
        <v>0</v>
      </c>
      <c r="V15" s="319"/>
      <c r="W15" s="536"/>
      <c r="X15" s="319"/>
    </row>
    <row r="16" spans="1:24" s="396" customFormat="1" ht="17.25" customHeight="1" x14ac:dyDescent="0.2">
      <c r="A16" s="319" t="s">
        <v>959</v>
      </c>
      <c r="B16" s="319"/>
      <c r="C16" s="319" t="s">
        <v>2230</v>
      </c>
      <c r="D16" s="319" t="s">
        <v>1569</v>
      </c>
      <c r="E16" s="319">
        <v>0</v>
      </c>
      <c r="F16" s="319">
        <v>0</v>
      </c>
      <c r="G16" s="319">
        <v>0</v>
      </c>
      <c r="H16" s="319"/>
      <c r="I16" s="319"/>
      <c r="J16" s="319" t="s">
        <v>50</v>
      </c>
      <c r="K16" s="319" t="s">
        <v>50</v>
      </c>
      <c r="L16" s="319" t="s">
        <v>943</v>
      </c>
      <c r="M16" s="319" t="s">
        <v>51</v>
      </c>
      <c r="N16" s="319"/>
      <c r="O16" s="319"/>
      <c r="P16" s="319" t="s">
        <v>944</v>
      </c>
      <c r="Q16" s="319" t="s">
        <v>960</v>
      </c>
      <c r="R16" s="319" t="s">
        <v>44</v>
      </c>
      <c r="S16" s="319"/>
      <c r="T16" s="534">
        <v>0</v>
      </c>
      <c r="U16" s="535">
        <v>0</v>
      </c>
      <c r="V16" s="319" t="s">
        <v>949</v>
      </c>
      <c r="W16" s="536"/>
      <c r="X16" s="319" t="s">
        <v>959</v>
      </c>
    </row>
    <row r="17" spans="1:24" s="396" customFormat="1" ht="17.25" customHeight="1" x14ac:dyDescent="0.2">
      <c r="A17" s="319" t="s">
        <v>1262</v>
      </c>
      <c r="B17" s="319"/>
      <c r="C17" s="319" t="s">
        <v>2230</v>
      </c>
      <c r="D17" s="537" t="s">
        <v>2105</v>
      </c>
      <c r="E17" s="319" t="s">
        <v>2315</v>
      </c>
      <c r="F17" s="319" t="s">
        <v>1262</v>
      </c>
      <c r="G17" s="319">
        <v>168236</v>
      </c>
      <c r="H17" s="319"/>
      <c r="I17" s="319"/>
      <c r="J17" s="319" t="s">
        <v>50</v>
      </c>
      <c r="K17" s="319" t="s">
        <v>50</v>
      </c>
      <c r="L17" s="319" t="s">
        <v>943</v>
      </c>
      <c r="M17" s="319" t="s">
        <v>51</v>
      </c>
      <c r="N17" s="319">
        <v>26.890058</v>
      </c>
      <c r="O17" s="319">
        <v>98.144502500000002</v>
      </c>
      <c r="P17" s="319" t="s">
        <v>944</v>
      </c>
      <c r="Q17" s="319" t="s">
        <v>1263</v>
      </c>
      <c r="R17" s="319" t="s">
        <v>44</v>
      </c>
      <c r="S17" s="319"/>
      <c r="T17" s="534">
        <v>0</v>
      </c>
      <c r="U17" s="535">
        <v>0</v>
      </c>
      <c r="V17" s="319" t="s">
        <v>949</v>
      </c>
      <c r="W17" s="536"/>
      <c r="X17" s="319" t="s">
        <v>1262</v>
      </c>
    </row>
    <row r="18" spans="1:24" s="396" customFormat="1" ht="17.25" customHeight="1" x14ac:dyDescent="0.2">
      <c r="A18" s="319" t="s">
        <v>1267</v>
      </c>
      <c r="B18" s="319"/>
      <c r="C18" s="319" t="s">
        <v>2230</v>
      </c>
      <c r="D18" s="319" t="s">
        <v>2108</v>
      </c>
      <c r="E18" s="319">
        <v>0</v>
      </c>
      <c r="F18" s="319">
        <v>0</v>
      </c>
      <c r="G18" s="319">
        <v>0</v>
      </c>
      <c r="H18" s="319"/>
      <c r="I18" s="319"/>
      <c r="J18" s="319" t="s">
        <v>50</v>
      </c>
      <c r="K18" s="319" t="s">
        <v>50</v>
      </c>
      <c r="L18" s="319" t="s">
        <v>943</v>
      </c>
      <c r="M18" s="319" t="s">
        <v>51</v>
      </c>
      <c r="N18" s="319">
        <v>27.274059999999999</v>
      </c>
      <c r="O18" s="319">
        <v>97.586470000000006</v>
      </c>
      <c r="P18" s="319" t="s">
        <v>944</v>
      </c>
      <c r="Q18" s="319" t="s">
        <v>1268</v>
      </c>
      <c r="R18" s="319" t="s">
        <v>44</v>
      </c>
      <c r="S18" s="319"/>
      <c r="T18" s="534">
        <v>0</v>
      </c>
      <c r="U18" s="535">
        <v>0</v>
      </c>
      <c r="V18" s="319" t="s">
        <v>949</v>
      </c>
      <c r="W18" s="536"/>
      <c r="X18" s="319" t="s">
        <v>1269</v>
      </c>
    </row>
    <row r="19" spans="1:24" s="396" customFormat="1" ht="17.25" customHeight="1" x14ac:dyDescent="0.2">
      <c r="A19" s="319" t="s">
        <v>948</v>
      </c>
      <c r="B19" s="319"/>
      <c r="C19" s="319" t="s">
        <v>2230</v>
      </c>
      <c r="D19" s="319" t="s">
        <v>1560</v>
      </c>
      <c r="E19" s="319">
        <v>0</v>
      </c>
      <c r="F19" s="319">
        <v>0</v>
      </c>
      <c r="G19" s="319">
        <v>0</v>
      </c>
      <c r="H19" s="319"/>
      <c r="I19" s="319"/>
      <c r="J19" s="319" t="s">
        <v>50</v>
      </c>
      <c r="K19" s="319" t="s">
        <v>50</v>
      </c>
      <c r="L19" s="319" t="s">
        <v>943</v>
      </c>
      <c r="M19" s="319" t="s">
        <v>51</v>
      </c>
      <c r="N19" s="319"/>
      <c r="O19" s="319"/>
      <c r="P19" s="319" t="s">
        <v>944</v>
      </c>
      <c r="Q19" s="319" t="s">
        <v>45</v>
      </c>
      <c r="R19" s="319" t="s">
        <v>44</v>
      </c>
      <c r="S19" s="319"/>
      <c r="T19" s="534">
        <v>0</v>
      </c>
      <c r="U19" s="535">
        <v>0</v>
      </c>
      <c r="V19" s="319" t="s">
        <v>949</v>
      </c>
      <c r="W19" s="536"/>
      <c r="X19" s="319" t="s">
        <v>948</v>
      </c>
    </row>
    <row r="20" spans="1:24" s="396" customFormat="1" ht="17.25" customHeight="1" x14ac:dyDescent="0.2">
      <c r="A20" s="319" t="s">
        <v>950</v>
      </c>
      <c r="B20" s="319"/>
      <c r="C20" s="319" t="s">
        <v>2230</v>
      </c>
      <c r="D20" s="319" t="s">
        <v>1561</v>
      </c>
      <c r="E20" s="319">
        <v>0</v>
      </c>
      <c r="F20" s="319">
        <v>0</v>
      </c>
      <c r="G20" s="319">
        <v>0</v>
      </c>
      <c r="H20" s="319"/>
      <c r="I20" s="319"/>
      <c r="J20" s="319" t="s">
        <v>50</v>
      </c>
      <c r="K20" s="319" t="s">
        <v>50</v>
      </c>
      <c r="L20" s="319" t="s">
        <v>943</v>
      </c>
      <c r="M20" s="319" t="s">
        <v>51</v>
      </c>
      <c r="N20" s="319"/>
      <c r="O20" s="319"/>
      <c r="P20" s="319" t="s">
        <v>944</v>
      </c>
      <c r="Q20" s="319" t="s">
        <v>45</v>
      </c>
      <c r="R20" s="319" t="s">
        <v>44</v>
      </c>
      <c r="S20" s="319"/>
      <c r="T20" s="534">
        <v>0</v>
      </c>
      <c r="U20" s="535">
        <v>0</v>
      </c>
      <c r="V20" s="319" t="s">
        <v>949</v>
      </c>
      <c r="W20" s="536"/>
      <c r="X20" s="319" t="s">
        <v>950</v>
      </c>
    </row>
    <row r="21" spans="1:24" s="396" customFormat="1" ht="17.25" customHeight="1" x14ac:dyDescent="0.2">
      <c r="A21" s="319" t="s">
        <v>951</v>
      </c>
      <c r="B21" s="319"/>
      <c r="C21" s="319" t="s">
        <v>2230</v>
      </c>
      <c r="D21" s="319" t="s">
        <v>1562</v>
      </c>
      <c r="E21" s="319">
        <v>0</v>
      </c>
      <c r="F21" s="319">
        <v>0</v>
      </c>
      <c r="G21" s="319">
        <v>0</v>
      </c>
      <c r="H21" s="319"/>
      <c r="I21" s="319"/>
      <c r="J21" s="319" t="s">
        <v>50</v>
      </c>
      <c r="K21" s="319" t="s">
        <v>50</v>
      </c>
      <c r="L21" s="319" t="s">
        <v>943</v>
      </c>
      <c r="M21" s="319" t="s">
        <v>51</v>
      </c>
      <c r="N21" s="319"/>
      <c r="O21" s="319"/>
      <c r="P21" s="319" t="s">
        <v>944</v>
      </c>
      <c r="Q21" s="319" t="s">
        <v>45</v>
      </c>
      <c r="R21" s="319" t="s">
        <v>44</v>
      </c>
      <c r="S21" s="319"/>
      <c r="T21" s="534">
        <v>0</v>
      </c>
      <c r="U21" s="535">
        <v>0</v>
      </c>
      <c r="V21" s="319" t="s">
        <v>949</v>
      </c>
      <c r="W21" s="536"/>
      <c r="X21" s="319" t="s">
        <v>951</v>
      </c>
    </row>
    <row r="22" spans="1:24" s="396" customFormat="1" ht="17.25" customHeight="1" x14ac:dyDescent="0.2">
      <c r="A22" s="319" t="s">
        <v>2615</v>
      </c>
      <c r="B22" s="319" t="s">
        <v>2557</v>
      </c>
      <c r="C22" s="319" t="s">
        <v>2230</v>
      </c>
      <c r="D22" s="319" t="s">
        <v>1952</v>
      </c>
      <c r="E22" s="319" t="s">
        <v>2278</v>
      </c>
      <c r="F22" s="319" t="s">
        <v>2278</v>
      </c>
      <c r="G22" s="319">
        <v>167343</v>
      </c>
      <c r="H22" s="319" t="s">
        <v>48</v>
      </c>
      <c r="I22" s="319" t="s">
        <v>49</v>
      </c>
      <c r="J22" s="319" t="s">
        <v>50</v>
      </c>
      <c r="K22" s="319" t="s">
        <v>50</v>
      </c>
      <c r="L22" s="319" t="s">
        <v>943</v>
      </c>
      <c r="M22" s="319" t="s">
        <v>964</v>
      </c>
      <c r="N22" s="319">
        <v>24.000250000000001</v>
      </c>
      <c r="O22" s="319">
        <v>97.608249999999998</v>
      </c>
      <c r="P22" s="319" t="s">
        <v>944</v>
      </c>
      <c r="Q22" s="319" t="s">
        <v>45</v>
      </c>
      <c r="R22" s="319" t="s">
        <v>44</v>
      </c>
      <c r="S22" s="319"/>
      <c r="T22" s="534">
        <v>0</v>
      </c>
      <c r="U22" s="535">
        <v>0</v>
      </c>
      <c r="V22" s="319" t="s">
        <v>949</v>
      </c>
      <c r="W22" s="536"/>
      <c r="X22" s="319" t="s">
        <v>1176</v>
      </c>
    </row>
    <row r="23" spans="1:24" s="396" customFormat="1" ht="17.25" customHeight="1" x14ac:dyDescent="0.2">
      <c r="A23" s="319" t="s">
        <v>1170</v>
      </c>
      <c r="B23" s="319"/>
      <c r="C23" s="319" t="s">
        <v>2230</v>
      </c>
      <c r="D23" s="319" t="s">
        <v>1945</v>
      </c>
      <c r="E23" s="319" t="s">
        <v>2272</v>
      </c>
      <c r="F23" s="319">
        <v>0</v>
      </c>
      <c r="G23" s="319">
        <v>0</v>
      </c>
      <c r="H23" s="319" t="s">
        <v>48</v>
      </c>
      <c r="I23" s="319" t="s">
        <v>49</v>
      </c>
      <c r="J23" s="319" t="s">
        <v>50</v>
      </c>
      <c r="K23" s="319" t="s">
        <v>50</v>
      </c>
      <c r="L23" s="319" t="s">
        <v>943</v>
      </c>
      <c r="M23" s="319" t="s">
        <v>964</v>
      </c>
      <c r="N23" s="319">
        <v>23.867713999999999</v>
      </c>
      <c r="O23" s="319">
        <v>97.601243999999994</v>
      </c>
      <c r="P23" s="319" t="s">
        <v>944</v>
      </c>
      <c r="Q23" s="319" t="s">
        <v>45</v>
      </c>
      <c r="R23" s="319" t="s">
        <v>44</v>
      </c>
      <c r="S23" s="319"/>
      <c r="T23" s="534">
        <v>0</v>
      </c>
      <c r="U23" s="535">
        <v>0</v>
      </c>
      <c r="V23" s="319" t="s">
        <v>949</v>
      </c>
      <c r="W23" s="536"/>
      <c r="X23" s="319" t="s">
        <v>1170</v>
      </c>
    </row>
    <row r="24" spans="1:24" s="396" customFormat="1" ht="17.25" customHeight="1" x14ac:dyDescent="0.2">
      <c r="A24" s="319" t="s">
        <v>1171</v>
      </c>
      <c r="B24" s="319"/>
      <c r="C24" s="319" t="s">
        <v>2230</v>
      </c>
      <c r="D24" s="319" t="s">
        <v>1946</v>
      </c>
      <c r="E24" s="319" t="s">
        <v>2273</v>
      </c>
      <c r="F24" s="319">
        <v>0</v>
      </c>
      <c r="G24" s="319">
        <v>0</v>
      </c>
      <c r="H24" s="319" t="s">
        <v>48</v>
      </c>
      <c r="I24" s="319" t="s">
        <v>49</v>
      </c>
      <c r="J24" s="319" t="s">
        <v>50</v>
      </c>
      <c r="K24" s="319" t="s">
        <v>50</v>
      </c>
      <c r="L24" s="319" t="s">
        <v>943</v>
      </c>
      <c r="M24" s="319" t="s">
        <v>964</v>
      </c>
      <c r="N24" s="319">
        <v>23.9055</v>
      </c>
      <c r="O24" s="319">
        <v>97.585667000000001</v>
      </c>
      <c r="P24" s="319" t="s">
        <v>944</v>
      </c>
      <c r="Q24" s="319" t="s">
        <v>45</v>
      </c>
      <c r="R24" s="319" t="s">
        <v>44</v>
      </c>
      <c r="S24" s="319"/>
      <c r="T24" s="534">
        <v>0</v>
      </c>
      <c r="U24" s="535">
        <v>0</v>
      </c>
      <c r="V24" s="319" t="s">
        <v>949</v>
      </c>
      <c r="W24" s="536"/>
      <c r="X24" s="319" t="s">
        <v>1171</v>
      </c>
    </row>
    <row r="25" spans="1:24" s="396" customFormat="1" ht="17.25" customHeight="1" x14ac:dyDescent="0.2">
      <c r="A25" s="319" t="s">
        <v>1186</v>
      </c>
      <c r="B25" s="319"/>
      <c r="C25" s="319" t="s">
        <v>2230</v>
      </c>
      <c r="D25" s="319" t="s">
        <v>1962</v>
      </c>
      <c r="E25" s="319" t="s">
        <v>2279</v>
      </c>
      <c r="F25" s="319" t="s">
        <v>2280</v>
      </c>
      <c r="G25" s="319">
        <v>167391</v>
      </c>
      <c r="H25" s="319"/>
      <c r="I25" s="319"/>
      <c r="J25" s="319" t="s">
        <v>50</v>
      </c>
      <c r="K25" s="319" t="s">
        <v>50</v>
      </c>
      <c r="L25" s="319" t="s">
        <v>943</v>
      </c>
      <c r="M25" s="319" t="s">
        <v>51</v>
      </c>
      <c r="N25" s="319">
        <v>24.181640000000002</v>
      </c>
      <c r="O25" s="319">
        <v>97.710989999999995</v>
      </c>
      <c r="P25" s="319" t="s">
        <v>944</v>
      </c>
      <c r="Q25" s="319" t="s">
        <v>45</v>
      </c>
      <c r="R25" s="319" t="s">
        <v>44</v>
      </c>
      <c r="S25" s="319" t="s">
        <v>966</v>
      </c>
      <c r="T25" s="534">
        <v>0</v>
      </c>
      <c r="U25" s="535">
        <v>0</v>
      </c>
      <c r="V25" s="319" t="s">
        <v>949</v>
      </c>
      <c r="W25" s="536" t="s">
        <v>1187</v>
      </c>
      <c r="X25" s="319" t="s">
        <v>1186</v>
      </c>
    </row>
    <row r="26" spans="1:24" s="396" customFormat="1" ht="17.25" customHeight="1" x14ac:dyDescent="0.2">
      <c r="A26" s="319" t="s">
        <v>1188</v>
      </c>
      <c r="B26" s="319"/>
      <c r="C26" s="319" t="s">
        <v>2230</v>
      </c>
      <c r="D26" s="319" t="s">
        <v>1963</v>
      </c>
      <c r="E26" s="319" t="s">
        <v>2279</v>
      </c>
      <c r="F26" s="319" t="s">
        <v>2280</v>
      </c>
      <c r="G26" s="319">
        <v>167391</v>
      </c>
      <c r="H26" s="319"/>
      <c r="I26" s="319"/>
      <c r="J26" s="319" t="s">
        <v>50</v>
      </c>
      <c r="K26" s="319" t="s">
        <v>50</v>
      </c>
      <c r="L26" s="319" t="s">
        <v>943</v>
      </c>
      <c r="M26" s="319" t="s">
        <v>51</v>
      </c>
      <c r="N26" s="319">
        <v>24.181640000000002</v>
      </c>
      <c r="O26" s="319">
        <v>97.710989999999995</v>
      </c>
      <c r="P26" s="319" t="s">
        <v>944</v>
      </c>
      <c r="Q26" s="319" t="s">
        <v>45</v>
      </c>
      <c r="R26" s="319" t="s">
        <v>44</v>
      </c>
      <c r="S26" s="319"/>
      <c r="T26" s="534">
        <v>0</v>
      </c>
      <c r="U26" s="535">
        <v>0</v>
      </c>
      <c r="V26" s="319" t="s">
        <v>949</v>
      </c>
      <c r="W26" s="536"/>
      <c r="X26" s="319" t="s">
        <v>1188</v>
      </c>
    </row>
    <row r="27" spans="1:24" s="396" customFormat="1" ht="17.25" customHeight="1" x14ac:dyDescent="0.2">
      <c r="A27" s="319" t="s">
        <v>1189</v>
      </c>
      <c r="B27" s="319"/>
      <c r="C27" s="319" t="s">
        <v>2230</v>
      </c>
      <c r="D27" s="319" t="s">
        <v>1970</v>
      </c>
      <c r="E27" s="319" t="s">
        <v>2281</v>
      </c>
      <c r="F27" s="319">
        <v>0</v>
      </c>
      <c r="G27" s="319">
        <v>0</v>
      </c>
      <c r="H27" s="319"/>
      <c r="I27" s="319"/>
      <c r="J27" s="319" t="s">
        <v>50</v>
      </c>
      <c r="K27" s="319" t="s">
        <v>50</v>
      </c>
      <c r="L27" s="319" t="s">
        <v>943</v>
      </c>
      <c r="M27" s="319" t="s">
        <v>964</v>
      </c>
      <c r="N27" s="319">
        <v>24.20645</v>
      </c>
      <c r="O27" s="319">
        <v>96.808850000000007</v>
      </c>
      <c r="P27" s="319" t="s">
        <v>944</v>
      </c>
      <c r="Q27" s="319" t="s">
        <v>45</v>
      </c>
      <c r="R27" s="319" t="s">
        <v>44</v>
      </c>
      <c r="S27" s="319"/>
      <c r="T27" s="534">
        <v>0</v>
      </c>
      <c r="U27" s="535">
        <v>0</v>
      </c>
      <c r="V27" s="319" t="s">
        <v>949</v>
      </c>
      <c r="W27" s="536"/>
      <c r="X27" s="319" t="s">
        <v>1189</v>
      </c>
    </row>
    <row r="28" spans="1:24" s="396" customFormat="1" ht="17.25" customHeight="1" x14ac:dyDescent="0.2">
      <c r="A28" s="319" t="s">
        <v>963</v>
      </c>
      <c r="B28" s="319"/>
      <c r="C28" s="319" t="s">
        <v>2230</v>
      </c>
      <c r="D28" s="319" t="s">
        <v>1573</v>
      </c>
      <c r="E28" s="319" t="s">
        <v>2256</v>
      </c>
      <c r="F28" s="319">
        <v>0</v>
      </c>
      <c r="G28" s="319">
        <v>0</v>
      </c>
      <c r="H28" s="319"/>
      <c r="I28" s="319"/>
      <c r="J28" s="319" t="s">
        <v>50</v>
      </c>
      <c r="K28" s="319" t="s">
        <v>50</v>
      </c>
      <c r="L28" s="319" t="s">
        <v>943</v>
      </c>
      <c r="M28" s="319" t="s">
        <v>964</v>
      </c>
      <c r="N28" s="319"/>
      <c r="O28" s="319"/>
      <c r="P28" s="319" t="s">
        <v>944</v>
      </c>
      <c r="Q28" s="319" t="s">
        <v>45</v>
      </c>
      <c r="R28" s="319" t="s">
        <v>44</v>
      </c>
      <c r="S28" s="319"/>
      <c r="T28" s="534">
        <v>0</v>
      </c>
      <c r="U28" s="535">
        <v>0</v>
      </c>
      <c r="V28" s="319" t="s">
        <v>949</v>
      </c>
      <c r="W28" s="536"/>
      <c r="X28" s="319" t="s">
        <v>963</v>
      </c>
    </row>
    <row r="29" spans="1:24" s="396" customFormat="1" ht="17.25" customHeight="1" x14ac:dyDescent="0.2">
      <c r="A29" s="319" t="s">
        <v>1162</v>
      </c>
      <c r="B29" s="319"/>
      <c r="C29" s="319" t="s">
        <v>2230</v>
      </c>
      <c r="D29" s="319" t="s">
        <v>1932</v>
      </c>
      <c r="E29" s="319" t="s">
        <v>2258</v>
      </c>
      <c r="F29" s="319">
        <v>0</v>
      </c>
      <c r="G29" s="319">
        <v>0</v>
      </c>
      <c r="H29" s="319"/>
      <c r="I29" s="319"/>
      <c r="J29" s="319" t="s">
        <v>50</v>
      </c>
      <c r="K29" s="319" t="s">
        <v>50</v>
      </c>
      <c r="L29" s="319" t="s">
        <v>943</v>
      </c>
      <c r="M29" s="319" t="s">
        <v>964</v>
      </c>
      <c r="N29" s="319">
        <v>23.75817</v>
      </c>
      <c r="O29" s="319">
        <v>97.132339999999999</v>
      </c>
      <c r="P29" s="319" t="s">
        <v>944</v>
      </c>
      <c r="Q29" s="319" t="s">
        <v>45</v>
      </c>
      <c r="R29" s="319" t="s">
        <v>44</v>
      </c>
      <c r="S29" s="319"/>
      <c r="T29" s="534">
        <v>0</v>
      </c>
      <c r="U29" s="535">
        <v>0</v>
      </c>
      <c r="V29" s="319" t="s">
        <v>949</v>
      </c>
      <c r="W29" s="536"/>
      <c r="X29" s="319" t="s">
        <v>1162</v>
      </c>
    </row>
    <row r="30" spans="1:24" s="396" customFormat="1" ht="17.25" customHeight="1" x14ac:dyDescent="0.2">
      <c r="A30" s="319" t="s">
        <v>967</v>
      </c>
      <c r="B30" s="319"/>
      <c r="C30" s="319" t="s">
        <v>2230</v>
      </c>
      <c r="D30" s="319" t="s">
        <v>1576</v>
      </c>
      <c r="E30" s="319" t="s">
        <v>2258</v>
      </c>
      <c r="F30" s="319">
        <v>0</v>
      </c>
      <c r="G30" s="319">
        <v>0</v>
      </c>
      <c r="H30" s="319"/>
      <c r="I30" s="319"/>
      <c r="J30" s="319" t="s">
        <v>50</v>
      </c>
      <c r="K30" s="319" t="s">
        <v>50</v>
      </c>
      <c r="L30" s="319" t="s">
        <v>943</v>
      </c>
      <c r="M30" s="319" t="s">
        <v>964</v>
      </c>
      <c r="N30" s="319"/>
      <c r="O30" s="319"/>
      <c r="P30" s="319" t="s">
        <v>944</v>
      </c>
      <c r="Q30" s="319" t="s">
        <v>45</v>
      </c>
      <c r="R30" s="319" t="s">
        <v>44</v>
      </c>
      <c r="S30" s="319"/>
      <c r="T30" s="534">
        <v>0</v>
      </c>
      <c r="U30" s="535">
        <v>0</v>
      </c>
      <c r="V30" s="319" t="s">
        <v>949</v>
      </c>
      <c r="W30" s="536"/>
      <c r="X30" s="319" t="s">
        <v>967</v>
      </c>
    </row>
    <row r="31" spans="1:24" s="396" customFormat="1" ht="17.25" customHeight="1" x14ac:dyDescent="0.2">
      <c r="A31" s="319" t="s">
        <v>1163</v>
      </c>
      <c r="B31" s="319"/>
      <c r="C31" s="319" t="s">
        <v>2230</v>
      </c>
      <c r="D31" s="319" t="s">
        <v>1933</v>
      </c>
      <c r="E31" s="319" t="s">
        <v>2258</v>
      </c>
      <c r="F31" s="319">
        <v>0</v>
      </c>
      <c r="G31" s="319">
        <v>0</v>
      </c>
      <c r="H31" s="319"/>
      <c r="I31" s="319"/>
      <c r="J31" s="319" t="s">
        <v>50</v>
      </c>
      <c r="K31" s="319" t="s">
        <v>50</v>
      </c>
      <c r="L31" s="319" t="s">
        <v>943</v>
      </c>
      <c r="M31" s="319" t="s">
        <v>964</v>
      </c>
      <c r="N31" s="319">
        <v>23.75817</v>
      </c>
      <c r="O31" s="319">
        <v>97.132339999999999</v>
      </c>
      <c r="P31" s="319" t="s">
        <v>944</v>
      </c>
      <c r="Q31" s="319" t="s">
        <v>45</v>
      </c>
      <c r="R31" s="319" t="s">
        <v>44</v>
      </c>
      <c r="S31" s="319"/>
      <c r="T31" s="534">
        <v>0</v>
      </c>
      <c r="U31" s="535">
        <v>0</v>
      </c>
      <c r="V31" s="319" t="s">
        <v>949</v>
      </c>
      <c r="W31" s="536"/>
      <c r="X31" s="319" t="s">
        <v>1163</v>
      </c>
    </row>
    <row r="32" spans="1:24" s="396" customFormat="1" ht="17.25" customHeight="1" x14ac:dyDescent="0.2">
      <c r="A32" s="319" t="s">
        <v>975</v>
      </c>
      <c r="B32" s="319"/>
      <c r="C32" s="319" t="s">
        <v>2230</v>
      </c>
      <c r="D32" s="319" t="s">
        <v>1581</v>
      </c>
      <c r="E32" s="319">
        <v>0</v>
      </c>
      <c r="F32" s="319">
        <v>0</v>
      </c>
      <c r="G32" s="319">
        <v>0</v>
      </c>
      <c r="H32" s="319"/>
      <c r="I32" s="319"/>
      <c r="J32" s="319" t="s">
        <v>50</v>
      </c>
      <c r="K32" s="319" t="s">
        <v>50</v>
      </c>
      <c r="L32" s="319" t="s">
        <v>943</v>
      </c>
      <c r="M32" s="319" t="s">
        <v>51</v>
      </c>
      <c r="N32" s="319"/>
      <c r="O32" s="319"/>
      <c r="P32" s="319" t="s">
        <v>944</v>
      </c>
      <c r="Q32" s="319" t="s">
        <v>45</v>
      </c>
      <c r="R32" s="319" t="s">
        <v>44</v>
      </c>
      <c r="S32" s="319"/>
      <c r="T32" s="534">
        <v>0</v>
      </c>
      <c r="U32" s="535">
        <v>0</v>
      </c>
      <c r="V32" s="319" t="s">
        <v>949</v>
      </c>
      <c r="W32" s="536"/>
      <c r="X32" s="319" t="s">
        <v>949</v>
      </c>
    </row>
    <row r="33" spans="1:24" s="396" customFormat="1" ht="17.25" customHeight="1" x14ac:dyDescent="0.2">
      <c r="A33" s="319" t="s">
        <v>1229</v>
      </c>
      <c r="B33" s="319"/>
      <c r="C33" s="319" t="s">
        <v>2230</v>
      </c>
      <c r="D33" s="319" t="s">
        <v>2018</v>
      </c>
      <c r="E33" s="319" t="s">
        <v>2298</v>
      </c>
      <c r="F33" s="319" t="s">
        <v>2298</v>
      </c>
      <c r="G33" s="319">
        <v>166724</v>
      </c>
      <c r="H33" s="319"/>
      <c r="I33" s="319"/>
      <c r="J33" s="319" t="s">
        <v>50</v>
      </c>
      <c r="K33" s="319" t="s">
        <v>50</v>
      </c>
      <c r="L33" s="319" t="s">
        <v>943</v>
      </c>
      <c r="M33" s="319" t="s">
        <v>51</v>
      </c>
      <c r="N33" s="319">
        <v>25.225000000000001</v>
      </c>
      <c r="O33" s="319">
        <v>96.793999999999997</v>
      </c>
      <c r="P33" s="319" t="s">
        <v>957</v>
      </c>
      <c r="Q33" s="319" t="s">
        <v>308</v>
      </c>
      <c r="R33" s="319" t="s">
        <v>44</v>
      </c>
      <c r="S33" s="319" t="s">
        <v>966</v>
      </c>
      <c r="T33" s="534">
        <v>0</v>
      </c>
      <c r="U33" s="535">
        <v>0</v>
      </c>
      <c r="V33" s="319">
        <v>42983</v>
      </c>
      <c r="W33" s="536" t="s">
        <v>1230</v>
      </c>
      <c r="X33" s="319" t="s">
        <v>1231</v>
      </c>
    </row>
    <row r="34" spans="1:24" s="396" customFormat="1" ht="17.25" customHeight="1" x14ac:dyDescent="0.2">
      <c r="A34" s="319" t="s">
        <v>1312</v>
      </c>
      <c r="B34" s="319"/>
      <c r="C34" s="319" t="s">
        <v>2230</v>
      </c>
      <c r="D34" s="319" t="s">
        <v>2121</v>
      </c>
      <c r="E34" s="319" t="s">
        <v>2319</v>
      </c>
      <c r="F34" s="319" t="s">
        <v>1312</v>
      </c>
      <c r="G34" s="319">
        <v>0</v>
      </c>
      <c r="H34" s="319"/>
      <c r="I34" s="319"/>
      <c r="J34" s="319" t="s">
        <v>50</v>
      </c>
      <c r="K34" s="319" t="s">
        <v>50</v>
      </c>
      <c r="L34" s="319" t="s">
        <v>961</v>
      </c>
      <c r="M34" s="319" t="s">
        <v>51</v>
      </c>
      <c r="N34" s="319"/>
      <c r="O34" s="319"/>
      <c r="P34" s="319"/>
      <c r="Q34" s="319" t="s">
        <v>308</v>
      </c>
      <c r="R34" s="319" t="s">
        <v>44</v>
      </c>
      <c r="S34" s="319" t="s">
        <v>1112</v>
      </c>
      <c r="T34" s="534">
        <v>245</v>
      </c>
      <c r="U34" s="535">
        <v>1084</v>
      </c>
      <c r="V34" s="319">
        <v>43003</v>
      </c>
      <c r="W34" s="536" t="s">
        <v>1313</v>
      </c>
      <c r="X34" s="319"/>
    </row>
    <row r="35" spans="1:24" s="396" customFormat="1" ht="17.25" customHeight="1" x14ac:dyDescent="0.2">
      <c r="A35" s="319" t="s">
        <v>1224</v>
      </c>
      <c r="B35" s="319"/>
      <c r="C35" s="319" t="s">
        <v>2230</v>
      </c>
      <c r="D35" s="319" t="s">
        <v>2012</v>
      </c>
      <c r="E35" s="319" t="s">
        <v>2295</v>
      </c>
      <c r="F35" s="319" t="s">
        <v>2295</v>
      </c>
      <c r="G35" s="319">
        <v>166591</v>
      </c>
      <c r="H35" s="319" t="s">
        <v>48</v>
      </c>
      <c r="I35" s="319" t="s">
        <v>297</v>
      </c>
      <c r="J35" s="319" t="s">
        <v>50</v>
      </c>
      <c r="K35" s="319" t="s">
        <v>50</v>
      </c>
      <c r="L35" s="319" t="s">
        <v>943</v>
      </c>
      <c r="M35" s="319" t="s">
        <v>51</v>
      </c>
      <c r="N35" s="319">
        <v>24.998349999999999</v>
      </c>
      <c r="O35" s="319">
        <v>96.364949999999993</v>
      </c>
      <c r="P35" s="319" t="s">
        <v>944</v>
      </c>
      <c r="Q35" s="319" t="s">
        <v>313</v>
      </c>
      <c r="R35" s="319" t="s">
        <v>44</v>
      </c>
      <c r="S35" s="319"/>
      <c r="T35" s="534">
        <v>0</v>
      </c>
      <c r="U35" s="535">
        <v>0</v>
      </c>
      <c r="V35" s="319" t="s">
        <v>949</v>
      </c>
      <c r="W35" s="536"/>
      <c r="X35" s="319" t="s">
        <v>1224</v>
      </c>
    </row>
    <row r="36" spans="1:24" s="396" customFormat="1" ht="17.25" customHeight="1" x14ac:dyDescent="0.2">
      <c r="A36" s="319" t="s">
        <v>1194</v>
      </c>
      <c r="B36" s="319"/>
      <c r="C36" s="319" t="s">
        <v>2230</v>
      </c>
      <c r="D36" s="319" t="s">
        <v>1979</v>
      </c>
      <c r="E36" s="319" t="s">
        <v>2246</v>
      </c>
      <c r="F36" s="319" t="s">
        <v>2282</v>
      </c>
      <c r="G36" s="319" t="s">
        <v>2283</v>
      </c>
      <c r="H36" s="319" t="s">
        <v>48</v>
      </c>
      <c r="I36" s="319" t="s">
        <v>49</v>
      </c>
      <c r="J36" s="319" t="s">
        <v>50</v>
      </c>
      <c r="K36" s="319" t="s">
        <v>50</v>
      </c>
      <c r="L36" s="319" t="s">
        <v>943</v>
      </c>
      <c r="M36" s="319" t="s">
        <v>51</v>
      </c>
      <c r="N36" s="319">
        <v>24.25177</v>
      </c>
      <c r="O36" s="319">
        <v>97.346950000000007</v>
      </c>
      <c r="P36" s="319" t="s">
        <v>944</v>
      </c>
      <c r="Q36" s="319" t="s">
        <v>361</v>
      </c>
      <c r="R36" s="319" t="s">
        <v>44</v>
      </c>
      <c r="S36" s="319"/>
      <c r="T36" s="534">
        <v>0</v>
      </c>
      <c r="U36" s="535">
        <v>0</v>
      </c>
      <c r="V36" s="319" t="s">
        <v>949</v>
      </c>
      <c r="W36" s="536"/>
      <c r="X36" s="319" t="s">
        <v>1194</v>
      </c>
    </row>
    <row r="37" spans="1:24" s="396" customFormat="1" ht="17.25" customHeight="1" x14ac:dyDescent="0.2">
      <c r="A37" s="319" t="s">
        <v>1195</v>
      </c>
      <c r="B37" s="319"/>
      <c r="C37" s="319" t="s">
        <v>2230</v>
      </c>
      <c r="D37" s="319" t="s">
        <v>1982</v>
      </c>
      <c r="E37" s="319" t="s">
        <v>2246</v>
      </c>
      <c r="F37" s="319" t="s">
        <v>2247</v>
      </c>
      <c r="G37" s="319" t="s">
        <v>2248</v>
      </c>
      <c r="H37" s="319" t="s">
        <v>48</v>
      </c>
      <c r="I37" s="319" t="s">
        <v>399</v>
      </c>
      <c r="J37" s="319" t="s">
        <v>50</v>
      </c>
      <c r="K37" s="319" t="s">
        <v>50</v>
      </c>
      <c r="L37" s="319" t="s">
        <v>943</v>
      </c>
      <c r="M37" s="319" t="s">
        <v>51</v>
      </c>
      <c r="N37" s="319">
        <v>24.253769999999999</v>
      </c>
      <c r="O37" s="319">
        <v>97.347740000000002</v>
      </c>
      <c r="P37" s="319" t="s">
        <v>944</v>
      </c>
      <c r="Q37" s="319" t="s">
        <v>361</v>
      </c>
      <c r="R37" s="319" t="s">
        <v>44</v>
      </c>
      <c r="S37" s="319"/>
      <c r="T37" s="534">
        <v>0</v>
      </c>
      <c r="U37" s="535">
        <v>0</v>
      </c>
      <c r="V37" s="319" t="s">
        <v>949</v>
      </c>
      <c r="W37" s="536"/>
      <c r="X37" s="319" t="s">
        <v>1195</v>
      </c>
    </row>
    <row r="38" spans="1:24" s="396" customFormat="1" ht="17.25" customHeight="1" x14ac:dyDescent="0.2">
      <c r="A38" s="319" t="s">
        <v>1205</v>
      </c>
      <c r="B38" s="319"/>
      <c r="C38" s="319" t="s">
        <v>2230</v>
      </c>
      <c r="D38" s="319" t="s">
        <v>1995</v>
      </c>
      <c r="E38" s="319" t="s">
        <v>2284</v>
      </c>
      <c r="F38" s="319" t="s">
        <v>2284</v>
      </c>
      <c r="G38" s="319">
        <v>167063</v>
      </c>
      <c r="H38" s="319"/>
      <c r="I38" s="319"/>
      <c r="J38" s="319" t="s">
        <v>50</v>
      </c>
      <c r="K38" s="319" t="s">
        <v>50</v>
      </c>
      <c r="L38" s="319" t="s">
        <v>943</v>
      </c>
      <c r="M38" s="319" t="s">
        <v>51</v>
      </c>
      <c r="N38" s="319">
        <v>24.410008999999999</v>
      </c>
      <c r="O38" s="319">
        <v>97.321659999999994</v>
      </c>
      <c r="P38" s="319" t="s">
        <v>957</v>
      </c>
      <c r="Q38" s="319" t="s">
        <v>361</v>
      </c>
      <c r="R38" s="319" t="s">
        <v>44</v>
      </c>
      <c r="S38" s="319" t="s">
        <v>945</v>
      </c>
      <c r="T38" s="534">
        <v>0</v>
      </c>
      <c r="U38" s="535">
        <v>0</v>
      </c>
      <c r="V38" s="319">
        <v>42983</v>
      </c>
      <c r="W38" s="536" t="s">
        <v>1206</v>
      </c>
      <c r="X38" s="319" t="s">
        <v>1205</v>
      </c>
    </row>
    <row r="39" spans="1:24" s="396" customFormat="1" ht="17.25" customHeight="1" x14ac:dyDescent="0.2">
      <c r="A39" s="319" t="s">
        <v>1207</v>
      </c>
      <c r="B39" s="319"/>
      <c r="C39" s="319" t="s">
        <v>2230</v>
      </c>
      <c r="D39" s="319" t="s">
        <v>1996</v>
      </c>
      <c r="E39" s="319" t="s">
        <v>2285</v>
      </c>
      <c r="F39" s="319" t="s">
        <v>2285</v>
      </c>
      <c r="G39" s="319">
        <v>167078</v>
      </c>
      <c r="H39" s="319"/>
      <c r="I39" s="319"/>
      <c r="J39" s="319" t="s">
        <v>50</v>
      </c>
      <c r="K39" s="319" t="s">
        <v>50</v>
      </c>
      <c r="L39" s="319" t="s">
        <v>943</v>
      </c>
      <c r="M39" s="319" t="s">
        <v>51</v>
      </c>
      <c r="N39" s="319">
        <v>24.441697000000001</v>
      </c>
      <c r="O39" s="319">
        <v>97.409474000000003</v>
      </c>
      <c r="P39" s="319" t="s">
        <v>957</v>
      </c>
      <c r="Q39" s="319" t="s">
        <v>361</v>
      </c>
      <c r="R39" s="319" t="s">
        <v>44</v>
      </c>
      <c r="S39" s="319" t="s">
        <v>945</v>
      </c>
      <c r="T39" s="534">
        <v>0</v>
      </c>
      <c r="U39" s="535">
        <v>0</v>
      </c>
      <c r="V39" s="319">
        <v>42983</v>
      </c>
      <c r="W39" s="536" t="s">
        <v>1208</v>
      </c>
      <c r="X39" s="319" t="s">
        <v>1207</v>
      </c>
    </row>
    <row r="40" spans="1:24" s="396" customFormat="1" ht="17.25" customHeight="1" x14ac:dyDescent="0.2">
      <c r="A40" s="319" t="s">
        <v>1209</v>
      </c>
      <c r="B40" s="319"/>
      <c r="C40" s="319" t="s">
        <v>2230</v>
      </c>
      <c r="D40" s="319" t="s">
        <v>1998</v>
      </c>
      <c r="E40" s="319" t="s">
        <v>2286</v>
      </c>
      <c r="F40" s="319" t="s">
        <v>2286</v>
      </c>
      <c r="G40" s="319">
        <v>167086</v>
      </c>
      <c r="H40" s="319"/>
      <c r="I40" s="319"/>
      <c r="J40" s="319" t="s">
        <v>50</v>
      </c>
      <c r="K40" s="319" t="s">
        <v>50</v>
      </c>
      <c r="L40" s="319" t="s">
        <v>943</v>
      </c>
      <c r="M40" s="319" t="s">
        <v>51</v>
      </c>
      <c r="N40" s="319">
        <v>24.492493</v>
      </c>
      <c r="O40" s="319">
        <v>97.416826999999998</v>
      </c>
      <c r="P40" s="319" t="s">
        <v>957</v>
      </c>
      <c r="Q40" s="319" t="s">
        <v>361</v>
      </c>
      <c r="R40" s="319" t="s">
        <v>44</v>
      </c>
      <c r="S40" s="319" t="s">
        <v>945</v>
      </c>
      <c r="T40" s="534">
        <v>0</v>
      </c>
      <c r="U40" s="535">
        <v>0</v>
      </c>
      <c r="V40" s="319">
        <v>42983</v>
      </c>
      <c r="W40" s="536" t="s">
        <v>1206</v>
      </c>
      <c r="X40" s="319" t="s">
        <v>1209</v>
      </c>
    </row>
    <row r="41" spans="1:24" s="396" customFormat="1" ht="17.25" customHeight="1" x14ac:dyDescent="0.2">
      <c r="A41" s="319" t="s">
        <v>1210</v>
      </c>
      <c r="B41" s="319"/>
      <c r="C41" s="319" t="s">
        <v>2230</v>
      </c>
      <c r="D41" s="319" t="s">
        <v>1999</v>
      </c>
      <c r="E41" s="319" t="s">
        <v>2287</v>
      </c>
      <c r="F41" s="319" t="s">
        <v>2288</v>
      </c>
      <c r="G41" s="319" t="s">
        <v>2289</v>
      </c>
      <c r="H41" s="319"/>
      <c r="I41" s="319"/>
      <c r="J41" s="319" t="s">
        <v>50</v>
      </c>
      <c r="K41" s="319" t="s">
        <v>50</v>
      </c>
      <c r="L41" s="319" t="s">
        <v>943</v>
      </c>
      <c r="M41" s="319" t="s">
        <v>51</v>
      </c>
      <c r="N41" s="319">
        <v>24.613976000000001</v>
      </c>
      <c r="O41" s="319">
        <v>97.461271999999994</v>
      </c>
      <c r="P41" s="319" t="s">
        <v>944</v>
      </c>
      <c r="Q41" s="319" t="s">
        <v>361</v>
      </c>
      <c r="R41" s="319" t="s">
        <v>44</v>
      </c>
      <c r="S41" s="319" t="s">
        <v>945</v>
      </c>
      <c r="T41" s="534">
        <v>0</v>
      </c>
      <c r="U41" s="535">
        <v>0</v>
      </c>
      <c r="V41" s="319">
        <v>42983</v>
      </c>
      <c r="W41" s="536" t="s">
        <v>1211</v>
      </c>
      <c r="X41" s="319" t="s">
        <v>1210</v>
      </c>
    </row>
    <row r="42" spans="1:24" s="396" customFormat="1" ht="17.25" customHeight="1" x14ac:dyDescent="0.2">
      <c r="A42" s="319" t="s">
        <v>1212</v>
      </c>
      <c r="B42" s="319"/>
      <c r="C42" s="319" t="s">
        <v>2230</v>
      </c>
      <c r="D42" s="319" t="s">
        <v>2000</v>
      </c>
      <c r="E42" s="319" t="s">
        <v>2290</v>
      </c>
      <c r="F42" s="319" t="s">
        <v>2291</v>
      </c>
      <c r="G42" s="319">
        <v>167242</v>
      </c>
      <c r="H42" s="319"/>
      <c r="I42" s="319"/>
      <c r="J42" s="319" t="s">
        <v>50</v>
      </c>
      <c r="K42" s="319" t="s">
        <v>50</v>
      </c>
      <c r="L42" s="319" t="s">
        <v>943</v>
      </c>
      <c r="M42" s="319" t="s">
        <v>51</v>
      </c>
      <c r="N42" s="319">
        <v>24.630859999999998</v>
      </c>
      <c r="O42" s="319">
        <v>97.429860000000005</v>
      </c>
      <c r="P42" s="319" t="s">
        <v>957</v>
      </c>
      <c r="Q42" s="319" t="s">
        <v>361</v>
      </c>
      <c r="R42" s="319" t="s">
        <v>44</v>
      </c>
      <c r="S42" s="319" t="s">
        <v>945</v>
      </c>
      <c r="T42" s="534">
        <v>0</v>
      </c>
      <c r="U42" s="535">
        <v>0</v>
      </c>
      <c r="V42" s="319">
        <v>42983</v>
      </c>
      <c r="W42" s="536" t="s">
        <v>1213</v>
      </c>
      <c r="X42" s="319" t="s">
        <v>1212</v>
      </c>
    </row>
    <row r="43" spans="1:24" s="396" customFormat="1" ht="17.25" customHeight="1" x14ac:dyDescent="0.2">
      <c r="A43" s="319" t="s">
        <v>1217</v>
      </c>
      <c r="B43" s="319"/>
      <c r="C43" s="319" t="s">
        <v>2230</v>
      </c>
      <c r="D43" s="319" t="s">
        <v>2006</v>
      </c>
      <c r="E43" s="319" t="s">
        <v>2293</v>
      </c>
      <c r="F43" s="319" t="s">
        <v>2294</v>
      </c>
      <c r="G43" s="319">
        <v>167270</v>
      </c>
      <c r="H43" s="319"/>
      <c r="I43" s="319"/>
      <c r="J43" s="319" t="s">
        <v>50</v>
      </c>
      <c r="K43" s="319" t="s">
        <v>50</v>
      </c>
      <c r="L43" s="319" t="s">
        <v>943</v>
      </c>
      <c r="M43" s="319" t="s">
        <v>51</v>
      </c>
      <c r="N43" s="319">
        <v>24.759551999999999</v>
      </c>
      <c r="O43" s="319">
        <v>97.276591999999994</v>
      </c>
      <c r="P43" s="319" t="s">
        <v>957</v>
      </c>
      <c r="Q43" s="319" t="s">
        <v>361</v>
      </c>
      <c r="R43" s="319" t="s">
        <v>44</v>
      </c>
      <c r="S43" s="319" t="s">
        <v>945</v>
      </c>
      <c r="T43" s="534">
        <v>0</v>
      </c>
      <c r="U43" s="535">
        <v>0</v>
      </c>
      <c r="V43" s="319">
        <v>42983</v>
      </c>
      <c r="W43" s="536" t="s">
        <v>1218</v>
      </c>
      <c r="X43" s="319" t="s">
        <v>1217</v>
      </c>
    </row>
    <row r="44" spans="1:24" s="396" customFormat="1" ht="17.25" customHeight="1" x14ac:dyDescent="0.2">
      <c r="A44" s="319" t="s">
        <v>1237</v>
      </c>
      <c r="B44" s="319"/>
      <c r="C44" s="319" t="s">
        <v>2230</v>
      </c>
      <c r="D44" s="319" t="s">
        <v>2042</v>
      </c>
      <c r="E44" s="319" t="s">
        <v>2301</v>
      </c>
      <c r="F44" s="319" t="s">
        <v>2302</v>
      </c>
      <c r="G44" s="319" t="s">
        <v>2303</v>
      </c>
      <c r="H44" s="319" t="s">
        <v>48</v>
      </c>
      <c r="I44" s="319" t="s">
        <v>399</v>
      </c>
      <c r="J44" s="319" t="s">
        <v>50</v>
      </c>
      <c r="K44" s="319" t="s">
        <v>50</v>
      </c>
      <c r="L44" s="319" t="s">
        <v>943</v>
      </c>
      <c r="M44" s="319" t="s">
        <v>51</v>
      </c>
      <c r="N44" s="319">
        <v>25.377038166666701</v>
      </c>
      <c r="O44" s="319">
        <v>97.403878500000005</v>
      </c>
      <c r="P44" s="319" t="s">
        <v>944</v>
      </c>
      <c r="Q44" s="319" t="s">
        <v>315</v>
      </c>
      <c r="R44" s="319" t="s">
        <v>44</v>
      </c>
      <c r="S44" s="319" t="s">
        <v>966</v>
      </c>
      <c r="T44" s="534"/>
      <c r="U44" s="535"/>
      <c r="V44" s="319">
        <v>42983</v>
      </c>
      <c r="W44" s="536" t="s">
        <v>1238</v>
      </c>
      <c r="X44" s="319" t="s">
        <v>1237</v>
      </c>
    </row>
    <row r="45" spans="1:24" s="396" customFormat="1" ht="17.25" customHeight="1" x14ac:dyDescent="0.2">
      <c r="A45" s="319" t="s">
        <v>1239</v>
      </c>
      <c r="B45" s="319"/>
      <c r="C45" s="319" t="s">
        <v>2230</v>
      </c>
      <c r="D45" s="319" t="s">
        <v>2043</v>
      </c>
      <c r="E45" s="319" t="s">
        <v>2301</v>
      </c>
      <c r="F45" s="319" t="s">
        <v>2304</v>
      </c>
      <c r="G45" s="319" t="s">
        <v>2305</v>
      </c>
      <c r="H45" s="319" t="s">
        <v>48</v>
      </c>
      <c r="I45" s="319" t="s">
        <v>399</v>
      </c>
      <c r="J45" s="319" t="s">
        <v>50</v>
      </c>
      <c r="K45" s="319" t="s">
        <v>50</v>
      </c>
      <c r="L45" s="319" t="s">
        <v>943</v>
      </c>
      <c r="M45" s="319" t="s">
        <v>51</v>
      </c>
      <c r="N45" s="319">
        <v>25.387862999999999</v>
      </c>
      <c r="O45" s="319">
        <v>97.376671999999999</v>
      </c>
      <c r="P45" s="319" t="s">
        <v>944</v>
      </c>
      <c r="Q45" s="319" t="s">
        <v>315</v>
      </c>
      <c r="R45" s="319" t="s">
        <v>44</v>
      </c>
      <c r="S45" s="319"/>
      <c r="T45" s="534">
        <v>0</v>
      </c>
      <c r="U45" s="535">
        <v>0</v>
      </c>
      <c r="V45" s="319" t="s">
        <v>949</v>
      </c>
      <c r="W45" s="536"/>
      <c r="X45" s="319" t="s">
        <v>1239</v>
      </c>
    </row>
    <row r="46" spans="1:24" s="396" customFormat="1" ht="17.25" customHeight="1" x14ac:dyDescent="0.2">
      <c r="A46" s="319" t="s">
        <v>1278</v>
      </c>
      <c r="B46" s="319"/>
      <c r="C46" s="319" t="s">
        <v>2230</v>
      </c>
      <c r="D46" s="319" t="s">
        <v>2121</v>
      </c>
      <c r="E46" s="319" t="s">
        <v>2301</v>
      </c>
      <c r="F46" s="319" t="s">
        <v>2318</v>
      </c>
      <c r="G46" s="319">
        <v>0</v>
      </c>
      <c r="H46" s="319"/>
      <c r="I46" s="319"/>
      <c r="J46" s="319" t="s">
        <v>50</v>
      </c>
      <c r="K46" s="319" t="s">
        <v>50</v>
      </c>
      <c r="L46" s="319" t="s">
        <v>961</v>
      </c>
      <c r="M46" s="319" t="s">
        <v>51</v>
      </c>
      <c r="N46" s="319"/>
      <c r="O46" s="319"/>
      <c r="P46" s="319"/>
      <c r="Q46" s="319" t="s">
        <v>315</v>
      </c>
      <c r="R46" s="319" t="s">
        <v>44</v>
      </c>
      <c r="S46" s="319" t="s">
        <v>1112</v>
      </c>
      <c r="T46" s="534">
        <v>25</v>
      </c>
      <c r="U46" s="535">
        <v>69</v>
      </c>
      <c r="V46" s="319">
        <v>43003</v>
      </c>
      <c r="W46" s="536" t="s">
        <v>1279</v>
      </c>
      <c r="X46" s="319"/>
    </row>
    <row r="47" spans="1:24" s="396" customFormat="1" ht="17.25" customHeight="1" x14ac:dyDescent="0.2">
      <c r="A47" s="319" t="s">
        <v>1266</v>
      </c>
      <c r="B47" s="319"/>
      <c r="C47" s="319" t="s">
        <v>2230</v>
      </c>
      <c r="D47" s="319" t="s">
        <v>2107</v>
      </c>
      <c r="E47" s="319" t="s">
        <v>2316</v>
      </c>
      <c r="F47" s="319" t="s">
        <v>2317</v>
      </c>
      <c r="G47" s="319">
        <v>167567</v>
      </c>
      <c r="H47" s="319"/>
      <c r="I47" s="319"/>
      <c r="J47" s="319" t="s">
        <v>50</v>
      </c>
      <c r="K47" s="319" t="s">
        <v>50</v>
      </c>
      <c r="L47" s="319" t="s">
        <v>943</v>
      </c>
      <c r="M47" s="319" t="s">
        <v>51</v>
      </c>
      <c r="N47" s="319">
        <v>27.270199999999999</v>
      </c>
      <c r="O47" s="319">
        <v>97.58184</v>
      </c>
      <c r="P47" s="319" t="s">
        <v>944</v>
      </c>
      <c r="Q47" s="319" t="s">
        <v>329</v>
      </c>
      <c r="R47" s="319" t="s">
        <v>44</v>
      </c>
      <c r="S47" s="319"/>
      <c r="T47" s="534">
        <v>0</v>
      </c>
      <c r="U47" s="535">
        <v>0</v>
      </c>
      <c r="V47" s="319" t="s">
        <v>949</v>
      </c>
      <c r="W47" s="536"/>
      <c r="X47" s="319" t="s">
        <v>1266</v>
      </c>
    </row>
    <row r="48" spans="1:24" s="396" customFormat="1" ht="17.25" customHeight="1" x14ac:dyDescent="0.2">
      <c r="A48" s="319" t="s">
        <v>1214</v>
      </c>
      <c r="B48" s="319"/>
      <c r="C48" s="319" t="s">
        <v>2230</v>
      </c>
      <c r="D48" s="319" t="s">
        <v>2003</v>
      </c>
      <c r="E48" s="319" t="s">
        <v>2292</v>
      </c>
      <c r="F48" s="319" t="s">
        <v>2292</v>
      </c>
      <c r="G48" s="319">
        <v>165772</v>
      </c>
      <c r="H48" s="319" t="s">
        <v>48</v>
      </c>
      <c r="I48" s="319" t="s">
        <v>1565</v>
      </c>
      <c r="J48" s="319" t="s">
        <v>50</v>
      </c>
      <c r="K48" s="319" t="s">
        <v>50</v>
      </c>
      <c r="L48" s="319" t="s">
        <v>943</v>
      </c>
      <c r="M48" s="319" t="s">
        <v>964</v>
      </c>
      <c r="N48" s="319">
        <v>24.747212999999999</v>
      </c>
      <c r="O48" s="319">
        <v>97.551507000000001</v>
      </c>
      <c r="P48" s="319" t="s">
        <v>944</v>
      </c>
      <c r="Q48" s="319" t="s">
        <v>298</v>
      </c>
      <c r="R48" s="319" t="s">
        <v>44</v>
      </c>
      <c r="S48" s="319"/>
      <c r="T48" s="534">
        <v>0</v>
      </c>
      <c r="U48" s="535">
        <v>0</v>
      </c>
      <c r="V48" s="319" t="s">
        <v>949</v>
      </c>
      <c r="W48" s="536"/>
      <c r="X48" s="319" t="s">
        <v>1215</v>
      </c>
    </row>
    <row r="49" spans="1:24" s="396" customFormat="1" ht="17.25" customHeight="1" x14ac:dyDescent="0.2">
      <c r="A49" s="319" t="s">
        <v>1226</v>
      </c>
      <c r="B49" s="319"/>
      <c r="C49" s="319" t="s">
        <v>2230</v>
      </c>
      <c r="D49" s="319" t="s">
        <v>2014</v>
      </c>
      <c r="E49" s="319" t="s">
        <v>2296</v>
      </c>
      <c r="F49" s="319" t="s">
        <v>2297</v>
      </c>
      <c r="G49" s="319">
        <v>220360</v>
      </c>
      <c r="H49" s="319" t="s">
        <v>48</v>
      </c>
      <c r="I49" s="319" t="s">
        <v>297</v>
      </c>
      <c r="J49" s="319" t="s">
        <v>50</v>
      </c>
      <c r="K49" s="319" t="s">
        <v>50</v>
      </c>
      <c r="L49" s="319" t="s">
        <v>943</v>
      </c>
      <c r="M49" s="319" t="s">
        <v>964</v>
      </c>
      <c r="N49" s="319">
        <v>25.106670000000001</v>
      </c>
      <c r="O49" s="319">
        <v>97.756789999999995</v>
      </c>
      <c r="P49" s="319" t="s">
        <v>944</v>
      </c>
      <c r="Q49" s="319" t="s">
        <v>298</v>
      </c>
      <c r="R49" s="319" t="s">
        <v>44</v>
      </c>
      <c r="S49" s="319" t="s">
        <v>966</v>
      </c>
      <c r="T49" s="534">
        <v>0</v>
      </c>
      <c r="U49" s="535">
        <v>0</v>
      </c>
      <c r="V49" s="319" t="s">
        <v>949</v>
      </c>
      <c r="W49" s="536" t="s">
        <v>1221</v>
      </c>
      <c r="X49" s="319" t="s">
        <v>1227</v>
      </c>
    </row>
    <row r="50" spans="1:24" s="396" customFormat="1" ht="17.25" customHeight="1" x14ac:dyDescent="0.2">
      <c r="A50" s="319" t="s">
        <v>1235</v>
      </c>
      <c r="B50" s="319"/>
      <c r="C50" s="319" t="s">
        <v>2230</v>
      </c>
      <c r="D50" s="319" t="s">
        <v>2035</v>
      </c>
      <c r="E50" s="319" t="s">
        <v>2299</v>
      </c>
      <c r="F50" s="319" t="s">
        <v>2288</v>
      </c>
      <c r="G50" s="319" t="s">
        <v>2300</v>
      </c>
      <c r="H50" s="319" t="s">
        <v>48</v>
      </c>
      <c r="I50" s="319" t="s">
        <v>297</v>
      </c>
      <c r="J50" s="319" t="s">
        <v>50</v>
      </c>
      <c r="K50" s="319" t="s">
        <v>50</v>
      </c>
      <c r="L50" s="319" t="s">
        <v>943</v>
      </c>
      <c r="M50" s="319" t="s">
        <v>51</v>
      </c>
      <c r="N50" s="319">
        <v>25.355841999999999</v>
      </c>
      <c r="O50" s="319">
        <v>97.438259000000002</v>
      </c>
      <c r="P50" s="319" t="s">
        <v>944</v>
      </c>
      <c r="Q50" s="319" t="s">
        <v>298</v>
      </c>
      <c r="R50" s="319" t="s">
        <v>44</v>
      </c>
      <c r="S50" s="319" t="s">
        <v>966</v>
      </c>
      <c r="T50" s="534">
        <v>0</v>
      </c>
      <c r="U50" s="535">
        <v>0</v>
      </c>
      <c r="V50" s="319" t="s">
        <v>949</v>
      </c>
      <c r="W50" s="536" t="s">
        <v>1236</v>
      </c>
      <c r="X50" s="319" t="s">
        <v>1235</v>
      </c>
    </row>
    <row r="51" spans="1:24" s="396" customFormat="1" ht="17.25" customHeight="1" x14ac:dyDescent="0.2">
      <c r="A51" s="319" t="s">
        <v>1012</v>
      </c>
      <c r="B51" s="319"/>
      <c r="C51" s="319" t="s">
        <v>2230</v>
      </c>
      <c r="D51" s="319" t="s">
        <v>1639</v>
      </c>
      <c r="E51" s="319" t="s">
        <v>579</v>
      </c>
      <c r="F51" s="319" t="s">
        <v>2264</v>
      </c>
      <c r="G51" s="319">
        <v>197548</v>
      </c>
      <c r="H51" s="319"/>
      <c r="I51" s="319"/>
      <c r="J51" s="319" t="s">
        <v>50</v>
      </c>
      <c r="K51" s="319" t="s">
        <v>50</v>
      </c>
      <c r="L51" s="319" t="s">
        <v>943</v>
      </c>
      <c r="M51" s="319" t="s">
        <v>981</v>
      </c>
      <c r="N51" s="319">
        <v>20.064226000000001</v>
      </c>
      <c r="O51" s="319">
        <v>92.993758999999997</v>
      </c>
      <c r="P51" s="319" t="s">
        <v>944</v>
      </c>
      <c r="Q51" s="319" t="s">
        <v>575</v>
      </c>
      <c r="R51" s="319" t="s">
        <v>464</v>
      </c>
      <c r="S51" s="319"/>
      <c r="T51" s="534"/>
      <c r="U51" s="535"/>
      <c r="V51" s="319" t="s">
        <v>949</v>
      </c>
      <c r="W51" s="536"/>
      <c r="X51" s="319" t="s">
        <v>1013</v>
      </c>
    </row>
    <row r="52" spans="1:24" s="396" customFormat="1" ht="17.25" customHeight="1" x14ac:dyDescent="0.2">
      <c r="A52" s="319" t="s">
        <v>1035</v>
      </c>
      <c r="B52" s="319"/>
      <c r="C52" s="319" t="s">
        <v>2230</v>
      </c>
      <c r="D52" s="319" t="s">
        <v>1663</v>
      </c>
      <c r="E52" s="319" t="s">
        <v>2265</v>
      </c>
      <c r="F52" s="319" t="s">
        <v>2266</v>
      </c>
      <c r="G52" s="319" t="s">
        <v>2267</v>
      </c>
      <c r="H52" s="319"/>
      <c r="I52" s="319"/>
      <c r="J52" s="319" t="s">
        <v>50</v>
      </c>
      <c r="K52" s="319" t="s">
        <v>50</v>
      </c>
      <c r="L52" s="319" t="s">
        <v>943</v>
      </c>
      <c r="M52" s="319" t="s">
        <v>464</v>
      </c>
      <c r="N52" s="319">
        <v>20.151471999999998</v>
      </c>
      <c r="O52" s="319">
        <v>92.887277999999995</v>
      </c>
      <c r="P52" s="319" t="s">
        <v>944</v>
      </c>
      <c r="Q52" s="319" t="s">
        <v>465</v>
      </c>
      <c r="R52" s="319" t="s">
        <v>464</v>
      </c>
      <c r="S52" s="319"/>
      <c r="T52" s="534"/>
      <c r="U52" s="535"/>
      <c r="V52" s="319" t="s">
        <v>949</v>
      </c>
      <c r="W52" s="536"/>
      <c r="X52" s="319" t="s">
        <v>1035</v>
      </c>
    </row>
    <row r="53" spans="1:24" s="396" customFormat="1" ht="17.25" customHeight="1" x14ac:dyDescent="0.2">
      <c r="A53" s="319" t="s">
        <v>1036</v>
      </c>
      <c r="B53" s="319"/>
      <c r="C53" s="319" t="s">
        <v>2230</v>
      </c>
      <c r="D53" s="319" t="s">
        <v>1666</v>
      </c>
      <c r="E53" s="319" t="s">
        <v>2268</v>
      </c>
      <c r="F53" s="319">
        <v>0</v>
      </c>
      <c r="G53" s="319" t="s">
        <v>2269</v>
      </c>
      <c r="H53" s="319"/>
      <c r="I53" s="319"/>
      <c r="J53" s="319" t="s">
        <v>50</v>
      </c>
      <c r="K53" s="319" t="s">
        <v>50</v>
      </c>
      <c r="L53" s="319" t="s">
        <v>943</v>
      </c>
      <c r="M53" s="319" t="s">
        <v>949</v>
      </c>
      <c r="N53" s="319">
        <v>20.153129</v>
      </c>
      <c r="O53" s="319">
        <v>92.897177999999997</v>
      </c>
      <c r="P53" s="319" t="s">
        <v>944</v>
      </c>
      <c r="Q53" s="319" t="s">
        <v>465</v>
      </c>
      <c r="R53" s="319" t="s">
        <v>464</v>
      </c>
      <c r="S53" s="319"/>
      <c r="T53" s="534"/>
      <c r="U53" s="535"/>
      <c r="V53" s="319" t="s">
        <v>949</v>
      </c>
      <c r="W53" s="536"/>
      <c r="X53" s="319" t="s">
        <v>1037</v>
      </c>
    </row>
    <row r="54" spans="1:24" s="396" customFormat="1" ht="17.25" customHeight="1" x14ac:dyDescent="0.2">
      <c r="A54" s="319" t="s">
        <v>1038</v>
      </c>
      <c r="B54" s="319"/>
      <c r="C54" s="319" t="s">
        <v>2230</v>
      </c>
      <c r="D54" s="319" t="s">
        <v>1668</v>
      </c>
      <c r="E54" s="319" t="s">
        <v>589</v>
      </c>
      <c r="F54" s="319" t="s">
        <v>595</v>
      </c>
      <c r="G54" s="319">
        <v>196211</v>
      </c>
      <c r="H54" s="319"/>
      <c r="I54" s="319"/>
      <c r="J54" s="319" t="s">
        <v>50</v>
      </c>
      <c r="K54" s="319" t="s">
        <v>50</v>
      </c>
      <c r="L54" s="319" t="s">
        <v>943</v>
      </c>
      <c r="M54" s="319" t="s">
        <v>949</v>
      </c>
      <c r="N54" s="319">
        <v>20.156842000000001</v>
      </c>
      <c r="O54" s="319">
        <v>92.837576999999996</v>
      </c>
      <c r="P54" s="319" t="s">
        <v>944</v>
      </c>
      <c r="Q54" s="319" t="s">
        <v>465</v>
      </c>
      <c r="R54" s="319" t="s">
        <v>464</v>
      </c>
      <c r="S54" s="319"/>
      <c r="T54" s="534"/>
      <c r="U54" s="535"/>
      <c r="V54" s="319" t="s">
        <v>949</v>
      </c>
      <c r="W54" s="536"/>
      <c r="X54" s="319" t="s">
        <v>1039</v>
      </c>
    </row>
    <row r="55" spans="1:24" s="396" customFormat="1" ht="17.25" customHeight="1" x14ac:dyDescent="0.2">
      <c r="A55" s="319" t="s">
        <v>1051</v>
      </c>
      <c r="B55" s="319"/>
      <c r="C55" s="319" t="s">
        <v>2230</v>
      </c>
      <c r="D55" s="319" t="s">
        <v>1678</v>
      </c>
      <c r="E55" s="319" t="s">
        <v>2238</v>
      </c>
      <c r="F55" s="319" t="s">
        <v>2270</v>
      </c>
      <c r="G55" s="319">
        <v>196192</v>
      </c>
      <c r="H55" s="319"/>
      <c r="I55" s="319"/>
      <c r="J55" s="319" t="s">
        <v>50</v>
      </c>
      <c r="K55" s="319" t="s">
        <v>50</v>
      </c>
      <c r="L55" s="319" t="s">
        <v>943</v>
      </c>
      <c r="M55" s="319" t="s">
        <v>981</v>
      </c>
      <c r="N55" s="319">
        <v>20.181238</v>
      </c>
      <c r="O55" s="319">
        <v>92.807418999999996</v>
      </c>
      <c r="P55" s="319" t="s">
        <v>944</v>
      </c>
      <c r="Q55" s="319" t="s">
        <v>465</v>
      </c>
      <c r="R55" s="319" t="s">
        <v>464</v>
      </c>
      <c r="S55" s="319" t="s">
        <v>966</v>
      </c>
      <c r="T55" s="534"/>
      <c r="U55" s="535"/>
      <c r="V55" s="319" t="s">
        <v>949</v>
      </c>
      <c r="W55" s="536"/>
      <c r="X55" s="319" t="s">
        <v>1051</v>
      </c>
    </row>
    <row r="56" spans="1:24" s="396" customFormat="1" ht="17.25" customHeight="1" x14ac:dyDescent="0.2">
      <c r="A56" s="319" t="s">
        <v>942</v>
      </c>
      <c r="B56" s="319"/>
      <c r="C56" s="319" t="s">
        <v>2230</v>
      </c>
      <c r="D56" s="319" t="s">
        <v>1557</v>
      </c>
      <c r="E56" s="319" t="s">
        <v>2251</v>
      </c>
      <c r="F56" s="319" t="s">
        <v>2252</v>
      </c>
      <c r="G56" s="319" t="s">
        <v>2253</v>
      </c>
      <c r="H56" s="319"/>
      <c r="I56" s="319"/>
      <c r="J56" s="319" t="s">
        <v>50</v>
      </c>
      <c r="K56" s="319" t="s">
        <v>50</v>
      </c>
      <c r="L56" s="319" t="s">
        <v>943</v>
      </c>
      <c r="M56" s="319" t="s">
        <v>51</v>
      </c>
      <c r="N56" s="319"/>
      <c r="O56" s="319"/>
      <c r="P56" s="319" t="s">
        <v>944</v>
      </c>
      <c r="Q56" s="319" t="s">
        <v>888</v>
      </c>
      <c r="R56" s="319" t="s">
        <v>878</v>
      </c>
      <c r="S56" s="319" t="s">
        <v>945</v>
      </c>
      <c r="T56" s="534">
        <v>0</v>
      </c>
      <c r="U56" s="535">
        <v>0</v>
      </c>
      <c r="V56" s="319">
        <v>42832</v>
      </c>
      <c r="W56" s="536"/>
      <c r="X56" s="319"/>
    </row>
    <row r="57" spans="1:24" s="396" customFormat="1" ht="17.25" customHeight="1" x14ac:dyDescent="0.2">
      <c r="A57" s="319" t="s">
        <v>946</v>
      </c>
      <c r="B57" s="319"/>
      <c r="C57" s="319" t="s">
        <v>2230</v>
      </c>
      <c r="D57" s="319" t="s">
        <v>1558</v>
      </c>
      <c r="E57" s="319" t="s">
        <v>2251</v>
      </c>
      <c r="F57" s="319" t="s">
        <v>2254</v>
      </c>
      <c r="G57" s="319" t="s">
        <v>2255</v>
      </c>
      <c r="H57" s="319"/>
      <c r="I57" s="319"/>
      <c r="J57" s="319" t="s">
        <v>50</v>
      </c>
      <c r="K57" s="319" t="s">
        <v>50</v>
      </c>
      <c r="L57" s="319" t="s">
        <v>943</v>
      </c>
      <c r="M57" s="319" t="s">
        <v>51</v>
      </c>
      <c r="N57" s="319"/>
      <c r="O57" s="319"/>
      <c r="P57" s="319" t="s">
        <v>944</v>
      </c>
      <c r="Q57" s="319" t="s">
        <v>888</v>
      </c>
      <c r="R57" s="319" t="s">
        <v>878</v>
      </c>
      <c r="S57" s="319" t="s">
        <v>945</v>
      </c>
      <c r="T57" s="534">
        <v>0</v>
      </c>
      <c r="U57" s="535">
        <v>0</v>
      </c>
      <c r="V57" s="319"/>
      <c r="W57" s="536"/>
      <c r="X57" s="319">
        <v>42920</v>
      </c>
    </row>
    <row r="58" spans="1:24" s="396" customFormat="1" ht="17.25" customHeight="1" x14ac:dyDescent="0.2">
      <c r="A58" s="319" t="s">
        <v>947</v>
      </c>
      <c r="B58" s="319"/>
      <c r="C58" s="319" t="s">
        <v>2230</v>
      </c>
      <c r="D58" s="319" t="s">
        <v>1559</v>
      </c>
      <c r="E58" s="319" t="s">
        <v>2251</v>
      </c>
      <c r="F58" s="319" t="s">
        <v>2254</v>
      </c>
      <c r="G58" s="319" t="s">
        <v>2255</v>
      </c>
      <c r="H58" s="319"/>
      <c r="I58" s="319"/>
      <c r="J58" s="319" t="s">
        <v>50</v>
      </c>
      <c r="K58" s="319" t="s">
        <v>50</v>
      </c>
      <c r="L58" s="319" t="s">
        <v>943</v>
      </c>
      <c r="M58" s="319" t="s">
        <v>51</v>
      </c>
      <c r="N58" s="319"/>
      <c r="O58" s="319"/>
      <c r="P58" s="319" t="s">
        <v>944</v>
      </c>
      <c r="Q58" s="319" t="s">
        <v>888</v>
      </c>
      <c r="R58" s="319" t="s">
        <v>878</v>
      </c>
      <c r="S58" s="319" t="s">
        <v>945</v>
      </c>
      <c r="T58" s="534">
        <v>0</v>
      </c>
      <c r="U58" s="535">
        <v>0</v>
      </c>
      <c r="V58" s="319"/>
      <c r="W58" s="536"/>
      <c r="X58" s="319">
        <v>42920</v>
      </c>
    </row>
    <row r="59" spans="1:24" s="396" customFormat="1" ht="17.25" customHeight="1" x14ac:dyDescent="0.2">
      <c r="A59" s="319" t="s">
        <v>954</v>
      </c>
      <c r="B59" s="319"/>
      <c r="C59" s="319" t="s">
        <v>2230</v>
      </c>
      <c r="D59" s="319" t="s">
        <v>1567</v>
      </c>
      <c r="E59" s="319" t="s">
        <v>2251</v>
      </c>
      <c r="F59" s="319" t="s">
        <v>2254</v>
      </c>
      <c r="G59" s="319" t="s">
        <v>2255</v>
      </c>
      <c r="H59" s="319"/>
      <c r="I59" s="319"/>
      <c r="J59" s="319" t="s">
        <v>50</v>
      </c>
      <c r="K59" s="319" t="s">
        <v>50</v>
      </c>
      <c r="L59" s="319" t="s">
        <v>943</v>
      </c>
      <c r="M59" s="319" t="s">
        <v>51</v>
      </c>
      <c r="N59" s="319"/>
      <c r="O59" s="319"/>
      <c r="P59" s="319" t="s">
        <v>944</v>
      </c>
      <c r="Q59" s="319" t="s">
        <v>888</v>
      </c>
      <c r="R59" s="319" t="s">
        <v>878</v>
      </c>
      <c r="S59" s="319" t="s">
        <v>945</v>
      </c>
      <c r="T59" s="534">
        <v>0</v>
      </c>
      <c r="U59" s="535">
        <v>0</v>
      </c>
      <c r="V59" s="319"/>
      <c r="W59" s="536"/>
      <c r="X59" s="319">
        <v>42920</v>
      </c>
    </row>
    <row r="60" spans="1:24" s="396" customFormat="1" ht="17.25" customHeight="1" x14ac:dyDescent="0.2">
      <c r="A60" s="319" t="s">
        <v>968</v>
      </c>
      <c r="B60" s="319"/>
      <c r="C60" s="319" t="s">
        <v>2230</v>
      </c>
      <c r="D60" s="319" t="s">
        <v>1577</v>
      </c>
      <c r="E60" s="319" t="s">
        <v>2259</v>
      </c>
      <c r="F60" s="319" t="s">
        <v>2260</v>
      </c>
      <c r="G60" s="319">
        <v>208003</v>
      </c>
      <c r="H60" s="319"/>
      <c r="I60" s="319"/>
      <c r="J60" s="319" t="s">
        <v>50</v>
      </c>
      <c r="K60" s="319" t="s">
        <v>50</v>
      </c>
      <c r="L60" s="319" t="s">
        <v>943</v>
      </c>
      <c r="M60" s="319" t="s">
        <v>51</v>
      </c>
      <c r="N60" s="319"/>
      <c r="O60" s="319"/>
      <c r="P60" s="319" t="s">
        <v>944</v>
      </c>
      <c r="Q60" s="319" t="s">
        <v>888</v>
      </c>
      <c r="R60" s="319" t="s">
        <v>878</v>
      </c>
      <c r="S60" s="319" t="s">
        <v>945</v>
      </c>
      <c r="T60" s="534">
        <v>0</v>
      </c>
      <c r="U60" s="535">
        <v>0</v>
      </c>
      <c r="V60" s="319">
        <v>42832</v>
      </c>
      <c r="W60" s="536"/>
      <c r="X60" s="319"/>
    </row>
    <row r="61" spans="1:24" s="396" customFormat="1" ht="17.25" customHeight="1" x14ac:dyDescent="0.2">
      <c r="A61" s="319" t="s">
        <v>976</v>
      </c>
      <c r="B61" s="319"/>
      <c r="C61" s="319" t="s">
        <v>2230</v>
      </c>
      <c r="D61" s="319" t="s">
        <v>1582</v>
      </c>
      <c r="E61" s="319" t="s">
        <v>2251</v>
      </c>
      <c r="F61" s="319" t="s">
        <v>2254</v>
      </c>
      <c r="G61" s="319" t="s">
        <v>2255</v>
      </c>
      <c r="H61" s="319"/>
      <c r="I61" s="319"/>
      <c r="J61" s="319" t="s">
        <v>50</v>
      </c>
      <c r="K61" s="319" t="s">
        <v>50</v>
      </c>
      <c r="L61" s="319" t="s">
        <v>943</v>
      </c>
      <c r="M61" s="319" t="s">
        <v>51</v>
      </c>
      <c r="N61" s="319"/>
      <c r="O61" s="319"/>
      <c r="P61" s="319" t="s">
        <v>944</v>
      </c>
      <c r="Q61" s="319" t="s">
        <v>888</v>
      </c>
      <c r="R61" s="319" t="s">
        <v>878</v>
      </c>
      <c r="S61" s="319" t="s">
        <v>945</v>
      </c>
      <c r="T61" s="534">
        <v>0</v>
      </c>
      <c r="U61" s="535">
        <v>0</v>
      </c>
      <c r="V61" s="319">
        <v>42832</v>
      </c>
      <c r="W61" s="536"/>
      <c r="X61" s="319"/>
    </row>
    <row r="62" spans="1:24" s="396" customFormat="1" ht="17.25" customHeight="1" x14ac:dyDescent="0.2">
      <c r="A62" s="319" t="s">
        <v>978</v>
      </c>
      <c r="B62" s="319"/>
      <c r="C62" s="319" t="s">
        <v>2230</v>
      </c>
      <c r="D62" s="319" t="s">
        <v>1584</v>
      </c>
      <c r="E62" s="319">
        <v>0</v>
      </c>
      <c r="F62" s="319">
        <v>0</v>
      </c>
      <c r="G62" s="319">
        <v>0</v>
      </c>
      <c r="H62" s="319"/>
      <c r="I62" s="319"/>
      <c r="J62" s="319" t="s">
        <v>50</v>
      </c>
      <c r="K62" s="319" t="s">
        <v>50</v>
      </c>
      <c r="L62" s="319" t="s">
        <v>943</v>
      </c>
      <c r="M62" s="319" t="s">
        <v>51</v>
      </c>
      <c r="N62" s="319"/>
      <c r="O62" s="319"/>
      <c r="P62" s="319" t="s">
        <v>944</v>
      </c>
      <c r="Q62" s="319" t="s">
        <v>888</v>
      </c>
      <c r="R62" s="319" t="s">
        <v>878</v>
      </c>
      <c r="S62" s="319" t="s">
        <v>945</v>
      </c>
      <c r="T62" s="534">
        <v>0</v>
      </c>
      <c r="U62" s="535">
        <v>0</v>
      </c>
      <c r="V62" s="319">
        <v>42832</v>
      </c>
      <c r="W62" s="536"/>
      <c r="X62" s="319"/>
    </row>
    <row r="63" spans="1:24" s="396" customFormat="1" ht="17.25" customHeight="1" x14ac:dyDescent="0.2">
      <c r="A63" s="319" t="s">
        <v>1172</v>
      </c>
      <c r="B63" s="319"/>
      <c r="C63" s="319" t="s">
        <v>2230</v>
      </c>
      <c r="D63" s="319" t="s">
        <v>1947</v>
      </c>
      <c r="E63" s="319" t="s">
        <v>2274</v>
      </c>
      <c r="F63" s="319" t="s">
        <v>2275</v>
      </c>
      <c r="G63" s="319">
        <v>0</v>
      </c>
      <c r="H63" s="319"/>
      <c r="I63" s="319"/>
      <c r="J63" s="319" t="s">
        <v>50</v>
      </c>
      <c r="K63" s="319" t="s">
        <v>50</v>
      </c>
      <c r="L63" s="319" t="s">
        <v>943</v>
      </c>
      <c r="M63" s="319" t="s">
        <v>51</v>
      </c>
      <c r="N63" s="319">
        <v>23.917631</v>
      </c>
      <c r="O63" s="319">
        <v>98.116817999999995</v>
      </c>
      <c r="P63" s="319" t="s">
        <v>944</v>
      </c>
      <c r="Q63" s="319" t="s">
        <v>888</v>
      </c>
      <c r="R63" s="319" t="s">
        <v>878</v>
      </c>
      <c r="S63" s="319" t="s">
        <v>945</v>
      </c>
      <c r="T63" s="534">
        <v>0</v>
      </c>
      <c r="U63" s="535">
        <v>0</v>
      </c>
      <c r="V63" s="319">
        <v>42836</v>
      </c>
      <c r="W63" s="536"/>
      <c r="X63" s="319"/>
    </row>
    <row r="64" spans="1:24" s="396" customFormat="1" ht="17.25" customHeight="1" x14ac:dyDescent="0.2">
      <c r="A64" s="319" t="s">
        <v>1173</v>
      </c>
      <c r="B64" s="319"/>
      <c r="C64" s="319" t="s">
        <v>2230</v>
      </c>
      <c r="D64" s="319" t="s">
        <v>1950</v>
      </c>
      <c r="E64" s="319" t="s">
        <v>2276</v>
      </c>
      <c r="F64" s="319" t="s">
        <v>2277</v>
      </c>
      <c r="G64" s="319">
        <v>208167</v>
      </c>
      <c r="H64" s="319"/>
      <c r="I64" s="319"/>
      <c r="J64" s="319" t="s">
        <v>50</v>
      </c>
      <c r="K64" s="319" t="s">
        <v>50</v>
      </c>
      <c r="L64" s="319" t="s">
        <v>943</v>
      </c>
      <c r="M64" s="319" t="s">
        <v>51</v>
      </c>
      <c r="N64" s="319">
        <v>23.978088</v>
      </c>
      <c r="O64" s="319">
        <v>98.129380999999995</v>
      </c>
      <c r="P64" s="319" t="s">
        <v>944</v>
      </c>
      <c r="Q64" s="319" t="s">
        <v>888</v>
      </c>
      <c r="R64" s="319" t="s">
        <v>878</v>
      </c>
      <c r="S64" s="319" t="s">
        <v>945</v>
      </c>
      <c r="T64" s="534">
        <v>0</v>
      </c>
      <c r="U64" s="535">
        <v>0</v>
      </c>
      <c r="V64" s="319">
        <v>42836</v>
      </c>
      <c r="W64" s="536"/>
      <c r="X64" s="319"/>
    </row>
    <row r="65" spans="1:24" s="396" customFormat="1" ht="17.25" customHeight="1" x14ac:dyDescent="0.2">
      <c r="A65" s="319" t="s">
        <v>1179</v>
      </c>
      <c r="B65" s="319"/>
      <c r="C65" s="319" t="s">
        <v>2230</v>
      </c>
      <c r="D65" s="319" t="s">
        <v>1956</v>
      </c>
      <c r="E65" s="319" t="s">
        <v>1179</v>
      </c>
      <c r="F65" s="319" t="s">
        <v>1179</v>
      </c>
      <c r="G65" s="319">
        <v>0</v>
      </c>
      <c r="H65" s="319"/>
      <c r="I65" s="319"/>
      <c r="J65" s="319" t="s">
        <v>50</v>
      </c>
      <c r="K65" s="319" t="s">
        <v>50</v>
      </c>
      <c r="L65" s="319" t="s">
        <v>943</v>
      </c>
      <c r="M65" s="319" t="s">
        <v>964</v>
      </c>
      <c r="N65" s="319">
        <v>24.008452999999999</v>
      </c>
      <c r="O65" s="319">
        <v>98.054946000000001</v>
      </c>
      <c r="P65" s="319" t="s">
        <v>944</v>
      </c>
      <c r="Q65" s="319" t="s">
        <v>888</v>
      </c>
      <c r="R65" s="319" t="s">
        <v>878</v>
      </c>
      <c r="S65" s="319" t="s">
        <v>966</v>
      </c>
      <c r="T65" s="534">
        <v>0</v>
      </c>
      <c r="U65" s="535">
        <v>0</v>
      </c>
      <c r="V65" s="319" t="s">
        <v>949</v>
      </c>
      <c r="W65" s="536"/>
      <c r="X65" s="319" t="s">
        <v>1179</v>
      </c>
    </row>
    <row r="66" spans="1:24" s="396" customFormat="1" ht="17.25" customHeight="1" x14ac:dyDescent="0.2">
      <c r="A66" s="319" t="s">
        <v>965</v>
      </c>
      <c r="B66" s="319"/>
      <c r="C66" s="319" t="s">
        <v>2230</v>
      </c>
      <c r="D66" s="331" t="s">
        <v>1574</v>
      </c>
      <c r="E66" s="319" t="s">
        <v>2257</v>
      </c>
      <c r="F66" s="319" t="s">
        <v>2257</v>
      </c>
      <c r="G66" s="319">
        <v>208353</v>
      </c>
      <c r="H66" s="319"/>
      <c r="I66" s="319"/>
      <c r="J66" s="319" t="s">
        <v>50</v>
      </c>
      <c r="K66" s="319" t="s">
        <v>50</v>
      </c>
      <c r="L66" s="319" t="s">
        <v>943</v>
      </c>
      <c r="M66" s="319" t="s">
        <v>964</v>
      </c>
      <c r="N66" s="319"/>
      <c r="O66" s="319"/>
      <c r="P66" s="319" t="s">
        <v>944</v>
      </c>
      <c r="Q66" s="319" t="s">
        <v>879</v>
      </c>
      <c r="R66" s="319" t="s">
        <v>878</v>
      </c>
      <c r="S66" s="319"/>
      <c r="T66" s="534">
        <v>0</v>
      </c>
      <c r="U66" s="535">
        <v>0</v>
      </c>
      <c r="V66" s="319" t="s">
        <v>949</v>
      </c>
      <c r="W66" s="536"/>
      <c r="X66" s="319" t="s">
        <v>965</v>
      </c>
    </row>
    <row r="67" spans="1:24" s="396" customFormat="1" ht="17.25" customHeight="1" x14ac:dyDescent="0.2">
      <c r="A67" s="319" t="s">
        <v>1161</v>
      </c>
      <c r="B67" s="319"/>
      <c r="C67" s="319" t="s">
        <v>2230</v>
      </c>
      <c r="D67" s="319" t="s">
        <v>1929</v>
      </c>
      <c r="E67" s="319" t="s">
        <v>2271</v>
      </c>
      <c r="F67" s="319" t="s">
        <v>2271</v>
      </c>
      <c r="G67" s="319">
        <v>208469</v>
      </c>
      <c r="H67" s="319"/>
      <c r="I67" s="319"/>
      <c r="J67" s="319" t="s">
        <v>50</v>
      </c>
      <c r="K67" s="319" t="s">
        <v>50</v>
      </c>
      <c r="L67" s="319" t="s">
        <v>943</v>
      </c>
      <c r="M67" s="319" t="s">
        <v>51</v>
      </c>
      <c r="N67" s="319">
        <v>23.611999999999998</v>
      </c>
      <c r="O67" s="319">
        <v>97.504999999999995</v>
      </c>
      <c r="P67" s="319" t="s">
        <v>944</v>
      </c>
      <c r="Q67" s="319" t="s">
        <v>879</v>
      </c>
      <c r="R67" s="319" t="s">
        <v>878</v>
      </c>
      <c r="S67" s="319" t="s">
        <v>945</v>
      </c>
      <c r="T67" s="534">
        <v>0</v>
      </c>
      <c r="U67" s="535">
        <v>0</v>
      </c>
      <c r="V67" s="319"/>
      <c r="W67" s="536"/>
      <c r="X67" s="319"/>
    </row>
    <row r="68" spans="1:24" s="396" customFormat="1" ht="17.25" customHeight="1" x14ac:dyDescent="0.2">
      <c r="A68" s="331" t="s">
        <v>969</v>
      </c>
      <c r="B68" s="319"/>
      <c r="C68" s="319" t="s">
        <v>2230</v>
      </c>
      <c r="D68" s="319" t="s">
        <v>1578</v>
      </c>
      <c r="E68" s="319" t="s">
        <v>2261</v>
      </c>
      <c r="F68" s="319" t="s">
        <v>2262</v>
      </c>
      <c r="G68" s="319" t="s">
        <v>2263</v>
      </c>
      <c r="H68" s="319"/>
      <c r="I68" s="319"/>
      <c r="J68" s="319" t="s">
        <v>50</v>
      </c>
      <c r="K68" s="319" t="s">
        <v>50</v>
      </c>
      <c r="L68" s="319" t="s">
        <v>943</v>
      </c>
      <c r="M68" s="319" t="s">
        <v>51</v>
      </c>
      <c r="N68" s="319"/>
      <c r="O68" s="319"/>
      <c r="P68" s="319" t="s">
        <v>944</v>
      </c>
      <c r="Q68" s="331" t="s">
        <v>903</v>
      </c>
      <c r="R68" s="331" t="s">
        <v>878</v>
      </c>
      <c r="S68" s="319" t="s">
        <v>945</v>
      </c>
      <c r="T68" s="538">
        <v>0</v>
      </c>
      <c r="U68" s="539">
        <v>0</v>
      </c>
      <c r="V68" s="319">
        <v>43019</v>
      </c>
      <c r="W68" s="536" t="s">
        <v>970</v>
      </c>
      <c r="X68" s="319"/>
    </row>
    <row r="69" spans="1:24" s="396" customFormat="1" ht="17.25" customHeight="1" x14ac:dyDescent="0.2">
      <c r="A69" s="331" t="s">
        <v>971</v>
      </c>
      <c r="B69" s="319"/>
      <c r="C69" s="319" t="s">
        <v>2230</v>
      </c>
      <c r="D69" s="319" t="s">
        <v>1579</v>
      </c>
      <c r="E69" s="319" t="s">
        <v>2261</v>
      </c>
      <c r="F69" s="319" t="s">
        <v>2262</v>
      </c>
      <c r="G69" s="319" t="s">
        <v>2263</v>
      </c>
      <c r="H69" s="319"/>
      <c r="I69" s="319"/>
      <c r="J69" s="319" t="s">
        <v>50</v>
      </c>
      <c r="K69" s="319" t="s">
        <v>50</v>
      </c>
      <c r="L69" s="319" t="s">
        <v>943</v>
      </c>
      <c r="M69" s="319" t="s">
        <v>51</v>
      </c>
      <c r="N69" s="319"/>
      <c r="O69" s="319"/>
      <c r="P69" s="319" t="s">
        <v>944</v>
      </c>
      <c r="Q69" s="331" t="s">
        <v>903</v>
      </c>
      <c r="R69" s="331" t="s">
        <v>878</v>
      </c>
      <c r="S69" s="319" t="s">
        <v>945</v>
      </c>
      <c r="T69" s="538">
        <v>0</v>
      </c>
      <c r="U69" s="539">
        <v>0</v>
      </c>
      <c r="V69" s="319">
        <v>42927</v>
      </c>
      <c r="W69" s="536" t="s">
        <v>972</v>
      </c>
      <c r="X69" s="319"/>
    </row>
    <row r="70" spans="1:24" s="396" customFormat="1" ht="17.25" customHeight="1" x14ac:dyDescent="0.2">
      <c r="A70" s="331" t="s">
        <v>973</v>
      </c>
      <c r="B70" s="319"/>
      <c r="C70" s="319" t="s">
        <v>2230</v>
      </c>
      <c r="D70" s="319" t="s">
        <v>1580</v>
      </c>
      <c r="E70" s="319" t="s">
        <v>2261</v>
      </c>
      <c r="F70" s="319" t="s">
        <v>2262</v>
      </c>
      <c r="G70" s="319" t="s">
        <v>2263</v>
      </c>
      <c r="H70" s="319"/>
      <c r="I70" s="319"/>
      <c r="J70" s="319" t="s">
        <v>50</v>
      </c>
      <c r="K70" s="319" t="s">
        <v>50</v>
      </c>
      <c r="L70" s="319" t="s">
        <v>943</v>
      </c>
      <c r="M70" s="319" t="s">
        <v>51</v>
      </c>
      <c r="N70" s="319"/>
      <c r="O70" s="319"/>
      <c r="P70" s="319" t="s">
        <v>944</v>
      </c>
      <c r="Q70" s="331" t="s">
        <v>903</v>
      </c>
      <c r="R70" s="331" t="s">
        <v>878</v>
      </c>
      <c r="S70" s="319" t="s">
        <v>945</v>
      </c>
      <c r="T70" s="538">
        <v>13</v>
      </c>
      <c r="U70" s="539">
        <v>45</v>
      </c>
      <c r="V70" s="319">
        <v>42927</v>
      </c>
      <c r="W70" s="536" t="s">
        <v>974</v>
      </c>
      <c r="X70" s="319"/>
    </row>
    <row r="71" spans="1:24" s="396" customFormat="1" ht="17.25" customHeight="1" x14ac:dyDescent="0.2">
      <c r="A71" s="331" t="s">
        <v>1152</v>
      </c>
      <c r="B71" s="319"/>
      <c r="C71" s="319" t="s">
        <v>2230</v>
      </c>
      <c r="D71" s="319" t="s">
        <v>1909</v>
      </c>
      <c r="E71" s="319" t="s">
        <v>2261</v>
      </c>
      <c r="F71" s="319" t="s">
        <v>2262</v>
      </c>
      <c r="G71" s="319" t="s">
        <v>2263</v>
      </c>
      <c r="H71" s="319"/>
      <c r="I71" s="319"/>
      <c r="J71" s="319" t="s">
        <v>50</v>
      </c>
      <c r="K71" s="319" t="s">
        <v>50</v>
      </c>
      <c r="L71" s="319" t="s">
        <v>943</v>
      </c>
      <c r="M71" s="319" t="s">
        <v>51</v>
      </c>
      <c r="N71" s="319">
        <v>23.088058</v>
      </c>
      <c r="O71" s="319">
        <v>97.398989</v>
      </c>
      <c r="P71" s="319" t="s">
        <v>957</v>
      </c>
      <c r="Q71" s="331" t="s">
        <v>903</v>
      </c>
      <c r="R71" s="331" t="s">
        <v>878</v>
      </c>
      <c r="S71" s="319" t="s">
        <v>966</v>
      </c>
      <c r="T71" s="538"/>
      <c r="U71" s="539"/>
      <c r="V71" s="319" t="s">
        <v>949</v>
      </c>
      <c r="W71" s="536"/>
      <c r="X71" s="319" t="s">
        <v>973</v>
      </c>
    </row>
    <row r="72" spans="1:24" s="396" customFormat="1" ht="17.25" customHeight="1" x14ac:dyDescent="0.2">
      <c r="A72" s="319" t="s">
        <v>1197</v>
      </c>
      <c r="B72" s="319"/>
      <c r="C72" s="319" t="s">
        <v>2229</v>
      </c>
      <c r="D72" s="319" t="s">
        <v>1987</v>
      </c>
      <c r="E72" s="319"/>
      <c r="F72" s="319"/>
      <c r="G72" s="319"/>
      <c r="H72" s="319"/>
      <c r="I72" s="319"/>
      <c r="J72" s="319" t="s">
        <v>50</v>
      </c>
      <c r="K72" s="319" t="s">
        <v>50</v>
      </c>
      <c r="L72" s="319" t="s">
        <v>956</v>
      </c>
      <c r="M72" s="319" t="s">
        <v>51</v>
      </c>
      <c r="N72" s="319">
        <v>24.263786</v>
      </c>
      <c r="O72" s="319">
        <v>97.228835000000004</v>
      </c>
      <c r="P72" s="319" t="s">
        <v>957</v>
      </c>
      <c r="Q72" s="319" t="s">
        <v>351</v>
      </c>
      <c r="R72" s="319" t="s">
        <v>44</v>
      </c>
      <c r="S72" s="319" t="s">
        <v>945</v>
      </c>
      <c r="T72" s="534">
        <v>197</v>
      </c>
      <c r="U72" s="535">
        <v>957</v>
      </c>
      <c r="V72" s="319" t="s">
        <v>949</v>
      </c>
      <c r="W72" s="536" t="s">
        <v>1198</v>
      </c>
      <c r="X72" s="319" t="s">
        <v>956</v>
      </c>
    </row>
    <row r="73" spans="1:24" s="396" customFormat="1" ht="17.25" customHeight="1" x14ac:dyDescent="0.2">
      <c r="A73" s="319" t="s">
        <v>1276</v>
      </c>
      <c r="B73" s="319"/>
      <c r="C73" s="319" t="s">
        <v>2229</v>
      </c>
      <c r="D73" s="319" t="s">
        <v>949</v>
      </c>
      <c r="E73" s="319"/>
      <c r="F73" s="319"/>
      <c r="G73" s="319"/>
      <c r="H73" s="319"/>
      <c r="I73" s="319"/>
      <c r="J73" s="319" t="s">
        <v>1951</v>
      </c>
      <c r="K73" s="319" t="s">
        <v>50</v>
      </c>
      <c r="L73" s="319" t="s">
        <v>1277</v>
      </c>
      <c r="M73" s="319" t="s">
        <v>51</v>
      </c>
      <c r="N73" s="319"/>
      <c r="O73" s="319"/>
      <c r="P73" s="319"/>
      <c r="Q73" s="319" t="s">
        <v>351</v>
      </c>
      <c r="R73" s="319" t="s">
        <v>44</v>
      </c>
      <c r="S73" s="319"/>
      <c r="T73" s="534"/>
      <c r="U73" s="535"/>
      <c r="V73" s="319" t="s">
        <v>949</v>
      </c>
      <c r="W73" s="536"/>
      <c r="X73" s="319" t="s">
        <v>1276</v>
      </c>
    </row>
    <row r="74" spans="1:24" s="396" customFormat="1" ht="17.25" customHeight="1" x14ac:dyDescent="0.2">
      <c r="A74" s="319" t="s">
        <v>1284</v>
      </c>
      <c r="B74" s="319"/>
      <c r="C74" s="319" t="s">
        <v>2229</v>
      </c>
      <c r="D74" s="319" t="s">
        <v>949</v>
      </c>
      <c r="E74" s="319"/>
      <c r="F74" s="319"/>
      <c r="G74" s="319"/>
      <c r="H74" s="319"/>
      <c r="I74" s="319"/>
      <c r="J74" s="319" t="s">
        <v>984</v>
      </c>
      <c r="K74" s="319" t="s">
        <v>984</v>
      </c>
      <c r="L74" s="319" t="s">
        <v>984</v>
      </c>
      <c r="M74" s="319" t="s">
        <v>51</v>
      </c>
      <c r="N74" s="319"/>
      <c r="O74" s="319"/>
      <c r="P74" s="319"/>
      <c r="Q74" s="319" t="s">
        <v>351</v>
      </c>
      <c r="R74" s="319" t="s">
        <v>44</v>
      </c>
      <c r="S74" s="319"/>
      <c r="T74" s="534"/>
      <c r="U74" s="535"/>
      <c r="V74" s="319" t="s">
        <v>949</v>
      </c>
      <c r="W74" s="536"/>
      <c r="X74" s="319" t="s">
        <v>949</v>
      </c>
    </row>
    <row r="75" spans="1:24" s="396" customFormat="1" ht="17.25" customHeight="1" x14ac:dyDescent="0.2">
      <c r="A75" s="319" t="s">
        <v>1288</v>
      </c>
      <c r="B75" s="319"/>
      <c r="C75" s="319" t="s">
        <v>2229</v>
      </c>
      <c r="D75" s="319" t="s">
        <v>949</v>
      </c>
      <c r="E75" s="319"/>
      <c r="F75" s="319"/>
      <c r="G75" s="319"/>
      <c r="H75" s="319"/>
      <c r="I75" s="319"/>
      <c r="J75" s="319" t="s">
        <v>50</v>
      </c>
      <c r="K75" s="319" t="s">
        <v>50</v>
      </c>
      <c r="L75" s="319" t="s">
        <v>1289</v>
      </c>
      <c r="M75" s="319" t="s">
        <v>51</v>
      </c>
      <c r="N75" s="319"/>
      <c r="O75" s="319"/>
      <c r="P75" s="319"/>
      <c r="Q75" s="319" t="s">
        <v>302</v>
      </c>
      <c r="R75" s="319" t="s">
        <v>44</v>
      </c>
      <c r="S75" s="319"/>
      <c r="T75" s="534"/>
      <c r="U75" s="535"/>
      <c r="V75" s="319" t="s">
        <v>949</v>
      </c>
      <c r="W75" s="536"/>
      <c r="X75" s="319" t="s">
        <v>1288</v>
      </c>
    </row>
    <row r="76" spans="1:24" s="396" customFormat="1" ht="17.25" customHeight="1" x14ac:dyDescent="0.2">
      <c r="A76" s="319" t="s">
        <v>2521</v>
      </c>
      <c r="B76" s="319" t="s">
        <v>2557</v>
      </c>
      <c r="C76" s="319" t="s">
        <v>2229</v>
      </c>
      <c r="D76" s="319" t="s">
        <v>949</v>
      </c>
      <c r="E76" s="319"/>
      <c r="F76" s="319"/>
      <c r="G76" s="319"/>
      <c r="H76" s="319"/>
      <c r="I76" s="319"/>
      <c r="J76" s="319" t="s">
        <v>1951</v>
      </c>
      <c r="K76" s="319" t="s">
        <v>50</v>
      </c>
      <c r="L76" s="319" t="s">
        <v>1277</v>
      </c>
      <c r="M76" s="319" t="s">
        <v>964</v>
      </c>
      <c r="N76" s="319"/>
      <c r="O76" s="319"/>
      <c r="P76" s="319"/>
      <c r="Q76" s="319" t="s">
        <v>45</v>
      </c>
      <c r="R76" s="319" t="s">
        <v>44</v>
      </c>
      <c r="S76" s="319"/>
      <c r="T76" s="534"/>
      <c r="U76" s="535"/>
      <c r="V76" s="319" t="s">
        <v>949</v>
      </c>
      <c r="W76" s="536"/>
      <c r="X76" s="319" t="s">
        <v>1286</v>
      </c>
    </row>
    <row r="77" spans="1:24" s="396" customFormat="1" ht="17.25" customHeight="1" x14ac:dyDescent="0.2">
      <c r="A77" s="319" t="s">
        <v>1174</v>
      </c>
      <c r="B77" s="319"/>
      <c r="C77" s="319" t="s">
        <v>2229</v>
      </c>
      <c r="D77" s="319"/>
      <c r="E77" s="319"/>
      <c r="F77" s="319"/>
      <c r="G77" s="319"/>
      <c r="H77" s="319"/>
      <c r="I77" s="319"/>
      <c r="J77" s="319" t="s">
        <v>1951</v>
      </c>
      <c r="K77" s="319" t="s">
        <v>50</v>
      </c>
      <c r="L77" s="319" t="s">
        <v>50</v>
      </c>
      <c r="M77" s="319" t="s">
        <v>51</v>
      </c>
      <c r="N77" s="319">
        <v>23.989049999999999</v>
      </c>
      <c r="O77" s="319">
        <v>97.225311000000005</v>
      </c>
      <c r="P77" s="319" t="s">
        <v>944</v>
      </c>
      <c r="Q77" s="319" t="s">
        <v>45</v>
      </c>
      <c r="R77" s="319" t="s">
        <v>44</v>
      </c>
      <c r="S77" s="319" t="s">
        <v>945</v>
      </c>
      <c r="T77" s="534"/>
      <c r="U77" s="535"/>
      <c r="V77" s="319">
        <v>42849</v>
      </c>
      <c r="W77" s="536" t="s">
        <v>1175</v>
      </c>
      <c r="X77" s="319"/>
    </row>
    <row r="78" spans="1:24" s="396" customFormat="1" ht="17.25" customHeight="1" x14ac:dyDescent="0.2">
      <c r="A78" s="319" t="s">
        <v>1304</v>
      </c>
      <c r="B78" s="319"/>
      <c r="C78" s="319" t="s">
        <v>2229</v>
      </c>
      <c r="D78" s="319"/>
      <c r="E78" s="319"/>
      <c r="F78" s="319"/>
      <c r="G78" s="319"/>
      <c r="H78" s="319"/>
      <c r="I78" s="319"/>
      <c r="J78" s="319" t="s">
        <v>50</v>
      </c>
      <c r="K78" s="319" t="s">
        <v>50</v>
      </c>
      <c r="L78" s="319" t="s">
        <v>943</v>
      </c>
      <c r="M78" s="319" t="s">
        <v>51</v>
      </c>
      <c r="N78" s="319"/>
      <c r="O78" s="319"/>
      <c r="P78" s="319"/>
      <c r="Q78" s="319" t="s">
        <v>45</v>
      </c>
      <c r="R78" s="319" t="s">
        <v>44</v>
      </c>
      <c r="S78" s="319"/>
      <c r="T78" s="534"/>
      <c r="U78" s="535"/>
      <c r="V78" s="319"/>
      <c r="W78" s="536"/>
      <c r="X78" s="319"/>
    </row>
    <row r="79" spans="1:24" s="396" customFormat="1" ht="17.25" customHeight="1" x14ac:dyDescent="0.2">
      <c r="A79" s="319" t="s">
        <v>1305</v>
      </c>
      <c r="B79" s="319"/>
      <c r="C79" s="319" t="s">
        <v>2229</v>
      </c>
      <c r="D79" s="319" t="s">
        <v>949</v>
      </c>
      <c r="E79" s="319"/>
      <c r="F79" s="319"/>
      <c r="G79" s="319"/>
      <c r="H79" s="319"/>
      <c r="I79" s="319"/>
      <c r="J79" s="319" t="s">
        <v>1951</v>
      </c>
      <c r="K79" s="319" t="s">
        <v>50</v>
      </c>
      <c r="L79" s="319" t="s">
        <v>1289</v>
      </c>
      <c r="M79" s="319" t="s">
        <v>51</v>
      </c>
      <c r="N79" s="319"/>
      <c r="O79" s="319"/>
      <c r="P79" s="319" t="s">
        <v>944</v>
      </c>
      <c r="Q79" s="319" t="s">
        <v>45</v>
      </c>
      <c r="R79" s="319" t="s">
        <v>44</v>
      </c>
      <c r="S79" s="319" t="s">
        <v>966</v>
      </c>
      <c r="T79" s="534"/>
      <c r="U79" s="535"/>
      <c r="V79" s="319" t="s">
        <v>949</v>
      </c>
      <c r="W79" s="536" t="s">
        <v>1285</v>
      </c>
      <c r="X79" s="319" t="s">
        <v>1305</v>
      </c>
    </row>
    <row r="80" spans="1:24" s="396" customFormat="1" ht="17.25" customHeight="1" x14ac:dyDescent="0.2">
      <c r="A80" s="319" t="s">
        <v>1183</v>
      </c>
      <c r="B80" s="319"/>
      <c r="C80" s="319" t="s">
        <v>2229</v>
      </c>
      <c r="D80" s="319" t="s">
        <v>1960</v>
      </c>
      <c r="E80" s="319"/>
      <c r="F80" s="319"/>
      <c r="G80" s="319"/>
      <c r="H80" s="319"/>
      <c r="I80" s="319"/>
      <c r="J80" s="319" t="s">
        <v>50</v>
      </c>
      <c r="K80" s="319" t="s">
        <v>50</v>
      </c>
      <c r="L80" s="319" t="s">
        <v>956</v>
      </c>
      <c r="M80" s="319" t="s">
        <v>51</v>
      </c>
      <c r="N80" s="319">
        <v>24.118618999999999</v>
      </c>
      <c r="O80" s="319">
        <v>97.298055000000005</v>
      </c>
      <c r="P80" s="319" t="s">
        <v>957</v>
      </c>
      <c r="Q80" s="319" t="s">
        <v>45</v>
      </c>
      <c r="R80" s="319" t="s">
        <v>44</v>
      </c>
      <c r="S80" s="319" t="s">
        <v>945</v>
      </c>
      <c r="T80" s="534">
        <v>73</v>
      </c>
      <c r="U80" s="535">
        <v>274</v>
      </c>
      <c r="V80" s="319" t="s">
        <v>949</v>
      </c>
      <c r="W80" s="536" t="s">
        <v>1184</v>
      </c>
      <c r="X80" s="319" t="s">
        <v>1185</v>
      </c>
    </row>
    <row r="81" spans="1:24" s="396" customFormat="1" ht="17.25" customHeight="1" x14ac:dyDescent="0.2">
      <c r="A81" s="319" t="s">
        <v>313</v>
      </c>
      <c r="B81" s="319"/>
      <c r="C81" s="319" t="s">
        <v>2229</v>
      </c>
      <c r="D81" s="319" t="s">
        <v>949</v>
      </c>
      <c r="E81" s="319"/>
      <c r="F81" s="319"/>
      <c r="G81" s="319"/>
      <c r="H81" s="319"/>
      <c r="I81" s="319"/>
      <c r="J81" s="319" t="s">
        <v>984</v>
      </c>
      <c r="K81" s="319" t="s">
        <v>984</v>
      </c>
      <c r="L81" s="319" t="s">
        <v>984</v>
      </c>
      <c r="M81" s="319" t="s">
        <v>949</v>
      </c>
      <c r="N81" s="319"/>
      <c r="O81" s="319"/>
      <c r="P81" s="319"/>
      <c r="Q81" s="319" t="s">
        <v>313</v>
      </c>
      <c r="R81" s="319" t="s">
        <v>44</v>
      </c>
      <c r="S81" s="319"/>
      <c r="T81" s="534"/>
      <c r="U81" s="535"/>
      <c r="V81" s="319" t="s">
        <v>949</v>
      </c>
      <c r="W81" s="536"/>
      <c r="X81" s="319" t="s">
        <v>313</v>
      </c>
    </row>
    <row r="82" spans="1:24" s="396" customFormat="1" ht="17.25" customHeight="1" x14ac:dyDescent="0.2">
      <c r="A82" s="319" t="s">
        <v>1192</v>
      </c>
      <c r="B82" s="319"/>
      <c r="C82" s="319" t="s">
        <v>2229</v>
      </c>
      <c r="D82" s="319" t="s">
        <v>1978</v>
      </c>
      <c r="E82" s="319"/>
      <c r="F82" s="319"/>
      <c r="G82" s="319"/>
      <c r="H82" s="319"/>
      <c r="I82" s="319"/>
      <c r="J82" s="319" t="s">
        <v>50</v>
      </c>
      <c r="K82" s="319" t="s">
        <v>50</v>
      </c>
      <c r="L82" s="319" t="s">
        <v>956</v>
      </c>
      <c r="M82" s="319" t="s">
        <v>51</v>
      </c>
      <c r="N82" s="319">
        <v>24.251232000000002</v>
      </c>
      <c r="O82" s="319">
        <v>97.348405</v>
      </c>
      <c r="P82" s="319" t="s">
        <v>957</v>
      </c>
      <c r="Q82" s="319" t="s">
        <v>361</v>
      </c>
      <c r="R82" s="319" t="s">
        <v>44</v>
      </c>
      <c r="S82" s="319" t="s">
        <v>945</v>
      </c>
      <c r="T82" s="534">
        <v>226</v>
      </c>
      <c r="U82" s="535">
        <v>1048</v>
      </c>
      <c r="V82" s="319" t="s">
        <v>949</v>
      </c>
      <c r="W82" s="536" t="s">
        <v>1184</v>
      </c>
      <c r="X82" s="319" t="s">
        <v>1193</v>
      </c>
    </row>
    <row r="83" spans="1:24" s="396" customFormat="1" ht="17.25" customHeight="1" x14ac:dyDescent="0.2">
      <c r="A83" s="319" t="s">
        <v>1297</v>
      </c>
      <c r="B83" s="319"/>
      <c r="C83" s="319" t="s">
        <v>2229</v>
      </c>
      <c r="D83" s="319" t="s">
        <v>949</v>
      </c>
      <c r="E83" s="319"/>
      <c r="F83" s="319"/>
      <c r="G83" s="319"/>
      <c r="H83" s="319"/>
      <c r="I83" s="319"/>
      <c r="J83" s="319" t="s">
        <v>50</v>
      </c>
      <c r="K83" s="319" t="s">
        <v>50</v>
      </c>
      <c r="L83" s="319" t="s">
        <v>1277</v>
      </c>
      <c r="M83" s="319" t="s">
        <v>51</v>
      </c>
      <c r="N83" s="319"/>
      <c r="O83" s="319"/>
      <c r="P83" s="319"/>
      <c r="Q83" s="319" t="s">
        <v>361</v>
      </c>
      <c r="R83" s="319" t="s">
        <v>44</v>
      </c>
      <c r="S83" s="319"/>
      <c r="T83" s="534"/>
      <c r="U83" s="535"/>
      <c r="V83" s="319" t="s">
        <v>949</v>
      </c>
      <c r="W83" s="536"/>
      <c r="X83" s="319" t="s">
        <v>1298</v>
      </c>
    </row>
    <row r="84" spans="1:24" s="396" customFormat="1" ht="17.25" customHeight="1" x14ac:dyDescent="0.2">
      <c r="A84" s="319" t="s">
        <v>1299</v>
      </c>
      <c r="B84" s="319"/>
      <c r="C84" s="319" t="s">
        <v>2229</v>
      </c>
      <c r="D84" s="319" t="s">
        <v>949</v>
      </c>
      <c r="E84" s="319"/>
      <c r="F84" s="319"/>
      <c r="G84" s="319"/>
      <c r="H84" s="319"/>
      <c r="I84" s="319"/>
      <c r="J84" s="319" t="s">
        <v>50</v>
      </c>
      <c r="K84" s="319" t="s">
        <v>50</v>
      </c>
      <c r="L84" s="319" t="s">
        <v>1277</v>
      </c>
      <c r="M84" s="319" t="s">
        <v>51</v>
      </c>
      <c r="N84" s="319"/>
      <c r="O84" s="319"/>
      <c r="P84" s="319"/>
      <c r="Q84" s="319" t="s">
        <v>361</v>
      </c>
      <c r="R84" s="319" t="s">
        <v>44</v>
      </c>
      <c r="S84" s="319"/>
      <c r="T84" s="534"/>
      <c r="U84" s="535"/>
      <c r="V84" s="319" t="s">
        <v>949</v>
      </c>
      <c r="W84" s="536"/>
      <c r="X84" s="319" t="s">
        <v>1300</v>
      </c>
    </row>
    <row r="85" spans="1:24" s="396" customFormat="1" ht="17.25" customHeight="1" x14ac:dyDescent="0.2">
      <c r="A85" s="319" t="s">
        <v>1301</v>
      </c>
      <c r="B85" s="319"/>
      <c r="C85" s="319" t="s">
        <v>2229</v>
      </c>
      <c r="D85" s="319" t="s">
        <v>949</v>
      </c>
      <c r="E85" s="319"/>
      <c r="F85" s="319"/>
      <c r="G85" s="319"/>
      <c r="H85" s="319"/>
      <c r="I85" s="319"/>
      <c r="J85" s="319" t="s">
        <v>50</v>
      </c>
      <c r="K85" s="319" t="s">
        <v>50</v>
      </c>
      <c r="L85" s="319" t="s">
        <v>1277</v>
      </c>
      <c r="M85" s="319" t="s">
        <v>51</v>
      </c>
      <c r="N85" s="319"/>
      <c r="O85" s="319"/>
      <c r="P85" s="319"/>
      <c r="Q85" s="319" t="s">
        <v>361</v>
      </c>
      <c r="R85" s="319" t="s">
        <v>44</v>
      </c>
      <c r="S85" s="319"/>
      <c r="T85" s="534"/>
      <c r="U85" s="535"/>
      <c r="V85" s="319" t="s">
        <v>949</v>
      </c>
      <c r="W85" s="536"/>
      <c r="X85" s="319" t="s">
        <v>1302</v>
      </c>
    </row>
    <row r="86" spans="1:24" s="396" customFormat="1" ht="17.25" customHeight="1" x14ac:dyDescent="0.2">
      <c r="A86" s="319" t="s">
        <v>1303</v>
      </c>
      <c r="B86" s="319"/>
      <c r="C86" s="319" t="s">
        <v>2229</v>
      </c>
      <c r="D86" s="319" t="s">
        <v>949</v>
      </c>
      <c r="E86" s="319"/>
      <c r="F86" s="319"/>
      <c r="G86" s="319"/>
      <c r="H86" s="319"/>
      <c r="I86" s="319"/>
      <c r="J86" s="319" t="s">
        <v>1289</v>
      </c>
      <c r="K86" s="319" t="s">
        <v>50</v>
      </c>
      <c r="L86" s="319" t="s">
        <v>943</v>
      </c>
      <c r="M86" s="319" t="s">
        <v>51</v>
      </c>
      <c r="N86" s="319"/>
      <c r="O86" s="319"/>
      <c r="P86" s="319"/>
      <c r="Q86" s="319" t="s">
        <v>361</v>
      </c>
      <c r="R86" s="319" t="s">
        <v>44</v>
      </c>
      <c r="S86" s="319"/>
      <c r="T86" s="534"/>
      <c r="U86" s="535"/>
      <c r="V86" s="319" t="s">
        <v>949</v>
      </c>
      <c r="W86" s="536"/>
      <c r="X86" s="319" t="s">
        <v>1303</v>
      </c>
    </row>
    <row r="87" spans="1:24" s="396" customFormat="1" ht="17.25" customHeight="1" x14ac:dyDescent="0.2">
      <c r="A87" s="319" t="s">
        <v>1318</v>
      </c>
      <c r="B87" s="319"/>
      <c r="C87" s="319" t="s">
        <v>2229</v>
      </c>
      <c r="D87" s="319" t="s">
        <v>949</v>
      </c>
      <c r="E87" s="319"/>
      <c r="F87" s="319"/>
      <c r="G87" s="319"/>
      <c r="H87" s="319"/>
      <c r="I87" s="319"/>
      <c r="J87" s="319" t="s">
        <v>50</v>
      </c>
      <c r="K87" s="319" t="s">
        <v>50</v>
      </c>
      <c r="L87" s="319" t="s">
        <v>1277</v>
      </c>
      <c r="M87" s="319" t="s">
        <v>964</v>
      </c>
      <c r="N87" s="319"/>
      <c r="O87" s="319"/>
      <c r="P87" s="319"/>
      <c r="Q87" s="319" t="s">
        <v>361</v>
      </c>
      <c r="R87" s="319" t="s">
        <v>44</v>
      </c>
      <c r="S87" s="319"/>
      <c r="T87" s="534"/>
      <c r="U87" s="535"/>
      <c r="V87" s="319" t="s">
        <v>949</v>
      </c>
      <c r="W87" s="536"/>
      <c r="X87" s="319" t="s">
        <v>1318</v>
      </c>
    </row>
    <row r="88" spans="1:24" s="396" customFormat="1" ht="17.25" customHeight="1" x14ac:dyDescent="0.2">
      <c r="A88" s="319" t="s">
        <v>1319</v>
      </c>
      <c r="B88" s="319"/>
      <c r="C88" s="319" t="s">
        <v>2229</v>
      </c>
      <c r="D88" s="319" t="s">
        <v>949</v>
      </c>
      <c r="E88" s="319"/>
      <c r="F88" s="319"/>
      <c r="G88" s="319"/>
      <c r="H88" s="319"/>
      <c r="I88" s="319"/>
      <c r="J88" s="319" t="s">
        <v>50</v>
      </c>
      <c r="K88" s="319" t="s">
        <v>50</v>
      </c>
      <c r="L88" s="319" t="s">
        <v>1277</v>
      </c>
      <c r="M88" s="319" t="s">
        <v>964</v>
      </c>
      <c r="N88" s="319"/>
      <c r="O88" s="319"/>
      <c r="P88" s="319"/>
      <c r="Q88" s="319" t="s">
        <v>361</v>
      </c>
      <c r="R88" s="319" t="s">
        <v>44</v>
      </c>
      <c r="S88" s="319"/>
      <c r="T88" s="534"/>
      <c r="U88" s="535"/>
      <c r="V88" s="319" t="s">
        <v>949</v>
      </c>
      <c r="W88" s="536"/>
      <c r="X88" s="319" t="s">
        <v>1319</v>
      </c>
    </row>
    <row r="89" spans="1:24" s="396" customFormat="1" ht="17.25" customHeight="1" x14ac:dyDescent="0.2">
      <c r="A89" s="319" t="s">
        <v>1320</v>
      </c>
      <c r="B89" s="319"/>
      <c r="C89" s="319" t="s">
        <v>2229</v>
      </c>
      <c r="D89" s="319" t="s">
        <v>949</v>
      </c>
      <c r="E89" s="319"/>
      <c r="F89" s="319"/>
      <c r="G89" s="319"/>
      <c r="H89" s="319"/>
      <c r="I89" s="319"/>
      <c r="J89" s="319" t="s">
        <v>1289</v>
      </c>
      <c r="K89" s="319" t="s">
        <v>50</v>
      </c>
      <c r="L89" s="319" t="s">
        <v>943</v>
      </c>
      <c r="M89" s="319" t="s">
        <v>964</v>
      </c>
      <c r="N89" s="319"/>
      <c r="O89" s="319"/>
      <c r="P89" s="319"/>
      <c r="Q89" s="319" t="s">
        <v>361</v>
      </c>
      <c r="R89" s="319" t="s">
        <v>44</v>
      </c>
      <c r="S89" s="319"/>
      <c r="T89" s="534"/>
      <c r="U89" s="535"/>
      <c r="V89" s="319" t="s">
        <v>949</v>
      </c>
      <c r="W89" s="536"/>
      <c r="X89" s="319" t="s">
        <v>1320</v>
      </c>
    </row>
    <row r="90" spans="1:24" s="396" customFormat="1" ht="17.25" customHeight="1" x14ac:dyDescent="0.2">
      <c r="A90" s="331" t="s">
        <v>1321</v>
      </c>
      <c r="B90" s="331"/>
      <c r="C90" s="331" t="s">
        <v>2229</v>
      </c>
      <c r="D90" s="331" t="s">
        <v>949</v>
      </c>
      <c r="E90" s="331"/>
      <c r="F90" s="331"/>
      <c r="G90" s="331"/>
      <c r="H90" s="331"/>
      <c r="I90" s="331"/>
      <c r="J90" s="331" t="s">
        <v>1289</v>
      </c>
      <c r="K90" s="331" t="s">
        <v>50</v>
      </c>
      <c r="L90" s="331" t="s">
        <v>943</v>
      </c>
      <c r="M90" s="331" t="s">
        <v>964</v>
      </c>
      <c r="N90" s="331"/>
      <c r="O90" s="331"/>
      <c r="P90" s="331"/>
      <c r="Q90" s="331" t="s">
        <v>361</v>
      </c>
      <c r="R90" s="331" t="s">
        <v>44</v>
      </c>
      <c r="S90" s="331"/>
      <c r="T90" s="538"/>
      <c r="U90" s="539"/>
      <c r="V90" s="331" t="s">
        <v>949</v>
      </c>
      <c r="W90" s="540"/>
      <c r="X90" s="331" t="s">
        <v>1321</v>
      </c>
    </row>
    <row r="91" spans="1:24" s="396" customFormat="1" ht="17.25" customHeight="1" x14ac:dyDescent="0.2">
      <c r="A91" s="319" t="s">
        <v>1322</v>
      </c>
      <c r="B91" s="319"/>
      <c r="C91" s="319" t="s">
        <v>2229</v>
      </c>
      <c r="D91" s="319" t="s">
        <v>949</v>
      </c>
      <c r="E91" s="319"/>
      <c r="F91" s="319"/>
      <c r="G91" s="319"/>
      <c r="H91" s="319"/>
      <c r="I91" s="319"/>
      <c r="J91" s="319" t="s">
        <v>984</v>
      </c>
      <c r="K91" s="319" t="s">
        <v>984</v>
      </c>
      <c r="L91" s="319" t="s">
        <v>984</v>
      </c>
      <c r="M91" s="319" t="s">
        <v>964</v>
      </c>
      <c r="N91" s="319"/>
      <c r="O91" s="319"/>
      <c r="P91" s="319"/>
      <c r="Q91" s="319" t="s">
        <v>361</v>
      </c>
      <c r="R91" s="319" t="s">
        <v>44</v>
      </c>
      <c r="S91" s="319"/>
      <c r="T91" s="534"/>
      <c r="U91" s="535"/>
      <c r="V91" s="319" t="s">
        <v>949</v>
      </c>
      <c r="W91" s="536"/>
      <c r="X91" s="319" t="s">
        <v>1322</v>
      </c>
    </row>
    <row r="92" spans="1:24" s="396" customFormat="1" ht="17.25" customHeight="1" x14ac:dyDescent="0.2">
      <c r="A92" s="319" t="s">
        <v>1323</v>
      </c>
      <c r="B92" s="319"/>
      <c r="C92" s="319" t="s">
        <v>2229</v>
      </c>
      <c r="D92" s="319" t="s">
        <v>949</v>
      </c>
      <c r="E92" s="319"/>
      <c r="F92" s="319"/>
      <c r="G92" s="319"/>
      <c r="H92" s="319"/>
      <c r="I92" s="319"/>
      <c r="J92" s="319" t="s">
        <v>1289</v>
      </c>
      <c r="K92" s="319" t="s">
        <v>50</v>
      </c>
      <c r="L92" s="319" t="s">
        <v>943</v>
      </c>
      <c r="M92" s="319" t="s">
        <v>964</v>
      </c>
      <c r="N92" s="319"/>
      <c r="O92" s="319"/>
      <c r="P92" s="319"/>
      <c r="Q92" s="319" t="s">
        <v>361</v>
      </c>
      <c r="R92" s="319" t="s">
        <v>44</v>
      </c>
      <c r="S92" s="319"/>
      <c r="T92" s="534"/>
      <c r="U92" s="535"/>
      <c r="V92" s="319" t="s">
        <v>949</v>
      </c>
      <c r="W92" s="536"/>
      <c r="X92" s="319" t="s">
        <v>1323</v>
      </c>
    </row>
    <row r="93" spans="1:24" s="396" customFormat="1" ht="17.25" customHeight="1" x14ac:dyDescent="0.2">
      <c r="A93" s="319" t="s">
        <v>1242</v>
      </c>
      <c r="B93" s="319"/>
      <c r="C93" s="319" t="s">
        <v>2229</v>
      </c>
      <c r="D93" s="319"/>
      <c r="E93" s="319"/>
      <c r="F93" s="319"/>
      <c r="G93" s="319"/>
      <c r="H93" s="319"/>
      <c r="I93" s="319"/>
      <c r="J93" s="319" t="s">
        <v>50</v>
      </c>
      <c r="K93" s="319" t="s">
        <v>50</v>
      </c>
      <c r="L93" s="319" t="s">
        <v>943</v>
      </c>
      <c r="M93" s="319" t="s">
        <v>51</v>
      </c>
      <c r="N93" s="319">
        <v>25.3959740909091</v>
      </c>
      <c r="O93" s="319">
        <v>97.382997575757599</v>
      </c>
      <c r="P93" s="319" t="s">
        <v>944</v>
      </c>
      <c r="Q93" s="319" t="s">
        <v>315</v>
      </c>
      <c r="R93" s="319" t="s">
        <v>44</v>
      </c>
      <c r="S93" s="319" t="s">
        <v>966</v>
      </c>
      <c r="T93" s="534"/>
      <c r="U93" s="535"/>
      <c r="V93" s="319" t="s">
        <v>949</v>
      </c>
      <c r="W93" s="536"/>
      <c r="X93" s="319" t="s">
        <v>1242</v>
      </c>
    </row>
    <row r="94" spans="1:24" s="396" customFormat="1" ht="17.25" customHeight="1" x14ac:dyDescent="0.2">
      <c r="A94" s="319" t="s">
        <v>1243</v>
      </c>
      <c r="B94" s="319"/>
      <c r="C94" s="319" t="s">
        <v>2229</v>
      </c>
      <c r="D94" s="319" t="s">
        <v>2045</v>
      </c>
      <c r="E94" s="319"/>
      <c r="F94" s="319"/>
      <c r="G94" s="319"/>
      <c r="H94" s="319"/>
      <c r="I94" s="319"/>
      <c r="J94" s="319" t="s">
        <v>50</v>
      </c>
      <c r="K94" s="319" t="s">
        <v>50</v>
      </c>
      <c r="L94" s="319" t="s">
        <v>943</v>
      </c>
      <c r="M94" s="319" t="s">
        <v>51</v>
      </c>
      <c r="N94" s="319">
        <v>25.396492500000001</v>
      </c>
      <c r="O94" s="319">
        <v>97.381325000000004</v>
      </c>
      <c r="P94" s="319" t="s">
        <v>944</v>
      </c>
      <c r="Q94" s="319" t="s">
        <v>315</v>
      </c>
      <c r="R94" s="319" t="s">
        <v>44</v>
      </c>
      <c r="S94" s="319" t="s">
        <v>966</v>
      </c>
      <c r="T94" s="534"/>
      <c r="U94" s="535"/>
      <c r="V94" s="319" t="s">
        <v>949</v>
      </c>
      <c r="W94" s="536" t="s">
        <v>1241</v>
      </c>
      <c r="X94" s="319" t="s">
        <v>1243</v>
      </c>
    </row>
    <row r="95" spans="1:24" s="396" customFormat="1" ht="17.25" customHeight="1" x14ac:dyDescent="0.2">
      <c r="A95" s="319" t="s">
        <v>1244</v>
      </c>
      <c r="B95" s="319"/>
      <c r="C95" s="319" t="s">
        <v>2229</v>
      </c>
      <c r="D95" s="319" t="s">
        <v>2046</v>
      </c>
      <c r="E95" s="319"/>
      <c r="F95" s="319"/>
      <c r="G95" s="319"/>
      <c r="H95" s="319"/>
      <c r="I95" s="319"/>
      <c r="J95" s="319" t="s">
        <v>50</v>
      </c>
      <c r="K95" s="319" t="s">
        <v>50</v>
      </c>
      <c r="L95" s="319" t="s">
        <v>943</v>
      </c>
      <c r="M95" s="319" t="s">
        <v>51</v>
      </c>
      <c r="N95" s="319">
        <v>25.4002701851852</v>
      </c>
      <c r="O95" s="319">
        <v>97.384729629629604</v>
      </c>
      <c r="P95" s="319" t="s">
        <v>944</v>
      </c>
      <c r="Q95" s="319" t="s">
        <v>315</v>
      </c>
      <c r="R95" s="319" t="s">
        <v>44</v>
      </c>
      <c r="S95" s="319" t="s">
        <v>966</v>
      </c>
      <c r="T95" s="534"/>
      <c r="U95" s="535"/>
      <c r="V95" s="319" t="s">
        <v>949</v>
      </c>
      <c r="W95" s="536" t="s">
        <v>1241</v>
      </c>
      <c r="X95" s="319" t="s">
        <v>1244</v>
      </c>
    </row>
    <row r="96" spans="1:24" s="396" customFormat="1" ht="17.25" customHeight="1" x14ac:dyDescent="0.2">
      <c r="A96" s="319" t="s">
        <v>1336</v>
      </c>
      <c r="B96" s="319"/>
      <c r="C96" s="319" t="s">
        <v>2229</v>
      </c>
      <c r="D96" s="319" t="s">
        <v>949</v>
      </c>
      <c r="E96" s="319"/>
      <c r="F96" s="319"/>
      <c r="G96" s="319"/>
      <c r="H96" s="319"/>
      <c r="I96" s="319"/>
      <c r="J96" s="319" t="s">
        <v>50</v>
      </c>
      <c r="K96" s="319" t="s">
        <v>50</v>
      </c>
      <c r="L96" s="319" t="s">
        <v>1277</v>
      </c>
      <c r="M96" s="319" t="s">
        <v>51</v>
      </c>
      <c r="N96" s="319"/>
      <c r="O96" s="319"/>
      <c r="P96" s="319"/>
      <c r="Q96" s="319" t="s">
        <v>315</v>
      </c>
      <c r="R96" s="319" t="s">
        <v>44</v>
      </c>
      <c r="S96" s="319"/>
      <c r="T96" s="534"/>
      <c r="U96" s="535"/>
      <c r="V96" s="319" t="s">
        <v>949</v>
      </c>
      <c r="W96" s="536"/>
      <c r="X96" s="319" t="s">
        <v>1336</v>
      </c>
    </row>
    <row r="97" spans="1:24" s="396" customFormat="1" ht="17.25" customHeight="1" x14ac:dyDescent="0.2">
      <c r="A97" s="319" t="s">
        <v>1290</v>
      </c>
      <c r="B97" s="319"/>
      <c r="C97" s="319" t="s">
        <v>2229</v>
      </c>
      <c r="D97" s="319" t="s">
        <v>949</v>
      </c>
      <c r="E97" s="319"/>
      <c r="F97" s="319"/>
      <c r="G97" s="319"/>
      <c r="H97" s="319"/>
      <c r="I97" s="319"/>
      <c r="J97" s="319" t="s">
        <v>50</v>
      </c>
      <c r="K97" s="319" t="s">
        <v>50</v>
      </c>
      <c r="L97" s="319" t="s">
        <v>1277</v>
      </c>
      <c r="M97" s="319" t="s">
        <v>51</v>
      </c>
      <c r="N97" s="319"/>
      <c r="O97" s="319"/>
      <c r="P97" s="319"/>
      <c r="Q97" s="319" t="s">
        <v>329</v>
      </c>
      <c r="R97" s="319" t="s">
        <v>44</v>
      </c>
      <c r="S97" s="319"/>
      <c r="T97" s="534"/>
      <c r="U97" s="535"/>
      <c r="V97" s="319" t="s">
        <v>949</v>
      </c>
      <c r="W97" s="536"/>
      <c r="X97" s="319" t="s">
        <v>1290</v>
      </c>
    </row>
    <row r="98" spans="1:24" s="396" customFormat="1" ht="17.25" customHeight="1" x14ac:dyDescent="0.2">
      <c r="A98" s="319" t="s">
        <v>1315</v>
      </c>
      <c r="B98" s="319"/>
      <c r="C98" s="319" t="s">
        <v>2229</v>
      </c>
      <c r="D98" s="319" t="s">
        <v>949</v>
      </c>
      <c r="E98" s="319"/>
      <c r="F98" s="319"/>
      <c r="G98" s="319"/>
      <c r="H98" s="319"/>
      <c r="I98" s="319"/>
      <c r="J98" s="319" t="s">
        <v>50</v>
      </c>
      <c r="K98" s="319" t="s">
        <v>50</v>
      </c>
      <c r="L98" s="319" t="s">
        <v>1277</v>
      </c>
      <c r="M98" s="319" t="s">
        <v>51</v>
      </c>
      <c r="N98" s="319"/>
      <c r="O98" s="319"/>
      <c r="P98" s="319"/>
      <c r="Q98" s="319" t="s">
        <v>329</v>
      </c>
      <c r="R98" s="319" t="s">
        <v>44</v>
      </c>
      <c r="S98" s="319"/>
      <c r="T98" s="534"/>
      <c r="U98" s="535"/>
      <c r="V98" s="319" t="s">
        <v>949</v>
      </c>
      <c r="W98" s="536"/>
      <c r="X98" s="319" t="s">
        <v>1315</v>
      </c>
    </row>
    <row r="99" spans="1:24" s="396" customFormat="1" ht="17.25" customHeight="1" x14ac:dyDescent="0.2">
      <c r="A99" s="319" t="s">
        <v>1190</v>
      </c>
      <c r="B99" s="319"/>
      <c r="C99" s="319" t="s">
        <v>2229</v>
      </c>
      <c r="D99" s="319" t="s">
        <v>1973</v>
      </c>
      <c r="E99" s="319"/>
      <c r="F99" s="319"/>
      <c r="G99" s="319"/>
      <c r="H99" s="319"/>
      <c r="I99" s="319"/>
      <c r="J99" s="319" t="s">
        <v>50</v>
      </c>
      <c r="K99" s="319" t="s">
        <v>50</v>
      </c>
      <c r="L99" s="319" t="s">
        <v>943</v>
      </c>
      <c r="M99" s="319" t="s">
        <v>51</v>
      </c>
      <c r="N99" s="319">
        <v>24.224830999999998</v>
      </c>
      <c r="O99" s="319">
        <v>96.793177</v>
      </c>
      <c r="P99" s="319" t="s">
        <v>957</v>
      </c>
      <c r="Q99" s="319" t="s">
        <v>370</v>
      </c>
      <c r="R99" s="319" t="s">
        <v>44</v>
      </c>
      <c r="S99" s="319" t="s">
        <v>945</v>
      </c>
      <c r="T99" s="534">
        <v>0</v>
      </c>
      <c r="U99" s="535">
        <v>0</v>
      </c>
      <c r="V99" s="319">
        <v>42983</v>
      </c>
      <c r="W99" s="536" t="s">
        <v>1191</v>
      </c>
      <c r="X99" s="319"/>
    </row>
    <row r="100" spans="1:24" s="396" customFormat="1" ht="17.25" customHeight="1" x14ac:dyDescent="0.2">
      <c r="A100" s="319" t="s">
        <v>1328</v>
      </c>
      <c r="B100" s="319"/>
      <c r="C100" s="319" t="s">
        <v>2229</v>
      </c>
      <c r="D100" s="319" t="s">
        <v>949</v>
      </c>
      <c r="E100" s="319"/>
      <c r="F100" s="319"/>
      <c r="G100" s="319"/>
      <c r="H100" s="319"/>
      <c r="I100" s="319"/>
      <c r="J100" s="319" t="s">
        <v>1277</v>
      </c>
      <c r="K100" s="319" t="s">
        <v>50</v>
      </c>
      <c r="L100" s="319" t="s">
        <v>943</v>
      </c>
      <c r="M100" s="319" t="s">
        <v>51</v>
      </c>
      <c r="N100" s="319"/>
      <c r="O100" s="319"/>
      <c r="P100" s="319"/>
      <c r="Q100" s="319" t="s">
        <v>370</v>
      </c>
      <c r="R100" s="319" t="s">
        <v>44</v>
      </c>
      <c r="S100" s="319"/>
      <c r="T100" s="534"/>
      <c r="U100" s="535"/>
      <c r="V100" s="319" t="s">
        <v>949</v>
      </c>
      <c r="W100" s="536"/>
      <c r="X100" s="319" t="s">
        <v>1328</v>
      </c>
    </row>
    <row r="101" spans="1:24" s="396" customFormat="1" ht="17.25" customHeight="1" x14ac:dyDescent="0.2">
      <c r="A101" s="319" t="s">
        <v>1314</v>
      </c>
      <c r="B101" s="319"/>
      <c r="C101" s="319" t="s">
        <v>2229</v>
      </c>
      <c r="D101" s="319" t="s">
        <v>949</v>
      </c>
      <c r="E101" s="319"/>
      <c r="F101" s="319"/>
      <c r="G101" s="319"/>
      <c r="H101" s="319"/>
      <c r="I101" s="319"/>
      <c r="J101" s="319" t="s">
        <v>50</v>
      </c>
      <c r="K101" s="319" t="s">
        <v>50</v>
      </c>
      <c r="L101" s="319" t="s">
        <v>1277</v>
      </c>
      <c r="M101" s="319" t="s">
        <v>51</v>
      </c>
      <c r="N101" s="319"/>
      <c r="O101" s="319"/>
      <c r="P101" s="319"/>
      <c r="Q101" s="319" t="s">
        <v>340</v>
      </c>
      <c r="R101" s="319" t="s">
        <v>44</v>
      </c>
      <c r="S101" s="319"/>
      <c r="T101" s="534"/>
      <c r="U101" s="535"/>
      <c r="V101" s="319" t="s">
        <v>949</v>
      </c>
      <c r="W101" s="536"/>
      <c r="X101" s="319" t="s">
        <v>1314</v>
      </c>
    </row>
    <row r="102" spans="1:24" s="396" customFormat="1" ht="17.25" customHeight="1" x14ac:dyDescent="0.2">
      <c r="A102" s="331" t="s">
        <v>1344</v>
      </c>
      <c r="B102" s="331"/>
      <c r="C102" s="319" t="s">
        <v>2229</v>
      </c>
      <c r="D102" s="331"/>
      <c r="E102" s="319"/>
      <c r="F102" s="319"/>
      <c r="G102" s="319"/>
      <c r="H102" s="331"/>
      <c r="I102" s="331"/>
      <c r="J102" s="331" t="s">
        <v>1951</v>
      </c>
      <c r="K102" s="331" t="s">
        <v>50</v>
      </c>
      <c r="L102" s="331" t="s">
        <v>943</v>
      </c>
      <c r="M102" s="331" t="s">
        <v>51</v>
      </c>
      <c r="N102" s="331"/>
      <c r="O102" s="331"/>
      <c r="P102" s="331"/>
      <c r="Q102" s="331" t="s">
        <v>340</v>
      </c>
      <c r="R102" s="331" t="s">
        <v>44</v>
      </c>
      <c r="S102" s="331" t="s">
        <v>945</v>
      </c>
      <c r="T102" s="538"/>
      <c r="U102" s="539"/>
      <c r="V102" s="331">
        <v>42788</v>
      </c>
      <c r="W102" s="540"/>
      <c r="X102" s="319"/>
    </row>
    <row r="103" spans="1:24" s="396" customFormat="1" ht="17.25" customHeight="1" x14ac:dyDescent="0.2">
      <c r="A103" s="319" t="s">
        <v>1228</v>
      </c>
      <c r="B103" s="319"/>
      <c r="C103" s="319" t="s">
        <v>2229</v>
      </c>
      <c r="D103" s="319" t="s">
        <v>2015</v>
      </c>
      <c r="E103" s="319"/>
      <c r="F103" s="319"/>
      <c r="G103" s="319"/>
      <c r="H103" s="319"/>
      <c r="I103" s="319"/>
      <c r="J103" s="319" t="s">
        <v>50</v>
      </c>
      <c r="K103" s="319" t="s">
        <v>50</v>
      </c>
      <c r="L103" s="319" t="s">
        <v>943</v>
      </c>
      <c r="M103" s="319" t="s">
        <v>964</v>
      </c>
      <c r="N103" s="319">
        <v>25.108011999999999</v>
      </c>
      <c r="O103" s="319">
        <v>97.718008999999995</v>
      </c>
      <c r="P103" s="319" t="s">
        <v>944</v>
      </c>
      <c r="Q103" s="319" t="s">
        <v>298</v>
      </c>
      <c r="R103" s="319" t="s">
        <v>44</v>
      </c>
      <c r="S103" s="319"/>
      <c r="T103" s="534"/>
      <c r="U103" s="535"/>
      <c r="V103" s="319" t="s">
        <v>949</v>
      </c>
      <c r="W103" s="536"/>
      <c r="X103" s="319" t="s">
        <v>1228</v>
      </c>
    </row>
    <row r="104" spans="1:24" s="396" customFormat="1" ht="17.25" customHeight="1" x14ac:dyDescent="0.2">
      <c r="A104" s="319" t="s">
        <v>1291</v>
      </c>
      <c r="B104" s="319"/>
      <c r="C104" s="319" t="s">
        <v>2229</v>
      </c>
      <c r="D104" s="319">
        <v>198232</v>
      </c>
      <c r="E104" s="319"/>
      <c r="F104" s="319"/>
      <c r="G104" s="319"/>
      <c r="H104" s="319"/>
      <c r="I104" s="319"/>
      <c r="J104" s="319" t="s">
        <v>984</v>
      </c>
      <c r="K104" s="319" t="s">
        <v>984</v>
      </c>
      <c r="L104" s="319" t="s">
        <v>984</v>
      </c>
      <c r="M104" s="319" t="s">
        <v>464</v>
      </c>
      <c r="N104" s="319"/>
      <c r="O104" s="319"/>
      <c r="P104" s="319" t="s">
        <v>985</v>
      </c>
      <c r="Q104" s="319" t="s">
        <v>490</v>
      </c>
      <c r="R104" s="319" t="s">
        <v>464</v>
      </c>
      <c r="S104" s="319" t="s">
        <v>988</v>
      </c>
      <c r="T104" s="534"/>
      <c r="U104" s="535"/>
      <c r="V104" s="319">
        <v>42926</v>
      </c>
      <c r="W104" s="536" t="s">
        <v>989</v>
      </c>
      <c r="X104" s="319"/>
    </row>
    <row r="105" spans="1:24" s="396" customFormat="1" ht="17.25" customHeight="1" x14ac:dyDescent="0.2">
      <c r="A105" s="319" t="s">
        <v>986</v>
      </c>
      <c r="B105" s="319"/>
      <c r="C105" s="319" t="s">
        <v>2229</v>
      </c>
      <c r="D105" s="319" t="s">
        <v>1592</v>
      </c>
      <c r="E105" s="319"/>
      <c r="F105" s="319"/>
      <c r="G105" s="319"/>
      <c r="H105" s="319"/>
      <c r="I105" s="319"/>
      <c r="J105" s="319" t="s">
        <v>984</v>
      </c>
      <c r="K105" s="319" t="s">
        <v>984</v>
      </c>
      <c r="L105" s="319" t="s">
        <v>984</v>
      </c>
      <c r="M105" s="319" t="s">
        <v>464</v>
      </c>
      <c r="N105" s="319">
        <v>19.195390701293899</v>
      </c>
      <c r="O105" s="319">
        <v>93.585678100585895</v>
      </c>
      <c r="P105" s="319" t="s">
        <v>985</v>
      </c>
      <c r="Q105" s="319" t="s">
        <v>530</v>
      </c>
      <c r="R105" s="319" t="s">
        <v>464</v>
      </c>
      <c r="S105" s="319"/>
      <c r="T105" s="534"/>
      <c r="U105" s="535"/>
      <c r="V105" s="319" t="s">
        <v>949</v>
      </c>
      <c r="W105" s="536"/>
      <c r="X105" s="319" t="s">
        <v>986</v>
      </c>
    </row>
    <row r="106" spans="1:24" s="396" customFormat="1" ht="17.25" customHeight="1" x14ac:dyDescent="0.2">
      <c r="A106" s="319" t="s">
        <v>1106</v>
      </c>
      <c r="B106" s="319"/>
      <c r="C106" s="319" t="s">
        <v>2229</v>
      </c>
      <c r="D106" s="319" t="s">
        <v>1769</v>
      </c>
      <c r="E106" s="319"/>
      <c r="F106" s="319"/>
      <c r="G106" s="319"/>
      <c r="H106" s="319"/>
      <c r="I106" s="319"/>
      <c r="J106" s="319" t="s">
        <v>984</v>
      </c>
      <c r="K106" s="319" t="s">
        <v>984</v>
      </c>
      <c r="L106" s="319" t="s">
        <v>984</v>
      </c>
      <c r="M106" s="319" t="s">
        <v>464</v>
      </c>
      <c r="N106" s="319">
        <v>20.644800186157202</v>
      </c>
      <c r="O106" s="319">
        <v>92.945426940917997</v>
      </c>
      <c r="P106" s="319" t="s">
        <v>985</v>
      </c>
      <c r="Q106" s="319" t="s">
        <v>473</v>
      </c>
      <c r="R106" s="319" t="s">
        <v>464</v>
      </c>
      <c r="S106" s="319"/>
      <c r="T106" s="534"/>
      <c r="U106" s="535"/>
      <c r="V106" s="319" t="s">
        <v>949</v>
      </c>
      <c r="W106" s="536"/>
      <c r="X106" s="319" t="s">
        <v>1106</v>
      </c>
    </row>
    <row r="107" spans="1:24" s="396" customFormat="1" ht="17.25" customHeight="1" x14ac:dyDescent="0.2">
      <c r="A107" s="319" t="s">
        <v>1117</v>
      </c>
      <c r="B107" s="319"/>
      <c r="C107" s="319" t="s">
        <v>2229</v>
      </c>
      <c r="D107" s="319" t="s">
        <v>1811</v>
      </c>
      <c r="E107" s="319"/>
      <c r="F107" s="319"/>
      <c r="G107" s="319"/>
      <c r="H107" s="319"/>
      <c r="I107" s="319"/>
      <c r="J107" s="319" t="s">
        <v>984</v>
      </c>
      <c r="K107" s="319" t="s">
        <v>984</v>
      </c>
      <c r="L107" s="319" t="s">
        <v>984</v>
      </c>
      <c r="M107" s="319" t="s">
        <v>464</v>
      </c>
      <c r="N107" s="319">
        <v>20.720213000000001</v>
      </c>
      <c r="O107" s="319">
        <v>92.961841000000007</v>
      </c>
      <c r="P107" s="319" t="s">
        <v>985</v>
      </c>
      <c r="Q107" s="319" t="s">
        <v>473</v>
      </c>
      <c r="R107" s="319" t="s">
        <v>464</v>
      </c>
      <c r="S107" s="319"/>
      <c r="T107" s="534"/>
      <c r="U107" s="535"/>
      <c r="V107" s="319" t="s">
        <v>949</v>
      </c>
      <c r="W107" s="536"/>
      <c r="X107" s="319" t="s">
        <v>744</v>
      </c>
    </row>
    <row r="108" spans="1:24" s="396" customFormat="1" ht="17.25" customHeight="1" x14ac:dyDescent="0.2">
      <c r="A108" s="319" t="s">
        <v>1118</v>
      </c>
      <c r="B108" s="319"/>
      <c r="C108" s="319" t="s">
        <v>2229</v>
      </c>
      <c r="D108" s="319" t="s">
        <v>1812</v>
      </c>
      <c r="E108" s="319"/>
      <c r="F108" s="319"/>
      <c r="G108" s="319"/>
      <c r="H108" s="319"/>
      <c r="I108" s="319"/>
      <c r="J108" s="319" t="s">
        <v>984</v>
      </c>
      <c r="K108" s="319" t="s">
        <v>984</v>
      </c>
      <c r="L108" s="319" t="s">
        <v>984</v>
      </c>
      <c r="M108" s="319" t="s">
        <v>1119</v>
      </c>
      <c r="N108" s="319">
        <v>20.720500946044901</v>
      </c>
      <c r="O108" s="319">
        <v>92.937339782714801</v>
      </c>
      <c r="P108" s="319" t="s">
        <v>985</v>
      </c>
      <c r="Q108" s="319" t="s">
        <v>473</v>
      </c>
      <c r="R108" s="319" t="s">
        <v>464</v>
      </c>
      <c r="S108" s="319"/>
      <c r="T108" s="534"/>
      <c r="U108" s="535"/>
      <c r="V108" s="319" t="s">
        <v>949</v>
      </c>
      <c r="W108" s="536"/>
      <c r="X108" s="319" t="s">
        <v>1118</v>
      </c>
    </row>
    <row r="109" spans="1:24" s="396" customFormat="1" ht="17.25" customHeight="1" x14ac:dyDescent="0.2">
      <c r="A109" s="319" t="s">
        <v>1126</v>
      </c>
      <c r="B109" s="319"/>
      <c r="C109" s="319" t="s">
        <v>2229</v>
      </c>
      <c r="D109" s="319">
        <v>196885</v>
      </c>
      <c r="E109" s="319"/>
      <c r="F109" s="319"/>
      <c r="G109" s="319"/>
      <c r="H109" s="319"/>
      <c r="I109" s="319"/>
      <c r="J109" s="319" t="s">
        <v>990</v>
      </c>
      <c r="K109" s="319" t="s">
        <v>984</v>
      </c>
      <c r="L109" s="319" t="s">
        <v>984</v>
      </c>
      <c r="M109" s="319"/>
      <c r="N109" s="319">
        <v>20.806350708007798</v>
      </c>
      <c r="O109" s="319">
        <v>92.948310852050795</v>
      </c>
      <c r="P109" s="319" t="s">
        <v>1109</v>
      </c>
      <c r="Q109" s="319" t="s">
        <v>473</v>
      </c>
      <c r="R109" s="319" t="s">
        <v>464</v>
      </c>
      <c r="S109" s="319" t="s">
        <v>1112</v>
      </c>
      <c r="T109" s="534"/>
      <c r="U109" s="535"/>
      <c r="V109" s="319">
        <v>43011</v>
      </c>
      <c r="W109" s="536" t="s">
        <v>1113</v>
      </c>
      <c r="X109" s="319"/>
    </row>
    <row r="110" spans="1:24" s="396" customFormat="1" ht="17.25" customHeight="1" x14ac:dyDescent="0.2">
      <c r="A110" s="319" t="s">
        <v>1141</v>
      </c>
      <c r="B110" s="319"/>
      <c r="C110" s="319" t="s">
        <v>2229</v>
      </c>
      <c r="D110" s="319" t="s">
        <v>1894</v>
      </c>
      <c r="E110" s="319"/>
      <c r="F110" s="319"/>
      <c r="G110" s="319"/>
      <c r="H110" s="319"/>
      <c r="I110" s="319"/>
      <c r="J110" s="319" t="s">
        <v>984</v>
      </c>
      <c r="K110" s="319" t="s">
        <v>984</v>
      </c>
      <c r="L110" s="319" t="s">
        <v>984</v>
      </c>
      <c r="M110" s="319" t="s">
        <v>464</v>
      </c>
      <c r="N110" s="319">
        <v>21.006929397583001</v>
      </c>
      <c r="O110" s="319">
        <v>92.981040954589801</v>
      </c>
      <c r="P110" s="319" t="s">
        <v>985</v>
      </c>
      <c r="Q110" s="319" t="s">
        <v>473</v>
      </c>
      <c r="R110" s="319" t="s">
        <v>464</v>
      </c>
      <c r="S110" s="319"/>
      <c r="T110" s="534"/>
      <c r="U110" s="535"/>
      <c r="V110" s="319" t="s">
        <v>949</v>
      </c>
      <c r="W110" s="536"/>
      <c r="X110" s="319" t="s">
        <v>1141</v>
      </c>
    </row>
    <row r="111" spans="1:24" s="396" customFormat="1" ht="17.25" customHeight="1" x14ac:dyDescent="0.2">
      <c r="A111" s="319" t="s">
        <v>1324</v>
      </c>
      <c r="B111" s="319"/>
      <c r="C111" s="319" t="s">
        <v>2229</v>
      </c>
      <c r="D111" s="319" t="s">
        <v>2126</v>
      </c>
      <c r="E111" s="319"/>
      <c r="F111" s="319"/>
      <c r="G111" s="319"/>
      <c r="H111" s="319"/>
      <c r="I111" s="319"/>
      <c r="J111" s="319" t="s">
        <v>984</v>
      </c>
      <c r="K111" s="319" t="s">
        <v>984</v>
      </c>
      <c r="L111" s="319" t="s">
        <v>984</v>
      </c>
      <c r="M111" s="319" t="s">
        <v>1119</v>
      </c>
      <c r="N111" s="319"/>
      <c r="O111" s="319"/>
      <c r="P111" s="319" t="s">
        <v>985</v>
      </c>
      <c r="Q111" s="319" t="s">
        <v>473</v>
      </c>
      <c r="R111" s="319" t="s">
        <v>464</v>
      </c>
      <c r="S111" s="319"/>
      <c r="T111" s="534"/>
      <c r="U111" s="535"/>
      <c r="V111" s="319" t="s">
        <v>949</v>
      </c>
      <c r="W111" s="536"/>
      <c r="X111" s="319" t="s">
        <v>1324</v>
      </c>
    </row>
    <row r="112" spans="1:24" s="396" customFormat="1" ht="17.25" customHeight="1" x14ac:dyDescent="0.2">
      <c r="A112" s="319" t="s">
        <v>1148</v>
      </c>
      <c r="B112" s="319"/>
      <c r="C112" s="319" t="s">
        <v>2229</v>
      </c>
      <c r="D112" s="319" t="s">
        <v>1906</v>
      </c>
      <c r="E112" s="319"/>
      <c r="F112" s="319"/>
      <c r="G112" s="319"/>
      <c r="H112" s="319"/>
      <c r="I112" s="319"/>
      <c r="J112" s="319" t="s">
        <v>984</v>
      </c>
      <c r="K112" s="319" t="s">
        <v>984</v>
      </c>
      <c r="L112" s="319" t="s">
        <v>984</v>
      </c>
      <c r="M112" s="319" t="s">
        <v>981</v>
      </c>
      <c r="N112" s="319">
        <v>21.2688694</v>
      </c>
      <c r="O112" s="319">
        <v>92.274917603000006</v>
      </c>
      <c r="P112" s="319" t="s">
        <v>985</v>
      </c>
      <c r="Q112" s="319" t="s">
        <v>476</v>
      </c>
      <c r="R112" s="319" t="s">
        <v>464</v>
      </c>
      <c r="S112" s="319"/>
      <c r="T112" s="534"/>
      <c r="U112" s="535"/>
      <c r="V112" s="319" t="s">
        <v>949</v>
      </c>
      <c r="W112" s="536"/>
      <c r="X112" s="319" t="s">
        <v>1147</v>
      </c>
    </row>
    <row r="113" spans="1:24" s="396" customFormat="1" ht="17.25" customHeight="1" x14ac:dyDescent="0.2">
      <c r="A113" s="319" t="s">
        <v>1325</v>
      </c>
      <c r="B113" s="319"/>
      <c r="C113" s="319" t="s">
        <v>2229</v>
      </c>
      <c r="D113" s="319" t="s">
        <v>949</v>
      </c>
      <c r="E113" s="319"/>
      <c r="F113" s="319"/>
      <c r="G113" s="319"/>
      <c r="H113" s="319"/>
      <c r="I113" s="319"/>
      <c r="J113" s="319" t="s">
        <v>984</v>
      </c>
      <c r="K113" s="319" t="s">
        <v>984</v>
      </c>
      <c r="L113" s="319" t="s">
        <v>984</v>
      </c>
      <c r="M113" s="319" t="s">
        <v>981</v>
      </c>
      <c r="N113" s="319"/>
      <c r="O113" s="319"/>
      <c r="P113" s="319" t="s">
        <v>985</v>
      </c>
      <c r="Q113" s="319" t="s">
        <v>476</v>
      </c>
      <c r="R113" s="319" t="s">
        <v>464</v>
      </c>
      <c r="S113" s="319"/>
      <c r="T113" s="534"/>
      <c r="U113" s="535"/>
      <c r="V113" s="319" t="s">
        <v>949</v>
      </c>
      <c r="W113" s="536"/>
      <c r="X113" s="319" t="s">
        <v>511</v>
      </c>
    </row>
    <row r="114" spans="1:24" s="396" customFormat="1" ht="17.25" customHeight="1" x14ac:dyDescent="0.2">
      <c r="A114" s="319" t="s">
        <v>1342</v>
      </c>
      <c r="B114" s="319"/>
      <c r="C114" s="319" t="s">
        <v>2229</v>
      </c>
      <c r="D114" s="319" t="s">
        <v>949</v>
      </c>
      <c r="E114" s="319"/>
      <c r="F114" s="319"/>
      <c r="G114" s="319"/>
      <c r="H114" s="319"/>
      <c r="I114" s="319"/>
      <c r="J114" s="319" t="s">
        <v>984</v>
      </c>
      <c r="K114" s="319" t="s">
        <v>984</v>
      </c>
      <c r="L114" s="319" t="s">
        <v>984</v>
      </c>
      <c r="M114" s="319" t="s">
        <v>981</v>
      </c>
      <c r="N114" s="319"/>
      <c r="O114" s="319"/>
      <c r="P114" s="319" t="s">
        <v>985</v>
      </c>
      <c r="Q114" s="319" t="s">
        <v>476</v>
      </c>
      <c r="R114" s="319" t="s">
        <v>464</v>
      </c>
      <c r="S114" s="319"/>
      <c r="T114" s="534"/>
      <c r="U114" s="535"/>
      <c r="V114" s="319" t="s">
        <v>949</v>
      </c>
      <c r="W114" s="536"/>
      <c r="X114" s="319" t="s">
        <v>1342</v>
      </c>
    </row>
    <row r="115" spans="1:24" s="396" customFormat="1" ht="17.25" customHeight="1" x14ac:dyDescent="0.2">
      <c r="A115" s="319" t="s">
        <v>1057</v>
      </c>
      <c r="B115" s="319"/>
      <c r="C115" s="319" t="s">
        <v>2229</v>
      </c>
      <c r="D115" s="319" t="s">
        <v>1690</v>
      </c>
      <c r="E115" s="319"/>
      <c r="F115" s="319"/>
      <c r="G115" s="319"/>
      <c r="H115" s="319"/>
      <c r="I115" s="319"/>
      <c r="J115" s="319" t="s">
        <v>984</v>
      </c>
      <c r="K115" s="319" t="s">
        <v>984</v>
      </c>
      <c r="L115" s="319" t="s">
        <v>984</v>
      </c>
      <c r="M115" s="319" t="s">
        <v>981</v>
      </c>
      <c r="N115" s="319">
        <v>20.203340530395501</v>
      </c>
      <c r="O115" s="319">
        <v>93.426139831542997</v>
      </c>
      <c r="P115" s="319" t="s">
        <v>985</v>
      </c>
      <c r="Q115" s="319" t="s">
        <v>483</v>
      </c>
      <c r="R115" s="319" t="s">
        <v>464</v>
      </c>
      <c r="S115" s="319"/>
      <c r="T115" s="534"/>
      <c r="U115" s="535"/>
      <c r="V115" s="319" t="s">
        <v>949</v>
      </c>
      <c r="W115" s="536"/>
      <c r="X115" s="319" t="s">
        <v>1058</v>
      </c>
    </row>
    <row r="116" spans="1:24" s="396" customFormat="1" ht="17.25" customHeight="1" x14ac:dyDescent="0.2">
      <c r="A116" s="319" t="s">
        <v>1062</v>
      </c>
      <c r="B116" s="319"/>
      <c r="C116" s="319" t="s">
        <v>2229</v>
      </c>
      <c r="D116" s="319" t="s">
        <v>1697</v>
      </c>
      <c r="E116" s="319"/>
      <c r="F116" s="319"/>
      <c r="G116" s="319"/>
      <c r="H116" s="319"/>
      <c r="I116" s="319"/>
      <c r="J116" s="319" t="s">
        <v>984</v>
      </c>
      <c r="K116" s="319" t="s">
        <v>984</v>
      </c>
      <c r="L116" s="319" t="s">
        <v>984</v>
      </c>
      <c r="M116" s="319" t="s">
        <v>949</v>
      </c>
      <c r="N116" s="319">
        <v>20.225250244000001</v>
      </c>
      <c r="O116" s="319">
        <v>93.418876647999994</v>
      </c>
      <c r="P116" s="319" t="s">
        <v>985</v>
      </c>
      <c r="Q116" s="319" t="s">
        <v>483</v>
      </c>
      <c r="R116" s="319" t="s">
        <v>464</v>
      </c>
      <c r="S116" s="319"/>
      <c r="T116" s="534"/>
      <c r="U116" s="535"/>
      <c r="V116" s="319" t="s">
        <v>949</v>
      </c>
      <c r="W116" s="536"/>
      <c r="X116" s="319" t="s">
        <v>1063</v>
      </c>
    </row>
    <row r="117" spans="1:24" s="396" customFormat="1" ht="17.25" customHeight="1" x14ac:dyDescent="0.2">
      <c r="A117" s="319" t="s">
        <v>1327</v>
      </c>
      <c r="B117" s="319"/>
      <c r="C117" s="319" t="s">
        <v>2229</v>
      </c>
      <c r="D117" s="319" t="s">
        <v>2128</v>
      </c>
      <c r="E117" s="319"/>
      <c r="F117" s="319"/>
      <c r="G117" s="319"/>
      <c r="H117" s="319"/>
      <c r="I117" s="319"/>
      <c r="J117" s="319" t="s">
        <v>984</v>
      </c>
      <c r="K117" s="319" t="s">
        <v>984</v>
      </c>
      <c r="L117" s="319" t="s">
        <v>984</v>
      </c>
      <c r="M117" s="319" t="s">
        <v>981</v>
      </c>
      <c r="N117" s="319"/>
      <c r="O117" s="319"/>
      <c r="P117" s="319" t="s">
        <v>985</v>
      </c>
      <c r="Q117" s="319" t="s">
        <v>483</v>
      </c>
      <c r="R117" s="319" t="s">
        <v>464</v>
      </c>
      <c r="S117" s="319"/>
      <c r="T117" s="534"/>
      <c r="U117" s="535"/>
      <c r="V117" s="319" t="s">
        <v>949</v>
      </c>
      <c r="W117" s="536"/>
      <c r="X117" s="319" t="s">
        <v>949</v>
      </c>
    </row>
    <row r="118" spans="1:24" s="396" customFormat="1" ht="17.25" customHeight="1" x14ac:dyDescent="0.2">
      <c r="A118" s="319" t="s">
        <v>1098</v>
      </c>
      <c r="B118" s="319"/>
      <c r="C118" s="319" t="s">
        <v>2229</v>
      </c>
      <c r="D118" s="319" t="s">
        <v>1754</v>
      </c>
      <c r="E118" s="319"/>
      <c r="F118" s="319"/>
      <c r="G118" s="319"/>
      <c r="H118" s="319"/>
      <c r="I118" s="319"/>
      <c r="J118" s="319" t="s">
        <v>984</v>
      </c>
      <c r="K118" s="319" t="s">
        <v>984</v>
      </c>
      <c r="L118" s="319" t="s">
        <v>984</v>
      </c>
      <c r="M118" s="319" t="s">
        <v>464</v>
      </c>
      <c r="N118" s="319">
        <v>20.5815105438232</v>
      </c>
      <c r="O118" s="319">
        <v>93.24609375</v>
      </c>
      <c r="P118" s="319" t="s">
        <v>985</v>
      </c>
      <c r="Q118" s="319" t="s">
        <v>649</v>
      </c>
      <c r="R118" s="319" t="s">
        <v>464</v>
      </c>
      <c r="S118" s="319"/>
      <c r="T118" s="534"/>
      <c r="U118" s="535"/>
      <c r="V118" s="319" t="s">
        <v>949</v>
      </c>
      <c r="W118" s="536"/>
      <c r="X118" s="319" t="s">
        <v>1098</v>
      </c>
    </row>
    <row r="119" spans="1:24" s="396" customFormat="1" ht="17.25" customHeight="1" x14ac:dyDescent="0.2">
      <c r="A119" s="319" t="s">
        <v>1001</v>
      </c>
      <c r="B119" s="319"/>
      <c r="C119" s="319" t="s">
        <v>2229</v>
      </c>
      <c r="D119" s="319" t="s">
        <v>1625</v>
      </c>
      <c r="E119" s="319"/>
      <c r="F119" s="319"/>
      <c r="G119" s="319"/>
      <c r="H119" s="319"/>
      <c r="I119" s="319"/>
      <c r="J119" s="319" t="s">
        <v>984</v>
      </c>
      <c r="K119" s="319" t="s">
        <v>984</v>
      </c>
      <c r="L119" s="319" t="s">
        <v>984</v>
      </c>
      <c r="M119" s="319" t="s">
        <v>464</v>
      </c>
      <c r="N119" s="319">
        <v>20.010000000000002</v>
      </c>
      <c r="O119" s="319">
        <v>93.42</v>
      </c>
      <c r="P119" s="319" t="s">
        <v>985</v>
      </c>
      <c r="Q119" s="319" t="s">
        <v>572</v>
      </c>
      <c r="R119" s="319" t="s">
        <v>464</v>
      </c>
      <c r="S119" s="319"/>
      <c r="T119" s="534"/>
      <c r="U119" s="535"/>
      <c r="V119" s="319" t="s">
        <v>949</v>
      </c>
      <c r="W119" s="536"/>
      <c r="X119" s="319" t="s">
        <v>1001</v>
      </c>
    </row>
    <row r="120" spans="1:24" s="396" customFormat="1" ht="17.25" customHeight="1" x14ac:dyDescent="0.2">
      <c r="A120" s="319" t="s">
        <v>1002</v>
      </c>
      <c r="B120" s="319"/>
      <c r="C120" s="319" t="s">
        <v>2229</v>
      </c>
      <c r="D120" s="319" t="s">
        <v>1626</v>
      </c>
      <c r="E120" s="319"/>
      <c r="F120" s="319"/>
      <c r="G120" s="319"/>
      <c r="H120" s="319"/>
      <c r="I120" s="319"/>
      <c r="J120" s="319" t="s">
        <v>984</v>
      </c>
      <c r="K120" s="319" t="s">
        <v>984</v>
      </c>
      <c r="L120" s="319" t="s">
        <v>984</v>
      </c>
      <c r="M120" s="319" t="s">
        <v>464</v>
      </c>
      <c r="N120" s="319">
        <v>20.021469116210898</v>
      </c>
      <c r="O120" s="319">
        <v>93.367980957031307</v>
      </c>
      <c r="P120" s="319" t="s">
        <v>985</v>
      </c>
      <c r="Q120" s="319" t="s">
        <v>572</v>
      </c>
      <c r="R120" s="319" t="s">
        <v>464</v>
      </c>
      <c r="S120" s="319"/>
      <c r="T120" s="534"/>
      <c r="U120" s="535"/>
      <c r="V120" s="319" t="s">
        <v>949</v>
      </c>
      <c r="W120" s="536"/>
      <c r="X120" s="319" t="s">
        <v>1002</v>
      </c>
    </row>
    <row r="121" spans="1:24" s="396" customFormat="1" ht="17.25" customHeight="1" x14ac:dyDescent="0.2">
      <c r="A121" s="319" t="s">
        <v>1003</v>
      </c>
      <c r="B121" s="319"/>
      <c r="C121" s="319" t="s">
        <v>2229</v>
      </c>
      <c r="D121" s="319" t="s">
        <v>1627</v>
      </c>
      <c r="E121" s="319"/>
      <c r="F121" s="319"/>
      <c r="G121" s="319"/>
      <c r="H121" s="319"/>
      <c r="I121" s="319"/>
      <c r="J121" s="319" t="s">
        <v>984</v>
      </c>
      <c r="K121" s="319" t="s">
        <v>984</v>
      </c>
      <c r="L121" s="319" t="s">
        <v>984</v>
      </c>
      <c r="M121" s="319" t="s">
        <v>464</v>
      </c>
      <c r="N121" s="319">
        <v>20.023880004882798</v>
      </c>
      <c r="O121" s="319">
        <v>93.376663208007798</v>
      </c>
      <c r="P121" s="319" t="s">
        <v>985</v>
      </c>
      <c r="Q121" s="319" t="s">
        <v>572</v>
      </c>
      <c r="R121" s="319" t="s">
        <v>464</v>
      </c>
      <c r="S121" s="319"/>
      <c r="T121" s="534"/>
      <c r="U121" s="535"/>
      <c r="V121" s="319" t="s">
        <v>949</v>
      </c>
      <c r="W121" s="536"/>
      <c r="X121" s="319" t="s">
        <v>1003</v>
      </c>
    </row>
    <row r="122" spans="1:24" s="396" customFormat="1" ht="17.25" customHeight="1" x14ac:dyDescent="0.2">
      <c r="A122" s="319" t="s">
        <v>1004</v>
      </c>
      <c r="B122" s="319"/>
      <c r="C122" s="319" t="s">
        <v>2229</v>
      </c>
      <c r="D122" s="319" t="s">
        <v>1628</v>
      </c>
      <c r="E122" s="319"/>
      <c r="F122" s="319"/>
      <c r="G122" s="319"/>
      <c r="H122" s="319"/>
      <c r="I122" s="319"/>
      <c r="J122" s="319" t="s">
        <v>984</v>
      </c>
      <c r="K122" s="319" t="s">
        <v>984</v>
      </c>
      <c r="L122" s="319" t="s">
        <v>984</v>
      </c>
      <c r="M122" s="319" t="s">
        <v>464</v>
      </c>
      <c r="N122" s="319">
        <v>20.03</v>
      </c>
      <c r="O122" s="319">
        <v>93.38</v>
      </c>
      <c r="P122" s="319" t="s">
        <v>985</v>
      </c>
      <c r="Q122" s="319" t="s">
        <v>572</v>
      </c>
      <c r="R122" s="319" t="s">
        <v>464</v>
      </c>
      <c r="S122" s="319"/>
      <c r="T122" s="534"/>
      <c r="U122" s="535"/>
      <c r="V122" s="319" t="s">
        <v>949</v>
      </c>
      <c r="W122" s="536"/>
      <c r="X122" s="319" t="s">
        <v>1004</v>
      </c>
    </row>
    <row r="123" spans="1:24" s="396" customFormat="1" ht="17.25" customHeight="1" x14ac:dyDescent="0.2">
      <c r="A123" s="319" t="s">
        <v>1005</v>
      </c>
      <c r="B123" s="319"/>
      <c r="C123" s="319" t="s">
        <v>2229</v>
      </c>
      <c r="D123" s="319" t="s">
        <v>1629</v>
      </c>
      <c r="E123" s="319"/>
      <c r="F123" s="319"/>
      <c r="G123" s="319"/>
      <c r="H123" s="319"/>
      <c r="I123" s="319"/>
      <c r="J123" s="319" t="s">
        <v>984</v>
      </c>
      <c r="K123" s="319" t="s">
        <v>984</v>
      </c>
      <c r="L123" s="319" t="s">
        <v>984</v>
      </c>
      <c r="M123" s="319" t="s">
        <v>464</v>
      </c>
      <c r="N123" s="319">
        <v>20.032299999999999</v>
      </c>
      <c r="O123" s="319">
        <v>93.375100000000003</v>
      </c>
      <c r="P123" s="319" t="s">
        <v>985</v>
      </c>
      <c r="Q123" s="319" t="s">
        <v>572</v>
      </c>
      <c r="R123" s="319" t="s">
        <v>464</v>
      </c>
      <c r="S123" s="319"/>
      <c r="T123" s="534"/>
      <c r="U123" s="535"/>
      <c r="V123" s="319" t="s">
        <v>949</v>
      </c>
      <c r="W123" s="536"/>
      <c r="X123" s="319" t="s">
        <v>1005</v>
      </c>
    </row>
    <row r="124" spans="1:24" s="396" customFormat="1" ht="17.25" customHeight="1" x14ac:dyDescent="0.2">
      <c r="A124" s="319" t="s">
        <v>1006</v>
      </c>
      <c r="B124" s="319"/>
      <c r="C124" s="319" t="s">
        <v>2229</v>
      </c>
      <c r="D124" s="319" t="s">
        <v>1630</v>
      </c>
      <c r="E124" s="319"/>
      <c r="F124" s="319"/>
      <c r="G124" s="319"/>
      <c r="H124" s="319"/>
      <c r="I124" s="319"/>
      <c r="J124" s="319" t="s">
        <v>984</v>
      </c>
      <c r="K124" s="319" t="s">
        <v>984</v>
      </c>
      <c r="L124" s="319" t="s">
        <v>984</v>
      </c>
      <c r="M124" s="319" t="s">
        <v>464</v>
      </c>
      <c r="N124" s="319">
        <v>20.032760620117202</v>
      </c>
      <c r="O124" s="319">
        <v>93.372978210449205</v>
      </c>
      <c r="P124" s="319" t="s">
        <v>985</v>
      </c>
      <c r="Q124" s="319" t="s">
        <v>572</v>
      </c>
      <c r="R124" s="319" t="s">
        <v>464</v>
      </c>
      <c r="S124" s="319"/>
      <c r="T124" s="534"/>
      <c r="U124" s="535"/>
      <c r="V124" s="319" t="s">
        <v>949</v>
      </c>
      <c r="W124" s="536"/>
      <c r="X124" s="319" t="s">
        <v>1006</v>
      </c>
    </row>
    <row r="125" spans="1:24" s="396" customFormat="1" ht="17.25" customHeight="1" x14ac:dyDescent="0.2">
      <c r="A125" s="319" t="s">
        <v>1011</v>
      </c>
      <c r="B125" s="319"/>
      <c r="C125" s="319" t="s">
        <v>2229</v>
      </c>
      <c r="D125" s="319" t="s">
        <v>1636</v>
      </c>
      <c r="E125" s="319"/>
      <c r="F125" s="319"/>
      <c r="G125" s="319"/>
      <c r="H125" s="319"/>
      <c r="I125" s="319"/>
      <c r="J125" s="319" t="s">
        <v>984</v>
      </c>
      <c r="K125" s="319" t="s">
        <v>984</v>
      </c>
      <c r="L125" s="319" t="s">
        <v>984</v>
      </c>
      <c r="M125" s="319" t="s">
        <v>464</v>
      </c>
      <c r="N125" s="319">
        <v>20.0613098144531</v>
      </c>
      <c r="O125" s="319">
        <v>93.540641784667997</v>
      </c>
      <c r="P125" s="319" t="s">
        <v>985</v>
      </c>
      <c r="Q125" s="319" t="s">
        <v>572</v>
      </c>
      <c r="R125" s="319" t="s">
        <v>464</v>
      </c>
      <c r="S125" s="319"/>
      <c r="T125" s="534"/>
      <c r="U125" s="535"/>
      <c r="V125" s="319" t="s">
        <v>949</v>
      </c>
      <c r="W125" s="536"/>
      <c r="X125" s="319" t="s">
        <v>1011</v>
      </c>
    </row>
    <row r="126" spans="1:24" s="396" customFormat="1" ht="17.25" customHeight="1" x14ac:dyDescent="0.2">
      <c r="A126" s="319" t="s">
        <v>1018</v>
      </c>
      <c r="B126" s="319"/>
      <c r="C126" s="319" t="s">
        <v>2229</v>
      </c>
      <c r="D126" s="319" t="s">
        <v>1644</v>
      </c>
      <c r="E126" s="319"/>
      <c r="F126" s="319"/>
      <c r="G126" s="319"/>
      <c r="H126" s="319"/>
      <c r="I126" s="319"/>
      <c r="J126" s="319" t="s">
        <v>984</v>
      </c>
      <c r="K126" s="319" t="s">
        <v>984</v>
      </c>
      <c r="L126" s="319" t="s">
        <v>984</v>
      </c>
      <c r="M126" s="319" t="s">
        <v>464</v>
      </c>
      <c r="N126" s="319">
        <v>20.079999999999998</v>
      </c>
      <c r="O126" s="319">
        <v>93.36</v>
      </c>
      <c r="P126" s="319" t="s">
        <v>985</v>
      </c>
      <c r="Q126" s="319" t="s">
        <v>572</v>
      </c>
      <c r="R126" s="319" t="s">
        <v>464</v>
      </c>
      <c r="S126" s="319"/>
      <c r="T126" s="534"/>
      <c r="U126" s="535"/>
      <c r="V126" s="319" t="s">
        <v>949</v>
      </c>
      <c r="W126" s="536"/>
      <c r="X126" s="319" t="s">
        <v>1018</v>
      </c>
    </row>
    <row r="127" spans="1:24" s="396" customFormat="1" ht="17.25" customHeight="1" x14ac:dyDescent="0.2">
      <c r="A127" s="319" t="s">
        <v>1019</v>
      </c>
      <c r="B127" s="319"/>
      <c r="C127" s="319" t="s">
        <v>2229</v>
      </c>
      <c r="D127" s="319" t="s">
        <v>1646</v>
      </c>
      <c r="E127" s="319"/>
      <c r="F127" s="319"/>
      <c r="G127" s="319"/>
      <c r="H127" s="319"/>
      <c r="I127" s="319"/>
      <c r="J127" s="319" t="s">
        <v>984</v>
      </c>
      <c r="K127" s="319" t="s">
        <v>984</v>
      </c>
      <c r="L127" s="319" t="s">
        <v>984</v>
      </c>
      <c r="M127" s="319" t="s">
        <v>464</v>
      </c>
      <c r="N127" s="319">
        <v>20.084</v>
      </c>
      <c r="O127" s="319">
        <v>93.483999999999995</v>
      </c>
      <c r="P127" s="319" t="s">
        <v>985</v>
      </c>
      <c r="Q127" s="319" t="s">
        <v>572</v>
      </c>
      <c r="R127" s="319" t="s">
        <v>464</v>
      </c>
      <c r="S127" s="319"/>
      <c r="T127" s="534"/>
      <c r="U127" s="535"/>
      <c r="V127" s="319" t="s">
        <v>949</v>
      </c>
      <c r="W127" s="536"/>
      <c r="X127" s="319" t="s">
        <v>1019</v>
      </c>
    </row>
    <row r="128" spans="1:24" s="396" customFormat="1" ht="17.25" customHeight="1" x14ac:dyDescent="0.2">
      <c r="A128" s="319" t="s">
        <v>1020</v>
      </c>
      <c r="B128" s="319"/>
      <c r="C128" s="319" t="s">
        <v>2229</v>
      </c>
      <c r="D128" s="319" t="s">
        <v>1649</v>
      </c>
      <c r="E128" s="319"/>
      <c r="F128" s="319"/>
      <c r="G128" s="319"/>
      <c r="H128" s="319"/>
      <c r="I128" s="319"/>
      <c r="J128" s="319" t="s">
        <v>984</v>
      </c>
      <c r="K128" s="319" t="s">
        <v>984</v>
      </c>
      <c r="L128" s="319" t="s">
        <v>984</v>
      </c>
      <c r="M128" s="319" t="s">
        <v>464</v>
      </c>
      <c r="N128" s="319">
        <v>20.100000000000001</v>
      </c>
      <c r="O128" s="319">
        <v>93.35</v>
      </c>
      <c r="P128" s="319" t="s">
        <v>985</v>
      </c>
      <c r="Q128" s="319" t="s">
        <v>572</v>
      </c>
      <c r="R128" s="319" t="s">
        <v>464</v>
      </c>
      <c r="S128" s="319"/>
      <c r="T128" s="534"/>
      <c r="U128" s="535"/>
      <c r="V128" s="319" t="s">
        <v>949</v>
      </c>
      <c r="W128" s="536"/>
      <c r="X128" s="319" t="s">
        <v>1020</v>
      </c>
    </row>
    <row r="129" spans="1:24" s="396" customFormat="1" ht="17.25" customHeight="1" x14ac:dyDescent="0.2">
      <c r="A129" s="319" t="s">
        <v>1024</v>
      </c>
      <c r="B129" s="319"/>
      <c r="C129" s="319" t="s">
        <v>2229</v>
      </c>
      <c r="D129" s="319" t="s">
        <v>1653</v>
      </c>
      <c r="E129" s="319"/>
      <c r="F129" s="319"/>
      <c r="G129" s="319"/>
      <c r="H129" s="319"/>
      <c r="I129" s="319"/>
      <c r="J129" s="319" t="s">
        <v>984</v>
      </c>
      <c r="K129" s="319" t="s">
        <v>984</v>
      </c>
      <c r="L129" s="319" t="s">
        <v>984</v>
      </c>
      <c r="M129" s="319" t="s">
        <v>464</v>
      </c>
      <c r="N129" s="319">
        <v>20.12</v>
      </c>
      <c r="O129" s="319">
        <v>93.34</v>
      </c>
      <c r="P129" s="319" t="s">
        <v>985</v>
      </c>
      <c r="Q129" s="319" t="s">
        <v>572</v>
      </c>
      <c r="R129" s="319" t="s">
        <v>464</v>
      </c>
      <c r="S129" s="319"/>
      <c r="T129" s="534"/>
      <c r="U129" s="535"/>
      <c r="V129" s="319" t="s">
        <v>949</v>
      </c>
      <c r="W129" s="536"/>
      <c r="X129" s="319" t="s">
        <v>1024</v>
      </c>
    </row>
    <row r="130" spans="1:24" s="396" customFormat="1" ht="17.25" customHeight="1" x14ac:dyDescent="0.2">
      <c r="A130" s="319" t="s">
        <v>1034</v>
      </c>
      <c r="B130" s="319"/>
      <c r="C130" s="319" t="s">
        <v>2229</v>
      </c>
      <c r="D130" s="319" t="s">
        <v>1662</v>
      </c>
      <c r="E130" s="319"/>
      <c r="F130" s="319"/>
      <c r="G130" s="319"/>
      <c r="H130" s="319"/>
      <c r="I130" s="319"/>
      <c r="J130" s="319" t="s">
        <v>984</v>
      </c>
      <c r="K130" s="319" t="s">
        <v>984</v>
      </c>
      <c r="L130" s="319" t="s">
        <v>984</v>
      </c>
      <c r="M130" s="319" t="s">
        <v>464</v>
      </c>
      <c r="N130" s="319">
        <v>20.149999999999999</v>
      </c>
      <c r="O130" s="319">
        <v>93.41</v>
      </c>
      <c r="P130" s="319" t="s">
        <v>985</v>
      </c>
      <c r="Q130" s="319" t="s">
        <v>572</v>
      </c>
      <c r="R130" s="319" t="s">
        <v>464</v>
      </c>
      <c r="S130" s="319"/>
      <c r="T130" s="534"/>
      <c r="U130" s="535"/>
      <c r="V130" s="319" t="s">
        <v>949</v>
      </c>
      <c r="W130" s="536"/>
      <c r="X130" s="319" t="s">
        <v>1034</v>
      </c>
    </row>
    <row r="131" spans="1:24" s="396" customFormat="1" ht="17.25" customHeight="1" x14ac:dyDescent="0.2">
      <c r="A131" s="319" t="s">
        <v>996</v>
      </c>
      <c r="B131" s="319"/>
      <c r="C131" s="319" t="s">
        <v>2229</v>
      </c>
      <c r="D131" s="319" t="s">
        <v>1615</v>
      </c>
      <c r="E131" s="319"/>
      <c r="F131" s="319"/>
      <c r="G131" s="319"/>
      <c r="H131" s="319"/>
      <c r="I131" s="319"/>
      <c r="J131" s="319" t="s">
        <v>984</v>
      </c>
      <c r="K131" s="319" t="s">
        <v>984</v>
      </c>
      <c r="L131" s="319" t="s">
        <v>984</v>
      </c>
      <c r="M131" s="319" t="s">
        <v>949</v>
      </c>
      <c r="N131" s="319">
        <v>19.948829650878899</v>
      </c>
      <c r="O131" s="319">
        <v>92.978782653808594</v>
      </c>
      <c r="P131" s="319" t="s">
        <v>985</v>
      </c>
      <c r="Q131" s="319" t="s">
        <v>575</v>
      </c>
      <c r="R131" s="319" t="s">
        <v>464</v>
      </c>
      <c r="S131" s="319"/>
      <c r="T131" s="534"/>
      <c r="U131" s="535"/>
      <c r="V131" s="319" t="s">
        <v>949</v>
      </c>
      <c r="W131" s="536"/>
      <c r="X131" s="319" t="s">
        <v>996</v>
      </c>
    </row>
    <row r="132" spans="1:24" s="396" customFormat="1" ht="17.25" customHeight="1" x14ac:dyDescent="0.2">
      <c r="A132" s="319" t="s">
        <v>1008</v>
      </c>
      <c r="B132" s="319"/>
      <c r="C132" s="319" t="s">
        <v>2229</v>
      </c>
      <c r="D132" s="319" t="s">
        <v>1633</v>
      </c>
      <c r="E132" s="319"/>
      <c r="F132" s="319"/>
      <c r="G132" s="319"/>
      <c r="H132" s="319"/>
      <c r="I132" s="319"/>
      <c r="J132" s="319" t="s">
        <v>984</v>
      </c>
      <c r="K132" s="319" t="s">
        <v>984</v>
      </c>
      <c r="L132" s="319" t="s">
        <v>984</v>
      </c>
      <c r="M132" s="319" t="s">
        <v>1009</v>
      </c>
      <c r="N132" s="319">
        <v>20.051170349121101</v>
      </c>
      <c r="O132" s="319">
        <v>93.040992736816406</v>
      </c>
      <c r="P132" s="319" t="s">
        <v>985</v>
      </c>
      <c r="Q132" s="319" t="s">
        <v>575</v>
      </c>
      <c r="R132" s="319" t="s">
        <v>464</v>
      </c>
      <c r="S132" s="319"/>
      <c r="T132" s="534"/>
      <c r="U132" s="535"/>
      <c r="V132" s="319" t="s">
        <v>949</v>
      </c>
      <c r="W132" s="536"/>
      <c r="X132" s="319" t="s">
        <v>1008</v>
      </c>
    </row>
    <row r="133" spans="1:24" s="396" customFormat="1" ht="17.25" customHeight="1" x14ac:dyDescent="0.2">
      <c r="A133" s="319" t="s">
        <v>1010</v>
      </c>
      <c r="B133" s="319"/>
      <c r="C133" s="319" t="s">
        <v>2229</v>
      </c>
      <c r="D133" s="319" t="s">
        <v>1635</v>
      </c>
      <c r="E133" s="319"/>
      <c r="F133" s="319"/>
      <c r="G133" s="319"/>
      <c r="H133" s="319"/>
      <c r="I133" s="319"/>
      <c r="J133" s="319" t="s">
        <v>984</v>
      </c>
      <c r="K133" s="319" t="s">
        <v>984</v>
      </c>
      <c r="L133" s="319" t="s">
        <v>984</v>
      </c>
      <c r="M133" s="319" t="s">
        <v>464</v>
      </c>
      <c r="N133" s="319">
        <v>20.059789657592798</v>
      </c>
      <c r="O133" s="319">
        <v>93.034988403320298</v>
      </c>
      <c r="P133" s="319" t="s">
        <v>985</v>
      </c>
      <c r="Q133" s="319" t="s">
        <v>575</v>
      </c>
      <c r="R133" s="319" t="s">
        <v>464</v>
      </c>
      <c r="S133" s="319"/>
      <c r="T133" s="534"/>
      <c r="U133" s="535"/>
      <c r="V133" s="319" t="s">
        <v>949</v>
      </c>
      <c r="W133" s="536"/>
      <c r="X133" s="319" t="s">
        <v>1010</v>
      </c>
    </row>
    <row r="134" spans="1:24" s="396" customFormat="1" ht="17.25" customHeight="1" x14ac:dyDescent="0.2">
      <c r="A134" s="319" t="s">
        <v>1014</v>
      </c>
      <c r="B134" s="319"/>
      <c r="C134" s="319" t="s">
        <v>2229</v>
      </c>
      <c r="D134" s="319" t="s">
        <v>1640</v>
      </c>
      <c r="E134" s="319"/>
      <c r="F134" s="319"/>
      <c r="G134" s="319"/>
      <c r="H134" s="319"/>
      <c r="I134" s="319"/>
      <c r="J134" s="319" t="s">
        <v>984</v>
      </c>
      <c r="K134" s="319" t="s">
        <v>984</v>
      </c>
      <c r="L134" s="319" t="s">
        <v>984</v>
      </c>
      <c r="M134" s="319" t="s">
        <v>464</v>
      </c>
      <c r="N134" s="319">
        <v>20.065919000000001</v>
      </c>
      <c r="O134" s="319">
        <v>93.004040000000003</v>
      </c>
      <c r="P134" s="319" t="s">
        <v>985</v>
      </c>
      <c r="Q134" s="319" t="s">
        <v>575</v>
      </c>
      <c r="R134" s="319" t="s">
        <v>464</v>
      </c>
      <c r="S134" s="319"/>
      <c r="T134" s="534"/>
      <c r="U134" s="535"/>
      <c r="V134" s="319" t="s">
        <v>949</v>
      </c>
      <c r="W134" s="536"/>
      <c r="X134" s="319" t="s">
        <v>1014</v>
      </c>
    </row>
    <row r="135" spans="1:24" s="396" customFormat="1" ht="17.25" customHeight="1" x14ac:dyDescent="0.2">
      <c r="A135" s="319" t="s">
        <v>1015</v>
      </c>
      <c r="B135" s="319"/>
      <c r="C135" s="319" t="s">
        <v>2229</v>
      </c>
      <c r="D135" s="319" t="s">
        <v>1641</v>
      </c>
      <c r="E135" s="319"/>
      <c r="F135" s="319"/>
      <c r="G135" s="319"/>
      <c r="H135" s="319"/>
      <c r="I135" s="319"/>
      <c r="J135" s="319" t="s">
        <v>984</v>
      </c>
      <c r="K135" s="319" t="s">
        <v>984</v>
      </c>
      <c r="L135" s="319" t="s">
        <v>984</v>
      </c>
      <c r="M135" s="319" t="s">
        <v>949</v>
      </c>
      <c r="N135" s="319">
        <v>20.0690307617188</v>
      </c>
      <c r="O135" s="319">
        <v>92.930137634277301</v>
      </c>
      <c r="P135" s="319" t="s">
        <v>985</v>
      </c>
      <c r="Q135" s="319" t="s">
        <v>575</v>
      </c>
      <c r="R135" s="319" t="s">
        <v>464</v>
      </c>
      <c r="S135" s="319"/>
      <c r="T135" s="534"/>
      <c r="U135" s="535"/>
      <c r="V135" s="319" t="s">
        <v>949</v>
      </c>
      <c r="W135" s="536"/>
      <c r="X135" s="319" t="s">
        <v>1016</v>
      </c>
    </row>
    <row r="136" spans="1:24" s="396" customFormat="1" ht="17.25" customHeight="1" x14ac:dyDescent="0.2">
      <c r="A136" s="319" t="s">
        <v>1017</v>
      </c>
      <c r="B136" s="319"/>
      <c r="C136" s="319" t="s">
        <v>2229</v>
      </c>
      <c r="D136" s="319" t="s">
        <v>1642</v>
      </c>
      <c r="E136" s="319"/>
      <c r="F136" s="319"/>
      <c r="G136" s="319"/>
      <c r="H136" s="319"/>
      <c r="I136" s="319"/>
      <c r="J136" s="319" t="s">
        <v>50</v>
      </c>
      <c r="K136" s="319" t="s">
        <v>50</v>
      </c>
      <c r="L136" s="319" t="s">
        <v>943</v>
      </c>
      <c r="M136" s="319" t="s">
        <v>981</v>
      </c>
      <c r="N136" s="319">
        <v>20.073437999999999</v>
      </c>
      <c r="O136" s="319">
        <v>93.154551999999995</v>
      </c>
      <c r="P136" s="319" t="s">
        <v>944</v>
      </c>
      <c r="Q136" s="319" t="s">
        <v>575</v>
      </c>
      <c r="R136" s="319" t="s">
        <v>464</v>
      </c>
      <c r="S136" s="319"/>
      <c r="T136" s="534"/>
      <c r="U136" s="535"/>
      <c r="V136" s="319"/>
      <c r="W136" s="536"/>
      <c r="X136" s="319"/>
    </row>
    <row r="137" spans="1:24" s="396" customFormat="1" ht="17.25" customHeight="1" x14ac:dyDescent="0.2">
      <c r="A137" s="319" t="s">
        <v>1021</v>
      </c>
      <c r="B137" s="319"/>
      <c r="C137" s="319" t="s">
        <v>2229</v>
      </c>
      <c r="D137" s="319" t="s">
        <v>1650</v>
      </c>
      <c r="E137" s="319"/>
      <c r="F137" s="319"/>
      <c r="G137" s="319"/>
      <c r="H137" s="319"/>
      <c r="I137" s="319"/>
      <c r="J137" s="319" t="s">
        <v>984</v>
      </c>
      <c r="K137" s="319" t="s">
        <v>984</v>
      </c>
      <c r="L137" s="319" t="s">
        <v>984</v>
      </c>
      <c r="M137" s="319" t="s">
        <v>949</v>
      </c>
      <c r="N137" s="319">
        <v>20.102939605712901</v>
      </c>
      <c r="O137" s="319">
        <v>93.000679016113295</v>
      </c>
      <c r="P137" s="319" t="s">
        <v>985</v>
      </c>
      <c r="Q137" s="319" t="s">
        <v>575</v>
      </c>
      <c r="R137" s="319" t="s">
        <v>464</v>
      </c>
      <c r="S137" s="319"/>
      <c r="T137" s="534"/>
      <c r="U137" s="535"/>
      <c r="V137" s="319" t="s">
        <v>949</v>
      </c>
      <c r="W137" s="536"/>
      <c r="X137" s="319" t="s">
        <v>1022</v>
      </c>
    </row>
    <row r="138" spans="1:24" s="396" customFormat="1" ht="17.25" customHeight="1" x14ac:dyDescent="0.2">
      <c r="A138" s="319" t="s">
        <v>1337</v>
      </c>
      <c r="B138" s="319"/>
      <c r="C138" s="319" t="s">
        <v>2229</v>
      </c>
      <c r="D138" s="319" t="s">
        <v>2133</v>
      </c>
      <c r="E138" s="319"/>
      <c r="F138" s="319"/>
      <c r="G138" s="319"/>
      <c r="H138" s="319"/>
      <c r="I138" s="319"/>
      <c r="J138" s="319" t="s">
        <v>984</v>
      </c>
      <c r="K138" s="319" t="s">
        <v>984</v>
      </c>
      <c r="L138" s="319" t="s">
        <v>984</v>
      </c>
      <c r="M138" s="319" t="s">
        <v>949</v>
      </c>
      <c r="N138" s="319"/>
      <c r="O138" s="319"/>
      <c r="P138" s="319" t="s">
        <v>985</v>
      </c>
      <c r="Q138" s="319" t="s">
        <v>575</v>
      </c>
      <c r="R138" s="319" t="s">
        <v>464</v>
      </c>
      <c r="S138" s="319"/>
      <c r="T138" s="534"/>
      <c r="U138" s="535"/>
      <c r="V138" s="319" t="s">
        <v>949</v>
      </c>
      <c r="W138" s="536"/>
      <c r="X138" s="319" t="s">
        <v>1337</v>
      </c>
    </row>
    <row r="139" spans="1:24" s="396" customFormat="1" ht="17.25" customHeight="1" x14ac:dyDescent="0.2">
      <c r="A139" s="319" t="s">
        <v>1066</v>
      </c>
      <c r="B139" s="319"/>
      <c r="C139" s="319" t="s">
        <v>2229</v>
      </c>
      <c r="D139" s="319" t="s">
        <v>1701</v>
      </c>
      <c r="E139" s="319"/>
      <c r="F139" s="319"/>
      <c r="G139" s="319"/>
      <c r="H139" s="319"/>
      <c r="I139" s="319"/>
      <c r="J139" s="319" t="s">
        <v>984</v>
      </c>
      <c r="K139" s="319" t="s">
        <v>984</v>
      </c>
      <c r="L139" s="319" t="s">
        <v>984</v>
      </c>
      <c r="M139" s="319" t="s">
        <v>464</v>
      </c>
      <c r="N139" s="319">
        <v>20.242139999999999</v>
      </c>
      <c r="O139" s="319">
        <v>92.921729999999997</v>
      </c>
      <c r="P139" s="319" t="s">
        <v>985</v>
      </c>
      <c r="Q139" s="319" t="s">
        <v>630</v>
      </c>
      <c r="R139" s="319" t="s">
        <v>464</v>
      </c>
      <c r="S139" s="319"/>
      <c r="T139" s="534"/>
      <c r="U139" s="535"/>
      <c r="V139" s="319" t="s">
        <v>949</v>
      </c>
      <c r="W139" s="536"/>
      <c r="X139" s="319" t="s">
        <v>1066</v>
      </c>
    </row>
    <row r="140" spans="1:24" s="396" customFormat="1" ht="17.25" customHeight="1" x14ac:dyDescent="0.2">
      <c r="A140" s="319" t="s">
        <v>1067</v>
      </c>
      <c r="B140" s="319"/>
      <c r="C140" s="319" t="s">
        <v>2229</v>
      </c>
      <c r="D140" s="319" t="s">
        <v>1705</v>
      </c>
      <c r="E140" s="319"/>
      <c r="F140" s="319"/>
      <c r="G140" s="319"/>
      <c r="H140" s="319"/>
      <c r="I140" s="319"/>
      <c r="J140" s="319" t="s">
        <v>984</v>
      </c>
      <c r="K140" s="319" t="s">
        <v>984</v>
      </c>
      <c r="L140" s="319" t="s">
        <v>984</v>
      </c>
      <c r="M140" s="319" t="s">
        <v>464</v>
      </c>
      <c r="N140" s="319">
        <v>20.308</v>
      </c>
      <c r="O140" s="319">
        <v>93.01</v>
      </c>
      <c r="P140" s="319" t="s">
        <v>985</v>
      </c>
      <c r="Q140" s="319" t="s">
        <v>630</v>
      </c>
      <c r="R140" s="319" t="s">
        <v>464</v>
      </c>
      <c r="S140" s="319"/>
      <c r="T140" s="534"/>
      <c r="U140" s="535"/>
      <c r="V140" s="319" t="s">
        <v>949</v>
      </c>
      <c r="W140" s="536"/>
      <c r="X140" s="319" t="s">
        <v>1067</v>
      </c>
    </row>
    <row r="141" spans="1:24" s="396" customFormat="1" ht="17.25" customHeight="1" x14ac:dyDescent="0.2">
      <c r="A141" s="319" t="s">
        <v>1068</v>
      </c>
      <c r="B141" s="319"/>
      <c r="C141" s="319" t="s">
        <v>2229</v>
      </c>
      <c r="D141" s="319" t="s">
        <v>1706</v>
      </c>
      <c r="E141" s="319"/>
      <c r="F141" s="319"/>
      <c r="G141" s="319"/>
      <c r="H141" s="319"/>
      <c r="I141" s="319"/>
      <c r="J141" s="319" t="s">
        <v>984</v>
      </c>
      <c r="K141" s="319" t="s">
        <v>984</v>
      </c>
      <c r="L141" s="319" t="s">
        <v>984</v>
      </c>
      <c r="M141" s="319" t="s">
        <v>464</v>
      </c>
      <c r="N141" s="319">
        <v>20.327500000000001</v>
      </c>
      <c r="O141" s="319">
        <v>92.8947</v>
      </c>
      <c r="P141" s="319" t="s">
        <v>985</v>
      </c>
      <c r="Q141" s="319" t="s">
        <v>630</v>
      </c>
      <c r="R141" s="319" t="s">
        <v>464</v>
      </c>
      <c r="S141" s="319"/>
      <c r="T141" s="534"/>
      <c r="U141" s="535"/>
      <c r="V141" s="319" t="s">
        <v>949</v>
      </c>
      <c r="W141" s="536"/>
      <c r="X141" s="319" t="s">
        <v>1068</v>
      </c>
    </row>
    <row r="142" spans="1:24" s="396" customFormat="1" ht="17.25" customHeight="1" x14ac:dyDescent="0.2">
      <c r="A142" s="319" t="s">
        <v>1071</v>
      </c>
      <c r="B142" s="319"/>
      <c r="C142" s="319" t="s">
        <v>2229</v>
      </c>
      <c r="D142" s="319" t="s">
        <v>1710</v>
      </c>
      <c r="E142" s="319"/>
      <c r="F142" s="319"/>
      <c r="G142" s="319"/>
      <c r="H142" s="319"/>
      <c r="I142" s="319"/>
      <c r="J142" s="319" t="s">
        <v>984</v>
      </c>
      <c r="K142" s="319" t="s">
        <v>984</v>
      </c>
      <c r="L142" s="319" t="s">
        <v>984</v>
      </c>
      <c r="M142" s="319" t="s">
        <v>464</v>
      </c>
      <c r="N142" s="319">
        <v>20.369959999999999</v>
      </c>
      <c r="O142" s="319">
        <v>93.019220000000004</v>
      </c>
      <c r="P142" s="319" t="s">
        <v>985</v>
      </c>
      <c r="Q142" s="319" t="s">
        <v>630</v>
      </c>
      <c r="R142" s="319" t="s">
        <v>464</v>
      </c>
      <c r="S142" s="319"/>
      <c r="T142" s="534"/>
      <c r="U142" s="535"/>
      <c r="V142" s="319" t="s">
        <v>949</v>
      </c>
      <c r="W142" s="536"/>
      <c r="X142" s="319" t="s">
        <v>1071</v>
      </c>
    </row>
    <row r="143" spans="1:24" s="396" customFormat="1" ht="17.25" customHeight="1" x14ac:dyDescent="0.2">
      <c r="A143" s="319" t="s">
        <v>1073</v>
      </c>
      <c r="B143" s="319"/>
      <c r="C143" s="319" t="s">
        <v>2229</v>
      </c>
      <c r="D143" s="319" t="s">
        <v>1712</v>
      </c>
      <c r="E143" s="319"/>
      <c r="F143" s="319"/>
      <c r="G143" s="319"/>
      <c r="H143" s="319"/>
      <c r="I143" s="319"/>
      <c r="J143" s="319" t="s">
        <v>984</v>
      </c>
      <c r="K143" s="319" t="s">
        <v>984</v>
      </c>
      <c r="L143" s="319" t="s">
        <v>984</v>
      </c>
      <c r="M143" s="319" t="s">
        <v>464</v>
      </c>
      <c r="N143" s="319">
        <v>20.3917</v>
      </c>
      <c r="O143" s="319">
        <v>92.770899999999997</v>
      </c>
      <c r="P143" s="319" t="s">
        <v>985</v>
      </c>
      <c r="Q143" s="319" t="s">
        <v>508</v>
      </c>
      <c r="R143" s="319" t="s">
        <v>464</v>
      </c>
      <c r="S143" s="319"/>
      <c r="T143" s="534"/>
      <c r="U143" s="535"/>
      <c r="V143" s="319" t="s">
        <v>949</v>
      </c>
      <c r="W143" s="536"/>
      <c r="X143" s="319" t="s">
        <v>1073</v>
      </c>
    </row>
    <row r="144" spans="1:24" s="396" customFormat="1" ht="17.25" customHeight="1" x14ac:dyDescent="0.2">
      <c r="A144" s="319" t="s">
        <v>1078</v>
      </c>
      <c r="B144" s="319"/>
      <c r="C144" s="319" t="s">
        <v>2229</v>
      </c>
      <c r="D144" s="319">
        <v>197650</v>
      </c>
      <c r="E144" s="319"/>
      <c r="F144" s="319"/>
      <c r="G144" s="319"/>
      <c r="H144" s="319"/>
      <c r="I144" s="319"/>
      <c r="J144" s="319" t="s">
        <v>1065</v>
      </c>
      <c r="K144" s="319" t="s">
        <v>984</v>
      </c>
      <c r="L144" s="319" t="s">
        <v>984</v>
      </c>
      <c r="M144" s="319" t="s">
        <v>464</v>
      </c>
      <c r="N144" s="319">
        <v>20.397039413452099</v>
      </c>
      <c r="O144" s="319">
        <v>92.664451599121094</v>
      </c>
      <c r="P144" s="319" t="s">
        <v>985</v>
      </c>
      <c r="Q144" s="319" t="s">
        <v>508</v>
      </c>
      <c r="R144" s="319" t="s">
        <v>464</v>
      </c>
      <c r="S144" s="319"/>
      <c r="T144" s="534"/>
      <c r="U144" s="535"/>
      <c r="V144" s="319">
        <v>42849</v>
      </c>
      <c r="W144" s="536" t="s">
        <v>1079</v>
      </c>
      <c r="X144" s="319"/>
    </row>
    <row r="145" spans="1:24" s="396" customFormat="1" ht="17.25" customHeight="1" x14ac:dyDescent="0.2">
      <c r="A145" s="319" t="s">
        <v>1083</v>
      </c>
      <c r="B145" s="319"/>
      <c r="C145" s="319" t="s">
        <v>2229</v>
      </c>
      <c r="D145" s="319">
        <v>197654</v>
      </c>
      <c r="E145" s="319"/>
      <c r="F145" s="319"/>
      <c r="G145" s="319"/>
      <c r="H145" s="319"/>
      <c r="I145" s="319"/>
      <c r="J145" s="319" t="s">
        <v>1065</v>
      </c>
      <c r="K145" s="319" t="s">
        <v>984</v>
      </c>
      <c r="L145" s="319" t="s">
        <v>984</v>
      </c>
      <c r="M145" s="319" t="s">
        <v>464</v>
      </c>
      <c r="N145" s="319">
        <v>20.4473991394043</v>
      </c>
      <c r="O145" s="319">
        <v>92.630462646484403</v>
      </c>
      <c r="P145" s="319" t="s">
        <v>985</v>
      </c>
      <c r="Q145" s="319" t="s">
        <v>508</v>
      </c>
      <c r="R145" s="319" t="s">
        <v>464</v>
      </c>
      <c r="S145" s="319"/>
      <c r="T145" s="534"/>
      <c r="U145" s="535"/>
      <c r="V145" s="319">
        <v>42849</v>
      </c>
      <c r="W145" s="536" t="s">
        <v>1079</v>
      </c>
      <c r="X145" s="319" t="s">
        <v>647</v>
      </c>
    </row>
    <row r="146" spans="1:24" s="396" customFormat="1" ht="17.25" customHeight="1" x14ac:dyDescent="0.2">
      <c r="A146" s="319" t="s">
        <v>1092</v>
      </c>
      <c r="B146" s="319"/>
      <c r="C146" s="319" t="s">
        <v>2229</v>
      </c>
      <c r="D146" s="319" t="s">
        <v>1737</v>
      </c>
      <c r="E146" s="319"/>
      <c r="F146" s="319"/>
      <c r="G146" s="319"/>
      <c r="H146" s="319"/>
      <c r="I146" s="319"/>
      <c r="J146" s="319" t="s">
        <v>984</v>
      </c>
      <c r="K146" s="319" t="s">
        <v>984</v>
      </c>
      <c r="L146" s="319" t="s">
        <v>984</v>
      </c>
      <c r="M146" s="319" t="s">
        <v>464</v>
      </c>
      <c r="N146" s="319">
        <v>20.521270752</v>
      </c>
      <c r="O146" s="319">
        <v>92.686096191000004</v>
      </c>
      <c r="P146" s="319" t="s">
        <v>985</v>
      </c>
      <c r="Q146" s="319" t="s">
        <v>508</v>
      </c>
      <c r="R146" s="319" t="s">
        <v>464</v>
      </c>
      <c r="S146" s="319"/>
      <c r="T146" s="534"/>
      <c r="U146" s="535"/>
      <c r="V146" s="319" t="s">
        <v>949</v>
      </c>
      <c r="W146" s="536"/>
      <c r="X146" s="319" t="s">
        <v>1092</v>
      </c>
    </row>
    <row r="147" spans="1:24" s="396" customFormat="1" ht="17.25" customHeight="1" x14ac:dyDescent="0.2">
      <c r="A147" s="319" t="s">
        <v>1093</v>
      </c>
      <c r="B147" s="319"/>
      <c r="C147" s="319" t="s">
        <v>2229</v>
      </c>
      <c r="D147" s="319" t="s">
        <v>1745</v>
      </c>
      <c r="E147" s="319"/>
      <c r="F147" s="319"/>
      <c r="G147" s="319"/>
      <c r="H147" s="319"/>
      <c r="I147" s="319"/>
      <c r="J147" s="319" t="s">
        <v>984</v>
      </c>
      <c r="K147" s="319" t="s">
        <v>984</v>
      </c>
      <c r="L147" s="319" t="s">
        <v>984</v>
      </c>
      <c r="M147" s="319" t="s">
        <v>981</v>
      </c>
      <c r="N147" s="319">
        <v>20.5536403656006</v>
      </c>
      <c r="O147" s="319">
        <v>92.674217224121094</v>
      </c>
      <c r="P147" s="319" t="s">
        <v>985</v>
      </c>
      <c r="Q147" s="319" t="s">
        <v>508</v>
      </c>
      <c r="R147" s="319" t="s">
        <v>464</v>
      </c>
      <c r="S147" s="319"/>
      <c r="T147" s="534"/>
      <c r="U147" s="535"/>
      <c r="V147" s="319" t="s">
        <v>949</v>
      </c>
      <c r="W147" s="536"/>
      <c r="X147" s="319" t="s">
        <v>1093</v>
      </c>
    </row>
    <row r="148" spans="1:24" s="396" customFormat="1" ht="17.25" customHeight="1" x14ac:dyDescent="0.2">
      <c r="A148" s="319" t="s">
        <v>1094</v>
      </c>
      <c r="B148" s="319"/>
      <c r="C148" s="319" t="s">
        <v>2229</v>
      </c>
      <c r="D148" s="319" t="s">
        <v>1750</v>
      </c>
      <c r="E148" s="319"/>
      <c r="F148" s="319"/>
      <c r="G148" s="319"/>
      <c r="H148" s="319"/>
      <c r="I148" s="319"/>
      <c r="J148" s="319" t="s">
        <v>984</v>
      </c>
      <c r="K148" s="319" t="s">
        <v>984</v>
      </c>
      <c r="L148" s="319" t="s">
        <v>984</v>
      </c>
      <c r="M148" s="319" t="s">
        <v>949</v>
      </c>
      <c r="N148" s="319">
        <v>20.575780868530298</v>
      </c>
      <c r="O148" s="319">
        <v>92.670402526855497</v>
      </c>
      <c r="P148" s="319" t="s">
        <v>985</v>
      </c>
      <c r="Q148" s="319" t="s">
        <v>508</v>
      </c>
      <c r="R148" s="319" t="s">
        <v>464</v>
      </c>
      <c r="S148" s="319"/>
      <c r="T148" s="534"/>
      <c r="U148" s="535"/>
      <c r="V148" s="319" t="s">
        <v>949</v>
      </c>
      <c r="W148" s="536"/>
      <c r="X148" s="319" t="s">
        <v>1094</v>
      </c>
    </row>
    <row r="149" spans="1:24" s="396" customFormat="1" ht="17.25" customHeight="1" x14ac:dyDescent="0.2">
      <c r="A149" s="319" t="s">
        <v>1096</v>
      </c>
      <c r="B149" s="319"/>
      <c r="C149" s="319" t="s">
        <v>2229</v>
      </c>
      <c r="D149" s="319" t="s">
        <v>1753</v>
      </c>
      <c r="E149" s="319"/>
      <c r="F149" s="319"/>
      <c r="G149" s="319"/>
      <c r="H149" s="319"/>
      <c r="I149" s="319"/>
      <c r="J149" s="319" t="s">
        <v>984</v>
      </c>
      <c r="K149" s="319" t="s">
        <v>984</v>
      </c>
      <c r="L149" s="319" t="s">
        <v>984</v>
      </c>
      <c r="M149" s="319" t="s">
        <v>464</v>
      </c>
      <c r="N149" s="319">
        <v>20.581470489501999</v>
      </c>
      <c r="O149" s="319">
        <v>92.643272399902301</v>
      </c>
      <c r="P149" s="319" t="s">
        <v>985</v>
      </c>
      <c r="Q149" s="319" t="s">
        <v>508</v>
      </c>
      <c r="R149" s="319" t="s">
        <v>464</v>
      </c>
      <c r="S149" s="319"/>
      <c r="T149" s="534"/>
      <c r="U149" s="535"/>
      <c r="V149" s="319" t="s">
        <v>949</v>
      </c>
      <c r="W149" s="536"/>
      <c r="X149" s="319" t="s">
        <v>1097</v>
      </c>
    </row>
    <row r="150" spans="1:24" s="396" customFormat="1" ht="17.25" customHeight="1" x14ac:dyDescent="0.2">
      <c r="A150" s="319" t="s">
        <v>1099</v>
      </c>
      <c r="B150" s="319"/>
      <c r="C150" s="319" t="s">
        <v>2229</v>
      </c>
      <c r="D150" s="319" t="s">
        <v>1756</v>
      </c>
      <c r="E150" s="319"/>
      <c r="F150" s="319"/>
      <c r="G150" s="319"/>
      <c r="H150" s="319"/>
      <c r="I150" s="319"/>
      <c r="J150" s="319" t="s">
        <v>984</v>
      </c>
      <c r="K150" s="319" t="s">
        <v>984</v>
      </c>
      <c r="L150" s="319" t="s">
        <v>984</v>
      </c>
      <c r="M150" s="319" t="s">
        <v>464</v>
      </c>
      <c r="N150" s="319">
        <v>20.585840225219702</v>
      </c>
      <c r="O150" s="319">
        <v>92.670722961425795</v>
      </c>
      <c r="P150" s="319" t="s">
        <v>985</v>
      </c>
      <c r="Q150" s="319" t="s">
        <v>508</v>
      </c>
      <c r="R150" s="319" t="s">
        <v>464</v>
      </c>
      <c r="S150" s="319"/>
      <c r="T150" s="534"/>
      <c r="U150" s="535"/>
      <c r="V150" s="319" t="s">
        <v>949</v>
      </c>
      <c r="W150" s="536"/>
      <c r="X150" s="319" t="s">
        <v>1099</v>
      </c>
    </row>
    <row r="151" spans="1:24" s="396" customFormat="1" ht="17.25" customHeight="1" x14ac:dyDescent="0.2">
      <c r="A151" s="319" t="s">
        <v>1100</v>
      </c>
      <c r="B151" s="319"/>
      <c r="C151" s="319" t="s">
        <v>2229</v>
      </c>
      <c r="D151" s="319" t="s">
        <v>1758</v>
      </c>
      <c r="E151" s="319"/>
      <c r="F151" s="319"/>
      <c r="G151" s="319"/>
      <c r="H151" s="319"/>
      <c r="I151" s="319"/>
      <c r="J151" s="319" t="s">
        <v>984</v>
      </c>
      <c r="K151" s="319" t="s">
        <v>984</v>
      </c>
      <c r="L151" s="319" t="s">
        <v>984</v>
      </c>
      <c r="M151" s="319" t="s">
        <v>464</v>
      </c>
      <c r="N151" s="319">
        <v>20.589969635009801</v>
      </c>
      <c r="O151" s="319">
        <v>92.691757202148395</v>
      </c>
      <c r="P151" s="319" t="s">
        <v>985</v>
      </c>
      <c r="Q151" s="319" t="s">
        <v>508</v>
      </c>
      <c r="R151" s="319" t="s">
        <v>464</v>
      </c>
      <c r="S151" s="319"/>
      <c r="T151" s="534"/>
      <c r="U151" s="535"/>
      <c r="V151" s="319" t="s">
        <v>949</v>
      </c>
      <c r="W151" s="536"/>
      <c r="X151" s="319" t="s">
        <v>1100</v>
      </c>
    </row>
    <row r="152" spans="1:24" s="396" customFormat="1" ht="17.25" customHeight="1" x14ac:dyDescent="0.2">
      <c r="A152" s="319" t="s">
        <v>1101</v>
      </c>
      <c r="B152" s="319"/>
      <c r="C152" s="319" t="s">
        <v>2229</v>
      </c>
      <c r="D152" s="319" t="s">
        <v>1760</v>
      </c>
      <c r="E152" s="319"/>
      <c r="F152" s="319"/>
      <c r="G152" s="319"/>
      <c r="H152" s="319"/>
      <c r="I152" s="319"/>
      <c r="J152" s="319" t="s">
        <v>984</v>
      </c>
      <c r="K152" s="319" t="s">
        <v>984</v>
      </c>
      <c r="L152" s="319" t="s">
        <v>984</v>
      </c>
      <c r="M152" s="319" t="s">
        <v>949</v>
      </c>
      <c r="N152" s="319">
        <v>20.598709106445298</v>
      </c>
      <c r="O152" s="319">
        <v>92.664337158203097</v>
      </c>
      <c r="P152" s="319" t="s">
        <v>985</v>
      </c>
      <c r="Q152" s="319" t="s">
        <v>508</v>
      </c>
      <c r="R152" s="319" t="s">
        <v>464</v>
      </c>
      <c r="S152" s="319"/>
      <c r="T152" s="534"/>
      <c r="U152" s="535"/>
      <c r="V152" s="319" t="s">
        <v>949</v>
      </c>
      <c r="W152" s="536"/>
      <c r="X152" s="319" t="s">
        <v>1101</v>
      </c>
    </row>
    <row r="153" spans="1:24" s="396" customFormat="1" ht="17.25" customHeight="1" x14ac:dyDescent="0.2">
      <c r="A153" s="319" t="s">
        <v>1282</v>
      </c>
      <c r="B153" s="319"/>
      <c r="C153" s="319" t="s">
        <v>2229</v>
      </c>
      <c r="D153" s="319" t="s">
        <v>2122</v>
      </c>
      <c r="E153" s="319"/>
      <c r="F153" s="319"/>
      <c r="G153" s="319"/>
      <c r="H153" s="319"/>
      <c r="I153" s="319"/>
      <c r="J153" s="319" t="s">
        <v>984</v>
      </c>
      <c r="K153" s="319" t="s">
        <v>984</v>
      </c>
      <c r="L153" s="319" t="s">
        <v>984</v>
      </c>
      <c r="M153" s="319" t="s">
        <v>464</v>
      </c>
      <c r="N153" s="319"/>
      <c r="O153" s="319"/>
      <c r="P153" s="319" t="s">
        <v>985</v>
      </c>
      <c r="Q153" s="319" t="s">
        <v>508</v>
      </c>
      <c r="R153" s="319" t="s">
        <v>464</v>
      </c>
      <c r="S153" s="319"/>
      <c r="T153" s="534"/>
      <c r="U153" s="535"/>
      <c r="V153" s="319" t="s">
        <v>949</v>
      </c>
      <c r="W153" s="536"/>
      <c r="X153" s="319" t="s">
        <v>1282</v>
      </c>
    </row>
    <row r="154" spans="1:24" s="396" customFormat="1" ht="17.25" customHeight="1" x14ac:dyDescent="0.2">
      <c r="A154" s="319" t="s">
        <v>1287</v>
      </c>
      <c r="B154" s="319"/>
      <c r="C154" s="319" t="s">
        <v>2229</v>
      </c>
      <c r="D154" s="319"/>
      <c r="E154" s="319"/>
      <c r="F154" s="319"/>
      <c r="G154" s="319"/>
      <c r="H154" s="319"/>
      <c r="I154" s="319"/>
      <c r="J154" s="319" t="s">
        <v>984</v>
      </c>
      <c r="K154" s="319" t="s">
        <v>984</v>
      </c>
      <c r="L154" s="319" t="s">
        <v>984</v>
      </c>
      <c r="M154" s="319" t="s">
        <v>997</v>
      </c>
      <c r="N154" s="319"/>
      <c r="O154" s="319"/>
      <c r="P154" s="319" t="s">
        <v>985</v>
      </c>
      <c r="Q154" s="319" t="s">
        <v>508</v>
      </c>
      <c r="R154" s="319" t="s">
        <v>464</v>
      </c>
      <c r="S154" s="319" t="s">
        <v>988</v>
      </c>
      <c r="T154" s="534"/>
      <c r="U154" s="535"/>
      <c r="V154" s="319">
        <v>42926</v>
      </c>
      <c r="W154" s="536" t="s">
        <v>989</v>
      </c>
      <c r="X154" s="319"/>
    </row>
    <row r="155" spans="1:24" s="396" customFormat="1" ht="17.25" customHeight="1" x14ac:dyDescent="0.2">
      <c r="A155" s="319" t="s">
        <v>1025</v>
      </c>
      <c r="B155" s="319"/>
      <c r="C155" s="319" t="s">
        <v>2229</v>
      </c>
      <c r="D155" s="319" t="s">
        <v>1654</v>
      </c>
      <c r="E155" s="319"/>
      <c r="F155" s="319"/>
      <c r="G155" s="319"/>
      <c r="H155" s="319"/>
      <c r="I155" s="319"/>
      <c r="J155" s="319" t="s">
        <v>984</v>
      </c>
      <c r="K155" s="319" t="s">
        <v>984</v>
      </c>
      <c r="L155" s="319" t="s">
        <v>984</v>
      </c>
      <c r="M155" s="319" t="s">
        <v>981</v>
      </c>
      <c r="N155" s="319">
        <v>20.122990000000001</v>
      </c>
      <c r="O155" s="319">
        <v>92.474298000000005</v>
      </c>
      <c r="P155" s="319" t="s">
        <v>985</v>
      </c>
      <c r="Q155" s="319" t="s">
        <v>465</v>
      </c>
      <c r="R155" s="319" t="s">
        <v>464</v>
      </c>
      <c r="S155" s="319"/>
      <c r="T155" s="534"/>
      <c r="U155" s="535"/>
      <c r="V155" s="319" t="s">
        <v>949</v>
      </c>
      <c r="W155" s="536"/>
      <c r="X155" s="319" t="s">
        <v>1025</v>
      </c>
    </row>
    <row r="156" spans="1:24" s="396" customFormat="1" ht="17.25" customHeight="1" x14ac:dyDescent="0.2">
      <c r="A156" s="319" t="s">
        <v>1027</v>
      </c>
      <c r="B156" s="319"/>
      <c r="C156" s="319" t="s">
        <v>2229</v>
      </c>
      <c r="D156" s="319" t="s">
        <v>1657</v>
      </c>
      <c r="E156" s="319"/>
      <c r="F156" s="319"/>
      <c r="G156" s="319"/>
      <c r="H156" s="319"/>
      <c r="I156" s="319"/>
      <c r="J156" s="319" t="s">
        <v>984</v>
      </c>
      <c r="K156" s="319" t="s">
        <v>984</v>
      </c>
      <c r="L156" s="319" t="s">
        <v>984</v>
      </c>
      <c r="M156" s="319" t="s">
        <v>464</v>
      </c>
      <c r="N156" s="319">
        <v>20.131148</v>
      </c>
      <c r="O156" s="319">
        <v>92.462236000000004</v>
      </c>
      <c r="P156" s="319" t="s">
        <v>985</v>
      </c>
      <c r="Q156" s="319" t="s">
        <v>465</v>
      </c>
      <c r="R156" s="319" t="s">
        <v>464</v>
      </c>
      <c r="S156" s="319"/>
      <c r="T156" s="534"/>
      <c r="U156" s="535"/>
      <c r="V156" s="319" t="s">
        <v>949</v>
      </c>
      <c r="W156" s="536"/>
      <c r="X156" s="319" t="s">
        <v>1027</v>
      </c>
    </row>
    <row r="157" spans="1:24" s="396" customFormat="1" ht="17.25" customHeight="1" x14ac:dyDescent="0.2">
      <c r="A157" s="319" t="s">
        <v>1028</v>
      </c>
      <c r="B157" s="319"/>
      <c r="C157" s="319" t="s">
        <v>2229</v>
      </c>
      <c r="D157" s="319" t="s">
        <v>1657</v>
      </c>
      <c r="E157" s="319"/>
      <c r="F157" s="319"/>
      <c r="G157" s="319"/>
      <c r="H157" s="319"/>
      <c r="I157" s="319"/>
      <c r="J157" s="319" t="s">
        <v>984</v>
      </c>
      <c r="K157" s="319" t="s">
        <v>984</v>
      </c>
      <c r="L157" s="319" t="s">
        <v>984</v>
      </c>
      <c r="M157" s="319" t="s">
        <v>464</v>
      </c>
      <c r="N157" s="319">
        <v>20.131148</v>
      </c>
      <c r="O157" s="319">
        <v>92.462236000000004</v>
      </c>
      <c r="P157" s="319" t="s">
        <v>985</v>
      </c>
      <c r="Q157" s="319" t="s">
        <v>465</v>
      </c>
      <c r="R157" s="319" t="s">
        <v>464</v>
      </c>
      <c r="S157" s="319"/>
      <c r="T157" s="534"/>
      <c r="U157" s="535"/>
      <c r="V157" s="319" t="s">
        <v>949</v>
      </c>
      <c r="W157" s="536"/>
      <c r="X157" s="319" t="s">
        <v>1028</v>
      </c>
    </row>
    <row r="158" spans="1:24" s="396" customFormat="1" ht="17.25" customHeight="1" x14ac:dyDescent="0.2">
      <c r="A158" s="319" t="s">
        <v>1029</v>
      </c>
      <c r="B158" s="319"/>
      <c r="C158" s="319" t="s">
        <v>2229</v>
      </c>
      <c r="D158" s="319" t="s">
        <v>1658</v>
      </c>
      <c r="E158" s="319"/>
      <c r="F158" s="319"/>
      <c r="G158" s="319"/>
      <c r="H158" s="319"/>
      <c r="I158" s="319"/>
      <c r="J158" s="319" t="s">
        <v>984</v>
      </c>
      <c r="K158" s="319" t="s">
        <v>984</v>
      </c>
      <c r="L158" s="319" t="s">
        <v>984</v>
      </c>
      <c r="M158" s="319" t="s">
        <v>464</v>
      </c>
      <c r="N158" s="319">
        <v>20.142474</v>
      </c>
      <c r="O158" s="319">
        <v>92.494243999999995</v>
      </c>
      <c r="P158" s="319" t="s">
        <v>985</v>
      </c>
      <c r="Q158" s="319" t="s">
        <v>465</v>
      </c>
      <c r="R158" s="319" t="s">
        <v>464</v>
      </c>
      <c r="S158" s="319"/>
      <c r="T158" s="534"/>
      <c r="U158" s="535"/>
      <c r="V158" s="319" t="s">
        <v>949</v>
      </c>
      <c r="W158" s="536"/>
      <c r="X158" s="319" t="s">
        <v>1029</v>
      </c>
    </row>
    <row r="159" spans="1:24" s="396" customFormat="1" ht="17.25" customHeight="1" x14ac:dyDescent="0.2">
      <c r="A159" s="319" t="s">
        <v>1030</v>
      </c>
      <c r="B159" s="319"/>
      <c r="C159" s="319" t="s">
        <v>2229</v>
      </c>
      <c r="D159" s="319" t="s">
        <v>1658</v>
      </c>
      <c r="E159" s="319"/>
      <c r="F159" s="319"/>
      <c r="G159" s="319"/>
      <c r="H159" s="319"/>
      <c r="I159" s="319"/>
      <c r="J159" s="319" t="s">
        <v>984</v>
      </c>
      <c r="K159" s="319" t="s">
        <v>984</v>
      </c>
      <c r="L159" s="319" t="s">
        <v>984</v>
      </c>
      <c r="M159" s="319" t="s">
        <v>464</v>
      </c>
      <c r="N159" s="319">
        <v>20.142474</v>
      </c>
      <c r="O159" s="319">
        <v>92.494243999999995</v>
      </c>
      <c r="P159" s="319" t="s">
        <v>985</v>
      </c>
      <c r="Q159" s="319" t="s">
        <v>465</v>
      </c>
      <c r="R159" s="319" t="s">
        <v>464</v>
      </c>
      <c r="S159" s="319"/>
      <c r="T159" s="534"/>
      <c r="U159" s="535"/>
      <c r="V159" s="319" t="s">
        <v>949</v>
      </c>
      <c r="W159" s="536"/>
      <c r="X159" s="319" t="s">
        <v>1030</v>
      </c>
    </row>
    <row r="160" spans="1:24" s="396" customFormat="1" ht="17.25" customHeight="1" x14ac:dyDescent="0.2">
      <c r="A160" s="319" t="s">
        <v>1031</v>
      </c>
      <c r="B160" s="319"/>
      <c r="C160" s="319" t="s">
        <v>2229</v>
      </c>
      <c r="D160" s="319" t="s">
        <v>1659</v>
      </c>
      <c r="E160" s="319"/>
      <c r="F160" s="319"/>
      <c r="G160" s="319"/>
      <c r="H160" s="319"/>
      <c r="I160" s="319"/>
      <c r="J160" s="319" t="s">
        <v>984</v>
      </c>
      <c r="K160" s="319" t="s">
        <v>984</v>
      </c>
      <c r="L160" s="319" t="s">
        <v>984</v>
      </c>
      <c r="M160" s="319" t="s">
        <v>464</v>
      </c>
      <c r="N160" s="319">
        <v>20.144185</v>
      </c>
      <c r="O160" s="319">
        <v>92.482911999999999</v>
      </c>
      <c r="P160" s="319" t="s">
        <v>985</v>
      </c>
      <c r="Q160" s="319" t="s">
        <v>465</v>
      </c>
      <c r="R160" s="319" t="s">
        <v>464</v>
      </c>
      <c r="S160" s="319"/>
      <c r="T160" s="534"/>
      <c r="U160" s="535"/>
      <c r="V160" s="319" t="s">
        <v>949</v>
      </c>
      <c r="W160" s="536"/>
      <c r="X160" s="319" t="s">
        <v>1031</v>
      </c>
    </row>
    <row r="161" spans="1:24" s="396" customFormat="1" ht="17.25" customHeight="1" x14ac:dyDescent="0.2">
      <c r="A161" s="319" t="s">
        <v>1041</v>
      </c>
      <c r="B161" s="319"/>
      <c r="C161" s="319" t="s">
        <v>2229</v>
      </c>
      <c r="D161" s="319" t="s">
        <v>1669</v>
      </c>
      <c r="E161" s="319"/>
      <c r="F161" s="319"/>
      <c r="G161" s="319"/>
      <c r="H161" s="319"/>
      <c r="I161" s="319"/>
      <c r="J161" s="319" t="s">
        <v>984</v>
      </c>
      <c r="K161" s="319" t="s">
        <v>984</v>
      </c>
      <c r="L161" s="319" t="s">
        <v>984</v>
      </c>
      <c r="M161" s="319" t="s">
        <v>981</v>
      </c>
      <c r="N161" s="319">
        <v>20.1573600769043</v>
      </c>
      <c r="O161" s="319">
        <v>92.838653564453097</v>
      </c>
      <c r="P161" s="319" t="s">
        <v>985</v>
      </c>
      <c r="Q161" s="319" t="s">
        <v>465</v>
      </c>
      <c r="R161" s="319" t="s">
        <v>464</v>
      </c>
      <c r="S161" s="319"/>
      <c r="T161" s="534"/>
      <c r="U161" s="535"/>
      <c r="V161" s="319" t="s">
        <v>949</v>
      </c>
      <c r="W161" s="536"/>
      <c r="X161" s="319" t="s">
        <v>1041</v>
      </c>
    </row>
    <row r="162" spans="1:24" s="396" customFormat="1" ht="17.25" customHeight="1" x14ac:dyDescent="0.2">
      <c r="A162" s="319" t="s">
        <v>1061</v>
      </c>
      <c r="B162" s="319"/>
      <c r="C162" s="319" t="s">
        <v>2229</v>
      </c>
      <c r="D162" s="319">
        <v>196145</v>
      </c>
      <c r="E162" s="319"/>
      <c r="F162" s="319"/>
      <c r="G162" s="319"/>
      <c r="H162" s="319"/>
      <c r="I162" s="319"/>
      <c r="J162" s="319" t="s">
        <v>990</v>
      </c>
      <c r="K162" s="319" t="s">
        <v>984</v>
      </c>
      <c r="L162" s="319" t="s">
        <v>990</v>
      </c>
      <c r="M162" s="319" t="s">
        <v>981</v>
      </c>
      <c r="N162" s="319">
        <v>20.219509124755898</v>
      </c>
      <c r="O162" s="319">
        <v>92.811332702636705</v>
      </c>
      <c r="P162" s="319"/>
      <c r="Q162" s="319" t="s">
        <v>465</v>
      </c>
      <c r="R162" s="319" t="s">
        <v>464</v>
      </c>
      <c r="S162" s="319" t="s">
        <v>945</v>
      </c>
      <c r="T162" s="534"/>
      <c r="U162" s="535"/>
      <c r="V162" s="319">
        <v>42811</v>
      </c>
      <c r="W162" s="536"/>
      <c r="X162" s="319"/>
    </row>
    <row r="163" spans="1:24" s="396" customFormat="1" ht="17.25" customHeight="1" x14ac:dyDescent="0.2">
      <c r="A163" s="319" t="s">
        <v>1064</v>
      </c>
      <c r="B163" s="319"/>
      <c r="C163" s="319" t="s">
        <v>2229</v>
      </c>
      <c r="D163" s="319">
        <v>196129</v>
      </c>
      <c r="E163" s="319"/>
      <c r="F163" s="319"/>
      <c r="G163" s="319"/>
      <c r="H163" s="319"/>
      <c r="I163" s="319"/>
      <c r="J163" s="319" t="s">
        <v>1065</v>
      </c>
      <c r="K163" s="319" t="s">
        <v>984</v>
      </c>
      <c r="L163" s="319" t="s">
        <v>1065</v>
      </c>
      <c r="M163" s="319" t="s">
        <v>464</v>
      </c>
      <c r="N163" s="319">
        <v>20.226730346679702</v>
      </c>
      <c r="O163" s="319">
        <v>92.836929321289105</v>
      </c>
      <c r="P163" s="319" t="s">
        <v>985</v>
      </c>
      <c r="Q163" s="319" t="s">
        <v>465</v>
      </c>
      <c r="R163" s="319" t="s">
        <v>464</v>
      </c>
      <c r="S163" s="319" t="s">
        <v>988</v>
      </c>
      <c r="T163" s="534"/>
      <c r="U163" s="535"/>
      <c r="V163" s="319">
        <v>42926</v>
      </c>
      <c r="W163" s="536"/>
      <c r="X163" s="319" t="s">
        <v>1064</v>
      </c>
    </row>
    <row r="164" spans="1:24" s="396" customFormat="1" ht="17.25" customHeight="1" x14ac:dyDescent="0.2">
      <c r="A164" s="319" t="s">
        <v>1338</v>
      </c>
      <c r="B164" s="319"/>
      <c r="C164" s="319" t="s">
        <v>2229</v>
      </c>
      <c r="D164" s="319" t="s">
        <v>949</v>
      </c>
      <c r="E164" s="319"/>
      <c r="F164" s="319"/>
      <c r="G164" s="319"/>
      <c r="H164" s="319"/>
      <c r="I164" s="319"/>
      <c r="J164" s="319" t="s">
        <v>984</v>
      </c>
      <c r="K164" s="319" t="s">
        <v>984</v>
      </c>
      <c r="L164" s="319" t="s">
        <v>984</v>
      </c>
      <c r="M164" s="319" t="s">
        <v>981</v>
      </c>
      <c r="N164" s="319"/>
      <c r="O164" s="319"/>
      <c r="P164" s="319" t="s">
        <v>985</v>
      </c>
      <c r="Q164" s="319" t="s">
        <v>465</v>
      </c>
      <c r="R164" s="319" t="s">
        <v>464</v>
      </c>
      <c r="S164" s="319" t="s">
        <v>966</v>
      </c>
      <c r="T164" s="534"/>
      <c r="U164" s="535"/>
      <c r="V164" s="319" t="s">
        <v>949</v>
      </c>
      <c r="W164" s="536"/>
      <c r="X164" s="319" t="s">
        <v>1338</v>
      </c>
    </row>
    <row r="165" spans="1:24" s="396" customFormat="1" ht="17.25" customHeight="1" x14ac:dyDescent="0.2">
      <c r="A165" s="319" t="s">
        <v>1294</v>
      </c>
      <c r="B165" s="319"/>
      <c r="C165" s="319" t="s">
        <v>2229</v>
      </c>
      <c r="D165" s="319" t="s">
        <v>949</v>
      </c>
      <c r="E165" s="319"/>
      <c r="F165" s="319"/>
      <c r="G165" s="319"/>
      <c r="H165" s="319"/>
      <c r="I165" s="319"/>
      <c r="J165" s="319" t="s">
        <v>1951</v>
      </c>
      <c r="K165" s="319" t="s">
        <v>50</v>
      </c>
      <c r="L165" s="319" t="s">
        <v>1289</v>
      </c>
      <c r="M165" s="319" t="s">
        <v>51</v>
      </c>
      <c r="N165" s="319"/>
      <c r="O165" s="319"/>
      <c r="P165" s="319" t="s">
        <v>944</v>
      </c>
      <c r="Q165" s="319" t="s">
        <v>882</v>
      </c>
      <c r="R165" s="319" t="s">
        <v>878</v>
      </c>
      <c r="S165" s="319" t="s">
        <v>966</v>
      </c>
      <c r="T165" s="534"/>
      <c r="U165" s="535"/>
      <c r="V165" s="319" t="s">
        <v>949</v>
      </c>
      <c r="W165" s="536" t="s">
        <v>1285</v>
      </c>
      <c r="X165" s="319" t="s">
        <v>1294</v>
      </c>
    </row>
    <row r="166" spans="1:24" s="396" customFormat="1" ht="17.25" customHeight="1" x14ac:dyDescent="0.2">
      <c r="A166" s="319" t="s">
        <v>1306</v>
      </c>
      <c r="B166" s="319"/>
      <c r="C166" s="319" t="s">
        <v>2229</v>
      </c>
      <c r="D166" s="319"/>
      <c r="E166" s="319"/>
      <c r="F166" s="319"/>
      <c r="G166" s="319"/>
      <c r="H166" s="319"/>
      <c r="I166" s="319"/>
      <c r="J166" s="319" t="s">
        <v>1951</v>
      </c>
      <c r="K166" s="319" t="s">
        <v>50</v>
      </c>
      <c r="L166" s="319" t="s">
        <v>50</v>
      </c>
      <c r="M166" s="319" t="s">
        <v>51</v>
      </c>
      <c r="N166" s="319"/>
      <c r="O166" s="319"/>
      <c r="P166" s="319" t="s">
        <v>944</v>
      </c>
      <c r="Q166" s="319" t="s">
        <v>882</v>
      </c>
      <c r="R166" s="319" t="s">
        <v>878</v>
      </c>
      <c r="S166" s="319" t="s">
        <v>966</v>
      </c>
      <c r="T166" s="534"/>
      <c r="U166" s="535"/>
      <c r="V166" s="319"/>
      <c r="W166" s="536" t="s">
        <v>1285</v>
      </c>
      <c r="X166" s="319"/>
    </row>
    <row r="167" spans="1:24" s="396" customFormat="1" ht="17.25" customHeight="1" x14ac:dyDescent="0.2">
      <c r="A167" s="319" t="s">
        <v>1310</v>
      </c>
      <c r="B167" s="319"/>
      <c r="C167" s="319" t="s">
        <v>2229</v>
      </c>
      <c r="D167" s="319" t="s">
        <v>949</v>
      </c>
      <c r="E167" s="319"/>
      <c r="F167" s="319"/>
      <c r="G167" s="319"/>
      <c r="H167" s="319"/>
      <c r="I167" s="319"/>
      <c r="J167" s="319" t="s">
        <v>1951</v>
      </c>
      <c r="K167" s="319" t="s">
        <v>50</v>
      </c>
      <c r="L167" s="319" t="s">
        <v>1289</v>
      </c>
      <c r="M167" s="319" t="s">
        <v>51</v>
      </c>
      <c r="N167" s="319"/>
      <c r="O167" s="319"/>
      <c r="P167" s="319" t="s">
        <v>944</v>
      </c>
      <c r="Q167" s="319" t="s">
        <v>882</v>
      </c>
      <c r="R167" s="319" t="s">
        <v>878</v>
      </c>
      <c r="S167" s="319" t="s">
        <v>966</v>
      </c>
      <c r="T167" s="534"/>
      <c r="U167" s="535"/>
      <c r="V167" s="319" t="s">
        <v>949</v>
      </c>
      <c r="W167" s="536" t="s">
        <v>1285</v>
      </c>
      <c r="X167" s="319" t="s">
        <v>1311</v>
      </c>
    </row>
    <row r="168" spans="1:24" s="396" customFormat="1" ht="17.25" customHeight="1" x14ac:dyDescent="0.2">
      <c r="A168" s="319" t="s">
        <v>1274</v>
      </c>
      <c r="B168" s="319"/>
      <c r="C168" s="319" t="s">
        <v>2229</v>
      </c>
      <c r="D168" s="319" t="s">
        <v>949</v>
      </c>
      <c r="E168" s="319"/>
      <c r="F168" s="319"/>
      <c r="G168" s="319"/>
      <c r="H168" s="319"/>
      <c r="I168" s="319"/>
      <c r="J168" s="319" t="s">
        <v>984</v>
      </c>
      <c r="K168" s="319" t="s">
        <v>984</v>
      </c>
      <c r="L168" s="319" t="s">
        <v>984</v>
      </c>
      <c r="M168" s="319" t="s">
        <v>949</v>
      </c>
      <c r="N168" s="319"/>
      <c r="O168" s="319"/>
      <c r="P168" s="319"/>
      <c r="Q168" s="319" t="s">
        <v>885</v>
      </c>
      <c r="R168" s="319" t="s">
        <v>878</v>
      </c>
      <c r="S168" s="319"/>
      <c r="T168" s="534"/>
      <c r="U168" s="535"/>
      <c r="V168" s="319" t="s">
        <v>949</v>
      </c>
      <c r="W168" s="536"/>
      <c r="X168" s="319" t="s">
        <v>1275</v>
      </c>
    </row>
    <row r="169" spans="1:24" s="396" customFormat="1" ht="17.25" customHeight="1" x14ac:dyDescent="0.2">
      <c r="A169" s="319" t="s">
        <v>1181</v>
      </c>
      <c r="B169" s="319"/>
      <c r="C169" s="319" t="s">
        <v>2229</v>
      </c>
      <c r="D169" s="319" t="s">
        <v>1959</v>
      </c>
      <c r="E169" s="319"/>
      <c r="F169" s="319"/>
      <c r="G169" s="319"/>
      <c r="H169" s="319" t="s">
        <v>48</v>
      </c>
      <c r="I169" s="319" t="s">
        <v>297</v>
      </c>
      <c r="J169" s="319" t="s">
        <v>50</v>
      </c>
      <c r="K169" s="319" t="s">
        <v>50</v>
      </c>
      <c r="L169" s="319" t="s">
        <v>943</v>
      </c>
      <c r="M169" s="319" t="s">
        <v>964</v>
      </c>
      <c r="N169" s="319">
        <v>24.101320999999999</v>
      </c>
      <c r="O169" s="319">
        <v>98.320651999999995</v>
      </c>
      <c r="P169" s="319" t="s">
        <v>944</v>
      </c>
      <c r="Q169" s="319" t="s">
        <v>888</v>
      </c>
      <c r="R169" s="319" t="s">
        <v>878</v>
      </c>
      <c r="S169" s="319"/>
      <c r="T169" s="534">
        <v>0</v>
      </c>
      <c r="U169" s="535">
        <v>0</v>
      </c>
      <c r="V169" s="319" t="s">
        <v>949</v>
      </c>
      <c r="W169" s="536"/>
      <c r="X169" s="319" t="s">
        <v>1182</v>
      </c>
    </row>
    <row r="170" spans="1:24" s="396" customFormat="1" ht="17.25" customHeight="1" x14ac:dyDescent="0.2">
      <c r="A170" s="331" t="s">
        <v>1153</v>
      </c>
      <c r="B170" s="319"/>
      <c r="C170" s="319" t="s">
        <v>2229</v>
      </c>
      <c r="D170" s="319" t="s">
        <v>1912</v>
      </c>
      <c r="E170" s="331"/>
      <c r="F170" s="319"/>
      <c r="G170" s="319"/>
      <c r="H170" s="319"/>
      <c r="I170" s="319"/>
      <c r="J170" s="319" t="s">
        <v>50</v>
      </c>
      <c r="K170" s="319" t="s">
        <v>50</v>
      </c>
      <c r="L170" s="319" t="s">
        <v>943</v>
      </c>
      <c r="M170" s="319" t="s">
        <v>51</v>
      </c>
      <c r="N170" s="319">
        <v>23.099304</v>
      </c>
      <c r="O170" s="319">
        <v>97.400671000000003</v>
      </c>
      <c r="P170" s="319" t="s">
        <v>944</v>
      </c>
      <c r="Q170" s="331" t="s">
        <v>903</v>
      </c>
      <c r="R170" s="331" t="s">
        <v>878</v>
      </c>
      <c r="S170" s="319" t="s">
        <v>945</v>
      </c>
      <c r="T170" s="538">
        <v>0</v>
      </c>
      <c r="U170" s="539">
        <v>0</v>
      </c>
      <c r="V170" s="319">
        <v>42747</v>
      </c>
      <c r="W170" s="536" t="s">
        <v>1154</v>
      </c>
      <c r="X170" s="319"/>
    </row>
    <row r="171" spans="1:24" s="396" customFormat="1" ht="17.25" customHeight="1" x14ac:dyDescent="0.2">
      <c r="A171" s="331" t="s">
        <v>1296</v>
      </c>
      <c r="B171" s="319"/>
      <c r="C171" s="319" t="s">
        <v>2229</v>
      </c>
      <c r="D171" s="319"/>
      <c r="E171" s="319"/>
      <c r="F171" s="319"/>
      <c r="G171" s="319"/>
      <c r="H171" s="319"/>
      <c r="I171" s="319"/>
      <c r="J171" s="319" t="s">
        <v>1951</v>
      </c>
      <c r="K171" s="319" t="s">
        <v>50</v>
      </c>
      <c r="L171" s="319" t="s">
        <v>50</v>
      </c>
      <c r="M171" s="319" t="s">
        <v>51</v>
      </c>
      <c r="N171" s="319"/>
      <c r="O171" s="319"/>
      <c r="P171" s="319" t="s">
        <v>944</v>
      </c>
      <c r="Q171" s="331" t="s">
        <v>903</v>
      </c>
      <c r="R171" s="331" t="s">
        <v>878</v>
      </c>
      <c r="S171" s="319" t="s">
        <v>966</v>
      </c>
      <c r="T171" s="538"/>
      <c r="U171" s="539"/>
      <c r="V171" s="319">
        <v>42747</v>
      </c>
      <c r="W171" s="536"/>
      <c r="X171" s="319"/>
    </row>
    <row r="172" spans="1:24" s="396" customFormat="1" ht="17.25" customHeight="1" x14ac:dyDescent="0.2">
      <c r="A172" s="331" t="s">
        <v>1340</v>
      </c>
      <c r="B172" s="319"/>
      <c r="C172" s="319" t="s">
        <v>2229</v>
      </c>
      <c r="D172" s="319"/>
      <c r="E172" s="319"/>
      <c r="F172" s="319"/>
      <c r="G172" s="319"/>
      <c r="H172" s="319"/>
      <c r="I172" s="319"/>
      <c r="J172" s="319" t="s">
        <v>1951</v>
      </c>
      <c r="K172" s="319" t="s">
        <v>50</v>
      </c>
      <c r="L172" s="319" t="s">
        <v>943</v>
      </c>
      <c r="M172" s="319" t="s">
        <v>51</v>
      </c>
      <c r="N172" s="319"/>
      <c r="O172" s="319"/>
      <c r="P172" s="319"/>
      <c r="Q172" s="331" t="s">
        <v>903</v>
      </c>
      <c r="R172" s="331" t="s">
        <v>878</v>
      </c>
      <c r="S172" s="319" t="s">
        <v>966</v>
      </c>
      <c r="T172" s="538"/>
      <c r="U172" s="539"/>
      <c r="V172" s="319">
        <v>42747</v>
      </c>
      <c r="W172" s="536"/>
      <c r="X172" s="319"/>
    </row>
    <row r="173" spans="1:24" s="396" customFormat="1" ht="17.25" customHeight="1" x14ac:dyDescent="0.2">
      <c r="A173" s="331" t="s">
        <v>1316</v>
      </c>
      <c r="B173" s="319"/>
      <c r="C173" s="319" t="s">
        <v>2229</v>
      </c>
      <c r="D173" s="319"/>
      <c r="E173" s="319"/>
      <c r="F173" s="319"/>
      <c r="G173" s="319"/>
      <c r="H173" s="319"/>
      <c r="I173" s="319"/>
      <c r="J173" s="319" t="s">
        <v>1951</v>
      </c>
      <c r="K173" s="319" t="s">
        <v>50</v>
      </c>
      <c r="L173" s="319" t="s">
        <v>943</v>
      </c>
      <c r="M173" s="319" t="s">
        <v>51</v>
      </c>
      <c r="N173" s="319"/>
      <c r="O173" s="319"/>
      <c r="P173" s="319"/>
      <c r="Q173" s="331" t="s">
        <v>1317</v>
      </c>
      <c r="R173" s="331" t="s">
        <v>878</v>
      </c>
      <c r="S173" s="319" t="s">
        <v>966</v>
      </c>
      <c r="T173" s="534"/>
      <c r="U173" s="535"/>
      <c r="V173" s="319">
        <v>42747</v>
      </c>
      <c r="W173" s="536"/>
      <c r="X173" s="319"/>
    </row>
    <row r="174" spans="1:24" ht="17.25" customHeight="1" x14ac:dyDescent="0.25">
      <c r="A174" s="343" t="s">
        <v>2518</v>
      </c>
      <c r="B174" s="328" t="s">
        <v>2497</v>
      </c>
      <c r="C174" s="329" t="s">
        <v>2509</v>
      </c>
      <c r="D174"/>
      <c r="E174"/>
      <c r="F174"/>
      <c r="G174"/>
      <c r="H174"/>
      <c r="I174"/>
      <c r="J174"/>
      <c r="K174"/>
      <c r="L174"/>
      <c r="N174" s="319"/>
      <c r="O174" s="319"/>
      <c r="Q174" s="244" t="s">
        <v>1545</v>
      </c>
      <c r="R174" s="244" t="s">
        <v>44</v>
      </c>
      <c r="T174" s="330"/>
      <c r="U174" s="76"/>
      <c r="W174" s="77"/>
    </row>
    <row r="175" spans="1:24" ht="17.25" customHeight="1" x14ac:dyDescent="0.25">
      <c r="A175" s="343" t="s">
        <v>1547</v>
      </c>
      <c r="B175" s="328" t="s">
        <v>2497</v>
      </c>
      <c r="C175" s="329" t="s">
        <v>2509</v>
      </c>
      <c r="D175"/>
      <c r="E175"/>
      <c r="F175"/>
      <c r="G175"/>
      <c r="H175"/>
      <c r="I175"/>
      <c r="J175"/>
      <c r="K175"/>
      <c r="L175"/>
      <c r="M175" s="244"/>
      <c r="N175" s="331"/>
      <c r="O175" s="331"/>
      <c r="P175" s="244"/>
      <c r="Q175" s="244" t="s">
        <v>1545</v>
      </c>
      <c r="R175" s="244" t="s">
        <v>44</v>
      </c>
      <c r="S175" s="244"/>
      <c r="T175" s="332"/>
      <c r="U175" s="321"/>
      <c r="V175" s="244"/>
      <c r="W175" s="322"/>
      <c r="X175" s="244"/>
    </row>
    <row r="176" spans="1:24" ht="17.25" customHeight="1" x14ac:dyDescent="0.2">
      <c r="A176" s="551" t="s">
        <v>2511</v>
      </c>
      <c r="B176" s="552" t="s">
        <v>2497</v>
      </c>
      <c r="C176" s="553" t="s">
        <v>2509</v>
      </c>
      <c r="J176" s="21" t="s">
        <v>984</v>
      </c>
      <c r="K176" s="21" t="s">
        <v>984</v>
      </c>
      <c r="L176" s="21" t="s">
        <v>984</v>
      </c>
      <c r="N176" s="319"/>
      <c r="O176" s="319"/>
      <c r="Q176" s="244" t="s">
        <v>465</v>
      </c>
      <c r="R176" s="244" t="s">
        <v>464</v>
      </c>
      <c r="T176" s="244">
        <v>80</v>
      </c>
      <c r="U176" s="244">
        <v>359</v>
      </c>
      <c r="W176" s="77"/>
    </row>
    <row r="177" spans="1:24" ht="17.25" customHeight="1" x14ac:dyDescent="0.2">
      <c r="A177" s="551" t="s">
        <v>2512</v>
      </c>
      <c r="B177" s="552" t="s">
        <v>2497</v>
      </c>
      <c r="C177" s="553" t="s">
        <v>2509</v>
      </c>
      <c r="J177" s="21" t="s">
        <v>984</v>
      </c>
      <c r="K177" s="21" t="s">
        <v>984</v>
      </c>
      <c r="L177" s="21" t="s">
        <v>984</v>
      </c>
      <c r="N177" s="319"/>
      <c r="O177" s="319"/>
      <c r="Q177" s="243" t="s">
        <v>465</v>
      </c>
      <c r="R177" s="243" t="s">
        <v>464</v>
      </c>
      <c r="T177" s="243">
        <v>22</v>
      </c>
      <c r="U177" s="243">
        <v>113</v>
      </c>
      <c r="W177" s="77"/>
    </row>
    <row r="178" spans="1:24" ht="17.25" customHeight="1" x14ac:dyDescent="0.2">
      <c r="A178" s="551" t="s">
        <v>2239</v>
      </c>
      <c r="B178" s="552" t="s">
        <v>2497</v>
      </c>
      <c r="C178" s="553" t="s">
        <v>2509</v>
      </c>
      <c r="J178" s="21" t="s">
        <v>984</v>
      </c>
      <c r="K178" s="21" t="s">
        <v>984</v>
      </c>
      <c r="L178" s="21" t="s">
        <v>984</v>
      </c>
      <c r="N178" s="319"/>
      <c r="O178" s="319"/>
      <c r="Q178" s="244" t="s">
        <v>465</v>
      </c>
      <c r="R178" s="244" t="s">
        <v>464</v>
      </c>
      <c r="T178" s="244">
        <v>380</v>
      </c>
      <c r="U178" s="244">
        <v>1813</v>
      </c>
      <c r="W178" s="77"/>
    </row>
    <row r="179" spans="1:24" ht="17.25" customHeight="1" x14ac:dyDescent="0.2">
      <c r="A179" s="551" t="s">
        <v>2513</v>
      </c>
      <c r="B179" s="552" t="s">
        <v>2497</v>
      </c>
      <c r="C179" s="553" t="s">
        <v>2509</v>
      </c>
      <c r="J179" s="21" t="s">
        <v>984</v>
      </c>
      <c r="K179" s="21" t="s">
        <v>984</v>
      </c>
      <c r="L179" s="21" t="s">
        <v>984</v>
      </c>
      <c r="N179" s="319"/>
      <c r="O179" s="319"/>
      <c r="Q179" s="243" t="s">
        <v>465</v>
      </c>
      <c r="R179" s="243" t="s">
        <v>464</v>
      </c>
      <c r="T179" s="243">
        <v>325</v>
      </c>
      <c r="U179" s="243">
        <v>1857</v>
      </c>
      <c r="W179" s="77"/>
    </row>
    <row r="180" spans="1:24" ht="17.25" customHeight="1" x14ac:dyDescent="0.2">
      <c r="A180" s="551" t="s">
        <v>2514</v>
      </c>
      <c r="B180" s="552" t="s">
        <v>2497</v>
      </c>
      <c r="C180" s="553" t="s">
        <v>2509</v>
      </c>
      <c r="J180" s="21" t="s">
        <v>984</v>
      </c>
      <c r="K180" s="21" t="s">
        <v>984</v>
      </c>
      <c r="L180" s="21" t="s">
        <v>984</v>
      </c>
      <c r="N180" s="319"/>
      <c r="O180" s="319"/>
      <c r="Q180" s="244" t="s">
        <v>465</v>
      </c>
      <c r="R180" s="244" t="s">
        <v>464</v>
      </c>
      <c r="T180" s="244">
        <v>164</v>
      </c>
      <c r="U180" s="244">
        <v>908</v>
      </c>
      <c r="W180" s="77"/>
    </row>
    <row r="181" spans="1:24" ht="17.25" customHeight="1" x14ac:dyDescent="0.2">
      <c r="A181" s="551" t="s">
        <v>2515</v>
      </c>
      <c r="B181" s="552" t="s">
        <v>2497</v>
      </c>
      <c r="C181" s="553" t="s">
        <v>2509</v>
      </c>
      <c r="J181" s="21" t="s">
        <v>984</v>
      </c>
      <c r="K181" s="21" t="s">
        <v>984</v>
      </c>
      <c r="L181" s="21" t="s">
        <v>984</v>
      </c>
      <c r="N181" s="319"/>
      <c r="O181" s="319"/>
      <c r="Q181" s="243" t="s">
        <v>465</v>
      </c>
      <c r="R181" s="243" t="s">
        <v>464</v>
      </c>
      <c r="T181" s="243">
        <v>615</v>
      </c>
      <c r="U181" s="243">
        <v>2985</v>
      </c>
      <c r="W181" s="77"/>
    </row>
    <row r="182" spans="1:24" ht="17.25" customHeight="1" x14ac:dyDescent="0.25">
      <c r="A182" s="551" t="s">
        <v>2516</v>
      </c>
      <c r="B182" s="552" t="s">
        <v>2497</v>
      </c>
      <c r="C182" s="553" t="s">
        <v>2509</v>
      </c>
      <c r="D182"/>
      <c r="E182"/>
      <c r="F182"/>
      <c r="G182"/>
      <c r="H182"/>
      <c r="I182"/>
      <c r="J182" s="21" t="s">
        <v>984</v>
      </c>
      <c r="K182" s="21" t="s">
        <v>984</v>
      </c>
      <c r="L182" s="21" t="s">
        <v>984</v>
      </c>
      <c r="N182" s="319"/>
      <c r="O182" s="319"/>
      <c r="Q182" s="244" t="s">
        <v>465</v>
      </c>
      <c r="R182" s="244" t="s">
        <v>464</v>
      </c>
      <c r="T182" s="244">
        <v>292</v>
      </c>
      <c r="U182" s="244">
        <v>1414</v>
      </c>
      <c r="W182" s="77"/>
    </row>
    <row r="183" spans="1:24" ht="17.25" customHeight="1" x14ac:dyDescent="0.25">
      <c r="A183" s="551" t="s">
        <v>2517</v>
      </c>
      <c r="B183" s="552" t="s">
        <v>2497</v>
      </c>
      <c r="C183" s="553" t="s">
        <v>2509</v>
      </c>
      <c r="D183"/>
      <c r="E183"/>
      <c r="F183"/>
      <c r="G183"/>
      <c r="H183"/>
      <c r="I183"/>
      <c r="J183" s="21" t="s">
        <v>984</v>
      </c>
      <c r="K183" s="21" t="s">
        <v>984</v>
      </c>
      <c r="L183" s="21" t="s">
        <v>984</v>
      </c>
      <c r="N183" s="319"/>
      <c r="O183" s="319"/>
      <c r="Q183" s="243" t="s">
        <v>465</v>
      </c>
      <c r="R183" s="243" t="s">
        <v>464</v>
      </c>
      <c r="T183" s="243">
        <v>250</v>
      </c>
      <c r="U183" s="243">
        <v>1183</v>
      </c>
      <c r="W183" s="77"/>
    </row>
    <row r="184" spans="1:24" ht="17.25" customHeight="1" x14ac:dyDescent="0.2">
      <c r="A184" s="343" t="s">
        <v>1543</v>
      </c>
      <c r="B184" s="328" t="s">
        <v>2497</v>
      </c>
      <c r="C184" s="329" t="s">
        <v>2509</v>
      </c>
      <c r="E184" s="244" t="s">
        <v>2510</v>
      </c>
      <c r="N184" s="319"/>
      <c r="O184" s="319"/>
      <c r="Q184" s="244" t="s">
        <v>1452</v>
      </c>
      <c r="R184" s="323" t="s">
        <v>878</v>
      </c>
      <c r="T184" s="244">
        <v>17</v>
      </c>
      <c r="U184" s="244">
        <v>111</v>
      </c>
      <c r="W184" s="77"/>
    </row>
    <row r="185" spans="1:24" ht="17.25" customHeight="1" x14ac:dyDescent="0.2">
      <c r="A185" s="344" t="s">
        <v>1544</v>
      </c>
      <c r="B185" s="328" t="s">
        <v>2497</v>
      </c>
      <c r="C185" s="329" t="s">
        <v>2509</v>
      </c>
      <c r="N185" s="319"/>
      <c r="O185" s="319"/>
      <c r="Q185" s="243" t="s">
        <v>1473</v>
      </c>
      <c r="R185" s="323" t="s">
        <v>878</v>
      </c>
      <c r="T185" s="243">
        <v>154</v>
      </c>
      <c r="U185" s="243">
        <v>778</v>
      </c>
      <c r="W185" s="77"/>
    </row>
    <row r="186" spans="1:24" ht="17.25" customHeight="1" x14ac:dyDescent="0.2">
      <c r="A186" s="21" t="s">
        <v>439</v>
      </c>
      <c r="B186" s="21" t="s">
        <v>2228</v>
      </c>
      <c r="C186" s="21" t="s">
        <v>2320</v>
      </c>
      <c r="D186" s="21" t="s">
        <v>1972</v>
      </c>
      <c r="E186" s="21" t="s">
        <v>2380</v>
      </c>
      <c r="F186" s="21" t="s">
        <v>2381</v>
      </c>
      <c r="G186" s="21">
        <v>166854</v>
      </c>
      <c r="H186" s="21" t="s">
        <v>48</v>
      </c>
      <c r="I186" s="21" t="s">
        <v>297</v>
      </c>
      <c r="J186" s="21" t="s">
        <v>50</v>
      </c>
      <c r="K186" s="21" t="s">
        <v>50</v>
      </c>
      <c r="L186" s="21" t="s">
        <v>50</v>
      </c>
      <c r="M186" s="21" t="s">
        <v>51</v>
      </c>
      <c r="N186" s="21">
        <v>24.222349999999999</v>
      </c>
      <c r="O186" s="74">
        <v>97.252650000000003</v>
      </c>
      <c r="P186" s="21" t="s">
        <v>944</v>
      </c>
      <c r="Q186" s="21" t="s">
        <v>351</v>
      </c>
      <c r="R186" s="21" t="s">
        <v>44</v>
      </c>
      <c r="S186" s="21" t="s">
        <v>966</v>
      </c>
      <c r="T186" s="75">
        <v>153</v>
      </c>
      <c r="U186" s="76">
        <v>774</v>
      </c>
      <c r="V186" s="21" t="s">
        <v>949</v>
      </c>
      <c r="W186" s="77"/>
      <c r="X186" s="21" t="s">
        <v>439</v>
      </c>
    </row>
    <row r="187" spans="1:24" ht="17.25" customHeight="1" x14ac:dyDescent="0.2">
      <c r="A187" s="21" t="s">
        <v>354</v>
      </c>
      <c r="B187" s="21" t="s">
        <v>2228</v>
      </c>
      <c r="C187" s="21" t="s">
        <v>2320</v>
      </c>
      <c r="D187" s="21" t="s">
        <v>1975</v>
      </c>
      <c r="E187" s="21" t="s">
        <v>2383</v>
      </c>
      <c r="F187" s="21" t="s">
        <v>2384</v>
      </c>
      <c r="G187" s="21" t="s">
        <v>2385</v>
      </c>
      <c r="H187" s="21" t="s">
        <v>48</v>
      </c>
      <c r="I187" s="21" t="s">
        <v>297</v>
      </c>
      <c r="J187" s="21" t="s">
        <v>50</v>
      </c>
      <c r="K187" s="21" t="s">
        <v>50</v>
      </c>
      <c r="L187" s="21" t="s">
        <v>50</v>
      </c>
      <c r="M187" s="21" t="s">
        <v>51</v>
      </c>
      <c r="N187" s="21">
        <v>24.24766</v>
      </c>
      <c r="O187" s="74">
        <v>97.236919999999998</v>
      </c>
      <c r="P187" s="21" t="s">
        <v>944</v>
      </c>
      <c r="Q187" s="21" t="s">
        <v>351</v>
      </c>
      <c r="R187" s="21" t="s">
        <v>44</v>
      </c>
      <c r="S187" s="21" t="s">
        <v>966</v>
      </c>
      <c r="T187" s="75">
        <v>39</v>
      </c>
      <c r="U187" s="76">
        <v>223</v>
      </c>
      <c r="V187" s="21" t="s">
        <v>949</v>
      </c>
      <c r="W187" s="77"/>
      <c r="X187" s="21" t="s">
        <v>354</v>
      </c>
    </row>
    <row r="188" spans="1:24" ht="17.25" customHeight="1" x14ac:dyDescent="0.2">
      <c r="A188" s="21" t="s">
        <v>360</v>
      </c>
      <c r="B188" s="21" t="s">
        <v>2228</v>
      </c>
      <c r="C188" s="21" t="s">
        <v>2320</v>
      </c>
      <c r="D188" s="244" t="s">
        <v>1976</v>
      </c>
      <c r="E188" s="21" t="s">
        <v>2380</v>
      </c>
      <c r="F188" s="21" t="s">
        <v>2380</v>
      </c>
      <c r="G188" s="21">
        <v>166851</v>
      </c>
      <c r="H188" s="21" t="s">
        <v>48</v>
      </c>
      <c r="I188" s="21" t="s">
        <v>399</v>
      </c>
      <c r="J188" s="21" t="s">
        <v>50</v>
      </c>
      <c r="K188" s="21" t="s">
        <v>50</v>
      </c>
      <c r="L188" s="21" t="s">
        <v>50</v>
      </c>
      <c r="M188" s="21" t="s">
        <v>51</v>
      </c>
      <c r="N188" s="21">
        <v>24.24953</v>
      </c>
      <c r="O188" s="74">
        <v>97.240639999999999</v>
      </c>
      <c r="P188" s="21" t="s">
        <v>944</v>
      </c>
      <c r="Q188" s="21" t="s">
        <v>351</v>
      </c>
      <c r="R188" s="21" t="s">
        <v>44</v>
      </c>
      <c r="S188" s="21" t="s">
        <v>966</v>
      </c>
      <c r="T188" s="75">
        <v>15</v>
      </c>
      <c r="U188" s="76">
        <v>76</v>
      </c>
      <c r="V188" s="21" t="s">
        <v>949</v>
      </c>
      <c r="W188" s="77"/>
      <c r="X188" s="21" t="s">
        <v>360</v>
      </c>
    </row>
    <row r="189" spans="1:24" ht="17.25" customHeight="1" x14ac:dyDescent="0.2">
      <c r="A189" s="21" t="s">
        <v>357</v>
      </c>
      <c r="B189" s="21" t="s">
        <v>2228</v>
      </c>
      <c r="C189" s="21" t="s">
        <v>2320</v>
      </c>
      <c r="D189" s="21" t="s">
        <v>1981</v>
      </c>
      <c r="E189" s="21" t="s">
        <v>2383</v>
      </c>
      <c r="F189" s="21" t="s">
        <v>2384</v>
      </c>
      <c r="G189" s="21" t="s">
        <v>2385</v>
      </c>
      <c r="H189" s="21" t="s">
        <v>48</v>
      </c>
      <c r="I189" s="21" t="s">
        <v>399</v>
      </c>
      <c r="J189" s="21" t="s">
        <v>50</v>
      </c>
      <c r="K189" s="21" t="s">
        <v>50</v>
      </c>
      <c r="L189" s="21" t="s">
        <v>50</v>
      </c>
      <c r="M189" s="21" t="s">
        <v>51</v>
      </c>
      <c r="N189" s="21">
        <v>24.253067000000001</v>
      </c>
      <c r="O189" s="74">
        <v>97.234200000000001</v>
      </c>
      <c r="P189" s="21" t="s">
        <v>944</v>
      </c>
      <c r="Q189" s="21" t="s">
        <v>351</v>
      </c>
      <c r="R189" s="21" t="s">
        <v>44</v>
      </c>
      <c r="S189" s="21" t="s">
        <v>966</v>
      </c>
      <c r="T189" s="75">
        <v>13</v>
      </c>
      <c r="U189" s="76">
        <v>56</v>
      </c>
      <c r="V189" s="21" t="s">
        <v>949</v>
      </c>
      <c r="W189" s="77"/>
      <c r="X189" s="21" t="s">
        <v>357</v>
      </c>
    </row>
    <row r="190" spans="1:24" ht="17.25" customHeight="1" x14ac:dyDescent="0.2">
      <c r="A190" s="21" t="s">
        <v>352</v>
      </c>
      <c r="B190" s="21" t="s">
        <v>2228</v>
      </c>
      <c r="C190" s="21" t="s">
        <v>2320</v>
      </c>
      <c r="D190" s="21" t="s">
        <v>1983</v>
      </c>
      <c r="E190" s="21" t="s">
        <v>2386</v>
      </c>
      <c r="F190" s="21" t="s">
        <v>2386</v>
      </c>
      <c r="G190" s="21">
        <v>166904</v>
      </c>
      <c r="H190" s="21" t="s">
        <v>48</v>
      </c>
      <c r="I190" s="21" t="s">
        <v>297</v>
      </c>
      <c r="J190" s="21" t="s">
        <v>50</v>
      </c>
      <c r="K190" s="21" t="s">
        <v>50</v>
      </c>
      <c r="L190" s="21" t="s">
        <v>50</v>
      </c>
      <c r="M190" s="21" t="s">
        <v>51</v>
      </c>
      <c r="N190" s="21">
        <v>24.260466999999998</v>
      </c>
      <c r="O190" s="74">
        <v>97.252650000000003</v>
      </c>
      <c r="P190" s="21" t="s">
        <v>944</v>
      </c>
      <c r="Q190" s="21" t="s">
        <v>351</v>
      </c>
      <c r="R190" s="21" t="s">
        <v>44</v>
      </c>
      <c r="S190" s="21" t="s">
        <v>966</v>
      </c>
      <c r="T190" s="75">
        <v>12</v>
      </c>
      <c r="U190" s="76">
        <v>53</v>
      </c>
      <c r="V190" s="21" t="s">
        <v>949</v>
      </c>
      <c r="W190" s="77"/>
      <c r="X190" s="21" t="s">
        <v>352</v>
      </c>
    </row>
    <row r="191" spans="1:24" ht="17.25" customHeight="1" x14ac:dyDescent="0.2">
      <c r="A191" s="21" t="s">
        <v>437</v>
      </c>
      <c r="B191" s="21" t="s">
        <v>2228</v>
      </c>
      <c r="C191" s="21" t="s">
        <v>2320</v>
      </c>
      <c r="D191" s="21" t="s">
        <v>1984</v>
      </c>
      <c r="E191" s="21" t="s">
        <v>2387</v>
      </c>
      <c r="F191" s="21" t="s">
        <v>2387</v>
      </c>
      <c r="G191" s="21">
        <v>166836</v>
      </c>
      <c r="H191" s="21" t="s">
        <v>48</v>
      </c>
      <c r="I191" s="21" t="s">
        <v>49</v>
      </c>
      <c r="J191" s="21" t="s">
        <v>50</v>
      </c>
      <c r="K191" s="21" t="s">
        <v>50</v>
      </c>
      <c r="L191" s="21" t="s">
        <v>50</v>
      </c>
      <c r="M191" s="21" t="s">
        <v>51</v>
      </c>
      <c r="N191" s="21">
        <v>24.260719999999999</v>
      </c>
      <c r="O191" s="74">
        <v>97.238829999999993</v>
      </c>
      <c r="P191" s="21" t="s">
        <v>944</v>
      </c>
      <c r="Q191" s="21" t="s">
        <v>351</v>
      </c>
      <c r="R191" s="21" t="s">
        <v>44</v>
      </c>
      <c r="S191" s="21" t="s">
        <v>966</v>
      </c>
      <c r="T191" s="75">
        <v>257</v>
      </c>
      <c r="U191" s="76">
        <v>1266</v>
      </c>
      <c r="V191" s="21" t="s">
        <v>949</v>
      </c>
      <c r="W191" s="77"/>
      <c r="X191" s="21" t="s">
        <v>437</v>
      </c>
    </row>
    <row r="192" spans="1:24" ht="17.25" customHeight="1" x14ac:dyDescent="0.2">
      <c r="A192" s="21" t="s">
        <v>356</v>
      </c>
      <c r="B192" s="21" t="s">
        <v>2228</v>
      </c>
      <c r="C192" s="21" t="s">
        <v>2320</v>
      </c>
      <c r="D192" s="21" t="s">
        <v>1986</v>
      </c>
      <c r="E192" s="21" t="s">
        <v>2387</v>
      </c>
      <c r="F192" s="21" t="s">
        <v>2387</v>
      </c>
      <c r="G192" s="21">
        <v>166836</v>
      </c>
      <c r="H192" s="21" t="s">
        <v>48</v>
      </c>
      <c r="I192" s="21" t="s">
        <v>399</v>
      </c>
      <c r="J192" s="21" t="s">
        <v>50</v>
      </c>
      <c r="K192" s="21" t="s">
        <v>50</v>
      </c>
      <c r="L192" s="21" t="s">
        <v>50</v>
      </c>
      <c r="M192" s="21" t="s">
        <v>51</v>
      </c>
      <c r="N192" s="21">
        <v>24.2631743589744</v>
      </c>
      <c r="O192" s="74">
        <v>97.240183461538507</v>
      </c>
      <c r="P192" s="21" t="s">
        <v>944</v>
      </c>
      <c r="Q192" s="21" t="s">
        <v>351</v>
      </c>
      <c r="R192" s="21" t="s">
        <v>44</v>
      </c>
      <c r="S192" s="21" t="s">
        <v>966</v>
      </c>
      <c r="T192" s="75">
        <v>130</v>
      </c>
      <c r="U192" s="76">
        <v>742</v>
      </c>
      <c r="V192" s="21" t="s">
        <v>949</v>
      </c>
      <c r="W192" s="77"/>
      <c r="X192" s="21" t="s">
        <v>356</v>
      </c>
    </row>
    <row r="193" spans="1:24" ht="17.25" customHeight="1" x14ac:dyDescent="0.2">
      <c r="A193" s="21" t="s">
        <v>440</v>
      </c>
      <c r="B193" s="21" t="s">
        <v>2228</v>
      </c>
      <c r="C193" s="21" t="s">
        <v>2320</v>
      </c>
      <c r="D193" s="21" t="s">
        <v>1988</v>
      </c>
      <c r="E193" s="21" t="s">
        <v>2383</v>
      </c>
      <c r="F193" s="21" t="s">
        <v>2388</v>
      </c>
      <c r="G193" s="21" t="s">
        <v>2389</v>
      </c>
      <c r="H193" s="21" t="s">
        <v>48</v>
      </c>
      <c r="I193" s="21" t="s">
        <v>297</v>
      </c>
      <c r="J193" s="21" t="s">
        <v>50</v>
      </c>
      <c r="K193" s="21" t="s">
        <v>50</v>
      </c>
      <c r="L193" s="21" t="s">
        <v>50</v>
      </c>
      <c r="M193" s="21" t="s">
        <v>51</v>
      </c>
      <c r="N193" s="21">
        <v>24.268292826086999</v>
      </c>
      <c r="O193" s="74">
        <v>97.229116811594196</v>
      </c>
      <c r="P193" s="21" t="s">
        <v>944</v>
      </c>
      <c r="Q193" s="21" t="s">
        <v>351</v>
      </c>
      <c r="R193" s="21" t="s">
        <v>44</v>
      </c>
      <c r="S193" s="21" t="s">
        <v>966</v>
      </c>
      <c r="T193" s="75">
        <v>638</v>
      </c>
      <c r="U193" s="76">
        <v>3971</v>
      </c>
      <c r="V193" s="21" t="s">
        <v>949</v>
      </c>
      <c r="W193" s="77"/>
      <c r="X193" s="21" t="s">
        <v>440</v>
      </c>
    </row>
    <row r="194" spans="1:24" ht="17.25" customHeight="1" x14ac:dyDescent="0.2">
      <c r="A194" s="21" t="s">
        <v>359</v>
      </c>
      <c r="B194" s="21" t="s">
        <v>2228</v>
      </c>
      <c r="C194" s="21" t="s">
        <v>2320</v>
      </c>
      <c r="D194" s="21" t="s">
        <v>1991</v>
      </c>
      <c r="E194" s="21" t="s">
        <v>2392</v>
      </c>
      <c r="F194" s="21" t="s">
        <v>2392</v>
      </c>
      <c r="G194" s="21">
        <v>166844</v>
      </c>
      <c r="H194" s="21" t="s">
        <v>48</v>
      </c>
      <c r="I194" s="21" t="s">
        <v>49</v>
      </c>
      <c r="J194" s="21" t="s">
        <v>50</v>
      </c>
      <c r="K194" s="21" t="s">
        <v>50</v>
      </c>
      <c r="L194" s="21" t="s">
        <v>50</v>
      </c>
      <c r="M194" s="21" t="s">
        <v>51</v>
      </c>
      <c r="N194" s="21">
        <v>24.32638</v>
      </c>
      <c r="O194" s="74">
        <v>97.315860000000001</v>
      </c>
      <c r="P194" s="21" t="s">
        <v>944</v>
      </c>
      <c r="Q194" s="21" t="s">
        <v>351</v>
      </c>
      <c r="R194" s="21" t="s">
        <v>44</v>
      </c>
      <c r="S194" s="21" t="s">
        <v>966</v>
      </c>
      <c r="T194" s="75">
        <v>21</v>
      </c>
      <c r="U194" s="76">
        <v>113</v>
      </c>
      <c r="V194" s="21" t="s">
        <v>949</v>
      </c>
      <c r="W194" s="77"/>
      <c r="X194" s="21" t="s">
        <v>359</v>
      </c>
    </row>
    <row r="195" spans="1:24" ht="17.25" customHeight="1" x14ac:dyDescent="0.2">
      <c r="A195" s="21" t="s">
        <v>1199</v>
      </c>
      <c r="C195" s="21" t="s">
        <v>2320</v>
      </c>
      <c r="D195" s="244" t="s">
        <v>1990</v>
      </c>
      <c r="E195" s="21" t="s">
        <v>2383</v>
      </c>
      <c r="F195" s="21" t="s">
        <v>2482</v>
      </c>
      <c r="G195" s="21" t="s">
        <v>2483</v>
      </c>
      <c r="H195" s="21" t="s">
        <v>48</v>
      </c>
      <c r="I195" s="21" t="s">
        <v>399</v>
      </c>
      <c r="J195" s="21" t="s">
        <v>50</v>
      </c>
      <c r="K195" s="21" t="s">
        <v>50</v>
      </c>
      <c r="L195" s="21" t="s">
        <v>50</v>
      </c>
      <c r="M195" s="21" t="s">
        <v>51</v>
      </c>
      <c r="N195" s="21">
        <v>24.29138</v>
      </c>
      <c r="O195" s="74">
        <v>97.227789999999999</v>
      </c>
      <c r="P195" s="21" t="s">
        <v>944</v>
      </c>
      <c r="Q195" s="21" t="s">
        <v>351</v>
      </c>
      <c r="R195" s="21" t="s">
        <v>44</v>
      </c>
      <c r="S195" s="21" t="s">
        <v>945</v>
      </c>
      <c r="T195" s="75">
        <v>20</v>
      </c>
      <c r="U195" s="76">
        <v>101</v>
      </c>
      <c r="V195" s="21" t="s">
        <v>949</v>
      </c>
      <c r="W195" s="77" t="s">
        <v>1200</v>
      </c>
      <c r="X195" s="21" t="s">
        <v>1199</v>
      </c>
    </row>
    <row r="196" spans="1:24" ht="17.25" customHeight="1" x14ac:dyDescent="0.2">
      <c r="A196" s="21" t="s">
        <v>381</v>
      </c>
      <c r="B196" s="21" t="s">
        <v>2228</v>
      </c>
      <c r="C196" s="21" t="s">
        <v>2320</v>
      </c>
      <c r="D196" s="21" t="s">
        <v>2073</v>
      </c>
      <c r="E196" s="21" t="s">
        <v>2450</v>
      </c>
      <c r="F196" s="21" t="s">
        <v>2288</v>
      </c>
      <c r="G196" s="21" t="s">
        <v>2451</v>
      </c>
      <c r="H196" s="21" t="s">
        <v>48</v>
      </c>
      <c r="I196" s="21" t="s">
        <v>1565</v>
      </c>
      <c r="J196" s="21" t="s">
        <v>50</v>
      </c>
      <c r="K196" s="21" t="s">
        <v>50</v>
      </c>
      <c r="L196" s="21" t="s">
        <v>50</v>
      </c>
      <c r="M196" s="21" t="s">
        <v>51</v>
      </c>
      <c r="N196" s="21">
        <v>25.60867</v>
      </c>
      <c r="O196" s="74">
        <v>98.377780000000001</v>
      </c>
      <c r="P196" s="21" t="s">
        <v>944</v>
      </c>
      <c r="Q196" s="21" t="s">
        <v>302</v>
      </c>
      <c r="R196" s="21" t="s">
        <v>44</v>
      </c>
      <c r="S196" s="21" t="s">
        <v>966</v>
      </c>
      <c r="T196" s="75">
        <v>57</v>
      </c>
      <c r="U196" s="76">
        <v>264</v>
      </c>
      <c r="V196" s="21" t="s">
        <v>949</v>
      </c>
      <c r="W196" s="77"/>
      <c r="X196" s="21" t="s">
        <v>381</v>
      </c>
    </row>
    <row r="197" spans="1:24" ht="17.25" customHeight="1" x14ac:dyDescent="0.2">
      <c r="A197" s="21" t="s">
        <v>384</v>
      </c>
      <c r="B197" s="21" t="s">
        <v>2228</v>
      </c>
      <c r="C197" s="21" t="s">
        <v>2320</v>
      </c>
      <c r="D197" s="21" t="s">
        <v>2083</v>
      </c>
      <c r="E197" s="21" t="s">
        <v>2309</v>
      </c>
      <c r="F197" s="21" t="s">
        <v>384</v>
      </c>
      <c r="G197" s="21">
        <v>0</v>
      </c>
      <c r="H197" s="21" t="s">
        <v>48</v>
      </c>
      <c r="I197" s="21" t="s">
        <v>1565</v>
      </c>
      <c r="J197" s="21" t="s">
        <v>50</v>
      </c>
      <c r="K197" s="21" t="s">
        <v>50</v>
      </c>
      <c r="L197" s="21" t="s">
        <v>50</v>
      </c>
      <c r="M197" s="21" t="s">
        <v>51</v>
      </c>
      <c r="N197" s="21">
        <v>25.645959999999999</v>
      </c>
      <c r="O197" s="74">
        <v>98.356260000000006</v>
      </c>
      <c r="P197" s="21" t="s">
        <v>944</v>
      </c>
      <c r="Q197" s="21" t="s">
        <v>302</v>
      </c>
      <c r="R197" s="21" t="s">
        <v>44</v>
      </c>
      <c r="S197" s="21" t="s">
        <v>966</v>
      </c>
      <c r="T197" s="75">
        <v>30</v>
      </c>
      <c r="U197" s="76">
        <v>172</v>
      </c>
      <c r="V197" s="21" t="s">
        <v>949</v>
      </c>
      <c r="W197" s="77"/>
      <c r="X197" s="21" t="s">
        <v>1247</v>
      </c>
    </row>
    <row r="198" spans="1:24" ht="17.25" customHeight="1" x14ac:dyDescent="0.2">
      <c r="A198" s="21" t="s">
        <v>303</v>
      </c>
      <c r="B198" s="21" t="s">
        <v>2228</v>
      </c>
      <c r="C198" s="21" t="s">
        <v>2320</v>
      </c>
      <c r="D198" s="21" t="s">
        <v>2092</v>
      </c>
      <c r="E198" s="21" t="s">
        <v>2457</v>
      </c>
      <c r="F198" s="21" t="s">
        <v>2458</v>
      </c>
      <c r="G198" s="21">
        <v>166355</v>
      </c>
      <c r="H198" s="21" t="s">
        <v>48</v>
      </c>
      <c r="I198" s="21" t="s">
        <v>297</v>
      </c>
      <c r="J198" s="21" t="s">
        <v>50</v>
      </c>
      <c r="K198" s="21" t="s">
        <v>50</v>
      </c>
      <c r="L198" s="21" t="s">
        <v>50</v>
      </c>
      <c r="M198" s="21" t="s">
        <v>964</v>
      </c>
      <c r="N198" s="21">
        <v>25.754110000000001</v>
      </c>
      <c r="O198" s="74">
        <v>98.475719999999995</v>
      </c>
      <c r="P198" s="21" t="s">
        <v>944</v>
      </c>
      <c r="Q198" s="21" t="s">
        <v>302</v>
      </c>
      <c r="R198" s="21" t="s">
        <v>44</v>
      </c>
      <c r="S198" s="21" t="s">
        <v>966</v>
      </c>
      <c r="T198" s="75">
        <v>158</v>
      </c>
      <c r="U198" s="76">
        <v>945</v>
      </c>
      <c r="V198" s="21" t="s">
        <v>949</v>
      </c>
      <c r="W198" s="77"/>
      <c r="X198" s="21" t="s">
        <v>303</v>
      </c>
    </row>
    <row r="199" spans="1:24" ht="17.25" customHeight="1" x14ac:dyDescent="0.2">
      <c r="A199" s="21" t="s">
        <v>405</v>
      </c>
      <c r="B199" s="21" t="s">
        <v>2228</v>
      </c>
      <c r="C199" s="21" t="s">
        <v>2320</v>
      </c>
      <c r="D199" s="21" t="s">
        <v>2095</v>
      </c>
      <c r="E199" s="21" t="s">
        <v>2265</v>
      </c>
      <c r="F199" s="21" t="s">
        <v>2459</v>
      </c>
      <c r="G199" s="21">
        <v>0</v>
      </c>
      <c r="H199" s="21" t="s">
        <v>48</v>
      </c>
      <c r="I199" s="21" t="s">
        <v>399</v>
      </c>
      <c r="J199" s="21" t="s">
        <v>50</v>
      </c>
      <c r="K199" s="21" t="s">
        <v>50</v>
      </c>
      <c r="L199" s="21" t="s">
        <v>50</v>
      </c>
      <c r="M199" s="21" t="s">
        <v>51</v>
      </c>
      <c r="N199" s="21">
        <v>25.887339999999998</v>
      </c>
      <c r="O199" s="74">
        <v>98.129990000000006</v>
      </c>
      <c r="P199" s="21" t="s">
        <v>944</v>
      </c>
      <c r="Q199" s="21" t="s">
        <v>302</v>
      </c>
      <c r="R199" s="21" t="s">
        <v>44</v>
      </c>
      <c r="S199" s="21" t="s">
        <v>966</v>
      </c>
      <c r="T199" s="75">
        <v>144</v>
      </c>
      <c r="U199" s="76">
        <v>644</v>
      </c>
      <c r="V199" s="21" t="s">
        <v>949</v>
      </c>
      <c r="W199" s="77"/>
      <c r="X199" s="21" t="s">
        <v>405</v>
      </c>
    </row>
    <row r="200" spans="1:24" ht="17.25" customHeight="1" x14ac:dyDescent="0.2">
      <c r="A200" s="21" t="s">
        <v>402</v>
      </c>
      <c r="B200" s="21" t="s">
        <v>2228</v>
      </c>
      <c r="C200" s="21" t="s">
        <v>2320</v>
      </c>
      <c r="D200" s="21" t="s">
        <v>2096</v>
      </c>
      <c r="E200" s="21" t="s">
        <v>2460</v>
      </c>
      <c r="F200" s="21" t="s">
        <v>2461</v>
      </c>
      <c r="G200" s="21" t="s">
        <v>2462</v>
      </c>
      <c r="H200" s="21" t="s">
        <v>48</v>
      </c>
      <c r="I200" s="21" t="s">
        <v>399</v>
      </c>
      <c r="J200" s="21" t="s">
        <v>50</v>
      </c>
      <c r="K200" s="21" t="s">
        <v>50</v>
      </c>
      <c r="L200" s="21" t="s">
        <v>50</v>
      </c>
      <c r="M200" s="21" t="s">
        <v>51</v>
      </c>
      <c r="N200" s="21">
        <v>25.889410000000002</v>
      </c>
      <c r="O200" s="74">
        <v>98.131550000000004</v>
      </c>
      <c r="P200" s="21" t="s">
        <v>944</v>
      </c>
      <c r="Q200" s="21" t="s">
        <v>302</v>
      </c>
      <c r="R200" s="21" t="s">
        <v>44</v>
      </c>
      <c r="S200" s="21" t="s">
        <v>966</v>
      </c>
      <c r="T200" s="75">
        <v>108</v>
      </c>
      <c r="U200" s="76">
        <v>526</v>
      </c>
      <c r="V200" s="21" t="s">
        <v>949</v>
      </c>
      <c r="W200" s="77"/>
      <c r="X200" s="21" t="s">
        <v>402</v>
      </c>
    </row>
    <row r="201" spans="1:24" ht="17.25" customHeight="1" x14ac:dyDescent="0.2">
      <c r="A201" s="21" t="s">
        <v>305</v>
      </c>
      <c r="B201" s="21" t="s">
        <v>2228</v>
      </c>
      <c r="C201" s="21" t="s">
        <v>2320</v>
      </c>
      <c r="D201" s="21" t="s">
        <v>2066</v>
      </c>
      <c r="E201" s="21" t="s">
        <v>2446</v>
      </c>
      <c r="F201" s="21" t="s">
        <v>2447</v>
      </c>
      <c r="G201" s="21">
        <v>220512</v>
      </c>
      <c r="H201" s="21" t="s">
        <v>48</v>
      </c>
      <c r="I201" s="21" t="s">
        <v>297</v>
      </c>
      <c r="J201" s="21" t="s">
        <v>50</v>
      </c>
      <c r="K201" s="21" t="s">
        <v>50</v>
      </c>
      <c r="L201" s="21" t="s">
        <v>50</v>
      </c>
      <c r="M201" s="21" t="s">
        <v>51</v>
      </c>
      <c r="N201" s="21">
        <v>25.51352</v>
      </c>
      <c r="O201" s="74">
        <v>96.705960000000005</v>
      </c>
      <c r="P201" s="21" t="s">
        <v>944</v>
      </c>
      <c r="Q201" s="21" t="s">
        <v>304</v>
      </c>
      <c r="R201" s="21" t="s">
        <v>44</v>
      </c>
      <c r="S201" s="21" t="s">
        <v>966</v>
      </c>
      <c r="T201" s="75">
        <v>13</v>
      </c>
      <c r="U201" s="76">
        <v>46</v>
      </c>
      <c r="V201" s="21" t="s">
        <v>949</v>
      </c>
      <c r="W201" s="77"/>
      <c r="X201" s="21" t="s">
        <v>305</v>
      </c>
    </row>
    <row r="202" spans="1:24" ht="17.25" customHeight="1" x14ac:dyDescent="0.2">
      <c r="A202" s="21" t="s">
        <v>419</v>
      </c>
      <c r="B202" s="21" t="s">
        <v>2228</v>
      </c>
      <c r="C202" s="21" t="s">
        <v>2320</v>
      </c>
      <c r="D202" s="21" t="s">
        <v>2067</v>
      </c>
      <c r="E202" s="21" t="s">
        <v>2249</v>
      </c>
      <c r="F202" s="21" t="s">
        <v>2250</v>
      </c>
      <c r="G202" s="21">
        <v>166785</v>
      </c>
      <c r="H202" s="21" t="s">
        <v>48</v>
      </c>
      <c r="I202" s="21" t="s">
        <v>399</v>
      </c>
      <c r="J202" s="21" t="s">
        <v>50</v>
      </c>
      <c r="K202" s="21" t="s">
        <v>50</v>
      </c>
      <c r="L202" s="21" t="s">
        <v>50</v>
      </c>
      <c r="M202" s="21" t="s">
        <v>51</v>
      </c>
      <c r="N202" s="21">
        <v>25.56551</v>
      </c>
      <c r="O202" s="74">
        <v>96.279200000000003</v>
      </c>
      <c r="P202" s="21" t="s">
        <v>944</v>
      </c>
      <c r="Q202" s="21" t="s">
        <v>304</v>
      </c>
      <c r="R202" s="21" t="s">
        <v>44</v>
      </c>
      <c r="S202" s="21" t="s">
        <v>966</v>
      </c>
      <c r="T202" s="75">
        <v>9</v>
      </c>
      <c r="U202" s="76">
        <v>37</v>
      </c>
      <c r="V202" s="21" t="s">
        <v>949</v>
      </c>
      <c r="W202" s="77"/>
      <c r="X202" s="21" t="s">
        <v>419</v>
      </c>
    </row>
    <row r="203" spans="1:24" ht="17.25" customHeight="1" x14ac:dyDescent="0.2">
      <c r="A203" s="21" t="s">
        <v>415</v>
      </c>
      <c r="B203" s="21" t="s">
        <v>2228</v>
      </c>
      <c r="C203" s="21" t="s">
        <v>2320</v>
      </c>
      <c r="D203" s="21" t="s">
        <v>2068</v>
      </c>
      <c r="E203" s="21" t="s">
        <v>2249</v>
      </c>
      <c r="F203" s="21" t="s">
        <v>2250</v>
      </c>
      <c r="G203" s="21">
        <v>166785</v>
      </c>
      <c r="H203" s="21" t="s">
        <v>48</v>
      </c>
      <c r="I203" s="21" t="s">
        <v>399</v>
      </c>
      <c r="J203" s="21" t="s">
        <v>50</v>
      </c>
      <c r="K203" s="21" t="s">
        <v>50</v>
      </c>
      <c r="L203" s="21" t="s">
        <v>50</v>
      </c>
      <c r="M203" s="21" t="s">
        <v>51</v>
      </c>
      <c r="N203" s="21">
        <v>25.566510000000001</v>
      </c>
      <c r="O203" s="74">
        <v>96.269199999999998</v>
      </c>
      <c r="P203" s="21" t="s">
        <v>944</v>
      </c>
      <c r="Q203" s="21" t="s">
        <v>304</v>
      </c>
      <c r="R203" s="21" t="s">
        <v>44</v>
      </c>
      <c r="S203" s="21" t="s">
        <v>966</v>
      </c>
      <c r="T203" s="75">
        <v>19</v>
      </c>
      <c r="U203" s="76">
        <v>101</v>
      </c>
      <c r="V203" s="21" t="s">
        <v>949</v>
      </c>
      <c r="W203" s="77"/>
      <c r="X203" s="21" t="s">
        <v>415</v>
      </c>
    </row>
    <row r="204" spans="1:24" ht="17.25" customHeight="1" x14ac:dyDescent="0.2">
      <c r="A204" s="21" t="s">
        <v>421</v>
      </c>
      <c r="B204" s="21" t="s">
        <v>2228</v>
      </c>
      <c r="C204" s="21" t="s">
        <v>2320</v>
      </c>
      <c r="D204" s="21" t="s">
        <v>2069</v>
      </c>
      <c r="E204" s="21" t="s">
        <v>2249</v>
      </c>
      <c r="F204" s="21" t="s">
        <v>2448</v>
      </c>
      <c r="G204" s="21">
        <v>166788</v>
      </c>
      <c r="H204" s="21" t="s">
        <v>48</v>
      </c>
      <c r="I204" s="21" t="s">
        <v>297</v>
      </c>
      <c r="J204" s="21" t="s">
        <v>50</v>
      </c>
      <c r="K204" s="21" t="s">
        <v>50</v>
      </c>
      <c r="L204" s="21" t="s">
        <v>50</v>
      </c>
      <c r="M204" s="21" t="s">
        <v>51</v>
      </c>
      <c r="N204" s="21">
        <v>25.577559999999998</v>
      </c>
      <c r="O204" s="74">
        <v>96.286680000000004</v>
      </c>
      <c r="P204" s="21" t="s">
        <v>944</v>
      </c>
      <c r="Q204" s="21" t="s">
        <v>304</v>
      </c>
      <c r="R204" s="21" t="s">
        <v>44</v>
      </c>
      <c r="S204" s="21" t="s">
        <v>966</v>
      </c>
      <c r="T204" s="75">
        <v>32</v>
      </c>
      <c r="U204" s="76">
        <v>146</v>
      </c>
      <c r="V204" s="21" t="s">
        <v>949</v>
      </c>
      <c r="W204" s="77"/>
      <c r="X204" s="21" t="s">
        <v>421</v>
      </c>
    </row>
    <row r="205" spans="1:24" ht="17.25" customHeight="1" x14ac:dyDescent="0.2">
      <c r="A205" s="21" t="s">
        <v>410</v>
      </c>
      <c r="B205" s="21" t="s">
        <v>2228</v>
      </c>
      <c r="C205" s="21" t="s">
        <v>2320</v>
      </c>
      <c r="D205" s="21" t="s">
        <v>2071</v>
      </c>
      <c r="E205" s="21" t="s">
        <v>2249</v>
      </c>
      <c r="F205" s="21" t="s">
        <v>2249</v>
      </c>
      <c r="G205" s="21">
        <v>166783</v>
      </c>
      <c r="H205" s="21" t="s">
        <v>48</v>
      </c>
      <c r="I205" s="21" t="s">
        <v>399</v>
      </c>
      <c r="J205" s="21" t="s">
        <v>50</v>
      </c>
      <c r="K205" s="21" t="s">
        <v>50</v>
      </c>
      <c r="L205" s="21" t="s">
        <v>50</v>
      </c>
      <c r="M205" s="21" t="s">
        <v>51</v>
      </c>
      <c r="N205" s="21">
        <v>25.582065</v>
      </c>
      <c r="O205" s="74">
        <v>96.283377000000002</v>
      </c>
      <c r="P205" s="21" t="s">
        <v>944</v>
      </c>
      <c r="Q205" s="21" t="s">
        <v>304</v>
      </c>
      <c r="R205" s="21" t="s">
        <v>44</v>
      </c>
      <c r="S205" s="21" t="s">
        <v>966</v>
      </c>
      <c r="T205" s="75">
        <v>5</v>
      </c>
      <c r="U205" s="76">
        <v>27</v>
      </c>
      <c r="V205" s="21" t="s">
        <v>949</v>
      </c>
      <c r="W205" s="77"/>
      <c r="X205" s="21" t="s">
        <v>410</v>
      </c>
    </row>
    <row r="206" spans="1:24" ht="17.25" customHeight="1" x14ac:dyDescent="0.2">
      <c r="A206" s="21" t="s">
        <v>422</v>
      </c>
      <c r="B206" s="21" t="s">
        <v>2228</v>
      </c>
      <c r="C206" s="21" t="s">
        <v>2320</v>
      </c>
      <c r="D206" s="21" t="s">
        <v>2072</v>
      </c>
      <c r="E206" s="21" t="s">
        <v>2449</v>
      </c>
      <c r="F206" s="21" t="s">
        <v>2449</v>
      </c>
      <c r="G206" s="21">
        <v>166776</v>
      </c>
      <c r="H206" s="21" t="s">
        <v>48</v>
      </c>
      <c r="I206" s="21" t="s">
        <v>297</v>
      </c>
      <c r="J206" s="21" t="s">
        <v>50</v>
      </c>
      <c r="K206" s="21" t="s">
        <v>50</v>
      </c>
      <c r="L206" s="21" t="s">
        <v>50</v>
      </c>
      <c r="M206" s="21" t="s">
        <v>51</v>
      </c>
      <c r="N206" s="21">
        <v>25.599250000000001</v>
      </c>
      <c r="O206" s="74">
        <v>96.306910999999999</v>
      </c>
      <c r="P206" s="21" t="s">
        <v>944</v>
      </c>
      <c r="Q206" s="21" t="s">
        <v>304</v>
      </c>
      <c r="R206" s="21" t="s">
        <v>44</v>
      </c>
      <c r="S206" s="21" t="s">
        <v>966</v>
      </c>
      <c r="T206" s="75">
        <v>11</v>
      </c>
      <c r="U206" s="76">
        <v>48</v>
      </c>
      <c r="V206" s="21" t="s">
        <v>949</v>
      </c>
      <c r="W206" s="77"/>
      <c r="X206" s="21" t="s">
        <v>422</v>
      </c>
    </row>
    <row r="207" spans="1:24" ht="17.25" customHeight="1" x14ac:dyDescent="0.2">
      <c r="A207" s="21" t="s">
        <v>414</v>
      </c>
      <c r="B207" s="21" t="s">
        <v>2228</v>
      </c>
      <c r="C207" s="21" t="s">
        <v>2320</v>
      </c>
      <c r="D207" s="21" t="s">
        <v>2074</v>
      </c>
      <c r="E207" s="21" t="s">
        <v>2449</v>
      </c>
      <c r="F207" s="21" t="s">
        <v>2449</v>
      </c>
      <c r="G207" s="21">
        <v>166776</v>
      </c>
      <c r="H207" s="21" t="s">
        <v>48</v>
      </c>
      <c r="I207" s="21" t="s">
        <v>297</v>
      </c>
      <c r="J207" s="21" t="s">
        <v>50</v>
      </c>
      <c r="K207" s="21" t="s">
        <v>50</v>
      </c>
      <c r="L207" s="21" t="s">
        <v>50</v>
      </c>
      <c r="M207" s="21" t="s">
        <v>51</v>
      </c>
      <c r="N207" s="21">
        <v>25.611160000000002</v>
      </c>
      <c r="O207" s="74">
        <v>96.312790000000007</v>
      </c>
      <c r="P207" s="21" t="s">
        <v>944</v>
      </c>
      <c r="Q207" s="21" t="s">
        <v>304</v>
      </c>
      <c r="R207" s="21" t="s">
        <v>44</v>
      </c>
      <c r="S207" s="21" t="s">
        <v>966</v>
      </c>
      <c r="T207" s="75">
        <v>103</v>
      </c>
      <c r="U207" s="76">
        <v>497</v>
      </c>
      <c r="V207" s="21" t="s">
        <v>949</v>
      </c>
      <c r="W207" s="77"/>
      <c r="X207" s="21" t="s">
        <v>414</v>
      </c>
    </row>
    <row r="208" spans="1:24" ht="17.25" customHeight="1" x14ac:dyDescent="0.2">
      <c r="A208" s="21" t="s">
        <v>388</v>
      </c>
      <c r="B208" s="21" t="s">
        <v>2228</v>
      </c>
      <c r="C208" s="21" t="s">
        <v>2320</v>
      </c>
      <c r="D208" s="21" t="s">
        <v>2075</v>
      </c>
      <c r="E208" s="21" t="s">
        <v>2449</v>
      </c>
      <c r="F208" s="21" t="s">
        <v>2449</v>
      </c>
      <c r="G208" s="21">
        <v>166776</v>
      </c>
      <c r="H208" s="21" t="s">
        <v>48</v>
      </c>
      <c r="I208" s="21" t="s">
        <v>1565</v>
      </c>
      <c r="J208" s="21" t="s">
        <v>50</v>
      </c>
      <c r="K208" s="21" t="s">
        <v>50</v>
      </c>
      <c r="L208" s="21" t="s">
        <v>50</v>
      </c>
      <c r="M208" s="21" t="s">
        <v>51</v>
      </c>
      <c r="N208" s="21">
        <v>25.613894999999999</v>
      </c>
      <c r="O208" s="74">
        <v>96.341352999999998</v>
      </c>
      <c r="P208" s="21" t="s">
        <v>944</v>
      </c>
      <c r="Q208" s="21" t="s">
        <v>304</v>
      </c>
      <c r="R208" s="21" t="s">
        <v>44</v>
      </c>
      <c r="S208" s="21" t="s">
        <v>966</v>
      </c>
      <c r="T208" s="75">
        <v>50</v>
      </c>
      <c r="U208" s="76">
        <v>218</v>
      </c>
      <c r="V208" s="21" t="s">
        <v>949</v>
      </c>
      <c r="W208" s="77"/>
      <c r="X208" s="21" t="s">
        <v>388</v>
      </c>
    </row>
    <row r="209" spans="1:24" ht="17.25" customHeight="1" x14ac:dyDescent="0.2">
      <c r="A209" s="21" t="s">
        <v>417</v>
      </c>
      <c r="B209" s="21" t="s">
        <v>2228</v>
      </c>
      <c r="C209" s="21" t="s">
        <v>2320</v>
      </c>
      <c r="D209" s="21" t="s">
        <v>2076</v>
      </c>
      <c r="E209" s="21" t="s">
        <v>2452</v>
      </c>
      <c r="F209" s="21" t="s">
        <v>2453</v>
      </c>
      <c r="G209" s="21" t="s">
        <v>2454</v>
      </c>
      <c r="H209" s="21" t="s">
        <v>48</v>
      </c>
      <c r="I209" s="21" t="s">
        <v>399</v>
      </c>
      <c r="J209" s="21" t="s">
        <v>50</v>
      </c>
      <c r="K209" s="21" t="s">
        <v>50</v>
      </c>
      <c r="L209" s="21" t="s">
        <v>50</v>
      </c>
      <c r="M209" s="21" t="s">
        <v>51</v>
      </c>
      <c r="N209" s="21">
        <v>25.6145</v>
      </c>
      <c r="O209" s="74">
        <v>96.319829999999996</v>
      </c>
      <c r="P209" s="21" t="s">
        <v>944</v>
      </c>
      <c r="Q209" s="21" t="s">
        <v>304</v>
      </c>
      <c r="R209" s="21" t="s">
        <v>44</v>
      </c>
      <c r="S209" s="21" t="s">
        <v>966</v>
      </c>
      <c r="T209" s="75">
        <v>4</v>
      </c>
      <c r="U209" s="76">
        <v>14</v>
      </c>
      <c r="V209" s="21" t="s">
        <v>949</v>
      </c>
      <c r="W209" s="77"/>
      <c r="X209" s="21" t="s">
        <v>417</v>
      </c>
    </row>
    <row r="210" spans="1:24" ht="17.25" customHeight="1" x14ac:dyDescent="0.2">
      <c r="A210" s="21" t="s">
        <v>413</v>
      </c>
      <c r="B210" s="21" t="s">
        <v>2228</v>
      </c>
      <c r="C210" s="21" t="s">
        <v>2320</v>
      </c>
      <c r="D210" s="21" t="s">
        <v>2077</v>
      </c>
      <c r="E210" s="21" t="s">
        <v>2452</v>
      </c>
      <c r="F210" s="21" t="s">
        <v>2453</v>
      </c>
      <c r="G210" s="21" t="s">
        <v>2454</v>
      </c>
      <c r="H210" s="21" t="s">
        <v>48</v>
      </c>
      <c r="I210" s="21" t="s">
        <v>399</v>
      </c>
      <c r="J210" s="21" t="s">
        <v>50</v>
      </c>
      <c r="K210" s="21" t="s">
        <v>50</v>
      </c>
      <c r="L210" s="21" t="s">
        <v>50</v>
      </c>
      <c r="M210" s="21" t="s">
        <v>51</v>
      </c>
      <c r="N210" s="21">
        <v>25.615960999999999</v>
      </c>
      <c r="O210" s="74">
        <v>96.316564</v>
      </c>
      <c r="P210" s="21" t="s">
        <v>944</v>
      </c>
      <c r="Q210" s="21" t="s">
        <v>304</v>
      </c>
      <c r="R210" s="21" t="s">
        <v>44</v>
      </c>
      <c r="S210" s="21" t="s">
        <v>966</v>
      </c>
      <c r="T210" s="75">
        <v>4</v>
      </c>
      <c r="U210" s="76">
        <v>26</v>
      </c>
      <c r="V210" s="21" t="s">
        <v>949</v>
      </c>
      <c r="W210" s="77"/>
      <c r="X210" s="21" t="s">
        <v>413</v>
      </c>
    </row>
    <row r="211" spans="1:24" ht="17.25" customHeight="1" x14ac:dyDescent="0.2">
      <c r="A211" s="21" t="s">
        <v>407</v>
      </c>
      <c r="B211" s="21" t="s">
        <v>2228</v>
      </c>
      <c r="C211" s="21" t="s">
        <v>2320</v>
      </c>
      <c r="D211" s="21" t="s">
        <v>2078</v>
      </c>
      <c r="E211" s="21" t="s">
        <v>2452</v>
      </c>
      <c r="F211" s="21" t="s">
        <v>2453</v>
      </c>
      <c r="G211" s="21" t="s">
        <v>2454</v>
      </c>
      <c r="H211" s="21" t="s">
        <v>48</v>
      </c>
      <c r="I211" s="21" t="s">
        <v>399</v>
      </c>
      <c r="J211" s="21" t="s">
        <v>50</v>
      </c>
      <c r="K211" s="21" t="s">
        <v>50</v>
      </c>
      <c r="L211" s="21" t="s">
        <v>50</v>
      </c>
      <c r="M211" s="21" t="s">
        <v>51</v>
      </c>
      <c r="N211" s="21">
        <v>25.616509000000001</v>
      </c>
      <c r="O211" s="74">
        <v>96.317350000000005</v>
      </c>
      <c r="P211" s="21" t="s">
        <v>944</v>
      </c>
      <c r="Q211" s="21" t="s">
        <v>304</v>
      </c>
      <c r="R211" s="21" t="s">
        <v>44</v>
      </c>
      <c r="S211" s="21" t="s">
        <v>966</v>
      </c>
      <c r="T211" s="75">
        <v>14</v>
      </c>
      <c r="U211" s="76">
        <v>81</v>
      </c>
      <c r="V211" s="21" t="s">
        <v>949</v>
      </c>
      <c r="W211" s="77"/>
      <c r="X211" s="21" t="s">
        <v>407</v>
      </c>
    </row>
    <row r="212" spans="1:24" ht="17.25" customHeight="1" x14ac:dyDescent="0.2">
      <c r="A212" s="21" t="s">
        <v>418</v>
      </c>
      <c r="B212" s="21" t="s">
        <v>2228</v>
      </c>
      <c r="C212" s="21" t="s">
        <v>2320</v>
      </c>
      <c r="D212" s="21" t="s">
        <v>2079</v>
      </c>
      <c r="E212" s="21" t="s">
        <v>2449</v>
      </c>
      <c r="F212" s="21" t="s">
        <v>2449</v>
      </c>
      <c r="G212" s="21">
        <v>166776</v>
      </c>
      <c r="H212" s="21" t="s">
        <v>48</v>
      </c>
      <c r="I212" s="21" t="s">
        <v>399</v>
      </c>
      <c r="J212" s="21" t="s">
        <v>50</v>
      </c>
      <c r="K212" s="21" t="s">
        <v>50</v>
      </c>
      <c r="L212" s="21" t="s">
        <v>50</v>
      </c>
      <c r="M212" s="21" t="s">
        <v>51</v>
      </c>
      <c r="N212" s="21">
        <v>25.617998</v>
      </c>
      <c r="O212" s="74">
        <v>96.339590000000001</v>
      </c>
      <c r="P212" s="21" t="s">
        <v>944</v>
      </c>
      <c r="Q212" s="21" t="s">
        <v>304</v>
      </c>
      <c r="R212" s="21" t="s">
        <v>44</v>
      </c>
      <c r="S212" s="21" t="s">
        <v>966</v>
      </c>
      <c r="T212" s="75">
        <v>11</v>
      </c>
      <c r="U212" s="76">
        <v>50</v>
      </c>
      <c r="V212" s="21" t="s">
        <v>949</v>
      </c>
      <c r="W212" s="77"/>
      <c r="X212" s="21" t="s">
        <v>418</v>
      </c>
    </row>
    <row r="213" spans="1:24" ht="17.25" customHeight="1" x14ac:dyDescent="0.2">
      <c r="A213" s="21" t="s">
        <v>416</v>
      </c>
      <c r="B213" s="21" t="s">
        <v>2228</v>
      </c>
      <c r="C213" s="21" t="s">
        <v>2320</v>
      </c>
      <c r="D213" s="21" t="s">
        <v>2080</v>
      </c>
      <c r="E213" s="21" t="s">
        <v>2452</v>
      </c>
      <c r="F213" s="21" t="s">
        <v>2453</v>
      </c>
      <c r="G213" s="21" t="s">
        <v>2454</v>
      </c>
      <c r="H213" s="21" t="s">
        <v>48</v>
      </c>
      <c r="I213" s="21" t="s">
        <v>399</v>
      </c>
      <c r="J213" s="21" t="s">
        <v>50</v>
      </c>
      <c r="K213" s="21" t="s">
        <v>50</v>
      </c>
      <c r="L213" s="21" t="s">
        <v>50</v>
      </c>
      <c r="M213" s="21" t="s">
        <v>51</v>
      </c>
      <c r="N213" s="21">
        <v>25.61842</v>
      </c>
      <c r="O213" s="74">
        <v>96.316400000000002</v>
      </c>
      <c r="P213" s="21" t="s">
        <v>944</v>
      </c>
      <c r="Q213" s="21" t="s">
        <v>304</v>
      </c>
      <c r="R213" s="21" t="s">
        <v>44</v>
      </c>
      <c r="S213" s="21" t="s">
        <v>966</v>
      </c>
      <c r="T213" s="75">
        <v>12</v>
      </c>
      <c r="U213" s="76">
        <v>62</v>
      </c>
      <c r="V213" s="21" t="s">
        <v>949</v>
      </c>
      <c r="W213" s="77"/>
      <c r="X213" s="21" t="s">
        <v>416</v>
      </c>
    </row>
    <row r="214" spans="1:24" ht="17.25" customHeight="1" x14ac:dyDescent="0.2">
      <c r="A214" s="21" t="s">
        <v>406</v>
      </c>
      <c r="B214" s="21" t="s">
        <v>2228</v>
      </c>
      <c r="C214" s="21" t="s">
        <v>2320</v>
      </c>
      <c r="D214" s="21" t="s">
        <v>2081</v>
      </c>
      <c r="E214" s="21" t="s">
        <v>2306</v>
      </c>
      <c r="F214" s="21" t="s">
        <v>2306</v>
      </c>
      <c r="G214" s="21">
        <v>166773</v>
      </c>
      <c r="H214" s="21" t="s">
        <v>48</v>
      </c>
      <c r="I214" s="21" t="s">
        <v>399</v>
      </c>
      <c r="J214" s="21" t="s">
        <v>50</v>
      </c>
      <c r="K214" s="21" t="s">
        <v>50</v>
      </c>
      <c r="L214" s="21" t="s">
        <v>50</v>
      </c>
      <c r="M214" s="21" t="s">
        <v>51</v>
      </c>
      <c r="N214" s="21">
        <v>25.635300000000001</v>
      </c>
      <c r="O214" s="74">
        <v>96.345569999999995</v>
      </c>
      <c r="P214" s="21" t="s">
        <v>944</v>
      </c>
      <c r="Q214" s="21" t="s">
        <v>304</v>
      </c>
      <c r="R214" s="21" t="s">
        <v>44</v>
      </c>
      <c r="S214" s="21" t="s">
        <v>966</v>
      </c>
      <c r="T214" s="75">
        <v>66</v>
      </c>
      <c r="U214" s="76">
        <v>356</v>
      </c>
      <c r="V214" s="21" t="s">
        <v>949</v>
      </c>
      <c r="W214" s="77"/>
      <c r="X214" s="21" t="s">
        <v>406</v>
      </c>
    </row>
    <row r="215" spans="1:24" ht="17.25" customHeight="1" x14ac:dyDescent="0.2">
      <c r="A215" s="21" t="s">
        <v>412</v>
      </c>
      <c r="B215" s="21" t="s">
        <v>2228</v>
      </c>
      <c r="C215" s="21" t="s">
        <v>2320</v>
      </c>
      <c r="D215" s="21" t="s">
        <v>2082</v>
      </c>
      <c r="E215" s="21" t="s">
        <v>2306</v>
      </c>
      <c r="F215" s="21" t="s">
        <v>2455</v>
      </c>
      <c r="G215" s="21">
        <v>216876</v>
      </c>
      <c r="H215" s="21" t="s">
        <v>48</v>
      </c>
      <c r="I215" s="21" t="s">
        <v>399</v>
      </c>
      <c r="J215" s="21" t="s">
        <v>50</v>
      </c>
      <c r="K215" s="21" t="s">
        <v>50</v>
      </c>
      <c r="L215" s="21" t="s">
        <v>50</v>
      </c>
      <c r="M215" s="21" t="s">
        <v>51</v>
      </c>
      <c r="N215" s="21">
        <v>25.637309999999999</v>
      </c>
      <c r="O215" s="74">
        <v>96.35257</v>
      </c>
      <c r="P215" s="21" t="s">
        <v>944</v>
      </c>
      <c r="Q215" s="21" t="s">
        <v>304</v>
      </c>
      <c r="R215" s="21" t="s">
        <v>44</v>
      </c>
      <c r="S215" s="21" t="s">
        <v>966</v>
      </c>
      <c r="T215" s="75">
        <v>70</v>
      </c>
      <c r="U215" s="76">
        <v>377</v>
      </c>
      <c r="V215" s="21" t="s">
        <v>949</v>
      </c>
      <c r="W215" s="77"/>
      <c r="X215" s="21" t="s">
        <v>412</v>
      </c>
    </row>
    <row r="216" spans="1:24" ht="17.25" customHeight="1" x14ac:dyDescent="0.2">
      <c r="A216" s="21" t="s">
        <v>408</v>
      </c>
      <c r="B216" s="21" t="s">
        <v>2228</v>
      </c>
      <c r="C216" s="21" t="s">
        <v>2320</v>
      </c>
      <c r="D216" s="21" t="s">
        <v>2084</v>
      </c>
      <c r="E216" s="21" t="s">
        <v>2306</v>
      </c>
      <c r="F216" s="21" t="s">
        <v>2456</v>
      </c>
      <c r="G216" s="21">
        <v>166775</v>
      </c>
      <c r="H216" s="21" t="s">
        <v>48</v>
      </c>
      <c r="I216" s="21" t="s">
        <v>297</v>
      </c>
      <c r="J216" s="21" t="s">
        <v>50</v>
      </c>
      <c r="K216" s="21" t="s">
        <v>50</v>
      </c>
      <c r="L216" s="21" t="s">
        <v>50</v>
      </c>
      <c r="M216" s="21" t="s">
        <v>51</v>
      </c>
      <c r="N216" s="21">
        <v>25.647649999999999</v>
      </c>
      <c r="O216" s="74">
        <v>96.346469999999997</v>
      </c>
      <c r="P216" s="21" t="s">
        <v>944</v>
      </c>
      <c r="Q216" s="21" t="s">
        <v>304</v>
      </c>
      <c r="R216" s="21" t="s">
        <v>44</v>
      </c>
      <c r="S216" s="21" t="s">
        <v>966</v>
      </c>
      <c r="T216" s="75">
        <v>37</v>
      </c>
      <c r="U216" s="76">
        <v>229</v>
      </c>
      <c r="V216" s="21" t="s">
        <v>949</v>
      </c>
      <c r="W216" s="77"/>
      <c r="X216" s="21" t="s">
        <v>408</v>
      </c>
    </row>
    <row r="217" spans="1:24" ht="17.25" customHeight="1" x14ac:dyDescent="0.2">
      <c r="A217" s="21" t="s">
        <v>387</v>
      </c>
      <c r="B217" s="21" t="s">
        <v>2228</v>
      </c>
      <c r="C217" s="21" t="s">
        <v>2320</v>
      </c>
      <c r="D217" s="21" t="s">
        <v>2085</v>
      </c>
      <c r="E217" s="21" t="s">
        <v>2306</v>
      </c>
      <c r="F217" s="21" t="s">
        <v>2306</v>
      </c>
      <c r="G217" s="21">
        <v>166773</v>
      </c>
      <c r="H217" s="21" t="s">
        <v>48</v>
      </c>
      <c r="I217" s="21" t="s">
        <v>1565</v>
      </c>
      <c r="J217" s="21" t="s">
        <v>50</v>
      </c>
      <c r="K217" s="21" t="s">
        <v>50</v>
      </c>
      <c r="L217" s="21" t="s">
        <v>50</v>
      </c>
      <c r="M217" s="21" t="s">
        <v>51</v>
      </c>
      <c r="N217" s="21">
        <v>25.656009999999998</v>
      </c>
      <c r="O217" s="74">
        <v>96.361609999999999</v>
      </c>
      <c r="P217" s="21" t="s">
        <v>944</v>
      </c>
      <c r="Q217" s="21" t="s">
        <v>304</v>
      </c>
      <c r="R217" s="21" t="s">
        <v>44</v>
      </c>
      <c r="S217" s="21" t="s">
        <v>966</v>
      </c>
      <c r="T217" s="75">
        <v>72</v>
      </c>
      <c r="U217" s="76">
        <v>324</v>
      </c>
      <c r="V217" s="21" t="s">
        <v>949</v>
      </c>
      <c r="W217" s="77"/>
      <c r="X217" s="21" t="s">
        <v>387</v>
      </c>
    </row>
    <row r="218" spans="1:24" ht="17.25" customHeight="1" x14ac:dyDescent="0.2">
      <c r="A218" s="21" t="s">
        <v>346</v>
      </c>
      <c r="B218" s="21" t="s">
        <v>2228</v>
      </c>
      <c r="C218" s="21" t="s">
        <v>2320</v>
      </c>
      <c r="D218" s="21" t="s">
        <v>2098</v>
      </c>
      <c r="E218" s="21" t="s">
        <v>2313</v>
      </c>
      <c r="F218" s="21" t="s">
        <v>2314</v>
      </c>
      <c r="G218" s="21">
        <v>166819</v>
      </c>
      <c r="H218" s="21" t="s">
        <v>48</v>
      </c>
      <c r="I218" s="21" t="s">
        <v>1565</v>
      </c>
      <c r="J218" s="21" t="s">
        <v>50</v>
      </c>
      <c r="K218" s="21" t="s">
        <v>50</v>
      </c>
      <c r="L218" s="21" t="s">
        <v>50</v>
      </c>
      <c r="M218" s="21" t="s">
        <v>51</v>
      </c>
      <c r="N218" s="21">
        <v>25.920006000000001</v>
      </c>
      <c r="O218" s="74">
        <v>96.662092000000001</v>
      </c>
      <c r="P218" s="21" t="s">
        <v>944</v>
      </c>
      <c r="Q218" s="21" t="s">
        <v>304</v>
      </c>
      <c r="R218" s="21" t="s">
        <v>44</v>
      </c>
      <c r="S218" s="21" t="s">
        <v>945</v>
      </c>
      <c r="T218" s="75">
        <v>18</v>
      </c>
      <c r="U218" s="76">
        <v>78</v>
      </c>
      <c r="W218" s="77"/>
    </row>
    <row r="219" spans="1:24" ht="17.25" customHeight="1" x14ac:dyDescent="0.2">
      <c r="A219" s="21" t="s">
        <v>344</v>
      </c>
      <c r="B219" s="21" t="s">
        <v>2228</v>
      </c>
      <c r="C219" s="21" t="s">
        <v>2320</v>
      </c>
      <c r="D219" s="21" t="s">
        <v>2099</v>
      </c>
      <c r="E219" s="21" t="s">
        <v>2313</v>
      </c>
      <c r="F219" s="21" t="s">
        <v>2314</v>
      </c>
      <c r="G219" s="21">
        <v>166819</v>
      </c>
      <c r="H219" s="21" t="s">
        <v>48</v>
      </c>
      <c r="I219" s="21" t="s">
        <v>297</v>
      </c>
      <c r="J219" s="21" t="s">
        <v>50</v>
      </c>
      <c r="K219" s="21" t="s">
        <v>50</v>
      </c>
      <c r="L219" s="21" t="s">
        <v>50</v>
      </c>
      <c r="M219" s="21" t="s">
        <v>51</v>
      </c>
      <c r="N219" s="21">
        <v>25.920006000000001</v>
      </c>
      <c r="O219" s="74">
        <v>96.662092000000001</v>
      </c>
      <c r="P219" s="21" t="s">
        <v>944</v>
      </c>
      <c r="Q219" s="21" t="s">
        <v>304</v>
      </c>
      <c r="R219" s="21" t="s">
        <v>44</v>
      </c>
      <c r="S219" s="21" t="s">
        <v>945</v>
      </c>
      <c r="T219" s="75">
        <v>28</v>
      </c>
      <c r="U219" s="76">
        <v>113</v>
      </c>
      <c r="W219" s="77"/>
    </row>
    <row r="220" spans="1:24" ht="17.25" customHeight="1" x14ac:dyDescent="0.2">
      <c r="A220" s="21" t="s">
        <v>345</v>
      </c>
      <c r="B220" s="21" t="s">
        <v>2228</v>
      </c>
      <c r="C220" s="21" t="s">
        <v>2320</v>
      </c>
      <c r="D220" s="21" t="s">
        <v>2100</v>
      </c>
      <c r="E220" s="21" t="s">
        <v>2313</v>
      </c>
      <c r="F220" s="21" t="s">
        <v>2314</v>
      </c>
      <c r="G220" s="21">
        <v>166819</v>
      </c>
      <c r="H220" s="21" t="s">
        <v>48</v>
      </c>
      <c r="I220" s="21" t="s">
        <v>1565</v>
      </c>
      <c r="J220" s="21" t="s">
        <v>50</v>
      </c>
      <c r="K220" s="21" t="s">
        <v>50</v>
      </c>
      <c r="L220" s="21" t="s">
        <v>50</v>
      </c>
      <c r="M220" s="21" t="s">
        <v>51</v>
      </c>
      <c r="N220" s="21">
        <v>25.920006000000001</v>
      </c>
      <c r="O220" s="74">
        <v>96.662092000000001</v>
      </c>
      <c r="P220" s="21" t="s">
        <v>944</v>
      </c>
      <c r="Q220" s="21" t="s">
        <v>304</v>
      </c>
      <c r="R220" s="21" t="s">
        <v>44</v>
      </c>
      <c r="S220" s="21" t="s">
        <v>945</v>
      </c>
      <c r="T220" s="75">
        <v>6</v>
      </c>
      <c r="U220" s="76">
        <v>16</v>
      </c>
      <c r="W220" s="77"/>
    </row>
    <row r="221" spans="1:24" ht="17.25" customHeight="1" x14ac:dyDescent="0.2">
      <c r="A221" s="21" t="s">
        <v>400</v>
      </c>
      <c r="B221" s="21" t="s">
        <v>2228</v>
      </c>
      <c r="C221" s="21" t="s">
        <v>2320</v>
      </c>
      <c r="D221" s="21" t="s">
        <v>2124</v>
      </c>
      <c r="E221" s="21" t="s">
        <v>2306</v>
      </c>
      <c r="F221" s="21" t="s">
        <v>2467</v>
      </c>
      <c r="G221" s="21">
        <v>220486</v>
      </c>
      <c r="H221" s="21" t="s">
        <v>48</v>
      </c>
      <c r="I221" s="21" t="s">
        <v>297</v>
      </c>
      <c r="J221" s="21" t="s">
        <v>50</v>
      </c>
      <c r="K221" s="21" t="s">
        <v>50</v>
      </c>
      <c r="L221" s="21" t="s">
        <v>1277</v>
      </c>
      <c r="M221" s="21" t="s">
        <v>51</v>
      </c>
      <c r="N221" s="319"/>
      <c r="O221" s="319"/>
      <c r="P221" s="21" t="s">
        <v>944</v>
      </c>
      <c r="Q221" s="21" t="s">
        <v>304</v>
      </c>
      <c r="R221" s="21" t="s">
        <v>44</v>
      </c>
      <c r="S221" s="21" t="s">
        <v>1112</v>
      </c>
      <c r="T221" s="75">
        <v>118</v>
      </c>
      <c r="U221" s="76">
        <v>618</v>
      </c>
      <c r="V221" s="21">
        <v>42983</v>
      </c>
      <c r="W221" s="77" t="s">
        <v>1295</v>
      </c>
    </row>
    <row r="222" spans="1:24" ht="17.25" customHeight="1" x14ac:dyDescent="0.2">
      <c r="A222" s="21" t="s">
        <v>339</v>
      </c>
      <c r="B222" s="21" t="s">
        <v>2228</v>
      </c>
      <c r="C222" s="21" t="s">
        <v>2320</v>
      </c>
      <c r="D222" s="21" t="s">
        <v>1948</v>
      </c>
      <c r="E222" s="21" t="s">
        <v>339</v>
      </c>
      <c r="F222" s="21" t="s">
        <v>339</v>
      </c>
      <c r="G222" s="21">
        <v>167301</v>
      </c>
      <c r="H222" s="21" t="s">
        <v>48</v>
      </c>
      <c r="I222" s="21" t="s">
        <v>297</v>
      </c>
      <c r="J222" s="21" t="s">
        <v>50</v>
      </c>
      <c r="K222" s="21" t="s">
        <v>50</v>
      </c>
      <c r="L222" s="21" t="s">
        <v>50</v>
      </c>
      <c r="M222" s="21" t="s">
        <v>51</v>
      </c>
      <c r="N222" s="21">
        <v>23.972453000000002</v>
      </c>
      <c r="O222" s="74">
        <v>97.225881000000001</v>
      </c>
      <c r="P222" s="21" t="s">
        <v>944</v>
      </c>
      <c r="Q222" s="21" t="s">
        <v>45</v>
      </c>
      <c r="R222" s="21" t="s">
        <v>44</v>
      </c>
      <c r="S222" s="21" t="s">
        <v>966</v>
      </c>
      <c r="T222" s="75">
        <v>405</v>
      </c>
      <c r="U222" s="76">
        <v>1855</v>
      </c>
      <c r="V222" s="21" t="s">
        <v>949</v>
      </c>
      <c r="W222" s="77"/>
      <c r="X222" s="21" t="s">
        <v>339</v>
      </c>
    </row>
    <row r="223" spans="1:24" ht="17.25" customHeight="1" x14ac:dyDescent="0.2">
      <c r="A223" s="21" t="s">
        <v>46</v>
      </c>
      <c r="B223" s="21" t="s">
        <v>2228</v>
      </c>
      <c r="C223" s="21" t="s">
        <v>2320</v>
      </c>
      <c r="D223" s="21" t="s">
        <v>1949</v>
      </c>
      <c r="E223" s="21" t="s">
        <v>339</v>
      </c>
      <c r="F223" s="21" t="s">
        <v>339</v>
      </c>
      <c r="G223" s="21">
        <v>167301</v>
      </c>
      <c r="H223" s="21" t="s">
        <v>48</v>
      </c>
      <c r="I223" s="21" t="s">
        <v>49</v>
      </c>
      <c r="J223" s="21" t="s">
        <v>50</v>
      </c>
      <c r="K223" s="21" t="s">
        <v>50</v>
      </c>
      <c r="L223" s="21" t="s">
        <v>50</v>
      </c>
      <c r="M223" s="21" t="s">
        <v>51</v>
      </c>
      <c r="N223" s="21">
        <v>23.976571</v>
      </c>
      <c r="O223" s="74">
        <v>97.227057000000002</v>
      </c>
      <c r="P223" s="21" t="s">
        <v>944</v>
      </c>
      <c r="Q223" s="21" t="s">
        <v>45</v>
      </c>
      <c r="R223" s="21" t="s">
        <v>44</v>
      </c>
      <c r="S223" s="21" t="s">
        <v>966</v>
      </c>
      <c r="T223" s="75">
        <v>173</v>
      </c>
      <c r="U223" s="76">
        <v>780</v>
      </c>
      <c r="V223" s="21" t="s">
        <v>949</v>
      </c>
      <c r="W223" s="77"/>
      <c r="X223" s="21" t="s">
        <v>46</v>
      </c>
    </row>
    <row r="224" spans="1:24" ht="17.25" customHeight="1" x14ac:dyDescent="0.2">
      <c r="A224" s="21" t="s">
        <v>458</v>
      </c>
      <c r="B224" s="21" t="s">
        <v>2228</v>
      </c>
      <c r="C224" s="21" t="s">
        <v>2320</v>
      </c>
      <c r="D224" s="21" t="s">
        <v>1939</v>
      </c>
      <c r="E224" s="21" t="s">
        <v>2256</v>
      </c>
      <c r="F224" s="21" t="s">
        <v>2256</v>
      </c>
      <c r="G224" s="21">
        <v>167405</v>
      </c>
      <c r="H224" s="21" t="s">
        <v>48</v>
      </c>
      <c r="I224" s="21" t="s">
        <v>297</v>
      </c>
      <c r="J224" s="21" t="s">
        <v>50</v>
      </c>
      <c r="K224" s="21" t="s">
        <v>50</v>
      </c>
      <c r="L224" s="21" t="s">
        <v>50</v>
      </c>
      <c r="M224" s="21" t="s">
        <v>51</v>
      </c>
      <c r="N224" s="21">
        <v>23.83013</v>
      </c>
      <c r="O224" s="74">
        <v>97.589979999999997</v>
      </c>
      <c r="P224" s="21" t="s">
        <v>944</v>
      </c>
      <c r="Q224" s="21" t="s">
        <v>45</v>
      </c>
      <c r="R224" s="21" t="s">
        <v>44</v>
      </c>
      <c r="S224" s="21" t="s">
        <v>966</v>
      </c>
      <c r="T224" s="75">
        <v>109</v>
      </c>
      <c r="U224" s="76">
        <v>579</v>
      </c>
      <c r="V224" s="21" t="s">
        <v>949</v>
      </c>
      <c r="W224" s="77"/>
      <c r="X224" s="21" t="s">
        <v>458</v>
      </c>
    </row>
    <row r="225" spans="1:24" ht="17.25" customHeight="1" x14ac:dyDescent="0.2">
      <c r="A225" s="21" t="s">
        <v>460</v>
      </c>
      <c r="B225" s="21" t="s">
        <v>2228</v>
      </c>
      <c r="C225" s="21" t="s">
        <v>2320</v>
      </c>
      <c r="D225" s="21" t="s">
        <v>1938</v>
      </c>
      <c r="E225" s="21" t="s">
        <v>2256</v>
      </c>
      <c r="F225" s="21" t="s">
        <v>2256</v>
      </c>
      <c r="G225" s="21">
        <v>167405</v>
      </c>
      <c r="H225" s="21" t="s">
        <v>48</v>
      </c>
      <c r="I225" s="21" t="s">
        <v>297</v>
      </c>
      <c r="J225" s="21" t="s">
        <v>50</v>
      </c>
      <c r="K225" s="21" t="s">
        <v>50</v>
      </c>
      <c r="L225" s="21" t="s">
        <v>50</v>
      </c>
      <c r="M225" s="21" t="s">
        <v>51</v>
      </c>
      <c r="N225" s="21">
        <v>23.829599000000002</v>
      </c>
      <c r="O225" s="74">
        <v>97.590767</v>
      </c>
      <c r="P225" s="21" t="s">
        <v>944</v>
      </c>
      <c r="Q225" s="21" t="s">
        <v>45</v>
      </c>
      <c r="R225" s="21" t="s">
        <v>44</v>
      </c>
      <c r="S225" s="21" t="s">
        <v>966</v>
      </c>
      <c r="T225" s="75">
        <v>117</v>
      </c>
      <c r="U225" s="76">
        <v>546</v>
      </c>
      <c r="V225" s="21" t="s">
        <v>949</v>
      </c>
      <c r="W225" s="77"/>
      <c r="X225" s="21" t="s">
        <v>1165</v>
      </c>
    </row>
    <row r="226" spans="1:24" ht="17.25" customHeight="1" x14ac:dyDescent="0.2">
      <c r="A226" s="21" t="s">
        <v>461</v>
      </c>
      <c r="B226" s="21" t="s">
        <v>2228</v>
      </c>
      <c r="C226" s="21" t="s">
        <v>2320</v>
      </c>
      <c r="D226" s="21" t="s">
        <v>1941</v>
      </c>
      <c r="E226" s="21" t="s">
        <v>2256</v>
      </c>
      <c r="F226" s="21" t="s">
        <v>2256</v>
      </c>
      <c r="G226" s="21">
        <v>167405</v>
      </c>
      <c r="H226" s="21" t="s">
        <v>48</v>
      </c>
      <c r="I226" s="21" t="s">
        <v>49</v>
      </c>
      <c r="J226" s="21" t="s">
        <v>50</v>
      </c>
      <c r="K226" s="21" t="s">
        <v>50</v>
      </c>
      <c r="L226" s="21" t="s">
        <v>50</v>
      </c>
      <c r="M226" s="21" t="s">
        <v>51</v>
      </c>
      <c r="N226" s="21">
        <v>23.835319999999999</v>
      </c>
      <c r="O226" s="74">
        <v>97.578490000000002</v>
      </c>
      <c r="P226" s="21" t="s">
        <v>944</v>
      </c>
      <c r="Q226" s="21" t="s">
        <v>45</v>
      </c>
      <c r="R226" s="21" t="s">
        <v>44</v>
      </c>
      <c r="S226" s="21" t="s">
        <v>966</v>
      </c>
      <c r="T226" s="75">
        <v>448</v>
      </c>
      <c r="U226" s="76">
        <v>2244</v>
      </c>
      <c r="V226" s="21" t="s">
        <v>949</v>
      </c>
      <c r="W226" s="77"/>
      <c r="X226" s="21" t="s">
        <v>461</v>
      </c>
    </row>
    <row r="227" spans="1:24" ht="17.25" customHeight="1" x14ac:dyDescent="0.2">
      <c r="A227" s="21" t="s">
        <v>462</v>
      </c>
      <c r="B227" s="21" t="s">
        <v>2228</v>
      </c>
      <c r="C227" s="21" t="s">
        <v>2320</v>
      </c>
      <c r="D227" s="21" t="s">
        <v>1940</v>
      </c>
      <c r="E227" s="21" t="s">
        <v>2256</v>
      </c>
      <c r="F227" s="21" t="s">
        <v>2256</v>
      </c>
      <c r="G227" s="21">
        <v>167405</v>
      </c>
      <c r="H227" s="21" t="s">
        <v>48</v>
      </c>
      <c r="I227" s="21" t="s">
        <v>49</v>
      </c>
      <c r="J227" s="21" t="s">
        <v>50</v>
      </c>
      <c r="K227" s="21" t="s">
        <v>50</v>
      </c>
      <c r="L227" s="21" t="s">
        <v>50</v>
      </c>
      <c r="M227" s="21" t="s">
        <v>51</v>
      </c>
      <c r="N227" s="21">
        <v>23.833477999999999</v>
      </c>
      <c r="O227" s="74">
        <v>97.578367</v>
      </c>
      <c r="P227" s="21" t="s">
        <v>944</v>
      </c>
      <c r="Q227" s="21" t="s">
        <v>45</v>
      </c>
      <c r="R227" s="21" t="s">
        <v>44</v>
      </c>
      <c r="S227" s="21" t="s">
        <v>966</v>
      </c>
      <c r="T227" s="75">
        <v>143</v>
      </c>
      <c r="U227" s="76">
        <v>638</v>
      </c>
      <c r="V227" s="21" t="s">
        <v>949</v>
      </c>
      <c r="W227" s="77"/>
      <c r="X227" s="21" t="s">
        <v>1166</v>
      </c>
    </row>
    <row r="228" spans="1:24" ht="17.25" customHeight="1" x14ac:dyDescent="0.2">
      <c r="A228" s="21" t="s">
        <v>1164</v>
      </c>
      <c r="C228" s="21" t="s">
        <v>2320</v>
      </c>
      <c r="D228" s="21" t="s">
        <v>1935</v>
      </c>
      <c r="E228" s="21" t="s">
        <v>2256</v>
      </c>
      <c r="F228" s="21" t="s">
        <v>2256</v>
      </c>
      <c r="G228" s="21">
        <v>167405</v>
      </c>
      <c r="J228" s="21" t="s">
        <v>50</v>
      </c>
      <c r="K228" s="21" t="s">
        <v>50</v>
      </c>
      <c r="L228" s="21" t="s">
        <v>956</v>
      </c>
      <c r="M228" s="21" t="s">
        <v>51</v>
      </c>
      <c r="N228" s="21">
        <v>23.827870999999998</v>
      </c>
      <c r="O228" s="74">
        <v>97.588291999999996</v>
      </c>
      <c r="P228" s="21" t="s">
        <v>957</v>
      </c>
      <c r="Q228" s="21" t="s">
        <v>45</v>
      </c>
      <c r="R228" s="21" t="s">
        <v>44</v>
      </c>
      <c r="S228" s="21" t="s">
        <v>945</v>
      </c>
      <c r="T228" s="75">
        <v>175</v>
      </c>
      <c r="U228" s="76">
        <v>834</v>
      </c>
      <c r="V228" s="21" t="s">
        <v>949</v>
      </c>
      <c r="W228" s="77"/>
      <c r="X228" s="21" t="s">
        <v>1164</v>
      </c>
    </row>
    <row r="229" spans="1:24" ht="17.25" customHeight="1" x14ac:dyDescent="0.2">
      <c r="A229" s="21" t="s">
        <v>349</v>
      </c>
      <c r="B229" s="21" t="s">
        <v>2228</v>
      </c>
      <c r="C229" s="21" t="s">
        <v>2320</v>
      </c>
      <c r="D229" s="21" t="s">
        <v>1961</v>
      </c>
      <c r="E229" s="21" t="s">
        <v>2368</v>
      </c>
      <c r="F229" s="21" t="s">
        <v>2369</v>
      </c>
      <c r="G229" s="21" t="s">
        <v>2370</v>
      </c>
      <c r="H229" s="21" t="s">
        <v>48</v>
      </c>
      <c r="I229" s="21" t="s">
        <v>297</v>
      </c>
      <c r="J229" s="21" t="s">
        <v>50</v>
      </c>
      <c r="K229" s="21" t="s">
        <v>50</v>
      </c>
      <c r="L229" s="21" t="s">
        <v>50</v>
      </c>
      <c r="M229" s="21" t="s">
        <v>51</v>
      </c>
      <c r="N229" s="21">
        <v>24.129059999999999</v>
      </c>
      <c r="O229" s="74">
        <v>97.291820000000001</v>
      </c>
      <c r="P229" s="21" t="s">
        <v>944</v>
      </c>
      <c r="Q229" s="21" t="s">
        <v>45</v>
      </c>
      <c r="R229" s="21" t="s">
        <v>44</v>
      </c>
      <c r="S229" s="21" t="s">
        <v>966</v>
      </c>
      <c r="T229" s="75">
        <v>187</v>
      </c>
      <c r="U229" s="76">
        <v>838</v>
      </c>
      <c r="V229" s="21" t="s">
        <v>949</v>
      </c>
      <c r="W229" s="77"/>
      <c r="X229" s="21" t="s">
        <v>349</v>
      </c>
    </row>
    <row r="230" spans="1:24" ht="17.25" customHeight="1" x14ac:dyDescent="0.2">
      <c r="A230" s="21" t="s">
        <v>312</v>
      </c>
      <c r="B230" s="21" t="s">
        <v>2228</v>
      </c>
      <c r="C230" s="21" t="s">
        <v>2320</v>
      </c>
      <c r="D230" s="21" t="s">
        <v>2019</v>
      </c>
      <c r="E230" s="21" t="s">
        <v>2298</v>
      </c>
      <c r="F230" s="21" t="s">
        <v>2298</v>
      </c>
      <c r="G230" s="21">
        <v>166724</v>
      </c>
      <c r="H230" s="21" t="s">
        <v>48</v>
      </c>
      <c r="I230" s="21" t="s">
        <v>297</v>
      </c>
      <c r="J230" s="21" t="s">
        <v>50</v>
      </c>
      <c r="K230" s="21" t="s">
        <v>50</v>
      </c>
      <c r="L230" s="21" t="s">
        <v>50</v>
      </c>
      <c r="M230" s="21" t="s">
        <v>51</v>
      </c>
      <c r="N230" s="21">
        <v>25.225000000000001</v>
      </c>
      <c r="O230" s="74">
        <v>96.793999999999997</v>
      </c>
      <c r="P230" s="21" t="s">
        <v>944</v>
      </c>
      <c r="Q230" s="21" t="s">
        <v>308</v>
      </c>
      <c r="R230" s="21" t="s">
        <v>44</v>
      </c>
      <c r="S230" s="21" t="s">
        <v>966</v>
      </c>
      <c r="T230" s="75">
        <v>28</v>
      </c>
      <c r="U230" s="76">
        <v>134</v>
      </c>
      <c r="V230" s="21" t="s">
        <v>949</v>
      </c>
      <c r="W230" s="77"/>
      <c r="X230" s="21" t="s">
        <v>312</v>
      </c>
    </row>
    <row r="231" spans="1:24" ht="17.25" customHeight="1" x14ac:dyDescent="0.2">
      <c r="A231" s="21" t="s">
        <v>397</v>
      </c>
      <c r="B231" s="21" t="s">
        <v>2228</v>
      </c>
      <c r="C231" s="21" t="s">
        <v>2320</v>
      </c>
      <c r="D231" s="21" t="s">
        <v>2022</v>
      </c>
      <c r="E231" s="21" t="s">
        <v>2408</v>
      </c>
      <c r="F231" s="21" t="s">
        <v>2409</v>
      </c>
      <c r="G231" s="21">
        <v>166676</v>
      </c>
      <c r="J231" s="21" t="s">
        <v>50</v>
      </c>
      <c r="K231" s="21" t="s">
        <v>50</v>
      </c>
      <c r="L231" s="21" t="s">
        <v>961</v>
      </c>
      <c r="M231" s="21" t="s">
        <v>51</v>
      </c>
      <c r="N231" s="21">
        <v>25.299679999999999</v>
      </c>
      <c r="O231" s="74">
        <v>96.942279999999997</v>
      </c>
      <c r="P231" s="21" t="s">
        <v>944</v>
      </c>
      <c r="Q231" s="21" t="s">
        <v>308</v>
      </c>
      <c r="R231" s="21" t="s">
        <v>44</v>
      </c>
      <c r="S231" s="21" t="s">
        <v>966</v>
      </c>
      <c r="T231" s="75">
        <v>7</v>
      </c>
      <c r="U231" s="76">
        <v>31</v>
      </c>
      <c r="V231" s="21">
        <v>42836</v>
      </c>
      <c r="W231" s="77" t="s">
        <v>1232</v>
      </c>
      <c r="X231" s="21" t="s">
        <v>397</v>
      </c>
    </row>
    <row r="232" spans="1:24" ht="17.25" customHeight="1" x14ac:dyDescent="0.2">
      <c r="A232" s="21" t="s">
        <v>311</v>
      </c>
      <c r="B232" s="21" t="s">
        <v>2228</v>
      </c>
      <c r="C232" s="21" t="s">
        <v>2320</v>
      </c>
      <c r="D232" s="21" t="s">
        <v>2023</v>
      </c>
      <c r="E232" s="21" t="s">
        <v>2319</v>
      </c>
      <c r="F232" s="21" t="s">
        <v>2410</v>
      </c>
      <c r="G232" s="21" t="s">
        <v>2411</v>
      </c>
      <c r="H232" s="21" t="s">
        <v>48</v>
      </c>
      <c r="I232" s="21" t="s">
        <v>297</v>
      </c>
      <c r="J232" s="21" t="s">
        <v>50</v>
      </c>
      <c r="K232" s="21" t="s">
        <v>50</v>
      </c>
      <c r="L232" s="21" t="s">
        <v>50</v>
      </c>
      <c r="M232" s="21" t="s">
        <v>51</v>
      </c>
      <c r="N232" s="21">
        <v>25.30442</v>
      </c>
      <c r="O232" s="74">
        <v>96.948740000000001</v>
      </c>
      <c r="P232" s="21" t="s">
        <v>944</v>
      </c>
      <c r="Q232" s="21" t="s">
        <v>308</v>
      </c>
      <c r="R232" s="21" t="s">
        <v>44</v>
      </c>
      <c r="S232" s="21" t="s">
        <v>966</v>
      </c>
      <c r="T232" s="75">
        <v>12</v>
      </c>
      <c r="U232" s="76">
        <v>47</v>
      </c>
      <c r="V232" s="21" t="s">
        <v>949</v>
      </c>
      <c r="W232" s="77"/>
      <c r="X232" s="21" t="s">
        <v>311</v>
      </c>
    </row>
    <row r="233" spans="1:24" ht="17.25" customHeight="1" x14ac:dyDescent="0.2">
      <c r="A233" s="21" t="s">
        <v>309</v>
      </c>
      <c r="B233" s="21" t="s">
        <v>2228</v>
      </c>
      <c r="C233" s="21" t="s">
        <v>2320</v>
      </c>
      <c r="D233" s="21" t="s">
        <v>2025</v>
      </c>
      <c r="E233" s="21" t="s">
        <v>2319</v>
      </c>
      <c r="F233" s="21" t="s">
        <v>2412</v>
      </c>
      <c r="G233" s="21" t="s">
        <v>2413</v>
      </c>
      <c r="H233" s="21" t="s">
        <v>48</v>
      </c>
      <c r="I233" s="21" t="s">
        <v>297</v>
      </c>
      <c r="J233" s="21" t="s">
        <v>50</v>
      </c>
      <c r="K233" s="21" t="s">
        <v>50</v>
      </c>
      <c r="L233" s="21" t="s">
        <v>50</v>
      </c>
      <c r="M233" s="21" t="s">
        <v>51</v>
      </c>
      <c r="N233" s="21">
        <v>25.305669999999999</v>
      </c>
      <c r="O233" s="74">
        <v>96.922619999999995</v>
      </c>
      <c r="P233" s="21" t="s">
        <v>944</v>
      </c>
      <c r="Q233" s="21" t="s">
        <v>308</v>
      </c>
      <c r="R233" s="21" t="s">
        <v>44</v>
      </c>
      <c r="S233" s="21" t="s">
        <v>966</v>
      </c>
      <c r="T233" s="75">
        <v>13</v>
      </c>
      <c r="U233" s="76">
        <v>66</v>
      </c>
      <c r="V233" s="21" t="s">
        <v>949</v>
      </c>
      <c r="W233" s="77"/>
      <c r="X233" s="21" t="s">
        <v>309</v>
      </c>
    </row>
    <row r="234" spans="1:24" ht="17.25" customHeight="1" x14ac:dyDescent="0.2">
      <c r="A234" s="328" t="s">
        <v>2496</v>
      </c>
      <c r="B234" s="328" t="s">
        <v>2497</v>
      </c>
      <c r="C234" s="21" t="s">
        <v>2320</v>
      </c>
      <c r="D234" s="21" t="s">
        <v>2021</v>
      </c>
      <c r="E234" s="21" t="s">
        <v>2408</v>
      </c>
      <c r="F234" s="21" t="s">
        <v>2409</v>
      </c>
      <c r="G234" s="21">
        <v>166676</v>
      </c>
      <c r="I234" s="21" t="s">
        <v>297</v>
      </c>
      <c r="L234" s="21" t="s">
        <v>50</v>
      </c>
      <c r="M234" s="21" t="s">
        <v>51</v>
      </c>
      <c r="N234" s="21">
        <v>25.296579999999999</v>
      </c>
      <c r="O234" s="21">
        <v>96.942279999999997</v>
      </c>
      <c r="Q234" s="21" t="s">
        <v>308</v>
      </c>
      <c r="R234" s="21" t="s">
        <v>44</v>
      </c>
      <c r="T234" s="21">
        <v>16</v>
      </c>
      <c r="U234" s="21">
        <v>79</v>
      </c>
    </row>
    <row r="235" spans="1:24" ht="17.25" customHeight="1" x14ac:dyDescent="0.2">
      <c r="A235" s="21" t="s">
        <v>396</v>
      </c>
      <c r="B235" s="21" t="s">
        <v>2228</v>
      </c>
      <c r="C235" s="21" t="s">
        <v>2320</v>
      </c>
      <c r="D235" s="21" t="s">
        <v>2007</v>
      </c>
      <c r="E235" s="21" t="s">
        <v>2399</v>
      </c>
      <c r="F235" s="21" t="s">
        <v>2400</v>
      </c>
      <c r="G235" s="21" t="s">
        <v>2401</v>
      </c>
      <c r="H235" s="21" t="s">
        <v>48</v>
      </c>
      <c r="I235" s="21" t="s">
        <v>1565</v>
      </c>
      <c r="J235" s="21" t="s">
        <v>50</v>
      </c>
      <c r="K235" s="21" t="s">
        <v>50</v>
      </c>
      <c r="L235" s="21" t="s">
        <v>50</v>
      </c>
      <c r="M235" s="21" t="s">
        <v>51</v>
      </c>
      <c r="N235" s="21">
        <v>24.764800000000001</v>
      </c>
      <c r="O235" s="74">
        <v>96.367059999999995</v>
      </c>
      <c r="P235" s="21" t="s">
        <v>944</v>
      </c>
      <c r="Q235" s="21" t="s">
        <v>313</v>
      </c>
      <c r="R235" s="21" t="s">
        <v>44</v>
      </c>
      <c r="S235" s="21" t="s">
        <v>966</v>
      </c>
      <c r="T235" s="75">
        <v>11</v>
      </c>
      <c r="U235" s="76">
        <v>52</v>
      </c>
      <c r="V235" s="21" t="s">
        <v>949</v>
      </c>
      <c r="W235" s="77"/>
      <c r="X235" s="21" t="s">
        <v>396</v>
      </c>
    </row>
    <row r="236" spans="1:24" ht="17.25" customHeight="1" x14ac:dyDescent="0.2">
      <c r="A236" s="21" t="s">
        <v>1219</v>
      </c>
      <c r="C236" s="21" t="s">
        <v>2320</v>
      </c>
      <c r="D236" s="21" t="s">
        <v>2008</v>
      </c>
      <c r="E236" s="21" t="s">
        <v>2399</v>
      </c>
      <c r="F236" s="21">
        <v>0</v>
      </c>
      <c r="G236" s="21">
        <v>0</v>
      </c>
      <c r="J236" s="21" t="s">
        <v>50</v>
      </c>
      <c r="K236" s="21" t="s">
        <v>50</v>
      </c>
      <c r="L236" s="21" t="s">
        <v>956</v>
      </c>
      <c r="M236" s="21" t="s">
        <v>51</v>
      </c>
      <c r="N236" s="21">
        <v>24.764959999999999</v>
      </c>
      <c r="O236" s="74">
        <v>96.366919999999993</v>
      </c>
      <c r="P236" s="21" t="s">
        <v>957</v>
      </c>
      <c r="Q236" s="21" t="s">
        <v>313</v>
      </c>
      <c r="R236" s="21" t="s">
        <v>44</v>
      </c>
      <c r="S236" s="21" t="s">
        <v>945</v>
      </c>
      <c r="T236" s="75">
        <v>14</v>
      </c>
      <c r="U236" s="76">
        <v>63</v>
      </c>
      <c r="V236" s="21" t="s">
        <v>949</v>
      </c>
      <c r="W236" s="77" t="s">
        <v>1220</v>
      </c>
      <c r="X236" s="21" t="s">
        <v>1219</v>
      </c>
    </row>
    <row r="237" spans="1:24" ht="17.25" customHeight="1" x14ac:dyDescent="0.2">
      <c r="A237" s="21" t="s">
        <v>1223</v>
      </c>
      <c r="C237" s="21" t="s">
        <v>2320</v>
      </c>
      <c r="D237" s="21" t="s">
        <v>2011</v>
      </c>
      <c r="E237" s="21" t="s">
        <v>2486</v>
      </c>
      <c r="F237" s="21" t="s">
        <v>2487</v>
      </c>
      <c r="G237" s="21" t="s">
        <v>2488</v>
      </c>
      <c r="J237" s="21" t="s">
        <v>50</v>
      </c>
      <c r="K237" s="21" t="s">
        <v>50</v>
      </c>
      <c r="L237" s="21" t="s">
        <v>956</v>
      </c>
      <c r="M237" s="21" t="s">
        <v>51</v>
      </c>
      <c r="N237" s="21">
        <v>24.996279999999999</v>
      </c>
      <c r="O237" s="74">
        <v>96.52534</v>
      </c>
      <c r="P237" s="21" t="s">
        <v>957</v>
      </c>
      <c r="Q237" s="21" t="s">
        <v>313</v>
      </c>
      <c r="R237" s="21" t="s">
        <v>44</v>
      </c>
      <c r="S237" s="21" t="s">
        <v>945</v>
      </c>
      <c r="T237" s="75">
        <v>27</v>
      </c>
      <c r="U237" s="76">
        <v>121</v>
      </c>
      <c r="V237" s="21" t="s">
        <v>949</v>
      </c>
      <c r="W237" s="77" t="s">
        <v>1220</v>
      </c>
      <c r="X237" s="21" t="s">
        <v>1223</v>
      </c>
    </row>
    <row r="238" spans="1:24" ht="17.25" customHeight="1" x14ac:dyDescent="0.2">
      <c r="A238" s="328" t="s">
        <v>1491</v>
      </c>
      <c r="B238" s="328" t="s">
        <v>2497</v>
      </c>
      <c r="C238" s="21" t="s">
        <v>2320</v>
      </c>
      <c r="D238" s="21" t="s">
        <v>2013</v>
      </c>
      <c r="E238" s="21" t="s">
        <v>2295</v>
      </c>
      <c r="F238" s="21" t="s">
        <v>2498</v>
      </c>
      <c r="I238" s="21" t="s">
        <v>297</v>
      </c>
      <c r="L238" s="21" t="s">
        <v>50</v>
      </c>
      <c r="M238" s="21" t="s">
        <v>51</v>
      </c>
      <c r="N238" s="21">
        <v>24.998349999999999</v>
      </c>
      <c r="O238" s="21">
        <v>96.364949999999993</v>
      </c>
      <c r="Q238" s="21" t="s">
        <v>313</v>
      </c>
      <c r="R238" s="21" t="s">
        <v>44</v>
      </c>
      <c r="T238" s="21">
        <v>24</v>
      </c>
      <c r="U238" s="21">
        <v>115</v>
      </c>
    </row>
    <row r="239" spans="1:24" ht="17.25" customHeight="1" x14ac:dyDescent="0.2">
      <c r="A239" s="21" t="s">
        <v>443</v>
      </c>
      <c r="B239" s="21" t="s">
        <v>2228</v>
      </c>
      <c r="C239" s="21" t="s">
        <v>2320</v>
      </c>
      <c r="D239" s="21" t="s">
        <v>1966</v>
      </c>
      <c r="E239" s="21" t="s">
        <v>2373</v>
      </c>
      <c r="F239" s="21" t="s">
        <v>2374</v>
      </c>
      <c r="G239" s="21" t="s">
        <v>2375</v>
      </c>
      <c r="H239" s="21" t="s">
        <v>48</v>
      </c>
      <c r="I239" s="21" t="s">
        <v>297</v>
      </c>
      <c r="J239" s="21" t="s">
        <v>50</v>
      </c>
      <c r="K239" s="21" t="s">
        <v>50</v>
      </c>
      <c r="L239" s="21" t="s">
        <v>50</v>
      </c>
      <c r="M239" s="21" t="s">
        <v>51</v>
      </c>
      <c r="N239" s="21">
        <v>24.200433</v>
      </c>
      <c r="O239" s="74">
        <v>97.717133000000004</v>
      </c>
      <c r="P239" s="21" t="s">
        <v>944</v>
      </c>
      <c r="Q239" s="21" t="s">
        <v>361</v>
      </c>
      <c r="R239" s="21" t="s">
        <v>44</v>
      </c>
      <c r="S239" s="21" t="s">
        <v>966</v>
      </c>
      <c r="T239" s="75">
        <v>199</v>
      </c>
      <c r="U239" s="76">
        <v>1104</v>
      </c>
      <c r="V239" s="21" t="s">
        <v>949</v>
      </c>
      <c r="W239" s="77"/>
      <c r="X239" s="21" t="s">
        <v>443</v>
      </c>
    </row>
    <row r="240" spans="1:24" ht="17.25" customHeight="1" x14ac:dyDescent="0.2">
      <c r="A240" s="21" t="s">
        <v>441</v>
      </c>
      <c r="B240" s="21" t="s">
        <v>2228</v>
      </c>
      <c r="C240" s="21" t="s">
        <v>2320</v>
      </c>
      <c r="D240" s="21" t="s">
        <v>1967</v>
      </c>
      <c r="E240" s="21" t="s">
        <v>2373</v>
      </c>
      <c r="F240" s="21" t="s">
        <v>2376</v>
      </c>
      <c r="G240" s="21" t="s">
        <v>2377</v>
      </c>
      <c r="H240" s="21" t="s">
        <v>48</v>
      </c>
      <c r="I240" s="21" t="s">
        <v>297</v>
      </c>
      <c r="J240" s="21" t="s">
        <v>50</v>
      </c>
      <c r="K240" s="21" t="s">
        <v>50</v>
      </c>
      <c r="L240" s="21" t="s">
        <v>50</v>
      </c>
      <c r="M240" s="21" t="s">
        <v>51</v>
      </c>
      <c r="N240" s="21">
        <v>24.200972</v>
      </c>
      <c r="O240" s="74">
        <v>97.718582999999995</v>
      </c>
      <c r="P240" s="21" t="s">
        <v>944</v>
      </c>
      <c r="Q240" s="21" t="s">
        <v>361</v>
      </c>
      <c r="R240" s="21" t="s">
        <v>44</v>
      </c>
      <c r="S240" s="21" t="s">
        <v>966</v>
      </c>
      <c r="T240" s="75">
        <v>40</v>
      </c>
      <c r="U240" s="76">
        <v>241</v>
      </c>
      <c r="V240" s="21" t="s">
        <v>949</v>
      </c>
      <c r="W240" s="77"/>
      <c r="X240" s="21" t="s">
        <v>441</v>
      </c>
    </row>
    <row r="241" spans="1:24" ht="17.25" customHeight="1" x14ac:dyDescent="0.2">
      <c r="A241" s="21" t="s">
        <v>442</v>
      </c>
      <c r="B241" s="21" t="s">
        <v>2228</v>
      </c>
      <c r="C241" s="21" t="s">
        <v>2320</v>
      </c>
      <c r="D241" s="21" t="s">
        <v>1968</v>
      </c>
      <c r="E241" s="21" t="s">
        <v>2373</v>
      </c>
      <c r="F241" s="21" t="s">
        <v>2376</v>
      </c>
      <c r="G241" s="21" t="s">
        <v>2377</v>
      </c>
      <c r="H241" s="21" t="s">
        <v>48</v>
      </c>
      <c r="I241" s="21" t="s">
        <v>49</v>
      </c>
      <c r="J241" s="21" t="s">
        <v>50</v>
      </c>
      <c r="K241" s="21" t="s">
        <v>50</v>
      </c>
      <c r="L241" s="21" t="s">
        <v>50</v>
      </c>
      <c r="M241" s="21" t="s">
        <v>51</v>
      </c>
      <c r="N241" s="21">
        <v>24.205417000000001</v>
      </c>
      <c r="O241" s="74">
        <v>97.724566999999993</v>
      </c>
      <c r="P241" s="21" t="s">
        <v>944</v>
      </c>
      <c r="Q241" s="21" t="s">
        <v>361</v>
      </c>
      <c r="R241" s="21" t="s">
        <v>44</v>
      </c>
      <c r="S241" s="21" t="s">
        <v>966</v>
      </c>
      <c r="T241" s="75">
        <v>129</v>
      </c>
      <c r="U241" s="76">
        <v>640</v>
      </c>
      <c r="V241" s="21" t="s">
        <v>949</v>
      </c>
      <c r="W241" s="77"/>
      <c r="X241" s="21" t="s">
        <v>442</v>
      </c>
    </row>
    <row r="242" spans="1:24" ht="17.25" customHeight="1" x14ac:dyDescent="0.2">
      <c r="A242" s="21" t="s">
        <v>444</v>
      </c>
      <c r="B242" s="21" t="s">
        <v>2228</v>
      </c>
      <c r="C242" s="21" t="s">
        <v>2320</v>
      </c>
      <c r="D242" s="21" t="s">
        <v>1969</v>
      </c>
      <c r="E242" s="21" t="s">
        <v>2373</v>
      </c>
      <c r="F242" s="21" t="s">
        <v>2374</v>
      </c>
      <c r="G242" s="21" t="s">
        <v>2375</v>
      </c>
      <c r="H242" s="21" t="s">
        <v>48</v>
      </c>
      <c r="I242" s="21" t="s">
        <v>297</v>
      </c>
      <c r="J242" s="21" t="s">
        <v>50</v>
      </c>
      <c r="K242" s="21" t="s">
        <v>50</v>
      </c>
      <c r="L242" s="21" t="s">
        <v>50</v>
      </c>
      <c r="M242" s="21" t="s">
        <v>51</v>
      </c>
      <c r="N242" s="21">
        <v>24.205417000000001</v>
      </c>
      <c r="O242" s="74">
        <v>97.724483000000006</v>
      </c>
      <c r="P242" s="21" t="s">
        <v>944</v>
      </c>
      <c r="Q242" s="21" t="s">
        <v>361</v>
      </c>
      <c r="R242" s="21" t="s">
        <v>44</v>
      </c>
      <c r="S242" s="21" t="s">
        <v>966</v>
      </c>
      <c r="T242" s="75">
        <v>49</v>
      </c>
      <c r="U242" s="76">
        <v>300</v>
      </c>
      <c r="V242" s="21" t="s">
        <v>949</v>
      </c>
      <c r="W242" s="77"/>
      <c r="X242" s="21" t="s">
        <v>444</v>
      </c>
    </row>
    <row r="243" spans="1:24" ht="17.25" customHeight="1" x14ac:dyDescent="0.2">
      <c r="A243" s="21" t="s">
        <v>446</v>
      </c>
      <c r="B243" s="21" t="s">
        <v>2228</v>
      </c>
      <c r="C243" s="21" t="s">
        <v>2320</v>
      </c>
      <c r="D243" s="21" t="s">
        <v>1971</v>
      </c>
      <c r="E243" s="21" t="s">
        <v>2373</v>
      </c>
      <c r="F243" s="21" t="s">
        <v>2378</v>
      </c>
      <c r="G243" s="21" t="s">
        <v>2379</v>
      </c>
      <c r="H243" s="21" t="s">
        <v>48</v>
      </c>
      <c r="I243" s="21" t="s">
        <v>297</v>
      </c>
      <c r="J243" s="21" t="s">
        <v>50</v>
      </c>
      <c r="K243" s="21" t="s">
        <v>50</v>
      </c>
      <c r="L243" s="21" t="s">
        <v>50</v>
      </c>
      <c r="M243" s="21" t="s">
        <v>51</v>
      </c>
      <c r="N243" s="21">
        <v>24.207332999999998</v>
      </c>
      <c r="O243" s="74">
        <v>97.710864000000001</v>
      </c>
      <c r="P243" s="21" t="s">
        <v>944</v>
      </c>
      <c r="Q243" s="21" t="s">
        <v>361</v>
      </c>
      <c r="R243" s="21" t="s">
        <v>44</v>
      </c>
      <c r="S243" s="21" t="s">
        <v>966</v>
      </c>
      <c r="T243" s="75">
        <v>41</v>
      </c>
      <c r="U243" s="76">
        <v>245</v>
      </c>
      <c r="V243" s="21" t="s">
        <v>949</v>
      </c>
      <c r="W243" s="77"/>
      <c r="X243" s="21" t="s">
        <v>446</v>
      </c>
    </row>
    <row r="244" spans="1:24" ht="17.25" customHeight="1" x14ac:dyDescent="0.2">
      <c r="A244" s="21" t="s">
        <v>366</v>
      </c>
      <c r="B244" s="21" t="s">
        <v>2228</v>
      </c>
      <c r="C244" s="21" t="s">
        <v>2320</v>
      </c>
      <c r="D244" s="21" t="s">
        <v>1974</v>
      </c>
      <c r="E244" s="21" t="s">
        <v>2382</v>
      </c>
      <c r="F244" s="21" t="s">
        <v>2382</v>
      </c>
      <c r="G244" s="21">
        <v>167009</v>
      </c>
      <c r="H244" s="21" t="s">
        <v>48</v>
      </c>
      <c r="I244" s="21" t="s">
        <v>49</v>
      </c>
      <c r="J244" s="21" t="s">
        <v>50</v>
      </c>
      <c r="K244" s="21" t="s">
        <v>50</v>
      </c>
      <c r="L244" s="21" t="s">
        <v>50</v>
      </c>
      <c r="M244" s="21" t="s">
        <v>51</v>
      </c>
      <c r="N244" s="21">
        <v>24.245100000000001</v>
      </c>
      <c r="O244" s="74">
        <v>97.325019999999995</v>
      </c>
      <c r="P244" s="21" t="s">
        <v>944</v>
      </c>
      <c r="Q244" s="21" t="s">
        <v>361</v>
      </c>
      <c r="R244" s="21" t="s">
        <v>44</v>
      </c>
      <c r="S244" s="21" t="s">
        <v>966</v>
      </c>
      <c r="T244" s="75">
        <v>265</v>
      </c>
      <c r="U244" s="76">
        <v>1181</v>
      </c>
      <c r="V244" s="21" t="s">
        <v>949</v>
      </c>
      <c r="W244" s="77"/>
      <c r="X244" s="21" t="s">
        <v>366</v>
      </c>
    </row>
    <row r="245" spans="1:24" ht="17.25" customHeight="1" x14ac:dyDescent="0.2">
      <c r="A245" s="21" t="s">
        <v>369</v>
      </c>
      <c r="B245" s="21" t="s">
        <v>2228</v>
      </c>
      <c r="C245" s="21" t="s">
        <v>2320</v>
      </c>
      <c r="D245" s="21" t="s">
        <v>1977</v>
      </c>
      <c r="E245" s="21" t="s">
        <v>2246</v>
      </c>
      <c r="F245" s="21" t="s">
        <v>2247</v>
      </c>
      <c r="G245" s="21" t="s">
        <v>2248</v>
      </c>
      <c r="H245" s="21" t="s">
        <v>48</v>
      </c>
      <c r="I245" s="21" t="s">
        <v>297</v>
      </c>
      <c r="J245" s="21" t="s">
        <v>50</v>
      </c>
      <c r="K245" s="21" t="s">
        <v>50</v>
      </c>
      <c r="L245" s="21" t="s">
        <v>50</v>
      </c>
      <c r="M245" s="21" t="s">
        <v>51</v>
      </c>
      <c r="N245" s="21">
        <v>24.250689999999999</v>
      </c>
      <c r="O245" s="74">
        <v>97.344359999999995</v>
      </c>
      <c r="P245" s="21" t="s">
        <v>944</v>
      </c>
      <c r="Q245" s="21" t="s">
        <v>361</v>
      </c>
      <c r="R245" s="21" t="s">
        <v>44</v>
      </c>
      <c r="S245" s="21" t="s">
        <v>966</v>
      </c>
      <c r="T245" s="75">
        <v>387</v>
      </c>
      <c r="U245" s="76">
        <v>1874</v>
      </c>
      <c r="V245" s="21" t="s">
        <v>949</v>
      </c>
      <c r="W245" s="77"/>
      <c r="X245" s="21" t="s">
        <v>369</v>
      </c>
    </row>
    <row r="246" spans="1:24" ht="17.25" customHeight="1" x14ac:dyDescent="0.2">
      <c r="A246" s="21" t="s">
        <v>456</v>
      </c>
      <c r="B246" s="21" t="s">
        <v>2228</v>
      </c>
      <c r="C246" s="21" t="s">
        <v>2320</v>
      </c>
      <c r="D246" s="21" t="s">
        <v>1989</v>
      </c>
      <c r="E246" s="21" t="s">
        <v>2390</v>
      </c>
      <c r="F246" s="21" t="s">
        <v>2391</v>
      </c>
      <c r="G246" s="21">
        <v>216913</v>
      </c>
      <c r="H246" s="21" t="s">
        <v>48</v>
      </c>
      <c r="I246" s="21" t="s">
        <v>49</v>
      </c>
      <c r="J246" s="21" t="s">
        <v>50</v>
      </c>
      <c r="K246" s="21" t="s">
        <v>50</v>
      </c>
      <c r="L246" s="21" t="s">
        <v>50</v>
      </c>
      <c r="M246" s="21" t="s">
        <v>964</v>
      </c>
      <c r="N246" s="21">
        <v>24.2744</v>
      </c>
      <c r="O246" s="74">
        <v>97.752667000000002</v>
      </c>
      <c r="P246" s="21" t="s">
        <v>944</v>
      </c>
      <c r="Q246" s="21" t="s">
        <v>361</v>
      </c>
      <c r="R246" s="21" t="s">
        <v>44</v>
      </c>
      <c r="S246" s="21" t="s">
        <v>945</v>
      </c>
      <c r="T246" s="75">
        <v>656</v>
      </c>
      <c r="U246" s="76">
        <v>3622</v>
      </c>
      <c r="V246" s="21" t="s">
        <v>949</v>
      </c>
      <c r="W246" s="77"/>
      <c r="X246" s="21" t="s">
        <v>456</v>
      </c>
    </row>
    <row r="247" spans="1:24" ht="17.25" customHeight="1" x14ac:dyDescent="0.2">
      <c r="A247" s="21" t="s">
        <v>455</v>
      </c>
      <c r="B247" s="21" t="s">
        <v>2228</v>
      </c>
      <c r="C247" s="21" t="s">
        <v>2320</v>
      </c>
      <c r="D247" s="21" t="s">
        <v>1993</v>
      </c>
      <c r="E247" s="21" t="s">
        <v>2393</v>
      </c>
      <c r="F247" s="21" t="s">
        <v>2394</v>
      </c>
      <c r="G247" s="21">
        <v>167138</v>
      </c>
      <c r="H247" s="21" t="s">
        <v>48</v>
      </c>
      <c r="I247" s="21" t="s">
        <v>49</v>
      </c>
      <c r="J247" s="21" t="s">
        <v>50</v>
      </c>
      <c r="K247" s="21" t="s">
        <v>50</v>
      </c>
      <c r="L247" s="21" t="s">
        <v>50</v>
      </c>
      <c r="M247" s="21" t="s">
        <v>964</v>
      </c>
      <c r="N247" s="21">
        <v>24.378167000000001</v>
      </c>
      <c r="O247" s="74">
        <v>97.669366999999994</v>
      </c>
      <c r="P247" s="21" t="s">
        <v>944</v>
      </c>
      <c r="Q247" s="21" t="s">
        <v>361</v>
      </c>
      <c r="R247" s="21" t="s">
        <v>44</v>
      </c>
      <c r="S247" s="21" t="s">
        <v>945</v>
      </c>
      <c r="T247" s="75">
        <v>356</v>
      </c>
      <c r="U247" s="76">
        <v>1787</v>
      </c>
      <c r="V247" s="21" t="s">
        <v>949</v>
      </c>
      <c r="W247" s="77"/>
      <c r="X247" s="21" t="s">
        <v>455</v>
      </c>
    </row>
    <row r="248" spans="1:24" ht="17.25" customHeight="1" x14ac:dyDescent="0.2">
      <c r="A248" s="21" t="s">
        <v>389</v>
      </c>
      <c r="B248" s="21" t="s">
        <v>2228</v>
      </c>
      <c r="C248" s="21" t="s">
        <v>2320</v>
      </c>
      <c r="D248" s="21" t="s">
        <v>1997</v>
      </c>
      <c r="E248" s="21" t="s">
        <v>2395</v>
      </c>
      <c r="F248" s="21" t="s">
        <v>2396</v>
      </c>
      <c r="G248" s="21">
        <v>167343</v>
      </c>
      <c r="H248" s="21" t="s">
        <v>48</v>
      </c>
      <c r="I248" s="21" t="s">
        <v>1565</v>
      </c>
      <c r="J248" s="21" t="s">
        <v>50</v>
      </c>
      <c r="K248" s="21" t="s">
        <v>50</v>
      </c>
      <c r="L248" s="21" t="s">
        <v>50</v>
      </c>
      <c r="M248" s="21" t="s">
        <v>964</v>
      </c>
      <c r="N248" s="21">
        <v>24.461033</v>
      </c>
      <c r="O248" s="74">
        <v>97.537099999999995</v>
      </c>
      <c r="P248" s="21" t="s">
        <v>944</v>
      </c>
      <c r="Q248" s="21" t="s">
        <v>361</v>
      </c>
      <c r="R248" s="21" t="s">
        <v>44</v>
      </c>
      <c r="S248" s="21" t="s">
        <v>966</v>
      </c>
      <c r="T248" s="75">
        <v>99</v>
      </c>
      <c r="U248" s="76">
        <v>451</v>
      </c>
      <c r="V248" s="21" t="s">
        <v>949</v>
      </c>
      <c r="W248" s="77"/>
      <c r="X248" s="21" t="s">
        <v>389</v>
      </c>
    </row>
    <row r="249" spans="1:24" ht="17.25" customHeight="1" x14ac:dyDescent="0.2">
      <c r="A249" s="21" t="s">
        <v>373</v>
      </c>
      <c r="B249" s="21" t="s">
        <v>2228</v>
      </c>
      <c r="C249" s="21" t="s">
        <v>2320</v>
      </c>
      <c r="D249" s="21" t="s">
        <v>2001</v>
      </c>
      <c r="E249" s="21" t="s">
        <v>2397</v>
      </c>
      <c r="F249" s="21" t="s">
        <v>2398</v>
      </c>
      <c r="G249" s="21">
        <v>167223</v>
      </c>
      <c r="H249" s="21" t="s">
        <v>48</v>
      </c>
      <c r="I249" s="21" t="s">
        <v>1565</v>
      </c>
      <c r="J249" s="21" t="s">
        <v>50</v>
      </c>
      <c r="K249" s="21" t="s">
        <v>50</v>
      </c>
      <c r="L249" s="21" t="s">
        <v>50</v>
      </c>
      <c r="M249" s="21" t="s">
        <v>964</v>
      </c>
      <c r="N249" s="21">
        <v>24.661905999999998</v>
      </c>
      <c r="O249" s="74">
        <v>97.573126000000002</v>
      </c>
      <c r="P249" s="21" t="s">
        <v>944</v>
      </c>
      <c r="Q249" s="21" t="s">
        <v>361</v>
      </c>
      <c r="R249" s="21" t="s">
        <v>44</v>
      </c>
      <c r="S249" s="21" t="s">
        <v>966</v>
      </c>
      <c r="T249" s="75">
        <v>719</v>
      </c>
      <c r="U249" s="76">
        <v>3652</v>
      </c>
      <c r="V249" s="21" t="s">
        <v>949</v>
      </c>
      <c r="W249" s="77"/>
      <c r="X249" s="21" t="s">
        <v>373</v>
      </c>
    </row>
    <row r="250" spans="1:24" ht="17.25" customHeight="1" x14ac:dyDescent="0.2">
      <c r="A250" s="21" t="s">
        <v>450</v>
      </c>
      <c r="B250" s="21" t="s">
        <v>2228</v>
      </c>
      <c r="C250" s="21" t="s">
        <v>2320</v>
      </c>
      <c r="D250" s="21" t="s">
        <v>2002</v>
      </c>
      <c r="E250" s="21" t="s">
        <v>2397</v>
      </c>
      <c r="F250" s="21" t="s">
        <v>2398</v>
      </c>
      <c r="G250" s="21">
        <v>167223</v>
      </c>
      <c r="H250" s="21" t="s">
        <v>48</v>
      </c>
      <c r="I250" s="21" t="s">
        <v>1565</v>
      </c>
      <c r="J250" s="21" t="s">
        <v>50</v>
      </c>
      <c r="K250" s="21" t="s">
        <v>50</v>
      </c>
      <c r="L250" s="21" t="s">
        <v>50</v>
      </c>
      <c r="M250" s="21" t="s">
        <v>964</v>
      </c>
      <c r="N250" s="21">
        <v>24.688338999999999</v>
      </c>
      <c r="O250" s="74">
        <v>97.568331999999998</v>
      </c>
      <c r="P250" s="21" t="s">
        <v>944</v>
      </c>
      <c r="Q250" s="21" t="s">
        <v>361</v>
      </c>
      <c r="R250" s="21" t="s">
        <v>44</v>
      </c>
      <c r="S250" s="21" t="s">
        <v>966</v>
      </c>
      <c r="T250" s="75">
        <v>1543</v>
      </c>
      <c r="U250" s="76">
        <v>8627</v>
      </c>
      <c r="V250" s="21" t="s">
        <v>949</v>
      </c>
      <c r="W250" s="77"/>
      <c r="X250" s="21" t="s">
        <v>450</v>
      </c>
    </row>
    <row r="251" spans="1:24" ht="17.25" customHeight="1" x14ac:dyDescent="0.2">
      <c r="A251" s="21" t="s">
        <v>1201</v>
      </c>
      <c r="C251" s="21" t="s">
        <v>2320</v>
      </c>
      <c r="D251" s="21" t="s">
        <v>1992</v>
      </c>
      <c r="E251" s="21" t="s">
        <v>2484</v>
      </c>
      <c r="F251" s="21" t="s">
        <v>2485</v>
      </c>
      <c r="G251" s="21">
        <v>167060</v>
      </c>
      <c r="J251" s="21" t="s">
        <v>50</v>
      </c>
      <c r="K251" s="21" t="s">
        <v>50</v>
      </c>
      <c r="L251" s="21" t="s">
        <v>956</v>
      </c>
      <c r="M251" s="21" t="s">
        <v>51</v>
      </c>
      <c r="N251" s="21">
        <v>24.377054000000001</v>
      </c>
      <c r="O251" s="74">
        <v>97.343406999999999</v>
      </c>
      <c r="P251" s="21" t="s">
        <v>957</v>
      </c>
      <c r="Q251" s="21" t="s">
        <v>361</v>
      </c>
      <c r="R251" s="21" t="s">
        <v>44</v>
      </c>
      <c r="S251" s="21" t="s">
        <v>945</v>
      </c>
      <c r="T251" s="75">
        <v>3</v>
      </c>
      <c r="U251" s="76">
        <v>18</v>
      </c>
      <c r="V251" s="21" t="s">
        <v>949</v>
      </c>
      <c r="W251" s="77" t="s">
        <v>1202</v>
      </c>
      <c r="X251" s="21" t="s">
        <v>1201</v>
      </c>
    </row>
    <row r="252" spans="1:24" ht="17.25" customHeight="1" x14ac:dyDescent="0.2">
      <c r="A252" s="21" t="s">
        <v>1203</v>
      </c>
      <c r="C252" s="21" t="s">
        <v>2320</v>
      </c>
      <c r="D252" s="21" t="s">
        <v>1994</v>
      </c>
      <c r="E252" s="21" t="s">
        <v>2484</v>
      </c>
      <c r="F252" s="21" t="s">
        <v>2484</v>
      </c>
      <c r="G252" s="21">
        <v>167048</v>
      </c>
      <c r="J252" s="21" t="s">
        <v>50</v>
      </c>
      <c r="K252" s="21" t="s">
        <v>50</v>
      </c>
      <c r="L252" s="21" t="s">
        <v>956</v>
      </c>
      <c r="M252" s="21" t="s">
        <v>51</v>
      </c>
      <c r="N252" s="21">
        <v>24.404876999999999</v>
      </c>
      <c r="O252" s="74">
        <v>97.407787999999996</v>
      </c>
      <c r="P252" s="21" t="s">
        <v>957</v>
      </c>
      <c r="Q252" s="21" t="s">
        <v>361</v>
      </c>
      <c r="R252" s="21" t="s">
        <v>44</v>
      </c>
      <c r="S252" s="21" t="s">
        <v>945</v>
      </c>
      <c r="T252" s="75">
        <v>44</v>
      </c>
      <c r="U252" s="76">
        <v>143</v>
      </c>
      <c r="V252" s="21" t="s">
        <v>949</v>
      </c>
      <c r="W252" s="77" t="s">
        <v>1204</v>
      </c>
      <c r="X252" s="21" t="s">
        <v>1203</v>
      </c>
    </row>
    <row r="253" spans="1:24" ht="17.25" customHeight="1" x14ac:dyDescent="0.2">
      <c r="A253" s="21" t="s">
        <v>320</v>
      </c>
      <c r="B253" s="21" t="s">
        <v>2228</v>
      </c>
      <c r="C253" s="21" t="s">
        <v>2320</v>
      </c>
      <c r="D253" s="21" t="s">
        <v>2030</v>
      </c>
      <c r="E253" s="21" t="s">
        <v>2301</v>
      </c>
      <c r="F253" s="21" t="s">
        <v>2418</v>
      </c>
      <c r="G253" s="21" t="s">
        <v>2419</v>
      </c>
      <c r="H253" s="21" t="s">
        <v>48</v>
      </c>
      <c r="I253" s="21" t="s">
        <v>297</v>
      </c>
      <c r="J253" s="21" t="s">
        <v>50</v>
      </c>
      <c r="K253" s="21" t="s">
        <v>50</v>
      </c>
      <c r="L253" s="21" t="s">
        <v>50</v>
      </c>
      <c r="M253" s="21" t="s">
        <v>51</v>
      </c>
      <c r="N253" s="21">
        <v>25.3510167948718</v>
      </c>
      <c r="O253" s="74">
        <v>97.403402307692303</v>
      </c>
      <c r="P253" s="21" t="s">
        <v>944</v>
      </c>
      <c r="Q253" s="21" t="s">
        <v>315</v>
      </c>
      <c r="R253" s="21" t="s">
        <v>44</v>
      </c>
      <c r="S253" s="21" t="s">
        <v>966</v>
      </c>
      <c r="T253" s="75">
        <v>139</v>
      </c>
      <c r="U253" s="76">
        <v>707</v>
      </c>
      <c r="V253" s="21" t="s">
        <v>949</v>
      </c>
      <c r="W253" s="77"/>
      <c r="X253" s="21" t="s">
        <v>320</v>
      </c>
    </row>
    <row r="254" spans="1:24" ht="17.25" customHeight="1" x14ac:dyDescent="0.2">
      <c r="A254" s="21" t="s">
        <v>321</v>
      </c>
      <c r="B254" s="21" t="s">
        <v>2228</v>
      </c>
      <c r="C254" s="21" t="s">
        <v>2320</v>
      </c>
      <c r="D254" s="21" t="s">
        <v>2037</v>
      </c>
      <c r="E254" s="21" t="s">
        <v>2301</v>
      </c>
      <c r="F254" s="21" t="s">
        <v>2424</v>
      </c>
      <c r="G254" s="21">
        <v>0</v>
      </c>
      <c r="H254" s="21" t="s">
        <v>48</v>
      </c>
      <c r="I254" s="21" t="s">
        <v>297</v>
      </c>
      <c r="J254" s="21" t="s">
        <v>50</v>
      </c>
      <c r="K254" s="21" t="s">
        <v>50</v>
      </c>
      <c r="L254" s="21" t="s">
        <v>50</v>
      </c>
      <c r="M254" s="21" t="s">
        <v>51</v>
      </c>
      <c r="N254" s="21">
        <v>25.360463124999999</v>
      </c>
      <c r="O254" s="74">
        <v>97.4113064583333</v>
      </c>
      <c r="P254" s="21" t="s">
        <v>944</v>
      </c>
      <c r="Q254" s="21" t="s">
        <v>315</v>
      </c>
      <c r="R254" s="21" t="s">
        <v>44</v>
      </c>
      <c r="S254" s="21" t="s">
        <v>966</v>
      </c>
      <c r="T254" s="75">
        <v>61</v>
      </c>
      <c r="U254" s="76">
        <v>305</v>
      </c>
      <c r="V254" s="21" t="s">
        <v>949</v>
      </c>
      <c r="W254" s="77"/>
      <c r="X254" s="21" t="s">
        <v>321</v>
      </c>
    </row>
    <row r="255" spans="1:24" ht="17.25" customHeight="1" x14ac:dyDescent="0.2">
      <c r="A255" s="21" t="s">
        <v>319</v>
      </c>
      <c r="B255" s="21" t="s">
        <v>2228</v>
      </c>
      <c r="C255" s="21" t="s">
        <v>2320</v>
      </c>
      <c r="D255" s="21" t="s">
        <v>2038</v>
      </c>
      <c r="E255" s="21" t="s">
        <v>2301</v>
      </c>
      <c r="F255" s="21" t="s">
        <v>2418</v>
      </c>
      <c r="G255" s="21" t="s">
        <v>2419</v>
      </c>
      <c r="H255" s="21" t="s">
        <v>48</v>
      </c>
      <c r="I255" s="21" t="s">
        <v>297</v>
      </c>
      <c r="J255" s="21" t="s">
        <v>50</v>
      </c>
      <c r="K255" s="21" t="s">
        <v>50</v>
      </c>
      <c r="L255" s="21" t="s">
        <v>50</v>
      </c>
      <c r="M255" s="21" t="s">
        <v>51</v>
      </c>
      <c r="N255" s="21">
        <v>25.362420757575801</v>
      </c>
      <c r="O255" s="74">
        <v>97.409035000000003</v>
      </c>
      <c r="P255" s="21" t="s">
        <v>944</v>
      </c>
      <c r="Q255" s="21" t="s">
        <v>315</v>
      </c>
      <c r="R255" s="21" t="s">
        <v>44</v>
      </c>
      <c r="S255" s="21" t="s">
        <v>966</v>
      </c>
      <c r="T255" s="75">
        <v>106</v>
      </c>
      <c r="U255" s="76">
        <v>576</v>
      </c>
      <c r="V255" s="21" t="s">
        <v>949</v>
      </c>
      <c r="W255" s="77"/>
      <c r="X255" s="21" t="s">
        <v>319</v>
      </c>
    </row>
    <row r="256" spans="1:24" ht="17.25" customHeight="1" x14ac:dyDescent="0.2">
      <c r="A256" s="21" t="s">
        <v>318</v>
      </c>
      <c r="B256" s="21" t="s">
        <v>2228</v>
      </c>
      <c r="C256" s="21" t="s">
        <v>2320</v>
      </c>
      <c r="D256" s="21" t="s">
        <v>2039</v>
      </c>
      <c r="E256" s="21" t="s">
        <v>2301</v>
      </c>
      <c r="F256" s="21" t="s">
        <v>2425</v>
      </c>
      <c r="G256" s="21" t="s">
        <v>2426</v>
      </c>
      <c r="H256" s="21" t="s">
        <v>48</v>
      </c>
      <c r="I256" s="21" t="s">
        <v>297</v>
      </c>
      <c r="J256" s="21" t="s">
        <v>50</v>
      </c>
      <c r="K256" s="21" t="s">
        <v>50</v>
      </c>
      <c r="L256" s="21" t="s">
        <v>50</v>
      </c>
      <c r="M256" s="21" t="s">
        <v>51</v>
      </c>
      <c r="N256" s="21">
        <v>25.3660036111111</v>
      </c>
      <c r="O256" s="74">
        <v>97.405202777777802</v>
      </c>
      <c r="P256" s="21" t="s">
        <v>944</v>
      </c>
      <c r="Q256" s="21" t="s">
        <v>315</v>
      </c>
      <c r="R256" s="21" t="s">
        <v>44</v>
      </c>
      <c r="S256" s="21" t="s">
        <v>966</v>
      </c>
      <c r="T256" s="75">
        <v>43</v>
      </c>
      <c r="U256" s="76">
        <v>196</v>
      </c>
      <c r="V256" s="21" t="s">
        <v>949</v>
      </c>
      <c r="W256" s="77"/>
      <c r="X256" s="21" t="s">
        <v>318</v>
      </c>
    </row>
    <row r="257" spans="1:24" ht="17.25" customHeight="1" x14ac:dyDescent="0.2">
      <c r="A257" s="21" t="s">
        <v>424</v>
      </c>
      <c r="B257" s="21" t="s">
        <v>2228</v>
      </c>
      <c r="C257" s="21" t="s">
        <v>2320</v>
      </c>
      <c r="D257" s="21" t="s">
        <v>2040</v>
      </c>
      <c r="E257" s="21" t="s">
        <v>2427</v>
      </c>
      <c r="F257" s="21" t="s">
        <v>2427</v>
      </c>
      <c r="G257" s="21">
        <v>165698</v>
      </c>
      <c r="H257" s="21" t="s">
        <v>48</v>
      </c>
      <c r="I257" s="21" t="s">
        <v>399</v>
      </c>
      <c r="J257" s="21" t="s">
        <v>50</v>
      </c>
      <c r="K257" s="21" t="s">
        <v>50</v>
      </c>
      <c r="L257" s="21" t="s">
        <v>50</v>
      </c>
      <c r="M257" s="21" t="s">
        <v>51</v>
      </c>
      <c r="N257" s="21">
        <v>25.371049444444399</v>
      </c>
      <c r="O257" s="74">
        <v>97.290952037037002</v>
      </c>
      <c r="P257" s="21" t="s">
        <v>944</v>
      </c>
      <c r="Q257" s="21" t="s">
        <v>315</v>
      </c>
      <c r="R257" s="21" t="s">
        <v>44</v>
      </c>
      <c r="S257" s="21" t="s">
        <v>966</v>
      </c>
      <c r="T257" s="75">
        <v>14</v>
      </c>
      <c r="U257" s="76">
        <v>77</v>
      </c>
      <c r="V257" s="21" t="s">
        <v>949</v>
      </c>
      <c r="W257" s="77"/>
      <c r="X257" s="21" t="s">
        <v>424</v>
      </c>
    </row>
    <row r="258" spans="1:24" ht="17.25" customHeight="1" x14ac:dyDescent="0.2">
      <c r="A258" s="21" t="s">
        <v>423</v>
      </c>
      <c r="B258" s="21" t="s">
        <v>2228</v>
      </c>
      <c r="C258" s="21" t="s">
        <v>2320</v>
      </c>
      <c r="D258" s="21" t="s">
        <v>2041</v>
      </c>
      <c r="E258" s="21" t="s">
        <v>2427</v>
      </c>
      <c r="F258" s="21" t="s">
        <v>2427</v>
      </c>
      <c r="G258" s="21">
        <v>165698</v>
      </c>
      <c r="H258" s="21" t="s">
        <v>48</v>
      </c>
      <c r="I258" s="21" t="s">
        <v>399</v>
      </c>
      <c r="J258" s="21" t="s">
        <v>50</v>
      </c>
      <c r="K258" s="21" t="s">
        <v>50</v>
      </c>
      <c r="L258" s="21" t="s">
        <v>50</v>
      </c>
      <c r="M258" s="21" t="s">
        <v>51</v>
      </c>
      <c r="N258" s="21">
        <v>25.374343974359</v>
      </c>
      <c r="O258" s="74">
        <v>97.2843958974359</v>
      </c>
      <c r="P258" s="21" t="s">
        <v>944</v>
      </c>
      <c r="Q258" s="21" t="s">
        <v>315</v>
      </c>
      <c r="R258" s="21" t="s">
        <v>44</v>
      </c>
      <c r="S258" s="21" t="s">
        <v>966</v>
      </c>
      <c r="T258" s="75">
        <v>23</v>
      </c>
      <c r="U258" s="76">
        <v>96</v>
      </c>
      <c r="V258" s="21" t="s">
        <v>949</v>
      </c>
      <c r="W258" s="77"/>
      <c r="X258" s="21" t="s">
        <v>423</v>
      </c>
    </row>
    <row r="259" spans="1:24" ht="17.25" customHeight="1" x14ac:dyDescent="0.2">
      <c r="A259" s="21" t="s">
        <v>316</v>
      </c>
      <c r="B259" s="21" t="s">
        <v>2228</v>
      </c>
      <c r="C259" s="21" t="s">
        <v>2320</v>
      </c>
      <c r="D259" s="21" t="s">
        <v>2044</v>
      </c>
      <c r="E259" s="21" t="s">
        <v>2301</v>
      </c>
      <c r="F259" s="21" t="s">
        <v>2428</v>
      </c>
      <c r="G259" s="21" t="s">
        <v>2429</v>
      </c>
      <c r="H259" s="21" t="s">
        <v>48</v>
      </c>
      <c r="I259" s="21" t="s">
        <v>297</v>
      </c>
      <c r="J259" s="21" t="s">
        <v>50</v>
      </c>
      <c r="K259" s="21" t="s">
        <v>50</v>
      </c>
      <c r="L259" s="21" t="s">
        <v>50</v>
      </c>
      <c r="M259" s="21" t="s">
        <v>51</v>
      </c>
      <c r="N259" s="21">
        <v>25.3959740909091</v>
      </c>
      <c r="O259" s="74">
        <v>97.382997575757599</v>
      </c>
      <c r="P259" s="21" t="s">
        <v>944</v>
      </c>
      <c r="Q259" s="21" t="s">
        <v>315</v>
      </c>
      <c r="R259" s="21" t="s">
        <v>44</v>
      </c>
      <c r="S259" s="21" t="s">
        <v>966</v>
      </c>
      <c r="T259" s="75">
        <v>43</v>
      </c>
      <c r="U259" s="76">
        <v>190</v>
      </c>
      <c r="V259" s="21">
        <v>42983</v>
      </c>
      <c r="W259" s="77" t="s">
        <v>1241</v>
      </c>
      <c r="X259" s="21" t="s">
        <v>1242</v>
      </c>
    </row>
    <row r="260" spans="1:24" ht="17.25" customHeight="1" x14ac:dyDescent="0.2">
      <c r="A260" s="21" t="s">
        <v>390</v>
      </c>
      <c r="B260" s="21" t="s">
        <v>2228</v>
      </c>
      <c r="C260" s="21" t="s">
        <v>2320</v>
      </c>
      <c r="D260" s="21" t="s">
        <v>2047</v>
      </c>
      <c r="E260" s="21" t="s">
        <v>2301</v>
      </c>
      <c r="F260" s="21" t="s">
        <v>2430</v>
      </c>
      <c r="G260" s="21">
        <v>0</v>
      </c>
      <c r="H260" s="21" t="s">
        <v>48</v>
      </c>
      <c r="I260" s="21" t="s">
        <v>1565</v>
      </c>
      <c r="J260" s="21" t="s">
        <v>50</v>
      </c>
      <c r="K260" s="21" t="s">
        <v>50</v>
      </c>
      <c r="L260" s="21" t="s">
        <v>50</v>
      </c>
      <c r="M260" s="21" t="s">
        <v>51</v>
      </c>
      <c r="N260" s="21">
        <v>25.401061110000001</v>
      </c>
      <c r="O260" s="74">
        <v>97.379594999999995</v>
      </c>
      <c r="P260" s="21" t="s">
        <v>944</v>
      </c>
      <c r="Q260" s="21" t="s">
        <v>315</v>
      </c>
      <c r="R260" s="21" t="s">
        <v>44</v>
      </c>
      <c r="S260" s="21" t="s">
        <v>966</v>
      </c>
      <c r="T260" s="75">
        <v>90</v>
      </c>
      <c r="U260" s="76">
        <v>430</v>
      </c>
      <c r="V260" s="21" t="s">
        <v>949</v>
      </c>
      <c r="W260" s="77"/>
      <c r="X260" s="21" t="s">
        <v>390</v>
      </c>
    </row>
    <row r="261" spans="1:24" ht="17.25" customHeight="1" x14ac:dyDescent="0.2">
      <c r="A261" s="21" t="s">
        <v>317</v>
      </c>
      <c r="B261" s="21" t="s">
        <v>2228</v>
      </c>
      <c r="C261" s="21" t="s">
        <v>2320</v>
      </c>
      <c r="D261" s="21" t="s">
        <v>2048</v>
      </c>
      <c r="E261" s="21" t="s">
        <v>2301</v>
      </c>
      <c r="F261" s="21" t="s">
        <v>2430</v>
      </c>
      <c r="G261" s="21">
        <v>0</v>
      </c>
      <c r="H261" s="21" t="s">
        <v>48</v>
      </c>
      <c r="I261" s="21" t="s">
        <v>297</v>
      </c>
      <c r="J261" s="21" t="s">
        <v>50</v>
      </c>
      <c r="K261" s="21" t="s">
        <v>50</v>
      </c>
      <c r="L261" s="21" t="s">
        <v>50</v>
      </c>
      <c r="M261" s="21" t="s">
        <v>51</v>
      </c>
      <c r="N261" s="21">
        <v>25.403476999999999</v>
      </c>
      <c r="O261" s="74">
        <v>97.373361000000003</v>
      </c>
      <c r="P261" s="21" t="s">
        <v>944</v>
      </c>
      <c r="Q261" s="21" t="s">
        <v>315</v>
      </c>
      <c r="R261" s="21" t="s">
        <v>44</v>
      </c>
      <c r="S261" s="21" t="s">
        <v>966</v>
      </c>
      <c r="T261" s="75">
        <v>199</v>
      </c>
      <c r="U261" s="76">
        <v>1114</v>
      </c>
      <c r="V261" s="21" t="s">
        <v>949</v>
      </c>
      <c r="W261" s="77"/>
      <c r="X261" s="21" t="s">
        <v>317</v>
      </c>
    </row>
    <row r="262" spans="1:24" ht="17.25" customHeight="1" x14ac:dyDescent="0.2">
      <c r="A262" s="21" t="s">
        <v>328</v>
      </c>
      <c r="B262" s="21" t="s">
        <v>2228</v>
      </c>
      <c r="C262" s="21" t="s">
        <v>2320</v>
      </c>
      <c r="D262" s="21" t="s">
        <v>2049</v>
      </c>
      <c r="E262" s="21" t="s">
        <v>2301</v>
      </c>
      <c r="F262" s="21" t="s">
        <v>2431</v>
      </c>
      <c r="G262" s="21" t="s">
        <v>2432</v>
      </c>
      <c r="H262" s="21" t="s">
        <v>48</v>
      </c>
      <c r="I262" s="21" t="s">
        <v>297</v>
      </c>
      <c r="J262" s="21" t="s">
        <v>50</v>
      </c>
      <c r="K262" s="21" t="s">
        <v>50</v>
      </c>
      <c r="L262" s="21" t="s">
        <v>50</v>
      </c>
      <c r="M262" s="21" t="s">
        <v>51</v>
      </c>
      <c r="N262" s="21">
        <v>25.404015000000001</v>
      </c>
      <c r="O262" s="74">
        <v>97.382192000000003</v>
      </c>
      <c r="P262" s="21" t="s">
        <v>944</v>
      </c>
      <c r="Q262" s="21" t="s">
        <v>315</v>
      </c>
      <c r="R262" s="21" t="s">
        <v>44</v>
      </c>
      <c r="S262" s="21" t="s">
        <v>966</v>
      </c>
      <c r="T262" s="75">
        <v>46</v>
      </c>
      <c r="U262" s="76">
        <v>234</v>
      </c>
      <c r="V262" s="21" t="s">
        <v>949</v>
      </c>
      <c r="W262" s="77"/>
      <c r="X262" s="21" t="s">
        <v>328</v>
      </c>
    </row>
    <row r="263" spans="1:24" ht="17.25" customHeight="1" x14ac:dyDescent="0.2">
      <c r="A263" s="21" t="s">
        <v>327</v>
      </c>
      <c r="B263" s="21" t="s">
        <v>2228</v>
      </c>
      <c r="C263" s="21" t="s">
        <v>2320</v>
      </c>
      <c r="D263" s="21" t="s">
        <v>2050</v>
      </c>
      <c r="E263" s="21" t="s">
        <v>2301</v>
      </c>
      <c r="F263" s="21" t="s">
        <v>2431</v>
      </c>
      <c r="G263" s="21" t="s">
        <v>2432</v>
      </c>
      <c r="H263" s="21" t="s">
        <v>48</v>
      </c>
      <c r="I263" s="21" t="s">
        <v>297</v>
      </c>
      <c r="J263" s="21" t="s">
        <v>50</v>
      </c>
      <c r="K263" s="21" t="s">
        <v>50</v>
      </c>
      <c r="L263" s="21" t="s">
        <v>50</v>
      </c>
      <c r="M263" s="21" t="s">
        <v>51</v>
      </c>
      <c r="N263" s="21">
        <v>25.404752999999999</v>
      </c>
      <c r="O263" s="74">
        <v>97.377662999999998</v>
      </c>
      <c r="P263" s="21" t="s">
        <v>944</v>
      </c>
      <c r="Q263" s="21" t="s">
        <v>315</v>
      </c>
      <c r="R263" s="21" t="s">
        <v>44</v>
      </c>
      <c r="S263" s="21" t="s">
        <v>966</v>
      </c>
      <c r="T263" s="75">
        <v>30</v>
      </c>
      <c r="U263" s="76">
        <v>169</v>
      </c>
      <c r="V263" s="21" t="s">
        <v>949</v>
      </c>
      <c r="W263" s="77"/>
      <c r="X263" s="21" t="s">
        <v>327</v>
      </c>
    </row>
    <row r="264" spans="1:24" ht="17.25" customHeight="1" x14ac:dyDescent="0.2">
      <c r="A264" s="21" t="s">
        <v>391</v>
      </c>
      <c r="B264" s="21" t="s">
        <v>2228</v>
      </c>
      <c r="C264" s="21" t="s">
        <v>2320</v>
      </c>
      <c r="D264" s="21" t="s">
        <v>2052</v>
      </c>
      <c r="E264" s="21" t="s">
        <v>2434</v>
      </c>
      <c r="F264" s="21" t="s">
        <v>2434</v>
      </c>
      <c r="G264" s="21">
        <v>165695</v>
      </c>
      <c r="H264" s="21" t="s">
        <v>48</v>
      </c>
      <c r="I264" s="21" t="s">
        <v>1565</v>
      </c>
      <c r="J264" s="21" t="s">
        <v>50</v>
      </c>
      <c r="K264" s="21" t="s">
        <v>50</v>
      </c>
      <c r="L264" s="21" t="s">
        <v>50</v>
      </c>
      <c r="M264" s="21" t="s">
        <v>51</v>
      </c>
      <c r="N264" s="21">
        <v>25.410569299999999</v>
      </c>
      <c r="O264" s="74">
        <v>97.359320179999997</v>
      </c>
      <c r="P264" s="21" t="s">
        <v>944</v>
      </c>
      <c r="Q264" s="21" t="s">
        <v>315</v>
      </c>
      <c r="R264" s="21" t="s">
        <v>44</v>
      </c>
      <c r="S264" s="21" t="s">
        <v>966</v>
      </c>
      <c r="T264" s="75">
        <v>63</v>
      </c>
      <c r="U264" s="76">
        <v>310</v>
      </c>
      <c r="V264" s="21" t="s">
        <v>949</v>
      </c>
      <c r="W264" s="77"/>
      <c r="X264" s="21" t="s">
        <v>391</v>
      </c>
    </row>
    <row r="265" spans="1:24" ht="17.25" customHeight="1" x14ac:dyDescent="0.2">
      <c r="A265" s="21" t="s">
        <v>324</v>
      </c>
      <c r="B265" s="21" t="s">
        <v>2228</v>
      </c>
      <c r="C265" s="21" t="s">
        <v>2320</v>
      </c>
      <c r="D265" s="21" t="s">
        <v>2054</v>
      </c>
      <c r="E265" s="21" t="s">
        <v>2301</v>
      </c>
      <c r="F265" s="21" t="s">
        <v>2435</v>
      </c>
      <c r="G265" s="21" t="s">
        <v>2436</v>
      </c>
      <c r="H265" s="21" t="s">
        <v>48</v>
      </c>
      <c r="I265" s="21" t="s">
        <v>297</v>
      </c>
      <c r="J265" s="21" t="s">
        <v>50</v>
      </c>
      <c r="K265" s="21" t="s">
        <v>50</v>
      </c>
      <c r="L265" s="21" t="s">
        <v>50</v>
      </c>
      <c r="M265" s="21" t="s">
        <v>51</v>
      </c>
      <c r="N265" s="21">
        <v>25.412313000000001</v>
      </c>
      <c r="O265" s="74">
        <v>97.399628000000007</v>
      </c>
      <c r="P265" s="21" t="s">
        <v>944</v>
      </c>
      <c r="Q265" s="21" t="s">
        <v>315</v>
      </c>
      <c r="R265" s="21" t="s">
        <v>44</v>
      </c>
      <c r="S265" s="21" t="s">
        <v>966</v>
      </c>
      <c r="T265" s="75">
        <v>119</v>
      </c>
      <c r="U265" s="76">
        <v>536</v>
      </c>
      <c r="V265" s="21" t="s">
        <v>949</v>
      </c>
      <c r="W265" s="77"/>
      <c r="X265" s="21" t="s">
        <v>324</v>
      </c>
    </row>
    <row r="266" spans="1:24" ht="17.25" customHeight="1" x14ac:dyDescent="0.2">
      <c r="A266" s="21" t="s">
        <v>326</v>
      </c>
      <c r="B266" s="21" t="s">
        <v>2228</v>
      </c>
      <c r="C266" s="21" t="s">
        <v>2320</v>
      </c>
      <c r="D266" s="21" t="s">
        <v>2055</v>
      </c>
      <c r="E266" s="21" t="s">
        <v>2301</v>
      </c>
      <c r="F266" s="21" t="s">
        <v>2431</v>
      </c>
      <c r="G266" s="21" t="s">
        <v>2432</v>
      </c>
      <c r="H266" s="21" t="s">
        <v>48</v>
      </c>
      <c r="I266" s="21" t="s">
        <v>297</v>
      </c>
      <c r="J266" s="21" t="s">
        <v>50</v>
      </c>
      <c r="K266" s="21" t="s">
        <v>50</v>
      </c>
      <c r="L266" s="21" t="s">
        <v>50</v>
      </c>
      <c r="M266" s="21" t="s">
        <v>51</v>
      </c>
      <c r="N266" s="21">
        <v>25.415482000000001</v>
      </c>
      <c r="O266" s="74">
        <v>97.386718999999999</v>
      </c>
      <c r="P266" s="21" t="s">
        <v>944</v>
      </c>
      <c r="Q266" s="21" t="s">
        <v>315</v>
      </c>
      <c r="R266" s="21" t="s">
        <v>44</v>
      </c>
      <c r="S266" s="21" t="s">
        <v>966</v>
      </c>
      <c r="T266" s="75">
        <v>66</v>
      </c>
      <c r="U266" s="76">
        <v>344</v>
      </c>
      <c r="V266" s="21" t="s">
        <v>949</v>
      </c>
      <c r="W266" s="77"/>
      <c r="X266" s="21" t="s">
        <v>326</v>
      </c>
    </row>
    <row r="267" spans="1:24" ht="17.25" customHeight="1" x14ac:dyDescent="0.2">
      <c r="A267" s="21" t="s">
        <v>427</v>
      </c>
      <c r="B267" s="21" t="s">
        <v>2228</v>
      </c>
      <c r="C267" s="21" t="s">
        <v>2320</v>
      </c>
      <c r="D267" s="21" t="s">
        <v>2057</v>
      </c>
      <c r="E267" s="21" t="s">
        <v>2301</v>
      </c>
      <c r="F267" s="21" t="s">
        <v>2431</v>
      </c>
      <c r="G267" s="21" t="s">
        <v>2432</v>
      </c>
      <c r="H267" s="21" t="s">
        <v>48</v>
      </c>
      <c r="I267" s="21" t="s">
        <v>399</v>
      </c>
      <c r="J267" s="21" t="s">
        <v>50</v>
      </c>
      <c r="K267" s="21" t="s">
        <v>50</v>
      </c>
      <c r="L267" s="21" t="s">
        <v>50</v>
      </c>
      <c r="M267" s="21" t="s">
        <v>51</v>
      </c>
      <c r="N267" s="21">
        <v>25.417733999999999</v>
      </c>
      <c r="O267" s="74">
        <v>97.389778000000007</v>
      </c>
      <c r="P267" s="21" t="s">
        <v>944</v>
      </c>
      <c r="Q267" s="21" t="s">
        <v>315</v>
      </c>
      <c r="R267" s="21" t="s">
        <v>44</v>
      </c>
      <c r="S267" s="21" t="s">
        <v>966</v>
      </c>
      <c r="T267" s="75">
        <v>6</v>
      </c>
      <c r="U267" s="76">
        <v>31</v>
      </c>
      <c r="V267" s="21" t="s">
        <v>949</v>
      </c>
      <c r="W267" s="77"/>
      <c r="X267" s="21" t="s">
        <v>427</v>
      </c>
    </row>
    <row r="268" spans="1:24" ht="17.25" customHeight="1" x14ac:dyDescent="0.2">
      <c r="A268" s="21" t="s">
        <v>323</v>
      </c>
      <c r="B268" s="21" t="s">
        <v>2228</v>
      </c>
      <c r="C268" s="21" t="s">
        <v>2320</v>
      </c>
      <c r="D268" s="21" t="s">
        <v>2059</v>
      </c>
      <c r="E268" s="21" t="s">
        <v>2301</v>
      </c>
      <c r="F268" s="21" t="s">
        <v>2439</v>
      </c>
      <c r="G268" s="21">
        <v>0</v>
      </c>
      <c r="H268" s="21" t="s">
        <v>48</v>
      </c>
      <c r="I268" s="21" t="s">
        <v>297</v>
      </c>
      <c r="J268" s="21" t="s">
        <v>50</v>
      </c>
      <c r="K268" s="21" t="s">
        <v>50</v>
      </c>
      <c r="L268" s="21" t="s">
        <v>50</v>
      </c>
      <c r="M268" s="21" t="s">
        <v>51</v>
      </c>
      <c r="N268" s="21">
        <v>25.422194000000001</v>
      </c>
      <c r="O268" s="74">
        <v>97.394547000000003</v>
      </c>
      <c r="P268" s="21" t="s">
        <v>944</v>
      </c>
      <c r="Q268" s="21" t="s">
        <v>315</v>
      </c>
      <c r="R268" s="21" t="s">
        <v>44</v>
      </c>
      <c r="S268" s="21" t="s">
        <v>966</v>
      </c>
      <c r="T268" s="75">
        <v>67</v>
      </c>
      <c r="U268" s="76">
        <v>296</v>
      </c>
      <c r="V268" s="21" t="s">
        <v>949</v>
      </c>
      <c r="W268" s="77"/>
      <c r="X268" s="21" t="s">
        <v>323</v>
      </c>
    </row>
    <row r="269" spans="1:24" ht="17.25" customHeight="1" x14ac:dyDescent="0.2">
      <c r="A269" s="21" t="s">
        <v>426</v>
      </c>
      <c r="B269" s="21" t="s">
        <v>2228</v>
      </c>
      <c r="C269" s="21" t="s">
        <v>2320</v>
      </c>
      <c r="D269" s="21" t="s">
        <v>2060</v>
      </c>
      <c r="E269" s="21" t="s">
        <v>2301</v>
      </c>
      <c r="F269" s="21" t="s">
        <v>2431</v>
      </c>
      <c r="G269" s="21" t="s">
        <v>2432</v>
      </c>
      <c r="H269" s="21" t="s">
        <v>48</v>
      </c>
      <c r="I269" s="21" t="s">
        <v>399</v>
      </c>
      <c r="J269" s="21" t="s">
        <v>50</v>
      </c>
      <c r="K269" s="21" t="s">
        <v>50</v>
      </c>
      <c r="L269" s="21" t="s">
        <v>50</v>
      </c>
      <c r="M269" s="21" t="s">
        <v>51</v>
      </c>
      <c r="N269" s="21">
        <v>25.423209</v>
      </c>
      <c r="O269" s="74">
        <v>97.379987</v>
      </c>
      <c r="P269" s="21" t="s">
        <v>944</v>
      </c>
      <c r="Q269" s="21" t="s">
        <v>315</v>
      </c>
      <c r="R269" s="21" t="s">
        <v>44</v>
      </c>
      <c r="S269" s="21" t="s">
        <v>966</v>
      </c>
      <c r="T269" s="75">
        <v>54</v>
      </c>
      <c r="U269" s="76">
        <v>264</v>
      </c>
      <c r="V269" s="21" t="s">
        <v>949</v>
      </c>
      <c r="W269" s="77"/>
      <c r="X269" s="21" t="s">
        <v>1245</v>
      </c>
    </row>
    <row r="270" spans="1:24" ht="17.25" customHeight="1" x14ac:dyDescent="0.2">
      <c r="A270" s="21" t="s">
        <v>425</v>
      </c>
      <c r="B270" s="21" t="s">
        <v>2228</v>
      </c>
      <c r="C270" s="21" t="s">
        <v>2320</v>
      </c>
      <c r="D270" s="21" t="s">
        <v>2061</v>
      </c>
      <c r="E270" s="21" t="s">
        <v>2301</v>
      </c>
      <c r="F270" s="21" t="s">
        <v>2435</v>
      </c>
      <c r="G270" s="21" t="s">
        <v>2436</v>
      </c>
      <c r="H270" s="21" t="s">
        <v>48</v>
      </c>
      <c r="I270" s="21" t="s">
        <v>399</v>
      </c>
      <c r="J270" s="21" t="s">
        <v>50</v>
      </c>
      <c r="K270" s="21" t="s">
        <v>50</v>
      </c>
      <c r="L270" s="21" t="s">
        <v>50</v>
      </c>
      <c r="M270" s="21" t="s">
        <v>51</v>
      </c>
      <c r="N270" s="21">
        <v>25.423817</v>
      </c>
      <c r="O270" s="74">
        <v>97.418004999999994</v>
      </c>
      <c r="P270" s="21" t="s">
        <v>944</v>
      </c>
      <c r="Q270" s="21" t="s">
        <v>315</v>
      </c>
      <c r="R270" s="21" t="s">
        <v>44</v>
      </c>
      <c r="S270" s="21" t="s">
        <v>966</v>
      </c>
      <c r="T270" s="75">
        <v>22</v>
      </c>
      <c r="U270" s="76">
        <v>111</v>
      </c>
      <c r="V270" s="21" t="s">
        <v>949</v>
      </c>
      <c r="W270" s="77"/>
      <c r="X270" s="21" t="s">
        <v>425</v>
      </c>
    </row>
    <row r="271" spans="1:24" ht="17.25" customHeight="1" x14ac:dyDescent="0.2">
      <c r="A271" s="21" t="s">
        <v>322</v>
      </c>
      <c r="B271" s="21" t="s">
        <v>2228</v>
      </c>
      <c r="C271" s="21" t="s">
        <v>2320</v>
      </c>
      <c r="D271" s="21" t="s">
        <v>2063</v>
      </c>
      <c r="E271" s="21" t="s">
        <v>2301</v>
      </c>
      <c r="F271" s="21" t="s">
        <v>2440</v>
      </c>
      <c r="G271" s="21" t="s">
        <v>2441</v>
      </c>
      <c r="H271" s="21" t="s">
        <v>48</v>
      </c>
      <c r="I271" s="21" t="s">
        <v>297</v>
      </c>
      <c r="J271" s="21" t="s">
        <v>50</v>
      </c>
      <c r="K271" s="21" t="s">
        <v>50</v>
      </c>
      <c r="L271" s="21" t="s">
        <v>50</v>
      </c>
      <c r="M271" s="21" t="s">
        <v>51</v>
      </c>
      <c r="N271" s="21">
        <v>25.428910999999999</v>
      </c>
      <c r="O271" s="74">
        <v>97.418694000000002</v>
      </c>
      <c r="P271" s="21" t="s">
        <v>944</v>
      </c>
      <c r="Q271" s="21" t="s">
        <v>315</v>
      </c>
      <c r="R271" s="21" t="s">
        <v>44</v>
      </c>
      <c r="S271" s="21" t="s">
        <v>966</v>
      </c>
      <c r="T271" s="75">
        <v>103</v>
      </c>
      <c r="U271" s="76">
        <v>578</v>
      </c>
      <c r="V271" s="21" t="s">
        <v>949</v>
      </c>
      <c r="W271" s="77"/>
      <c r="X271" s="21" t="s">
        <v>322</v>
      </c>
    </row>
    <row r="272" spans="1:24" ht="17.25" customHeight="1" x14ac:dyDescent="0.2">
      <c r="A272" s="21" t="s">
        <v>325</v>
      </c>
      <c r="B272" s="21" t="s">
        <v>2228</v>
      </c>
      <c r="C272" s="21" t="s">
        <v>2320</v>
      </c>
      <c r="D272" s="21" t="s">
        <v>2064</v>
      </c>
      <c r="E272" s="21" t="s">
        <v>2301</v>
      </c>
      <c r="F272" s="21" t="s">
        <v>2442</v>
      </c>
      <c r="G272" s="21" t="s">
        <v>2443</v>
      </c>
      <c r="H272" s="21" t="s">
        <v>48</v>
      </c>
      <c r="I272" s="21" t="s">
        <v>297</v>
      </c>
      <c r="J272" s="21" t="s">
        <v>50</v>
      </c>
      <c r="K272" s="21" t="s">
        <v>50</v>
      </c>
      <c r="L272" s="21" t="s">
        <v>50</v>
      </c>
      <c r="M272" s="21" t="s">
        <v>51</v>
      </c>
      <c r="N272" s="21">
        <v>25.440928</v>
      </c>
      <c r="O272" s="74">
        <v>97.419403000000003</v>
      </c>
      <c r="P272" s="21" t="s">
        <v>944</v>
      </c>
      <c r="Q272" s="21" t="s">
        <v>315</v>
      </c>
      <c r="R272" s="21" t="s">
        <v>44</v>
      </c>
      <c r="S272" s="21" t="s">
        <v>966</v>
      </c>
      <c r="T272" s="75">
        <v>92</v>
      </c>
      <c r="U272" s="76">
        <v>504</v>
      </c>
      <c r="V272" s="21" t="s">
        <v>949</v>
      </c>
      <c r="W272" s="77"/>
      <c r="X272" s="21" t="s">
        <v>325</v>
      </c>
    </row>
    <row r="273" spans="1:24" ht="17.25" customHeight="1" x14ac:dyDescent="0.2">
      <c r="A273" s="21" t="s">
        <v>392</v>
      </c>
      <c r="B273" s="21" t="s">
        <v>2228</v>
      </c>
      <c r="C273" s="21" t="s">
        <v>2320</v>
      </c>
      <c r="D273" s="21" t="s">
        <v>2065</v>
      </c>
      <c r="E273" s="21" t="s">
        <v>2444</v>
      </c>
      <c r="F273" s="21" t="s">
        <v>2445</v>
      </c>
      <c r="G273" s="21">
        <v>165685</v>
      </c>
      <c r="H273" s="21" t="s">
        <v>48</v>
      </c>
      <c r="I273" s="21" t="s">
        <v>1565</v>
      </c>
      <c r="J273" s="21" t="s">
        <v>50</v>
      </c>
      <c r="K273" s="21" t="s">
        <v>50</v>
      </c>
      <c r="L273" s="21" t="s">
        <v>50</v>
      </c>
      <c r="M273" s="21" t="s">
        <v>51</v>
      </c>
      <c r="N273" s="21">
        <v>25.493819999999999</v>
      </c>
      <c r="O273" s="74">
        <v>97.4345</v>
      </c>
      <c r="P273" s="21" t="s">
        <v>944</v>
      </c>
      <c r="Q273" s="21" t="s">
        <v>315</v>
      </c>
      <c r="R273" s="21" t="s">
        <v>44</v>
      </c>
      <c r="S273" s="21" t="s">
        <v>966</v>
      </c>
      <c r="T273" s="75">
        <v>47</v>
      </c>
      <c r="U273" s="76">
        <v>286</v>
      </c>
      <c r="V273" s="21" t="s">
        <v>949</v>
      </c>
      <c r="W273" s="77"/>
      <c r="X273" s="21" t="s">
        <v>392</v>
      </c>
    </row>
    <row r="274" spans="1:24" ht="17.25" customHeight="1" x14ac:dyDescent="0.2">
      <c r="A274" s="21" t="s">
        <v>1292</v>
      </c>
      <c r="C274" s="21" t="s">
        <v>2320</v>
      </c>
      <c r="D274" s="21" t="s">
        <v>2121</v>
      </c>
      <c r="E274" s="21" t="s">
        <v>2301</v>
      </c>
      <c r="F274" s="21" t="s">
        <v>2495</v>
      </c>
      <c r="G274" s="21">
        <v>0</v>
      </c>
      <c r="J274" s="21" t="s">
        <v>50</v>
      </c>
      <c r="K274" s="21" t="s">
        <v>50</v>
      </c>
      <c r="L274" s="21" t="s">
        <v>961</v>
      </c>
      <c r="M274" s="21" t="s">
        <v>51</v>
      </c>
      <c r="N274" s="319"/>
      <c r="O274" s="319"/>
      <c r="Q274" s="21" t="s">
        <v>315</v>
      </c>
      <c r="R274" s="21" t="s">
        <v>44</v>
      </c>
      <c r="S274" s="21" t="s">
        <v>1112</v>
      </c>
      <c r="T274" s="75">
        <v>23</v>
      </c>
      <c r="U274" s="76">
        <v>54</v>
      </c>
      <c r="V274" s="21">
        <v>42983</v>
      </c>
      <c r="W274" s="77" t="s">
        <v>1293</v>
      </c>
    </row>
    <row r="275" spans="1:24" ht="17.25" customHeight="1" x14ac:dyDescent="0.2">
      <c r="A275" s="21" t="s">
        <v>330</v>
      </c>
      <c r="B275" s="21" t="s">
        <v>2228</v>
      </c>
      <c r="C275" s="21" t="s">
        <v>2320</v>
      </c>
      <c r="D275" s="21" t="s">
        <v>2110</v>
      </c>
      <c r="E275" s="21" t="s">
        <v>2463</v>
      </c>
      <c r="F275" s="21" t="s">
        <v>2464</v>
      </c>
      <c r="G275" s="21" t="s">
        <v>2465</v>
      </c>
      <c r="H275" s="21" t="s">
        <v>48</v>
      </c>
      <c r="I275" s="21" t="s">
        <v>297</v>
      </c>
      <c r="J275" s="21" t="s">
        <v>50</v>
      </c>
      <c r="K275" s="21" t="s">
        <v>50</v>
      </c>
      <c r="L275" s="21" t="s">
        <v>50</v>
      </c>
      <c r="M275" s="21" t="s">
        <v>51</v>
      </c>
      <c r="N275" s="21">
        <v>27.337499999999999</v>
      </c>
      <c r="O275" s="74">
        <v>97.416121000000004</v>
      </c>
      <c r="P275" s="21" t="s">
        <v>944</v>
      </c>
      <c r="Q275" s="21" t="s">
        <v>329</v>
      </c>
      <c r="R275" s="21" t="s">
        <v>44</v>
      </c>
      <c r="S275" s="21" t="s">
        <v>966</v>
      </c>
      <c r="T275" s="75">
        <v>61</v>
      </c>
      <c r="U275" s="76">
        <v>281</v>
      </c>
      <c r="V275" s="21" t="s">
        <v>949</v>
      </c>
      <c r="W275" s="77"/>
      <c r="X275" s="21" t="s">
        <v>1272</v>
      </c>
    </row>
    <row r="276" spans="1:24" ht="17.25" customHeight="1" x14ac:dyDescent="0.2">
      <c r="A276" s="21" t="s">
        <v>1264</v>
      </c>
      <c r="C276" s="21" t="s">
        <v>2320</v>
      </c>
      <c r="D276" s="21" t="s">
        <v>2106</v>
      </c>
      <c r="E276" s="21" t="s">
        <v>2316</v>
      </c>
      <c r="F276" s="21" t="s">
        <v>2492</v>
      </c>
      <c r="G276" s="21">
        <v>217032</v>
      </c>
      <c r="J276" s="21" t="s">
        <v>50</v>
      </c>
      <c r="K276" s="21" t="s">
        <v>50</v>
      </c>
      <c r="L276" s="21" t="s">
        <v>956</v>
      </c>
      <c r="M276" s="21" t="s">
        <v>51</v>
      </c>
      <c r="N276" s="21">
        <v>27.248964999999998</v>
      </c>
      <c r="O276" s="74">
        <v>97.561105999999995</v>
      </c>
      <c r="P276" s="21" t="s">
        <v>957</v>
      </c>
      <c r="Q276" s="21" t="s">
        <v>329</v>
      </c>
      <c r="R276" s="21" t="s">
        <v>44</v>
      </c>
      <c r="S276" s="21" t="s">
        <v>945</v>
      </c>
      <c r="T276" s="75">
        <v>10</v>
      </c>
      <c r="U276" s="76">
        <v>56</v>
      </c>
      <c r="W276" s="77" t="s">
        <v>1265</v>
      </c>
    </row>
    <row r="277" spans="1:24" ht="17.25" customHeight="1" x14ac:dyDescent="0.2">
      <c r="A277" s="21" t="s">
        <v>1270</v>
      </c>
      <c r="C277" s="21" t="s">
        <v>2320</v>
      </c>
      <c r="D277" s="21" t="s">
        <v>2109</v>
      </c>
      <c r="E277" s="21" t="s">
        <v>2463</v>
      </c>
      <c r="F277" s="21" t="s">
        <v>2493</v>
      </c>
      <c r="G277" s="21" t="s">
        <v>2494</v>
      </c>
      <c r="J277" s="21" t="s">
        <v>50</v>
      </c>
      <c r="K277" s="21" t="s">
        <v>50</v>
      </c>
      <c r="L277" s="21" t="s">
        <v>956</v>
      </c>
      <c r="M277" s="21" t="s">
        <v>51</v>
      </c>
      <c r="N277" s="21">
        <v>27.311699999999998</v>
      </c>
      <c r="O277" s="74">
        <v>97.415289999999999</v>
      </c>
      <c r="P277" s="21" t="s">
        <v>957</v>
      </c>
      <c r="Q277" s="21" t="s">
        <v>329</v>
      </c>
      <c r="R277" s="21" t="s">
        <v>44</v>
      </c>
      <c r="S277" s="21" t="s">
        <v>945</v>
      </c>
      <c r="T277" s="75">
        <v>14</v>
      </c>
      <c r="U277" s="76">
        <v>75</v>
      </c>
      <c r="V277" s="21" t="s">
        <v>949</v>
      </c>
      <c r="W277" s="77" t="s">
        <v>1271</v>
      </c>
      <c r="X277" s="21" t="s">
        <v>1270</v>
      </c>
    </row>
    <row r="278" spans="1:24" ht="17.25" customHeight="1" x14ac:dyDescent="0.2">
      <c r="A278" s="21" t="s">
        <v>371</v>
      </c>
      <c r="B278" s="21" t="s">
        <v>2228</v>
      </c>
      <c r="C278" s="21" t="s">
        <v>2320</v>
      </c>
      <c r="D278" s="21" t="s">
        <v>1964</v>
      </c>
      <c r="E278" s="21" t="s">
        <v>2371</v>
      </c>
      <c r="F278" s="21" t="s">
        <v>2371</v>
      </c>
      <c r="G278" s="21" t="s">
        <v>2372</v>
      </c>
      <c r="H278" s="21" t="s">
        <v>48</v>
      </c>
      <c r="I278" s="21" t="s">
        <v>297</v>
      </c>
      <c r="J278" s="21" t="s">
        <v>50</v>
      </c>
      <c r="K278" s="21" t="s">
        <v>50</v>
      </c>
      <c r="L278" s="21" t="s">
        <v>50</v>
      </c>
      <c r="M278" s="21" t="s">
        <v>51</v>
      </c>
      <c r="N278" s="21">
        <v>24.200361000000001</v>
      </c>
      <c r="O278" s="74">
        <v>96.807353000000006</v>
      </c>
      <c r="P278" s="21" t="s">
        <v>944</v>
      </c>
      <c r="Q278" s="21" t="s">
        <v>370</v>
      </c>
      <c r="R278" s="21" t="s">
        <v>44</v>
      </c>
      <c r="S278" s="21" t="s">
        <v>966</v>
      </c>
      <c r="T278" s="75">
        <v>86</v>
      </c>
      <c r="U278" s="76">
        <v>314</v>
      </c>
      <c r="V278" s="21" t="s">
        <v>949</v>
      </c>
      <c r="W278" s="77"/>
      <c r="X278" s="21" t="s">
        <v>371</v>
      </c>
    </row>
    <row r="279" spans="1:24" ht="17.25" customHeight="1" x14ac:dyDescent="0.2">
      <c r="A279" s="21" t="s">
        <v>372</v>
      </c>
      <c r="B279" s="21" t="s">
        <v>2228</v>
      </c>
      <c r="C279" s="21" t="s">
        <v>2320</v>
      </c>
      <c r="D279" s="21" t="s">
        <v>1965</v>
      </c>
      <c r="E279" s="21" t="s">
        <v>2371</v>
      </c>
      <c r="F279" s="21" t="s">
        <v>2371</v>
      </c>
      <c r="G279" s="21" t="s">
        <v>2372</v>
      </c>
      <c r="H279" s="21" t="s">
        <v>48</v>
      </c>
      <c r="I279" s="21" t="s">
        <v>49</v>
      </c>
      <c r="J279" s="21" t="s">
        <v>50</v>
      </c>
      <c r="K279" s="21" t="s">
        <v>50</v>
      </c>
      <c r="L279" s="21" t="s">
        <v>50</v>
      </c>
      <c r="M279" s="21" t="s">
        <v>51</v>
      </c>
      <c r="N279" s="21">
        <v>24.200367</v>
      </c>
      <c r="O279" s="74">
        <v>96.807353000000006</v>
      </c>
      <c r="P279" s="21" t="s">
        <v>944</v>
      </c>
      <c r="Q279" s="21" t="s">
        <v>370</v>
      </c>
      <c r="R279" s="21" t="s">
        <v>44</v>
      </c>
      <c r="S279" s="21" t="s">
        <v>966</v>
      </c>
      <c r="T279" s="75">
        <v>46</v>
      </c>
      <c r="U279" s="76">
        <v>177</v>
      </c>
      <c r="V279" s="21" t="s">
        <v>949</v>
      </c>
      <c r="W279" s="77"/>
      <c r="X279" s="21" t="s">
        <v>372</v>
      </c>
    </row>
    <row r="280" spans="1:24" ht="17.25" customHeight="1" x14ac:dyDescent="0.2">
      <c r="A280" s="21" t="s">
        <v>955</v>
      </c>
      <c r="C280" s="21" t="s">
        <v>2320</v>
      </c>
      <c r="D280" s="21" t="s">
        <v>1568</v>
      </c>
      <c r="E280" s="21">
        <v>0</v>
      </c>
      <c r="F280" s="21">
        <v>0</v>
      </c>
      <c r="G280" s="21">
        <v>0</v>
      </c>
      <c r="J280" s="21" t="s">
        <v>50</v>
      </c>
      <c r="K280" s="21" t="s">
        <v>50</v>
      </c>
      <c r="L280" s="21" t="s">
        <v>956</v>
      </c>
      <c r="M280" s="21" t="s">
        <v>51</v>
      </c>
      <c r="N280" s="319"/>
      <c r="O280" s="319"/>
      <c r="P280" s="21" t="s">
        <v>957</v>
      </c>
      <c r="Q280" s="21" t="s">
        <v>370</v>
      </c>
      <c r="R280" s="21" t="s">
        <v>44</v>
      </c>
      <c r="S280" s="21" t="s">
        <v>945</v>
      </c>
      <c r="T280" s="75">
        <v>375</v>
      </c>
      <c r="U280" s="76">
        <v>1691</v>
      </c>
      <c r="V280" s="21" t="s">
        <v>949</v>
      </c>
      <c r="W280" s="77" t="s">
        <v>958</v>
      </c>
      <c r="X280" s="21" t="s">
        <v>955</v>
      </c>
    </row>
    <row r="281" spans="1:24" ht="17.25" customHeight="1" x14ac:dyDescent="0.2">
      <c r="A281" s="21" t="s">
        <v>343</v>
      </c>
      <c r="B281" s="21" t="s">
        <v>2228</v>
      </c>
      <c r="C281" s="21" t="s">
        <v>2320</v>
      </c>
      <c r="D281" s="21" t="s">
        <v>2103</v>
      </c>
      <c r="E281" s="21">
        <v>0</v>
      </c>
      <c r="F281" s="21">
        <v>0</v>
      </c>
      <c r="G281" s="21">
        <v>0</v>
      </c>
      <c r="H281" s="21" t="s">
        <v>48</v>
      </c>
      <c r="I281" s="21" t="s">
        <v>297</v>
      </c>
      <c r="J281" s="21" t="s">
        <v>50</v>
      </c>
      <c r="K281" s="21" t="s">
        <v>50</v>
      </c>
      <c r="L281" s="21" t="s">
        <v>50</v>
      </c>
      <c r="M281" s="21" t="s">
        <v>964</v>
      </c>
      <c r="N281" s="21">
        <v>26.548506</v>
      </c>
      <c r="O281" s="74">
        <v>97.75609</v>
      </c>
      <c r="P281" s="21" t="s">
        <v>944</v>
      </c>
      <c r="Q281" s="21" t="s">
        <v>340</v>
      </c>
      <c r="R281" s="21" t="s">
        <v>44</v>
      </c>
      <c r="S281" s="21" t="s">
        <v>945</v>
      </c>
      <c r="T281" s="75">
        <v>63</v>
      </c>
      <c r="U281" s="76">
        <v>325</v>
      </c>
      <c r="V281" s="21">
        <v>42788</v>
      </c>
      <c r="W281" s="77"/>
    </row>
    <row r="282" spans="1:24" ht="17.25" customHeight="1" x14ac:dyDescent="0.2">
      <c r="A282" s="21" t="s">
        <v>341</v>
      </c>
      <c r="B282" s="21" t="s">
        <v>2228</v>
      </c>
      <c r="C282" s="21" t="s">
        <v>2320</v>
      </c>
      <c r="D282" s="21" t="s">
        <v>2104</v>
      </c>
      <c r="E282" s="21">
        <v>0</v>
      </c>
      <c r="F282" s="21">
        <v>0</v>
      </c>
      <c r="G282" s="21">
        <v>0</v>
      </c>
      <c r="H282" s="21" t="s">
        <v>48</v>
      </c>
      <c r="I282" s="21" t="s">
        <v>297</v>
      </c>
      <c r="J282" s="21" t="s">
        <v>50</v>
      </c>
      <c r="K282" s="21" t="s">
        <v>50</v>
      </c>
      <c r="L282" s="21" t="s">
        <v>50</v>
      </c>
      <c r="M282" s="21" t="s">
        <v>964</v>
      </c>
      <c r="N282" s="21">
        <v>26.569633</v>
      </c>
      <c r="O282" s="74">
        <v>97.745480999999998</v>
      </c>
      <c r="P282" s="21" t="s">
        <v>944</v>
      </c>
      <c r="Q282" s="21" t="s">
        <v>340</v>
      </c>
      <c r="R282" s="21" t="s">
        <v>44</v>
      </c>
      <c r="S282" s="21" t="s">
        <v>945</v>
      </c>
      <c r="T282" s="75">
        <v>70</v>
      </c>
      <c r="U282" s="76">
        <v>407</v>
      </c>
      <c r="V282" s="21" t="s">
        <v>949</v>
      </c>
      <c r="W282" s="77"/>
      <c r="X282" s="21" t="s">
        <v>1261</v>
      </c>
    </row>
    <row r="283" spans="1:24" ht="17.25" customHeight="1" x14ac:dyDescent="0.2">
      <c r="A283" s="21" t="s">
        <v>340</v>
      </c>
      <c r="C283" s="21" t="s">
        <v>2320</v>
      </c>
      <c r="D283" s="21" t="s">
        <v>2102</v>
      </c>
      <c r="E283" s="21" t="s">
        <v>2491</v>
      </c>
      <c r="F283" s="21">
        <v>0</v>
      </c>
      <c r="G283" s="21">
        <v>0</v>
      </c>
      <c r="J283" s="21" t="s">
        <v>50</v>
      </c>
      <c r="K283" s="21" t="s">
        <v>50</v>
      </c>
      <c r="L283" s="21" t="s">
        <v>961</v>
      </c>
      <c r="M283" s="21" t="s">
        <v>51</v>
      </c>
      <c r="N283" s="21">
        <v>26.541930000000001</v>
      </c>
      <c r="O283" s="74">
        <v>97.568836000000005</v>
      </c>
      <c r="P283" s="21" t="s">
        <v>944</v>
      </c>
      <c r="Q283" s="21" t="s">
        <v>340</v>
      </c>
      <c r="R283" s="21" t="s">
        <v>44</v>
      </c>
      <c r="S283" s="21" t="s">
        <v>945</v>
      </c>
      <c r="T283" s="75">
        <v>5</v>
      </c>
      <c r="U283" s="76">
        <v>32</v>
      </c>
      <c r="V283" s="21" t="s">
        <v>949</v>
      </c>
      <c r="W283" s="77" t="s">
        <v>1260</v>
      </c>
      <c r="X283" s="21" t="s">
        <v>340</v>
      </c>
    </row>
    <row r="284" spans="1:24" ht="17.25" customHeight="1" x14ac:dyDescent="0.2">
      <c r="A284" s="21" t="s">
        <v>1329</v>
      </c>
      <c r="C284" s="21" t="s">
        <v>2320</v>
      </c>
      <c r="D284" s="21" t="s">
        <v>2129</v>
      </c>
      <c r="E284" s="21" t="s">
        <v>1330</v>
      </c>
      <c r="F284" s="21">
        <v>0</v>
      </c>
      <c r="G284" s="21">
        <v>0</v>
      </c>
      <c r="J284" s="21" t="s">
        <v>50</v>
      </c>
      <c r="K284" s="21" t="s">
        <v>50</v>
      </c>
      <c r="L284" s="21" t="s">
        <v>961</v>
      </c>
      <c r="M284" s="21" t="s">
        <v>51</v>
      </c>
      <c r="N284" s="319"/>
      <c r="O284" s="319"/>
      <c r="Q284" s="21" t="s">
        <v>1330</v>
      </c>
      <c r="R284" s="21" t="s">
        <v>44</v>
      </c>
      <c r="S284" s="21" t="s">
        <v>1112</v>
      </c>
      <c r="T284" s="75">
        <v>52</v>
      </c>
      <c r="U284" s="76">
        <v>219</v>
      </c>
      <c r="V284" s="21">
        <v>42983</v>
      </c>
      <c r="W284" s="77" t="s">
        <v>1331</v>
      </c>
    </row>
    <row r="285" spans="1:24" ht="17.25" customHeight="1" x14ac:dyDescent="0.2">
      <c r="A285" s="21" t="s">
        <v>1332</v>
      </c>
      <c r="C285" s="21" t="s">
        <v>2320</v>
      </c>
      <c r="D285" s="21" t="s">
        <v>2130</v>
      </c>
      <c r="E285" s="21" t="s">
        <v>1330</v>
      </c>
      <c r="F285" s="21">
        <v>0</v>
      </c>
      <c r="G285" s="21">
        <v>0</v>
      </c>
      <c r="J285" s="21" t="s">
        <v>50</v>
      </c>
      <c r="K285" s="21" t="s">
        <v>50</v>
      </c>
      <c r="L285" s="21" t="s">
        <v>961</v>
      </c>
      <c r="M285" s="21" t="s">
        <v>51</v>
      </c>
      <c r="N285" s="319"/>
      <c r="O285" s="319"/>
      <c r="Q285" s="21" t="s">
        <v>1330</v>
      </c>
      <c r="R285" s="21" t="s">
        <v>44</v>
      </c>
      <c r="S285" s="21" t="s">
        <v>1112</v>
      </c>
      <c r="T285" s="75">
        <v>36</v>
      </c>
      <c r="U285" s="76">
        <v>137</v>
      </c>
      <c r="V285" s="21">
        <v>42983</v>
      </c>
      <c r="W285" s="77" t="s">
        <v>1331</v>
      </c>
    </row>
    <row r="286" spans="1:24" ht="17.25" customHeight="1" x14ac:dyDescent="0.2">
      <c r="A286" s="21" t="s">
        <v>1333</v>
      </c>
      <c r="C286" s="21" t="s">
        <v>2320</v>
      </c>
      <c r="D286" s="21" t="s">
        <v>2131</v>
      </c>
      <c r="E286" s="21" t="s">
        <v>1330</v>
      </c>
      <c r="F286" s="21">
        <v>0</v>
      </c>
      <c r="G286" s="21">
        <v>0</v>
      </c>
      <c r="J286" s="21" t="s">
        <v>50</v>
      </c>
      <c r="K286" s="21" t="s">
        <v>50</v>
      </c>
      <c r="L286" s="21" t="s">
        <v>961</v>
      </c>
      <c r="M286" s="21" t="s">
        <v>51</v>
      </c>
      <c r="N286" s="319"/>
      <c r="O286" s="319"/>
      <c r="Q286" s="21" t="s">
        <v>1330</v>
      </c>
      <c r="R286" s="21" t="s">
        <v>44</v>
      </c>
      <c r="S286" s="21" t="s">
        <v>1112</v>
      </c>
      <c r="T286" s="75">
        <v>157</v>
      </c>
      <c r="U286" s="76">
        <v>486</v>
      </c>
      <c r="V286" s="21">
        <v>42983</v>
      </c>
      <c r="W286" s="77" t="s">
        <v>1334</v>
      </c>
    </row>
    <row r="287" spans="1:24" ht="17.25" customHeight="1" x14ac:dyDescent="0.2">
      <c r="A287" s="21" t="s">
        <v>1335</v>
      </c>
      <c r="C287" s="21" t="s">
        <v>2320</v>
      </c>
      <c r="D287" s="21" t="s">
        <v>2132</v>
      </c>
      <c r="E287" s="21" t="s">
        <v>1330</v>
      </c>
      <c r="F287" s="21">
        <v>0</v>
      </c>
      <c r="G287" s="21">
        <v>0</v>
      </c>
      <c r="J287" s="21" t="s">
        <v>50</v>
      </c>
      <c r="K287" s="21" t="s">
        <v>50</v>
      </c>
      <c r="L287" s="21" t="s">
        <v>961</v>
      </c>
      <c r="M287" s="21" t="s">
        <v>51</v>
      </c>
      <c r="N287" s="319"/>
      <c r="O287" s="319"/>
      <c r="Q287" s="21" t="s">
        <v>1330</v>
      </c>
      <c r="R287" s="21" t="s">
        <v>44</v>
      </c>
      <c r="S287" s="21" t="s">
        <v>1112</v>
      </c>
      <c r="T287" s="75">
        <v>44</v>
      </c>
      <c r="U287" s="76">
        <v>150</v>
      </c>
      <c r="V287" s="21">
        <v>42983</v>
      </c>
      <c r="W287" s="77" t="s">
        <v>1334</v>
      </c>
    </row>
    <row r="288" spans="1:24" ht="17.25" customHeight="1" x14ac:dyDescent="0.2">
      <c r="A288" s="21" t="s">
        <v>380</v>
      </c>
      <c r="B288" s="21" t="s">
        <v>2228</v>
      </c>
      <c r="C288" s="21" t="s">
        <v>2320</v>
      </c>
      <c r="D288" s="21" t="s">
        <v>2004</v>
      </c>
      <c r="E288" s="21" t="s">
        <v>2292</v>
      </c>
      <c r="F288" s="21">
        <v>0</v>
      </c>
      <c r="G288" s="21">
        <v>0</v>
      </c>
      <c r="J288" s="21" t="s">
        <v>50</v>
      </c>
      <c r="K288" s="21" t="s">
        <v>50</v>
      </c>
      <c r="L288" s="21" t="s">
        <v>1216</v>
      </c>
      <c r="M288" s="21" t="s">
        <v>964</v>
      </c>
      <c r="N288" s="21">
        <v>24.752471</v>
      </c>
      <c r="O288" s="74">
        <v>97.541793999999996</v>
      </c>
      <c r="P288" s="21" t="s">
        <v>944</v>
      </c>
      <c r="Q288" s="21" t="s">
        <v>298</v>
      </c>
      <c r="R288" s="21" t="s">
        <v>44</v>
      </c>
      <c r="S288" s="21" t="s">
        <v>945</v>
      </c>
      <c r="T288" s="75">
        <v>0</v>
      </c>
      <c r="U288" s="76">
        <v>872</v>
      </c>
      <c r="V288" s="21" t="s">
        <v>949</v>
      </c>
      <c r="W288" s="77"/>
      <c r="X288" s="21" t="s">
        <v>380</v>
      </c>
    </row>
    <row r="289" spans="1:24" ht="17.25" customHeight="1" x14ac:dyDescent="0.2">
      <c r="A289" s="21" t="s">
        <v>377</v>
      </c>
      <c r="B289" s="21" t="s">
        <v>2228</v>
      </c>
      <c r="C289" s="21" t="s">
        <v>2320</v>
      </c>
      <c r="D289" s="21" t="s">
        <v>2005</v>
      </c>
      <c r="E289" s="21" t="s">
        <v>2292</v>
      </c>
      <c r="F289" s="21" t="s">
        <v>2292</v>
      </c>
      <c r="G289" s="21">
        <v>165772</v>
      </c>
      <c r="H289" s="21" t="s">
        <v>48</v>
      </c>
      <c r="I289" s="21" t="s">
        <v>1565</v>
      </c>
      <c r="J289" s="21" t="s">
        <v>50</v>
      </c>
      <c r="K289" s="21" t="s">
        <v>50</v>
      </c>
      <c r="L289" s="21" t="s">
        <v>50</v>
      </c>
      <c r="M289" s="21" t="s">
        <v>964</v>
      </c>
      <c r="N289" s="21">
        <v>24.755253</v>
      </c>
      <c r="O289" s="74">
        <v>97.546893999999995</v>
      </c>
      <c r="P289" s="21" t="s">
        <v>944</v>
      </c>
      <c r="Q289" s="21" t="s">
        <v>298</v>
      </c>
      <c r="R289" s="21" t="s">
        <v>44</v>
      </c>
      <c r="S289" s="21" t="s">
        <v>966</v>
      </c>
      <c r="T289" s="75">
        <v>1401</v>
      </c>
      <c r="U289" s="76">
        <v>6872</v>
      </c>
      <c r="V289" s="21" t="s">
        <v>949</v>
      </c>
      <c r="W289" s="77"/>
      <c r="X289" s="21" t="s">
        <v>377</v>
      </c>
    </row>
    <row r="290" spans="1:24" ht="17.25" customHeight="1" x14ac:dyDescent="0.2">
      <c r="A290" s="21" t="s">
        <v>336</v>
      </c>
      <c r="B290" s="21" t="s">
        <v>2228</v>
      </c>
      <c r="C290" s="21" t="s">
        <v>2320</v>
      </c>
      <c r="D290" s="21" t="s">
        <v>2009</v>
      </c>
      <c r="E290" s="21" t="s">
        <v>2402</v>
      </c>
      <c r="F290" s="21" t="s">
        <v>2403</v>
      </c>
      <c r="G290" s="21">
        <v>165792</v>
      </c>
      <c r="H290" s="21" t="s">
        <v>48</v>
      </c>
      <c r="I290" s="21" t="s">
        <v>297</v>
      </c>
      <c r="J290" s="21" t="s">
        <v>50</v>
      </c>
      <c r="K290" s="21" t="s">
        <v>1155</v>
      </c>
      <c r="L290" s="21" t="s">
        <v>50</v>
      </c>
      <c r="M290" s="21" t="s">
        <v>964</v>
      </c>
      <c r="N290" s="21">
        <v>24.831944</v>
      </c>
      <c r="O290" s="74">
        <v>97.751389000000003</v>
      </c>
      <c r="P290" s="21" t="s">
        <v>944</v>
      </c>
      <c r="Q290" s="21" t="s">
        <v>298</v>
      </c>
      <c r="R290" s="21" t="s">
        <v>44</v>
      </c>
      <c r="S290" s="21" t="s">
        <v>966</v>
      </c>
      <c r="T290" s="75">
        <v>186</v>
      </c>
      <c r="U290" s="76">
        <v>858</v>
      </c>
      <c r="V290" s="21" t="s">
        <v>949</v>
      </c>
      <c r="W290" s="77" t="s">
        <v>1221</v>
      </c>
      <c r="X290" s="21" t="s">
        <v>1222</v>
      </c>
    </row>
    <row r="291" spans="1:24" ht="17.25" customHeight="1" x14ac:dyDescent="0.2">
      <c r="A291" s="21" t="s">
        <v>333</v>
      </c>
      <c r="B291" s="21" t="s">
        <v>2228</v>
      </c>
      <c r="C291" s="21" t="s">
        <v>2320</v>
      </c>
      <c r="D291" s="21" t="s">
        <v>2010</v>
      </c>
      <c r="E291" s="21" t="s">
        <v>2402</v>
      </c>
      <c r="F291" s="21" t="s">
        <v>2404</v>
      </c>
      <c r="G291" s="21">
        <v>165790</v>
      </c>
      <c r="H291" s="21" t="s">
        <v>48</v>
      </c>
      <c r="I291" s="21" t="s">
        <v>1565</v>
      </c>
      <c r="J291" s="21" t="s">
        <v>50</v>
      </c>
      <c r="K291" s="21" t="s">
        <v>1155</v>
      </c>
      <c r="L291" s="21" t="s">
        <v>50</v>
      </c>
      <c r="M291" s="21" t="s">
        <v>964</v>
      </c>
      <c r="N291" s="21">
        <v>24.980250000000002</v>
      </c>
      <c r="O291" s="74">
        <v>97.715230000000005</v>
      </c>
      <c r="P291" s="21" t="s">
        <v>944</v>
      </c>
      <c r="Q291" s="21" t="s">
        <v>298</v>
      </c>
      <c r="R291" s="21" t="s">
        <v>44</v>
      </c>
      <c r="S291" s="21" t="s">
        <v>966</v>
      </c>
      <c r="T291" s="75">
        <v>437</v>
      </c>
      <c r="U291" s="76">
        <v>1937</v>
      </c>
      <c r="V291" s="21" t="s">
        <v>949</v>
      </c>
      <c r="W291" s="77" t="s">
        <v>1221</v>
      </c>
      <c r="X291" s="21" t="s">
        <v>333</v>
      </c>
    </row>
    <row r="292" spans="1:24" ht="17.25" customHeight="1" x14ac:dyDescent="0.2">
      <c r="A292" s="21" t="s">
        <v>331</v>
      </c>
      <c r="B292" s="21" t="s">
        <v>2228</v>
      </c>
      <c r="C292" s="21" t="s">
        <v>2320</v>
      </c>
      <c r="D292" s="21" t="s">
        <v>2016</v>
      </c>
      <c r="E292" s="21" t="s">
        <v>2405</v>
      </c>
      <c r="F292" s="21" t="s">
        <v>2406</v>
      </c>
      <c r="G292" s="21">
        <v>0</v>
      </c>
      <c r="H292" s="21" t="s">
        <v>48</v>
      </c>
      <c r="I292" s="21" t="s">
        <v>297</v>
      </c>
      <c r="J292" s="21" t="s">
        <v>50</v>
      </c>
      <c r="K292" s="21" t="s">
        <v>50</v>
      </c>
      <c r="L292" s="21" t="s">
        <v>50</v>
      </c>
      <c r="M292" s="21" t="s">
        <v>964</v>
      </c>
      <c r="N292" s="21">
        <v>25.200333000000001</v>
      </c>
      <c r="O292" s="74">
        <v>97.807182999999995</v>
      </c>
      <c r="P292" s="21" t="s">
        <v>944</v>
      </c>
      <c r="Q292" s="21" t="s">
        <v>298</v>
      </c>
      <c r="R292" s="21" t="s">
        <v>44</v>
      </c>
      <c r="S292" s="21" t="s">
        <v>966</v>
      </c>
      <c r="T292" s="75">
        <v>149</v>
      </c>
      <c r="U292" s="76">
        <v>830</v>
      </c>
      <c r="V292" s="21" t="s">
        <v>949</v>
      </c>
      <c r="W292" s="77"/>
      <c r="X292" s="21" t="s">
        <v>331</v>
      </c>
    </row>
    <row r="293" spans="1:24" ht="17.25" customHeight="1" x14ac:dyDescent="0.2">
      <c r="A293" s="21" t="s">
        <v>393</v>
      </c>
      <c r="B293" s="21" t="s">
        <v>2228</v>
      </c>
      <c r="C293" s="21" t="s">
        <v>2320</v>
      </c>
      <c r="D293" s="21" t="s">
        <v>2017</v>
      </c>
      <c r="E293" s="21" t="s">
        <v>2407</v>
      </c>
      <c r="F293" s="21" t="s">
        <v>2405</v>
      </c>
      <c r="G293" s="21">
        <v>165895</v>
      </c>
      <c r="H293" s="21" t="s">
        <v>48</v>
      </c>
      <c r="I293" s="21" t="s">
        <v>1565</v>
      </c>
      <c r="J293" s="21" t="s">
        <v>50</v>
      </c>
      <c r="K293" s="21" t="s">
        <v>50</v>
      </c>
      <c r="L293" s="21" t="s">
        <v>50</v>
      </c>
      <c r="M293" s="21" t="s">
        <v>964</v>
      </c>
      <c r="N293" s="21">
        <v>25.220278</v>
      </c>
      <c r="O293" s="74">
        <v>97.915833000000006</v>
      </c>
      <c r="P293" s="21" t="s">
        <v>944</v>
      </c>
      <c r="Q293" s="21" t="s">
        <v>298</v>
      </c>
      <c r="R293" s="21" t="s">
        <v>44</v>
      </c>
      <c r="S293" s="21" t="s">
        <v>966</v>
      </c>
      <c r="T293" s="75">
        <v>152</v>
      </c>
      <c r="U293" s="76">
        <v>584</v>
      </c>
      <c r="V293" s="21" t="s">
        <v>949</v>
      </c>
      <c r="W293" s="77"/>
      <c r="X293" s="21" t="s">
        <v>393</v>
      </c>
    </row>
    <row r="294" spans="1:24" ht="17.25" customHeight="1" x14ac:dyDescent="0.2">
      <c r="A294" s="21" t="s">
        <v>395</v>
      </c>
      <c r="B294" s="21" t="s">
        <v>2228</v>
      </c>
      <c r="C294" s="21" t="s">
        <v>2320</v>
      </c>
      <c r="D294" s="21" t="s">
        <v>2020</v>
      </c>
      <c r="E294" s="21" t="s">
        <v>2405</v>
      </c>
      <c r="F294" s="21" t="s">
        <v>2405</v>
      </c>
      <c r="G294" s="21">
        <v>165895</v>
      </c>
      <c r="H294" s="21" t="s">
        <v>48</v>
      </c>
      <c r="I294" s="21" t="s">
        <v>1565</v>
      </c>
      <c r="J294" s="21" t="s">
        <v>50</v>
      </c>
      <c r="K294" s="21" t="s">
        <v>50</v>
      </c>
      <c r="L294" s="21" t="s">
        <v>50</v>
      </c>
      <c r="M294" s="21" t="s">
        <v>964</v>
      </c>
      <c r="N294" s="21">
        <v>25.265277999999999</v>
      </c>
      <c r="O294" s="74">
        <v>97.990555999999998</v>
      </c>
      <c r="P294" s="21" t="s">
        <v>944</v>
      </c>
      <c r="Q294" s="21" t="s">
        <v>298</v>
      </c>
      <c r="R294" s="21" t="s">
        <v>44</v>
      </c>
      <c r="S294" s="21" t="s">
        <v>966</v>
      </c>
      <c r="T294" s="75">
        <v>100</v>
      </c>
      <c r="U294" s="76">
        <v>612</v>
      </c>
      <c r="V294" s="21" t="s">
        <v>949</v>
      </c>
      <c r="W294" s="77"/>
      <c r="X294" s="21" t="s">
        <v>395</v>
      </c>
    </row>
    <row r="295" spans="1:24" ht="17.25" customHeight="1" x14ac:dyDescent="0.2">
      <c r="A295" s="21" t="s">
        <v>428</v>
      </c>
      <c r="B295" s="21" t="s">
        <v>2228</v>
      </c>
      <c r="C295" s="21" t="s">
        <v>2320</v>
      </c>
      <c r="D295" s="21" t="s">
        <v>2026</v>
      </c>
      <c r="E295" s="21" t="s">
        <v>2414</v>
      </c>
      <c r="F295" s="21" t="s">
        <v>2414</v>
      </c>
      <c r="G295" s="21">
        <v>165735</v>
      </c>
      <c r="H295" s="21" t="s">
        <v>48</v>
      </c>
      <c r="I295" s="21" t="s">
        <v>399</v>
      </c>
      <c r="J295" s="21" t="s">
        <v>50</v>
      </c>
      <c r="K295" s="21" t="s">
        <v>50</v>
      </c>
      <c r="L295" s="21" t="s">
        <v>50</v>
      </c>
      <c r="M295" s="21" t="s">
        <v>51</v>
      </c>
      <c r="N295" s="21">
        <v>25.321710740740698</v>
      </c>
      <c r="O295" s="74">
        <v>97.404195925926004</v>
      </c>
      <c r="P295" s="21" t="s">
        <v>944</v>
      </c>
      <c r="Q295" s="21" t="s">
        <v>298</v>
      </c>
      <c r="R295" s="21" t="s">
        <v>44</v>
      </c>
      <c r="S295" s="21" t="s">
        <v>966</v>
      </c>
      <c r="T295" s="75">
        <v>103</v>
      </c>
      <c r="U295" s="76">
        <v>503</v>
      </c>
      <c r="V295" s="21" t="s">
        <v>949</v>
      </c>
      <c r="W295" s="77"/>
      <c r="X295" s="21" t="s">
        <v>428</v>
      </c>
    </row>
    <row r="296" spans="1:24" ht="17.25" customHeight="1" x14ac:dyDescent="0.2">
      <c r="A296" s="21" t="s">
        <v>434</v>
      </c>
      <c r="B296" s="21" t="s">
        <v>2228</v>
      </c>
      <c r="C296" s="21" t="s">
        <v>2320</v>
      </c>
      <c r="D296" s="21" t="s">
        <v>2027</v>
      </c>
      <c r="E296" s="21" t="s">
        <v>2299</v>
      </c>
      <c r="F296" s="21" t="s">
        <v>2415</v>
      </c>
      <c r="G296" s="21" t="s">
        <v>2416</v>
      </c>
      <c r="H296" s="21" t="s">
        <v>48</v>
      </c>
      <c r="I296" s="21" t="s">
        <v>399</v>
      </c>
      <c r="J296" s="21" t="s">
        <v>50</v>
      </c>
      <c r="K296" s="21" t="s">
        <v>50</v>
      </c>
      <c r="L296" s="21" t="s">
        <v>50</v>
      </c>
      <c r="M296" s="21" t="s">
        <v>51</v>
      </c>
      <c r="N296" s="21">
        <v>25.333683333333301</v>
      </c>
      <c r="O296" s="74">
        <v>97.428251153846105</v>
      </c>
      <c r="P296" s="21" t="s">
        <v>944</v>
      </c>
      <c r="Q296" s="21" t="s">
        <v>298</v>
      </c>
      <c r="R296" s="21" t="s">
        <v>44</v>
      </c>
      <c r="S296" s="21" t="s">
        <v>966</v>
      </c>
      <c r="T296" s="75">
        <v>46</v>
      </c>
      <c r="U296" s="76">
        <v>190</v>
      </c>
      <c r="V296" s="21" t="s">
        <v>949</v>
      </c>
      <c r="W296" s="77"/>
      <c r="X296" s="21" t="s">
        <v>434</v>
      </c>
    </row>
    <row r="297" spans="1:24" ht="17.25" customHeight="1" x14ac:dyDescent="0.2">
      <c r="A297" s="21" t="s">
        <v>432</v>
      </c>
      <c r="B297" s="21" t="s">
        <v>2228</v>
      </c>
      <c r="C297" s="21" t="s">
        <v>2320</v>
      </c>
      <c r="D297" s="21" t="s">
        <v>2028</v>
      </c>
      <c r="E297" s="21" t="s">
        <v>2299</v>
      </c>
      <c r="F297" s="21" t="s">
        <v>2358</v>
      </c>
      <c r="G297" s="21" t="s">
        <v>2417</v>
      </c>
      <c r="H297" s="21" t="s">
        <v>48</v>
      </c>
      <c r="I297" s="21" t="s">
        <v>399</v>
      </c>
      <c r="J297" s="21" t="s">
        <v>50</v>
      </c>
      <c r="K297" s="21" t="s">
        <v>50</v>
      </c>
      <c r="L297" s="21" t="s">
        <v>50</v>
      </c>
      <c r="M297" s="21" t="s">
        <v>51</v>
      </c>
      <c r="N297" s="21">
        <v>25.345918166666699</v>
      </c>
      <c r="O297" s="74">
        <v>97.437472666666693</v>
      </c>
      <c r="P297" s="21" t="s">
        <v>944</v>
      </c>
      <c r="Q297" s="21" t="s">
        <v>298</v>
      </c>
      <c r="R297" s="21" t="s">
        <v>44</v>
      </c>
      <c r="S297" s="21" t="s">
        <v>966</v>
      </c>
      <c r="T297" s="75">
        <v>29</v>
      </c>
      <c r="U297" s="76">
        <v>160</v>
      </c>
      <c r="V297" s="21" t="s">
        <v>949</v>
      </c>
      <c r="W297" s="77"/>
      <c r="X297" s="21" t="s">
        <v>432</v>
      </c>
    </row>
    <row r="298" spans="1:24" ht="17.25" customHeight="1" x14ac:dyDescent="0.2">
      <c r="A298" s="21" t="s">
        <v>433</v>
      </c>
      <c r="B298" s="21" t="s">
        <v>2228</v>
      </c>
      <c r="C298" s="21" t="s">
        <v>2320</v>
      </c>
      <c r="D298" s="21" t="s">
        <v>2029</v>
      </c>
      <c r="E298" s="21" t="s">
        <v>2299</v>
      </c>
      <c r="F298" s="21" t="s">
        <v>2415</v>
      </c>
      <c r="G298" s="21" t="s">
        <v>2416</v>
      </c>
      <c r="H298" s="21" t="s">
        <v>48</v>
      </c>
      <c r="I298" s="21" t="s">
        <v>399</v>
      </c>
      <c r="J298" s="21" t="s">
        <v>50</v>
      </c>
      <c r="K298" s="21" t="s">
        <v>50</v>
      </c>
      <c r="L298" s="21" t="s">
        <v>50</v>
      </c>
      <c r="M298" s="21" t="s">
        <v>51</v>
      </c>
      <c r="N298" s="21">
        <v>25.350809000000002</v>
      </c>
      <c r="O298" s="74">
        <v>97.432495000000003</v>
      </c>
      <c r="P298" s="21" t="s">
        <v>944</v>
      </c>
      <c r="Q298" s="21" t="s">
        <v>298</v>
      </c>
      <c r="R298" s="21" t="s">
        <v>44</v>
      </c>
      <c r="S298" s="21" t="s">
        <v>966</v>
      </c>
      <c r="T298" s="75">
        <v>90</v>
      </c>
      <c r="U298" s="76">
        <v>492</v>
      </c>
      <c r="V298" s="21" t="s">
        <v>949</v>
      </c>
      <c r="W298" s="77"/>
      <c r="X298" s="21" t="s">
        <v>433</v>
      </c>
    </row>
    <row r="299" spans="1:24" ht="17.25" customHeight="1" x14ac:dyDescent="0.2">
      <c r="A299" s="21" t="s">
        <v>435</v>
      </c>
      <c r="B299" s="21" t="s">
        <v>2228</v>
      </c>
      <c r="C299" s="21" t="s">
        <v>2320</v>
      </c>
      <c r="D299" s="21" t="s">
        <v>2031</v>
      </c>
      <c r="E299" s="21" t="s">
        <v>2299</v>
      </c>
      <c r="F299" s="21" t="s">
        <v>2358</v>
      </c>
      <c r="G299" s="21" t="s">
        <v>2417</v>
      </c>
      <c r="H299" s="21" t="s">
        <v>48</v>
      </c>
      <c r="I299" s="21" t="s">
        <v>399</v>
      </c>
      <c r="J299" s="21" t="s">
        <v>50</v>
      </c>
      <c r="K299" s="21" t="s">
        <v>50</v>
      </c>
      <c r="L299" s="21" t="s">
        <v>50</v>
      </c>
      <c r="M299" s="21" t="s">
        <v>51</v>
      </c>
      <c r="N299" s="21">
        <v>25.351250396825399</v>
      </c>
      <c r="O299" s="74">
        <v>97.444283730158702</v>
      </c>
      <c r="P299" s="21" t="s">
        <v>944</v>
      </c>
      <c r="Q299" s="21" t="s">
        <v>298</v>
      </c>
      <c r="R299" s="21" t="s">
        <v>44</v>
      </c>
      <c r="S299" s="21" t="s">
        <v>966</v>
      </c>
      <c r="T299" s="75">
        <v>69</v>
      </c>
      <c r="U299" s="76">
        <v>286</v>
      </c>
      <c r="V299" s="21" t="s">
        <v>949</v>
      </c>
      <c r="W299" s="77"/>
      <c r="X299" s="21" t="s">
        <v>435</v>
      </c>
    </row>
    <row r="300" spans="1:24" ht="17.25" customHeight="1" x14ac:dyDescent="0.2">
      <c r="A300" s="21" t="s">
        <v>337</v>
      </c>
      <c r="B300" s="21" t="s">
        <v>2228</v>
      </c>
      <c r="C300" s="21" t="s">
        <v>2320</v>
      </c>
      <c r="D300" s="21" t="s">
        <v>2032</v>
      </c>
      <c r="E300" s="21" t="s">
        <v>2299</v>
      </c>
      <c r="F300" s="21" t="s">
        <v>2288</v>
      </c>
      <c r="G300" s="21" t="s">
        <v>2300</v>
      </c>
      <c r="H300" s="21" t="s">
        <v>48</v>
      </c>
      <c r="I300" s="21" t="s">
        <v>297</v>
      </c>
      <c r="J300" s="21" t="s">
        <v>50</v>
      </c>
      <c r="K300" s="21" t="s">
        <v>50</v>
      </c>
      <c r="L300" s="21" t="s">
        <v>50</v>
      </c>
      <c r="M300" s="21" t="s">
        <v>51</v>
      </c>
      <c r="N300" s="21">
        <v>25.351724999999998</v>
      </c>
      <c r="O300" s="74">
        <v>97.438432380952406</v>
      </c>
      <c r="P300" s="21" t="s">
        <v>944</v>
      </c>
      <c r="Q300" s="21" t="s">
        <v>298</v>
      </c>
      <c r="R300" s="21" t="s">
        <v>44</v>
      </c>
      <c r="S300" s="21" t="s">
        <v>966</v>
      </c>
      <c r="T300" s="75">
        <v>65</v>
      </c>
      <c r="U300" s="76">
        <v>323</v>
      </c>
      <c r="V300" s="21" t="s">
        <v>949</v>
      </c>
      <c r="W300" s="77"/>
      <c r="X300" s="21" t="s">
        <v>337</v>
      </c>
    </row>
    <row r="301" spans="1:24" ht="17.25" customHeight="1" x14ac:dyDescent="0.2">
      <c r="A301" s="21" t="s">
        <v>430</v>
      </c>
      <c r="B301" s="21" t="s">
        <v>2228</v>
      </c>
      <c r="C301" s="21" t="s">
        <v>2320</v>
      </c>
      <c r="D301" s="21" t="s">
        <v>2033</v>
      </c>
      <c r="E301" s="21" t="s">
        <v>2420</v>
      </c>
      <c r="F301" s="21" t="s">
        <v>2421</v>
      </c>
      <c r="G301" s="21">
        <v>165745</v>
      </c>
      <c r="H301" s="21" t="s">
        <v>48</v>
      </c>
      <c r="I301" s="21" t="s">
        <v>399</v>
      </c>
      <c r="J301" s="21" t="s">
        <v>50</v>
      </c>
      <c r="K301" s="21" t="s">
        <v>50</v>
      </c>
      <c r="L301" s="21" t="s">
        <v>50</v>
      </c>
      <c r="M301" s="21" t="s">
        <v>51</v>
      </c>
      <c r="N301" s="21">
        <v>25.351965</v>
      </c>
      <c r="O301" s="74">
        <v>97.345039</v>
      </c>
      <c r="P301" s="21" t="s">
        <v>944</v>
      </c>
      <c r="Q301" s="21" t="s">
        <v>298</v>
      </c>
      <c r="R301" s="21" t="s">
        <v>44</v>
      </c>
      <c r="S301" s="21" t="s">
        <v>966</v>
      </c>
      <c r="T301" s="75">
        <v>20</v>
      </c>
      <c r="U301" s="76">
        <v>86</v>
      </c>
      <c r="V301" s="21" t="s">
        <v>949</v>
      </c>
      <c r="W301" s="77"/>
      <c r="X301" s="21" t="s">
        <v>430</v>
      </c>
    </row>
    <row r="302" spans="1:24" ht="17.25" customHeight="1" x14ac:dyDescent="0.2">
      <c r="A302" s="21" t="s">
        <v>431</v>
      </c>
      <c r="B302" s="21" t="s">
        <v>2228</v>
      </c>
      <c r="C302" s="21" t="s">
        <v>2320</v>
      </c>
      <c r="D302" s="21" t="s">
        <v>2034</v>
      </c>
      <c r="E302" s="21" t="s">
        <v>2299</v>
      </c>
      <c r="F302" s="21" t="s">
        <v>2288</v>
      </c>
      <c r="G302" s="21" t="s">
        <v>2300</v>
      </c>
      <c r="H302" s="21" t="s">
        <v>48</v>
      </c>
      <c r="I302" s="21" t="s">
        <v>399</v>
      </c>
      <c r="J302" s="21" t="s">
        <v>50</v>
      </c>
      <c r="K302" s="21" t="s">
        <v>50</v>
      </c>
      <c r="L302" s="21" t="s">
        <v>50</v>
      </c>
      <c r="M302" s="21" t="s">
        <v>51</v>
      </c>
      <c r="N302" s="21">
        <v>25.3540362037037</v>
      </c>
      <c r="O302" s="74">
        <v>97.441166388888902</v>
      </c>
      <c r="P302" s="21" t="s">
        <v>944</v>
      </c>
      <c r="Q302" s="21" t="s">
        <v>298</v>
      </c>
      <c r="R302" s="21" t="s">
        <v>44</v>
      </c>
      <c r="S302" s="21" t="s">
        <v>966</v>
      </c>
      <c r="T302" s="75">
        <v>115</v>
      </c>
      <c r="U302" s="76">
        <v>460</v>
      </c>
      <c r="V302" s="21" t="s">
        <v>949</v>
      </c>
      <c r="W302" s="77"/>
      <c r="X302" s="21" t="s">
        <v>431</v>
      </c>
    </row>
    <row r="303" spans="1:24" ht="17.25" customHeight="1" x14ac:dyDescent="0.2">
      <c r="A303" s="21" t="s">
        <v>332</v>
      </c>
      <c r="B303" s="21" t="s">
        <v>2228</v>
      </c>
      <c r="C303" s="21" t="s">
        <v>2320</v>
      </c>
      <c r="D303" s="21" t="s">
        <v>2036</v>
      </c>
      <c r="E303" s="21" t="s">
        <v>2422</v>
      </c>
      <c r="F303" s="21" t="s">
        <v>2423</v>
      </c>
      <c r="G303" s="21">
        <v>165730</v>
      </c>
      <c r="H303" s="21" t="s">
        <v>48</v>
      </c>
      <c r="I303" s="21" t="s">
        <v>297</v>
      </c>
      <c r="J303" s="21" t="s">
        <v>50</v>
      </c>
      <c r="K303" s="21" t="s">
        <v>50</v>
      </c>
      <c r="L303" s="21" t="s">
        <v>50</v>
      </c>
      <c r="M303" s="21" t="s">
        <v>51</v>
      </c>
      <c r="N303" s="21">
        <v>25.356632000000001</v>
      </c>
      <c r="O303" s="74">
        <v>97.451965000000001</v>
      </c>
      <c r="P303" s="21" t="s">
        <v>944</v>
      </c>
      <c r="Q303" s="21" t="s">
        <v>298</v>
      </c>
      <c r="R303" s="21" t="s">
        <v>44</v>
      </c>
      <c r="S303" s="21" t="s">
        <v>966</v>
      </c>
      <c r="T303" s="75">
        <v>30</v>
      </c>
      <c r="U303" s="76">
        <v>165</v>
      </c>
      <c r="V303" s="21" t="s">
        <v>949</v>
      </c>
      <c r="W303" s="77"/>
      <c r="X303" s="21" t="s">
        <v>332</v>
      </c>
    </row>
    <row r="304" spans="1:24" ht="17.25" customHeight="1" x14ac:dyDescent="0.2">
      <c r="A304" s="21" t="s">
        <v>335</v>
      </c>
      <c r="B304" s="21" t="s">
        <v>2228</v>
      </c>
      <c r="C304" s="21" t="s">
        <v>2320</v>
      </c>
      <c r="D304" s="21" t="s">
        <v>2051</v>
      </c>
      <c r="E304" s="21" t="s">
        <v>2433</v>
      </c>
      <c r="F304" s="21" t="s">
        <v>2433</v>
      </c>
      <c r="G304" s="21">
        <v>165740</v>
      </c>
      <c r="H304" s="21" t="s">
        <v>48</v>
      </c>
      <c r="I304" s="21" t="s">
        <v>297</v>
      </c>
      <c r="J304" s="21" t="s">
        <v>50</v>
      </c>
      <c r="K304" s="21" t="s">
        <v>50</v>
      </c>
      <c r="L304" s="21" t="s">
        <v>50</v>
      </c>
      <c r="M304" s="21" t="s">
        <v>51</v>
      </c>
      <c r="N304" s="21">
        <v>25.409612685185198</v>
      </c>
      <c r="O304" s="74">
        <v>97.426536944444507</v>
      </c>
      <c r="P304" s="21" t="s">
        <v>944</v>
      </c>
      <c r="Q304" s="21" t="s">
        <v>298</v>
      </c>
      <c r="R304" s="21" t="s">
        <v>44</v>
      </c>
      <c r="S304" s="21" t="s">
        <v>966</v>
      </c>
      <c r="T304" s="75">
        <v>45</v>
      </c>
      <c r="U304" s="76">
        <v>190</v>
      </c>
      <c r="V304" s="21" t="s">
        <v>949</v>
      </c>
      <c r="W304" s="77"/>
      <c r="X304" s="21" t="s">
        <v>335</v>
      </c>
    </row>
    <row r="305" spans="1:24" ht="17.25" customHeight="1" x14ac:dyDescent="0.2">
      <c r="A305" s="21" t="s">
        <v>334</v>
      </c>
      <c r="B305" s="21" t="s">
        <v>2228</v>
      </c>
      <c r="C305" s="21" t="s">
        <v>2320</v>
      </c>
      <c r="D305" s="21" t="s">
        <v>2053</v>
      </c>
      <c r="E305" s="21" t="s">
        <v>2433</v>
      </c>
      <c r="F305" s="21" t="s">
        <v>2433</v>
      </c>
      <c r="G305" s="21">
        <v>165740</v>
      </c>
      <c r="H305" s="21" t="s">
        <v>48</v>
      </c>
      <c r="I305" s="21" t="s">
        <v>297</v>
      </c>
      <c r="J305" s="21" t="s">
        <v>50</v>
      </c>
      <c r="K305" s="21" t="s">
        <v>50</v>
      </c>
      <c r="L305" s="21" t="s">
        <v>50</v>
      </c>
      <c r="M305" s="21" t="s">
        <v>51</v>
      </c>
      <c r="N305" s="21">
        <v>25.4118005797101</v>
      </c>
      <c r="O305" s="74">
        <v>97.434855869565197</v>
      </c>
      <c r="P305" s="21" t="s">
        <v>944</v>
      </c>
      <c r="Q305" s="21" t="s">
        <v>298</v>
      </c>
      <c r="R305" s="21" t="s">
        <v>44</v>
      </c>
      <c r="S305" s="21" t="s">
        <v>966</v>
      </c>
      <c r="T305" s="75">
        <v>498</v>
      </c>
      <c r="U305" s="76">
        <v>2539</v>
      </c>
      <c r="V305" s="21" t="s">
        <v>949</v>
      </c>
      <c r="W305" s="77"/>
      <c r="X305" s="21" t="s">
        <v>334</v>
      </c>
    </row>
    <row r="306" spans="1:24" ht="17.25" customHeight="1" x14ac:dyDescent="0.2">
      <c r="A306" s="21" t="s">
        <v>394</v>
      </c>
      <c r="B306" s="21" t="s">
        <v>2228</v>
      </c>
      <c r="C306" s="21" t="s">
        <v>2320</v>
      </c>
      <c r="D306" s="21" t="s">
        <v>2056</v>
      </c>
      <c r="E306" s="21" t="s">
        <v>2433</v>
      </c>
      <c r="F306" s="21" t="s">
        <v>2433</v>
      </c>
      <c r="G306" s="21">
        <v>165740</v>
      </c>
      <c r="H306" s="21" t="s">
        <v>48</v>
      </c>
      <c r="I306" s="21" t="s">
        <v>1565</v>
      </c>
      <c r="J306" s="21" t="s">
        <v>50</v>
      </c>
      <c r="K306" s="21" t="s">
        <v>50</v>
      </c>
      <c r="L306" s="21" t="s">
        <v>50</v>
      </c>
      <c r="M306" s="21" t="s">
        <v>51</v>
      </c>
      <c r="N306" s="21">
        <v>25.415667500000001</v>
      </c>
      <c r="O306" s="74">
        <v>97.437782499999997</v>
      </c>
      <c r="P306" s="21" t="s">
        <v>944</v>
      </c>
      <c r="Q306" s="21" t="s">
        <v>298</v>
      </c>
      <c r="R306" s="21" t="s">
        <v>44</v>
      </c>
      <c r="S306" s="21" t="s">
        <v>966</v>
      </c>
      <c r="T306" s="75">
        <v>283</v>
      </c>
      <c r="U306" s="76">
        <v>1481</v>
      </c>
      <c r="V306" s="21" t="s">
        <v>949</v>
      </c>
      <c r="W306" s="77"/>
      <c r="X306" s="21" t="s">
        <v>394</v>
      </c>
    </row>
    <row r="307" spans="1:24" ht="17.25" customHeight="1" x14ac:dyDescent="0.2">
      <c r="A307" s="21" t="s">
        <v>338</v>
      </c>
      <c r="B307" s="21" t="s">
        <v>2228</v>
      </c>
      <c r="C307" s="21" t="s">
        <v>2320</v>
      </c>
      <c r="D307" s="21" t="s">
        <v>2058</v>
      </c>
      <c r="E307" s="21" t="s">
        <v>2437</v>
      </c>
      <c r="F307" s="21" t="s">
        <v>2438</v>
      </c>
      <c r="G307" s="21">
        <v>165845</v>
      </c>
      <c r="H307" s="21" t="s">
        <v>48</v>
      </c>
      <c r="I307" s="21" t="s">
        <v>297</v>
      </c>
      <c r="J307" s="21" t="s">
        <v>50</v>
      </c>
      <c r="K307" s="21" t="s">
        <v>50</v>
      </c>
      <c r="L307" s="21" t="s">
        <v>50</v>
      </c>
      <c r="M307" s="21" t="s">
        <v>51</v>
      </c>
      <c r="N307" s="21">
        <v>25.418084</v>
      </c>
      <c r="O307" s="74">
        <v>98.025662999999994</v>
      </c>
      <c r="P307" s="21" t="s">
        <v>944</v>
      </c>
      <c r="Q307" s="21" t="s">
        <v>298</v>
      </c>
      <c r="R307" s="21" t="s">
        <v>44</v>
      </c>
      <c r="S307" s="21" t="s">
        <v>966</v>
      </c>
      <c r="T307" s="75">
        <v>182</v>
      </c>
      <c r="U307" s="76">
        <v>969</v>
      </c>
      <c r="V307" s="21" t="s">
        <v>949</v>
      </c>
      <c r="W307" s="77"/>
      <c r="X307" s="21" t="s">
        <v>338</v>
      </c>
    </row>
    <row r="308" spans="1:24" ht="17.25" customHeight="1" x14ac:dyDescent="0.2">
      <c r="A308" s="21" t="s">
        <v>429</v>
      </c>
      <c r="B308" s="21" t="s">
        <v>2228</v>
      </c>
      <c r="C308" s="21" t="s">
        <v>2320</v>
      </c>
      <c r="D308" s="21" t="s">
        <v>2062</v>
      </c>
      <c r="E308" s="21" t="s">
        <v>2433</v>
      </c>
      <c r="F308" s="21" t="s">
        <v>2433</v>
      </c>
      <c r="G308" s="21">
        <v>165740</v>
      </c>
      <c r="H308" s="21" t="s">
        <v>48</v>
      </c>
      <c r="I308" s="21" t="s">
        <v>399</v>
      </c>
      <c r="J308" s="21" t="s">
        <v>50</v>
      </c>
      <c r="K308" s="21" t="s">
        <v>50</v>
      </c>
      <c r="L308" s="21" t="s">
        <v>50</v>
      </c>
      <c r="M308" s="21" t="s">
        <v>51</v>
      </c>
      <c r="N308" s="21">
        <v>25.424529444444399</v>
      </c>
      <c r="O308" s="74">
        <v>97.433419259259296</v>
      </c>
      <c r="P308" s="21" t="s">
        <v>944</v>
      </c>
      <c r="Q308" s="21" t="s">
        <v>298</v>
      </c>
      <c r="R308" s="21" t="s">
        <v>44</v>
      </c>
      <c r="S308" s="21" t="s">
        <v>966</v>
      </c>
      <c r="T308" s="75">
        <v>329</v>
      </c>
      <c r="U308" s="76">
        <v>1780</v>
      </c>
      <c r="V308" s="21" t="s">
        <v>949</v>
      </c>
      <c r="W308" s="77"/>
      <c r="X308" s="21" t="s">
        <v>429</v>
      </c>
    </row>
    <row r="309" spans="1:24" ht="17.25" customHeight="1" x14ac:dyDescent="0.2">
      <c r="A309" s="21" t="s">
        <v>299</v>
      </c>
      <c r="B309" s="21" t="s">
        <v>2228</v>
      </c>
      <c r="C309" s="21" t="s">
        <v>2320</v>
      </c>
      <c r="D309" s="21" t="s">
        <v>2127</v>
      </c>
      <c r="E309" s="21" t="s">
        <v>2402</v>
      </c>
      <c r="F309" s="21" t="s">
        <v>2403</v>
      </c>
      <c r="G309" s="21">
        <v>165792</v>
      </c>
      <c r="H309" s="21" t="s">
        <v>48</v>
      </c>
      <c r="I309" s="21" t="s">
        <v>297</v>
      </c>
      <c r="J309" s="21" t="s">
        <v>50</v>
      </c>
      <c r="K309" s="21" t="s">
        <v>50</v>
      </c>
      <c r="L309" s="21" t="s">
        <v>50</v>
      </c>
      <c r="M309" s="21" t="s">
        <v>964</v>
      </c>
      <c r="N309" s="319"/>
      <c r="O309" s="319"/>
      <c r="P309" s="21" t="s">
        <v>944</v>
      </c>
      <c r="Q309" s="21" t="s">
        <v>298</v>
      </c>
      <c r="R309" s="21" t="s">
        <v>44</v>
      </c>
      <c r="S309" s="21" t="s">
        <v>988</v>
      </c>
      <c r="T309" s="75">
        <v>407</v>
      </c>
      <c r="U309" s="76">
        <v>1875</v>
      </c>
      <c r="V309" s="21">
        <v>42916</v>
      </c>
      <c r="W309" s="77" t="s">
        <v>1326</v>
      </c>
    </row>
    <row r="310" spans="1:24" ht="17.25" customHeight="1" x14ac:dyDescent="0.2">
      <c r="A310" s="21" t="s">
        <v>1233</v>
      </c>
      <c r="C310" s="21" t="s">
        <v>2320</v>
      </c>
      <c r="D310" s="21" t="s">
        <v>2024</v>
      </c>
      <c r="E310" s="21" t="s">
        <v>2489</v>
      </c>
      <c r="F310" s="21" t="s">
        <v>2490</v>
      </c>
      <c r="G310" s="21">
        <v>216822</v>
      </c>
      <c r="J310" s="21" t="s">
        <v>50</v>
      </c>
      <c r="K310" s="21" t="s">
        <v>50</v>
      </c>
      <c r="L310" s="21" t="s">
        <v>961</v>
      </c>
      <c r="M310" s="21" t="s">
        <v>51</v>
      </c>
      <c r="N310" s="21">
        <v>25.305008999999998</v>
      </c>
      <c r="O310" s="74">
        <v>97.430321000000006</v>
      </c>
      <c r="P310" s="21" t="s">
        <v>944</v>
      </c>
      <c r="Q310" s="21" t="s">
        <v>298</v>
      </c>
      <c r="R310" s="21" t="s">
        <v>44</v>
      </c>
      <c r="S310" s="21" t="s">
        <v>988</v>
      </c>
      <c r="T310" s="75">
        <v>62</v>
      </c>
      <c r="U310" s="76">
        <v>410</v>
      </c>
      <c r="V310" s="21">
        <v>42916</v>
      </c>
      <c r="W310" s="77" t="s">
        <v>1234</v>
      </c>
    </row>
    <row r="311" spans="1:24" ht="17.25" customHeight="1" x14ac:dyDescent="0.2">
      <c r="A311" s="21" t="s">
        <v>1240</v>
      </c>
      <c r="C311" s="21" t="s">
        <v>2320</v>
      </c>
      <c r="E311" s="21" t="s">
        <v>1240</v>
      </c>
      <c r="F311" s="21" t="s">
        <v>1240</v>
      </c>
      <c r="G311" s="21">
        <v>0</v>
      </c>
      <c r="J311" s="21" t="s">
        <v>1951</v>
      </c>
      <c r="K311" s="21" t="s">
        <v>50</v>
      </c>
      <c r="L311" s="21" t="s">
        <v>50</v>
      </c>
      <c r="M311" s="21" t="s">
        <v>51</v>
      </c>
      <c r="N311" s="21">
        <v>25.391635999999998</v>
      </c>
      <c r="O311" s="74">
        <v>97.897872000000007</v>
      </c>
      <c r="P311" s="21" t="s">
        <v>944</v>
      </c>
      <c r="Q311" s="21" t="s">
        <v>298</v>
      </c>
      <c r="R311" s="21" t="s">
        <v>44</v>
      </c>
      <c r="S311" s="21" t="s">
        <v>945</v>
      </c>
      <c r="T311" s="75"/>
      <c r="U311" s="76"/>
      <c r="V311" s="21">
        <v>42849</v>
      </c>
      <c r="W311" s="77" t="s">
        <v>1175</v>
      </c>
    </row>
    <row r="312" spans="1:24" ht="17.25" customHeight="1" x14ac:dyDescent="0.2">
      <c r="A312" s="21" t="s">
        <v>540</v>
      </c>
      <c r="B312" s="21" t="s">
        <v>2228</v>
      </c>
      <c r="C312" s="21" t="s">
        <v>2320</v>
      </c>
      <c r="D312" s="21" t="s">
        <v>1596</v>
      </c>
      <c r="E312" s="21" t="s">
        <v>2321</v>
      </c>
      <c r="F312" s="21" t="s">
        <v>540</v>
      </c>
      <c r="G312" s="21">
        <v>198469</v>
      </c>
      <c r="H312" s="21" t="s">
        <v>48</v>
      </c>
      <c r="I312" s="21" t="s">
        <v>979</v>
      </c>
      <c r="J312" s="21" t="s">
        <v>984</v>
      </c>
      <c r="K312" s="21" t="s">
        <v>984</v>
      </c>
      <c r="L312" s="21" t="s">
        <v>1007</v>
      </c>
      <c r="M312" s="21" t="s">
        <v>464</v>
      </c>
      <c r="N312" s="21">
        <v>19.421102000000001</v>
      </c>
      <c r="O312" s="74">
        <v>93.552452000000002</v>
      </c>
      <c r="P312" s="21" t="s">
        <v>944</v>
      </c>
      <c r="Q312" s="21" t="s">
        <v>530</v>
      </c>
      <c r="R312" s="21" t="s">
        <v>464</v>
      </c>
      <c r="S312" s="21" t="s">
        <v>966</v>
      </c>
      <c r="T312" s="75">
        <v>65</v>
      </c>
      <c r="U312" s="76">
        <v>327</v>
      </c>
      <c r="V312" s="21" t="s">
        <v>949</v>
      </c>
      <c r="W312" s="77"/>
      <c r="X312" s="21" t="s">
        <v>540</v>
      </c>
    </row>
    <row r="313" spans="1:24" ht="17.25" customHeight="1" x14ac:dyDescent="0.2">
      <c r="A313" s="396" t="s">
        <v>541</v>
      </c>
      <c r="B313" s="21" t="s">
        <v>2228</v>
      </c>
      <c r="C313" s="21" t="s">
        <v>2320</v>
      </c>
      <c r="D313" s="21" t="s">
        <v>1597</v>
      </c>
      <c r="E313" s="21" t="s">
        <v>2322</v>
      </c>
      <c r="F313" s="21" t="s">
        <v>2323</v>
      </c>
      <c r="G313" s="21">
        <v>198486</v>
      </c>
      <c r="H313" s="21" t="s">
        <v>48</v>
      </c>
      <c r="I313" s="21" t="s">
        <v>979</v>
      </c>
      <c r="J313" s="21" t="s">
        <v>50</v>
      </c>
      <c r="K313" s="21" t="s">
        <v>50</v>
      </c>
      <c r="L313" s="21" t="s">
        <v>980</v>
      </c>
      <c r="M313" s="21" t="s">
        <v>981</v>
      </c>
      <c r="N313" s="21">
        <v>19.424576999999999</v>
      </c>
      <c r="O313" s="74">
        <v>93.512326000000002</v>
      </c>
      <c r="P313" s="21" t="s">
        <v>944</v>
      </c>
      <c r="Q313" s="21" t="s">
        <v>530</v>
      </c>
      <c r="R313" s="21" t="s">
        <v>464</v>
      </c>
      <c r="S313" s="21" t="s">
        <v>966</v>
      </c>
      <c r="T313" s="75">
        <v>415</v>
      </c>
      <c r="U313" s="76">
        <v>1050</v>
      </c>
      <c r="V313" s="21" t="s">
        <v>949</v>
      </c>
      <c r="W313" s="77"/>
      <c r="X313" s="21" t="s">
        <v>987</v>
      </c>
    </row>
    <row r="314" spans="1:24" ht="17.25" customHeight="1" x14ac:dyDescent="0.2">
      <c r="A314" s="21" t="s">
        <v>725</v>
      </c>
      <c r="B314" s="21" t="s">
        <v>2228</v>
      </c>
      <c r="C314" s="21" t="s">
        <v>2320</v>
      </c>
      <c r="D314" s="21" t="s">
        <v>1792</v>
      </c>
      <c r="E314" s="21" t="s">
        <v>730</v>
      </c>
      <c r="F314" s="21" t="s">
        <v>725</v>
      </c>
      <c r="G314" s="21">
        <v>196945</v>
      </c>
      <c r="J314" s="21" t="s">
        <v>984</v>
      </c>
      <c r="K314" s="21" t="s">
        <v>984</v>
      </c>
      <c r="L314" s="21" t="s">
        <v>1069</v>
      </c>
      <c r="M314" s="21" t="s">
        <v>981</v>
      </c>
      <c r="N314" s="21">
        <v>20.696819999999999</v>
      </c>
      <c r="O314" s="74">
        <v>93.009900000000002</v>
      </c>
      <c r="P314" s="21" t="s">
        <v>1109</v>
      </c>
      <c r="Q314" s="21" t="s">
        <v>473</v>
      </c>
      <c r="R314" s="21" t="s">
        <v>464</v>
      </c>
      <c r="S314" s="21" t="s">
        <v>966</v>
      </c>
      <c r="T314" s="75">
        <v>236</v>
      </c>
      <c r="U314" s="76">
        <v>1524</v>
      </c>
      <c r="V314" s="21" t="s">
        <v>949</v>
      </c>
      <c r="W314" s="77"/>
      <c r="X314" s="21" t="s">
        <v>1114</v>
      </c>
    </row>
    <row r="315" spans="1:24" ht="17.25" customHeight="1" x14ac:dyDescent="0.2">
      <c r="A315" s="21" t="s">
        <v>734</v>
      </c>
      <c r="B315" s="21" t="s">
        <v>2228</v>
      </c>
      <c r="C315" s="21" t="s">
        <v>2320</v>
      </c>
      <c r="D315" s="21" t="s">
        <v>1800</v>
      </c>
      <c r="E315" s="21" t="s">
        <v>734</v>
      </c>
      <c r="F315" s="21" t="s">
        <v>2339</v>
      </c>
      <c r="G315" s="21">
        <v>196972</v>
      </c>
      <c r="J315" s="21" t="s">
        <v>984</v>
      </c>
      <c r="K315" s="21" t="s">
        <v>984</v>
      </c>
      <c r="L315" s="21" t="s">
        <v>1069</v>
      </c>
      <c r="M315" s="21" t="s">
        <v>981</v>
      </c>
      <c r="N315" s="21">
        <v>20.713259999999998</v>
      </c>
      <c r="O315" s="74">
        <v>93.014089999999996</v>
      </c>
      <c r="P315" s="21" t="s">
        <v>985</v>
      </c>
      <c r="Q315" s="21" t="s">
        <v>473</v>
      </c>
      <c r="R315" s="21" t="s">
        <v>464</v>
      </c>
      <c r="S315" s="21" t="s">
        <v>966</v>
      </c>
      <c r="T315" s="75">
        <v>116</v>
      </c>
      <c r="U315" s="76">
        <v>802</v>
      </c>
      <c r="V315" s="21" t="s">
        <v>949</v>
      </c>
      <c r="W315" s="77"/>
      <c r="X315" s="21" t="s">
        <v>734</v>
      </c>
    </row>
    <row r="316" spans="1:24" ht="17.25" customHeight="1" x14ac:dyDescent="0.2">
      <c r="A316" s="21" t="s">
        <v>751</v>
      </c>
      <c r="B316" s="21" t="s">
        <v>2228</v>
      </c>
      <c r="C316" s="21" t="s">
        <v>2320</v>
      </c>
      <c r="D316" s="21" t="s">
        <v>1819</v>
      </c>
      <c r="E316" s="21" t="s">
        <v>744</v>
      </c>
      <c r="F316" s="21" t="s">
        <v>751</v>
      </c>
      <c r="G316" s="21">
        <v>196952</v>
      </c>
      <c r="J316" s="21" t="s">
        <v>984</v>
      </c>
      <c r="K316" s="21" t="s">
        <v>984</v>
      </c>
      <c r="L316" s="21" t="s">
        <v>1069</v>
      </c>
      <c r="M316" s="21" t="s">
        <v>981</v>
      </c>
      <c r="N316" s="21">
        <v>20.727589999999999</v>
      </c>
      <c r="O316" s="74">
        <v>92.969350000000006</v>
      </c>
      <c r="P316" s="21" t="s">
        <v>985</v>
      </c>
      <c r="Q316" s="21" t="s">
        <v>473</v>
      </c>
      <c r="R316" s="21" t="s">
        <v>464</v>
      </c>
      <c r="S316" s="21" t="s">
        <v>966</v>
      </c>
      <c r="T316" s="75">
        <v>112</v>
      </c>
      <c r="U316" s="76">
        <v>738</v>
      </c>
      <c r="V316" s="21" t="s">
        <v>949</v>
      </c>
      <c r="W316" s="77"/>
      <c r="X316" s="21" t="s">
        <v>751</v>
      </c>
    </row>
    <row r="317" spans="1:24" ht="17.25" customHeight="1" x14ac:dyDescent="0.2">
      <c r="A317" s="21" t="s">
        <v>771</v>
      </c>
      <c r="B317" s="21" t="s">
        <v>2228</v>
      </c>
      <c r="C317" s="21" t="s">
        <v>2320</v>
      </c>
      <c r="D317" s="21" t="s">
        <v>1835</v>
      </c>
      <c r="E317" s="21" t="s">
        <v>2340</v>
      </c>
      <c r="F317" s="21" t="s">
        <v>2341</v>
      </c>
      <c r="G317" s="21">
        <v>196868</v>
      </c>
      <c r="J317" s="21" t="s">
        <v>984</v>
      </c>
      <c r="K317" s="21" t="s">
        <v>984</v>
      </c>
      <c r="L317" s="21" t="s">
        <v>1069</v>
      </c>
      <c r="M317" s="21" t="s">
        <v>981</v>
      </c>
      <c r="N317" s="21">
        <v>20.78332</v>
      </c>
      <c r="O317" s="74">
        <v>92.987399999999994</v>
      </c>
      <c r="P317" s="21" t="s">
        <v>985</v>
      </c>
      <c r="Q317" s="21" t="s">
        <v>473</v>
      </c>
      <c r="R317" s="21" t="s">
        <v>464</v>
      </c>
      <c r="S317" s="21" t="s">
        <v>966</v>
      </c>
      <c r="T317" s="75">
        <v>144</v>
      </c>
      <c r="U317" s="76">
        <v>1006</v>
      </c>
      <c r="V317" s="21" t="s">
        <v>949</v>
      </c>
      <c r="W317" s="77"/>
      <c r="X317" s="21" t="s">
        <v>771</v>
      </c>
    </row>
    <row r="318" spans="1:24" ht="17.25" customHeight="1" x14ac:dyDescent="0.2">
      <c r="A318" s="21" t="s">
        <v>788</v>
      </c>
      <c r="B318" s="21" t="s">
        <v>2228</v>
      </c>
      <c r="C318" s="21" t="s">
        <v>2320</v>
      </c>
      <c r="D318" s="21" t="s">
        <v>1849</v>
      </c>
      <c r="E318" s="21" t="s">
        <v>2342</v>
      </c>
      <c r="F318" s="21" t="s">
        <v>792</v>
      </c>
      <c r="G318" s="21">
        <v>196873</v>
      </c>
      <c r="J318" s="21" t="s">
        <v>984</v>
      </c>
      <c r="K318" s="21" t="s">
        <v>984</v>
      </c>
      <c r="L318" s="21" t="s">
        <v>1069</v>
      </c>
      <c r="M318" s="21" t="s">
        <v>981</v>
      </c>
      <c r="N318" s="21">
        <v>20.805734000000001</v>
      </c>
      <c r="O318" s="74">
        <v>92.982675999999998</v>
      </c>
      <c r="P318" s="21" t="s">
        <v>985</v>
      </c>
      <c r="Q318" s="21" t="s">
        <v>473</v>
      </c>
      <c r="R318" s="21" t="s">
        <v>464</v>
      </c>
      <c r="S318" s="21" t="s">
        <v>966</v>
      </c>
      <c r="T318" s="75">
        <v>18</v>
      </c>
      <c r="U318" s="76">
        <v>157</v>
      </c>
      <c r="V318" s="21" t="s">
        <v>949</v>
      </c>
      <c r="W318" s="77"/>
      <c r="X318" s="21" t="s">
        <v>788</v>
      </c>
    </row>
    <row r="319" spans="1:24" ht="17.25" customHeight="1" x14ac:dyDescent="0.2">
      <c r="A319" s="396" t="s">
        <v>1130</v>
      </c>
      <c r="B319" s="21" t="s">
        <v>2228</v>
      </c>
      <c r="C319" s="21" t="s">
        <v>2320</v>
      </c>
      <c r="D319" s="21" t="s">
        <v>1868</v>
      </c>
      <c r="E319" s="21" t="s">
        <v>2345</v>
      </c>
      <c r="F319" s="21" t="s">
        <v>1131</v>
      </c>
      <c r="G319" s="21">
        <v>196829</v>
      </c>
      <c r="H319" s="21" t="s">
        <v>48</v>
      </c>
      <c r="I319" s="21" t="s">
        <v>979</v>
      </c>
      <c r="J319" s="21" t="s">
        <v>50</v>
      </c>
      <c r="K319" s="21" t="s">
        <v>50</v>
      </c>
      <c r="L319" s="21" t="s">
        <v>983</v>
      </c>
      <c r="M319" s="21" t="s">
        <v>981</v>
      </c>
      <c r="N319" s="21">
        <v>20.865687000000001</v>
      </c>
      <c r="O319" s="74">
        <v>92.965980999999999</v>
      </c>
      <c r="P319" s="21" t="s">
        <v>944</v>
      </c>
      <c r="Q319" s="21" t="s">
        <v>473</v>
      </c>
      <c r="R319" s="21" t="s">
        <v>464</v>
      </c>
      <c r="S319" s="21" t="s">
        <v>966</v>
      </c>
      <c r="T319" s="75">
        <v>85</v>
      </c>
      <c r="U319" s="76">
        <v>546</v>
      </c>
      <c r="V319" s="21" t="s">
        <v>949</v>
      </c>
      <c r="W319" s="77"/>
      <c r="X319" s="21" t="s">
        <v>1131</v>
      </c>
    </row>
    <row r="320" spans="1:24" ht="17.25" customHeight="1" x14ac:dyDescent="0.2">
      <c r="A320" s="21" t="s">
        <v>823</v>
      </c>
      <c r="B320" s="21" t="s">
        <v>2228</v>
      </c>
      <c r="C320" s="21" t="s">
        <v>2320</v>
      </c>
      <c r="D320" s="21" t="s">
        <v>1874</v>
      </c>
      <c r="E320" s="21" t="s">
        <v>2346</v>
      </c>
      <c r="F320" s="21" t="s">
        <v>2347</v>
      </c>
      <c r="G320" s="21">
        <v>196838</v>
      </c>
      <c r="J320" s="21" t="s">
        <v>984</v>
      </c>
      <c r="K320" s="21" t="s">
        <v>984</v>
      </c>
      <c r="L320" s="21" t="s">
        <v>1007</v>
      </c>
      <c r="M320" s="21" t="s">
        <v>981</v>
      </c>
      <c r="N320" s="21">
        <v>20.886997999999998</v>
      </c>
      <c r="O320" s="74">
        <v>93.006497999999993</v>
      </c>
      <c r="P320" s="21" t="s">
        <v>985</v>
      </c>
      <c r="Q320" s="21" t="s">
        <v>473</v>
      </c>
      <c r="R320" s="21" t="s">
        <v>464</v>
      </c>
      <c r="S320" s="21" t="s">
        <v>966</v>
      </c>
      <c r="T320" s="75">
        <v>97</v>
      </c>
      <c r="U320" s="76">
        <v>557</v>
      </c>
      <c r="V320" s="21" t="s">
        <v>949</v>
      </c>
      <c r="W320" s="77"/>
      <c r="X320" s="21" t="s">
        <v>823</v>
      </c>
    </row>
    <row r="321" spans="1:24" ht="17.25" customHeight="1" x14ac:dyDescent="0.2">
      <c r="A321" s="21" t="s">
        <v>1135</v>
      </c>
      <c r="C321" s="21" t="s">
        <v>2320</v>
      </c>
      <c r="D321" s="21" t="s">
        <v>1882</v>
      </c>
      <c r="E321" s="21" t="s">
        <v>1135</v>
      </c>
      <c r="F321" s="21" t="s">
        <v>2479</v>
      </c>
      <c r="G321" s="21">
        <v>196842</v>
      </c>
      <c r="J321" s="21" t="s">
        <v>984</v>
      </c>
      <c r="K321" s="21" t="s">
        <v>984</v>
      </c>
      <c r="L321" s="21" t="s">
        <v>1069</v>
      </c>
      <c r="M321" s="21" t="s">
        <v>981</v>
      </c>
      <c r="N321" s="21">
        <v>20.896740000000001</v>
      </c>
      <c r="O321" s="74">
        <v>93.014349999999993</v>
      </c>
      <c r="P321" s="21" t="s">
        <v>985</v>
      </c>
      <c r="Q321" s="21" t="s">
        <v>473</v>
      </c>
      <c r="R321" s="21" t="s">
        <v>464</v>
      </c>
      <c r="T321" s="75">
        <v>14</v>
      </c>
      <c r="U321" s="76">
        <v>84</v>
      </c>
      <c r="V321" s="21" t="s">
        <v>949</v>
      </c>
      <c r="W321" s="77" t="s">
        <v>1046</v>
      </c>
      <c r="X321" s="21" t="s">
        <v>1135</v>
      </c>
    </row>
    <row r="322" spans="1:24" ht="17.25" customHeight="1" x14ac:dyDescent="0.2">
      <c r="A322" s="21" t="s">
        <v>1136</v>
      </c>
      <c r="C322" s="21" t="s">
        <v>2320</v>
      </c>
      <c r="D322" s="21" t="s">
        <v>1884</v>
      </c>
      <c r="E322" s="21" t="s">
        <v>2480</v>
      </c>
      <c r="F322" s="21" t="s">
        <v>1136</v>
      </c>
      <c r="G322" s="21">
        <v>196786</v>
      </c>
      <c r="J322" s="21" t="s">
        <v>984</v>
      </c>
      <c r="K322" s="21" t="s">
        <v>984</v>
      </c>
      <c r="L322" s="21" t="s">
        <v>1069</v>
      </c>
      <c r="M322" s="21" t="s">
        <v>981</v>
      </c>
      <c r="N322" s="21">
        <v>20.921424999999999</v>
      </c>
      <c r="O322" s="74">
        <v>93.003204999999994</v>
      </c>
      <c r="P322" s="21" t="s">
        <v>985</v>
      </c>
      <c r="Q322" s="21" t="s">
        <v>473</v>
      </c>
      <c r="R322" s="21" t="s">
        <v>464</v>
      </c>
      <c r="T322" s="75">
        <v>24</v>
      </c>
      <c r="U322" s="76">
        <v>140</v>
      </c>
      <c r="V322" s="21" t="s">
        <v>949</v>
      </c>
      <c r="W322" s="77" t="s">
        <v>1046</v>
      </c>
      <c r="X322" s="21" t="s">
        <v>1136</v>
      </c>
    </row>
    <row r="323" spans="1:24" ht="17.25" customHeight="1" x14ac:dyDescent="0.2">
      <c r="A323" s="21" t="s">
        <v>1137</v>
      </c>
      <c r="C323" s="21" t="s">
        <v>2320</v>
      </c>
      <c r="D323" s="21" t="s">
        <v>1885</v>
      </c>
      <c r="E323" s="21" t="s">
        <v>2480</v>
      </c>
      <c r="F323" s="21" t="s">
        <v>2481</v>
      </c>
      <c r="G323" s="21">
        <v>196789</v>
      </c>
      <c r="J323" s="21" t="s">
        <v>984</v>
      </c>
      <c r="K323" s="21" t="s">
        <v>984</v>
      </c>
      <c r="L323" s="21" t="s">
        <v>1069</v>
      </c>
      <c r="M323" s="21" t="s">
        <v>981</v>
      </c>
      <c r="N323" s="21">
        <v>20.929649000000001</v>
      </c>
      <c r="O323" s="74">
        <v>93.000815000000003</v>
      </c>
      <c r="P323" s="21" t="s">
        <v>985</v>
      </c>
      <c r="Q323" s="21" t="s">
        <v>473</v>
      </c>
      <c r="R323" s="21" t="s">
        <v>464</v>
      </c>
      <c r="T323" s="75">
        <v>63</v>
      </c>
      <c r="U323" s="76">
        <v>414</v>
      </c>
      <c r="V323" s="21" t="s">
        <v>949</v>
      </c>
      <c r="W323" s="77" t="s">
        <v>1046</v>
      </c>
      <c r="X323" s="21" t="s">
        <v>1137</v>
      </c>
    </row>
    <row r="324" spans="1:24" ht="17.25" customHeight="1" x14ac:dyDescent="0.2">
      <c r="A324" s="21" t="s">
        <v>653</v>
      </c>
      <c r="B324" s="21" t="s">
        <v>2228</v>
      </c>
      <c r="C324" s="21" t="s">
        <v>2320</v>
      </c>
      <c r="D324" s="21" t="s">
        <v>1860</v>
      </c>
      <c r="E324" s="21" t="s">
        <v>2343</v>
      </c>
      <c r="F324" s="21" t="s">
        <v>2343</v>
      </c>
      <c r="G324" s="21" t="s">
        <v>2344</v>
      </c>
      <c r="H324" s="21" t="s">
        <v>48</v>
      </c>
      <c r="I324" s="21" t="s">
        <v>979</v>
      </c>
      <c r="J324" s="21" t="s">
        <v>984</v>
      </c>
      <c r="K324" s="21" t="s">
        <v>984</v>
      </c>
      <c r="L324" s="21" t="s">
        <v>1069</v>
      </c>
      <c r="M324" s="21" t="s">
        <v>464</v>
      </c>
      <c r="N324" s="21">
        <v>20.824777999999998</v>
      </c>
      <c r="O324" s="74">
        <v>92.362196999999995</v>
      </c>
      <c r="P324" s="21" t="s">
        <v>985</v>
      </c>
      <c r="Q324" s="21" t="s">
        <v>476</v>
      </c>
      <c r="R324" s="21" t="s">
        <v>464</v>
      </c>
      <c r="T324" s="75">
        <v>17</v>
      </c>
      <c r="U324" s="76">
        <v>109</v>
      </c>
      <c r="V324" s="21" t="s">
        <v>949</v>
      </c>
      <c r="W324" s="77" t="s">
        <v>1046</v>
      </c>
      <c r="X324" s="21" t="s">
        <v>653</v>
      </c>
    </row>
    <row r="325" spans="1:24" ht="17.25" customHeight="1" x14ac:dyDescent="0.2">
      <c r="A325" s="21" t="s">
        <v>638</v>
      </c>
      <c r="B325" s="21" t="s">
        <v>2228</v>
      </c>
      <c r="C325" s="21" t="s">
        <v>2320</v>
      </c>
      <c r="D325" s="21" t="s">
        <v>1713</v>
      </c>
      <c r="E325" s="21" t="s">
        <v>2336</v>
      </c>
      <c r="F325" s="21" t="s">
        <v>2337</v>
      </c>
      <c r="G325" s="21">
        <v>196997</v>
      </c>
      <c r="J325" s="21" t="s">
        <v>984</v>
      </c>
      <c r="K325" s="21" t="s">
        <v>984</v>
      </c>
      <c r="L325" s="21" t="s">
        <v>1069</v>
      </c>
      <c r="M325" s="21" t="s">
        <v>981</v>
      </c>
      <c r="N325" s="21">
        <v>20.392137999999999</v>
      </c>
      <c r="O325" s="74">
        <v>93.257272</v>
      </c>
      <c r="P325" s="21" t="s">
        <v>985</v>
      </c>
      <c r="Q325" s="21" t="s">
        <v>483</v>
      </c>
      <c r="R325" s="21" t="s">
        <v>464</v>
      </c>
      <c r="S325" s="21" t="s">
        <v>966</v>
      </c>
      <c r="T325" s="75">
        <v>203</v>
      </c>
      <c r="U325" s="76">
        <v>1420</v>
      </c>
      <c r="V325" s="21" t="s">
        <v>949</v>
      </c>
      <c r="W325" s="77"/>
      <c r="X325" s="21" t="s">
        <v>1074</v>
      </c>
    </row>
    <row r="326" spans="1:24" ht="17.25" customHeight="1" x14ac:dyDescent="0.2">
      <c r="A326" s="21" t="s">
        <v>643</v>
      </c>
      <c r="B326" s="21" t="s">
        <v>2228</v>
      </c>
      <c r="C326" s="21" t="s">
        <v>2320</v>
      </c>
      <c r="D326" s="21" t="s">
        <v>1717</v>
      </c>
      <c r="E326" s="21" t="s">
        <v>640</v>
      </c>
      <c r="F326" s="21" t="s">
        <v>643</v>
      </c>
      <c r="G326" s="21">
        <v>196995</v>
      </c>
      <c r="J326" s="21" t="s">
        <v>984</v>
      </c>
      <c r="K326" s="21" t="s">
        <v>984</v>
      </c>
      <c r="L326" s="21" t="s">
        <v>1069</v>
      </c>
      <c r="M326" s="21" t="s">
        <v>981</v>
      </c>
      <c r="N326" s="21">
        <v>20.39902</v>
      </c>
      <c r="O326" s="74">
        <v>93.249669999999995</v>
      </c>
      <c r="P326" s="21" t="s">
        <v>985</v>
      </c>
      <c r="Q326" s="21" t="s">
        <v>483</v>
      </c>
      <c r="R326" s="21" t="s">
        <v>464</v>
      </c>
      <c r="S326" s="21" t="s">
        <v>966</v>
      </c>
      <c r="T326" s="75">
        <v>86</v>
      </c>
      <c r="U326" s="76">
        <v>476</v>
      </c>
      <c r="V326" s="21" t="s">
        <v>949</v>
      </c>
      <c r="W326" s="77"/>
      <c r="X326" s="21" t="s">
        <v>1080</v>
      </c>
    </row>
    <row r="327" spans="1:24" ht="17.25" customHeight="1" x14ac:dyDescent="0.2">
      <c r="A327" s="21" t="s">
        <v>683</v>
      </c>
      <c r="B327" s="21" t="s">
        <v>2228</v>
      </c>
      <c r="C327" s="21" t="s">
        <v>2320</v>
      </c>
      <c r="D327" s="21" t="s">
        <v>1757</v>
      </c>
      <c r="E327" s="21" t="s">
        <v>2338</v>
      </c>
      <c r="F327" s="21" t="s">
        <v>2338</v>
      </c>
      <c r="G327" s="21">
        <v>197062</v>
      </c>
      <c r="J327" s="21" t="s">
        <v>984</v>
      </c>
      <c r="K327" s="21" t="s">
        <v>984</v>
      </c>
      <c r="L327" s="21" t="s">
        <v>1069</v>
      </c>
      <c r="M327" s="21" t="s">
        <v>981</v>
      </c>
      <c r="N327" s="21">
        <v>20.587142</v>
      </c>
      <c r="O327" s="74">
        <v>93.258573999999996</v>
      </c>
      <c r="P327" s="21" t="s">
        <v>985</v>
      </c>
      <c r="Q327" s="21" t="s">
        <v>483</v>
      </c>
      <c r="R327" s="21" t="s">
        <v>464</v>
      </c>
      <c r="T327" s="75">
        <v>275</v>
      </c>
      <c r="U327" s="76">
        <v>1707</v>
      </c>
      <c r="V327" s="21" t="s">
        <v>949</v>
      </c>
      <c r="W327" s="77" t="s">
        <v>1046</v>
      </c>
      <c r="X327" s="21" t="s">
        <v>683</v>
      </c>
    </row>
    <row r="328" spans="1:24" ht="17.25" customHeight="1" x14ac:dyDescent="0.2">
      <c r="A328" s="21" t="s">
        <v>1072</v>
      </c>
      <c r="C328" s="21" t="s">
        <v>2320</v>
      </c>
      <c r="D328" s="21" t="s">
        <v>1711</v>
      </c>
      <c r="E328" s="21" t="s">
        <v>2336</v>
      </c>
      <c r="F328" s="21" t="s">
        <v>2336</v>
      </c>
      <c r="G328" s="21">
        <v>196984</v>
      </c>
      <c r="J328" s="21" t="s">
        <v>984</v>
      </c>
      <c r="K328" s="21" t="s">
        <v>984</v>
      </c>
      <c r="L328" s="21" t="s">
        <v>1069</v>
      </c>
      <c r="M328" s="21" t="s">
        <v>981</v>
      </c>
      <c r="N328" s="21">
        <v>20.377523</v>
      </c>
      <c r="O328" s="74">
        <v>93.271642</v>
      </c>
      <c r="P328" s="21" t="s">
        <v>985</v>
      </c>
      <c r="Q328" s="21" t="s">
        <v>483</v>
      </c>
      <c r="R328" s="21" t="s">
        <v>464</v>
      </c>
      <c r="T328" s="75">
        <v>19</v>
      </c>
      <c r="U328" s="76">
        <v>142</v>
      </c>
      <c r="V328" s="21" t="s">
        <v>949</v>
      </c>
      <c r="W328" s="77" t="s">
        <v>1046</v>
      </c>
      <c r="X328" s="21" t="s">
        <v>1072</v>
      </c>
    </row>
    <row r="329" spans="1:24" ht="17.25" customHeight="1" x14ac:dyDescent="0.2">
      <c r="A329" s="21" t="s">
        <v>1081</v>
      </c>
      <c r="C329" s="21" t="s">
        <v>2320</v>
      </c>
      <c r="D329" s="21" t="s">
        <v>1719</v>
      </c>
      <c r="E329" s="21" t="s">
        <v>2471</v>
      </c>
      <c r="F329" s="21" t="s">
        <v>2472</v>
      </c>
      <c r="G329" s="21">
        <v>197025</v>
      </c>
      <c r="J329" s="21" t="s">
        <v>984</v>
      </c>
      <c r="K329" s="21" t="s">
        <v>984</v>
      </c>
      <c r="L329" s="21" t="s">
        <v>1069</v>
      </c>
      <c r="M329" s="21" t="s">
        <v>981</v>
      </c>
      <c r="N329" s="21">
        <v>20.407971</v>
      </c>
      <c r="O329" s="74">
        <v>93.313627999999994</v>
      </c>
      <c r="P329" s="21" t="s">
        <v>985</v>
      </c>
      <c r="Q329" s="21" t="s">
        <v>483</v>
      </c>
      <c r="R329" s="21" t="s">
        <v>464</v>
      </c>
      <c r="T329" s="75">
        <v>228</v>
      </c>
      <c r="U329" s="76">
        <v>1377</v>
      </c>
      <c r="V329" s="21" t="s">
        <v>949</v>
      </c>
      <c r="W329" s="77" t="s">
        <v>1046</v>
      </c>
      <c r="X329" s="21" t="s">
        <v>1081</v>
      </c>
    </row>
    <row r="330" spans="1:24" ht="17.25" customHeight="1" x14ac:dyDescent="0.2">
      <c r="A330" s="21" t="s">
        <v>1082</v>
      </c>
      <c r="C330" s="21" t="s">
        <v>2320</v>
      </c>
      <c r="D330" s="21" t="s">
        <v>1721</v>
      </c>
      <c r="E330" s="21" t="s">
        <v>2473</v>
      </c>
      <c r="F330" s="21" t="s">
        <v>2474</v>
      </c>
      <c r="G330" s="21">
        <v>197023</v>
      </c>
      <c r="J330" s="21" t="s">
        <v>984</v>
      </c>
      <c r="K330" s="21" t="s">
        <v>984</v>
      </c>
      <c r="L330" s="21" t="s">
        <v>1069</v>
      </c>
      <c r="M330" s="21" t="s">
        <v>464</v>
      </c>
      <c r="N330" s="21">
        <v>20.409645000000001</v>
      </c>
      <c r="O330" s="74">
        <v>93.314695</v>
      </c>
      <c r="P330" s="21" t="s">
        <v>985</v>
      </c>
      <c r="Q330" s="21" t="s">
        <v>483</v>
      </c>
      <c r="R330" s="21" t="s">
        <v>464</v>
      </c>
      <c r="T330" s="75">
        <v>18</v>
      </c>
      <c r="U330" s="76">
        <v>72</v>
      </c>
      <c r="V330" s="21" t="s">
        <v>949</v>
      </c>
      <c r="W330" s="77" t="s">
        <v>1046</v>
      </c>
      <c r="X330" s="21" t="s">
        <v>1082</v>
      </c>
    </row>
    <row r="331" spans="1:24" ht="17.25" customHeight="1" x14ac:dyDescent="0.2">
      <c r="A331" s="21" t="s">
        <v>1085</v>
      </c>
      <c r="C331" s="21" t="s">
        <v>2320</v>
      </c>
      <c r="D331" s="21" t="s">
        <v>1726</v>
      </c>
      <c r="E331" s="21" t="s">
        <v>1066</v>
      </c>
      <c r="F331" s="21" t="s">
        <v>1085</v>
      </c>
      <c r="G331" s="21">
        <v>197150</v>
      </c>
      <c r="J331" s="21" t="s">
        <v>984</v>
      </c>
      <c r="K331" s="21" t="s">
        <v>984</v>
      </c>
      <c r="L331" s="21" t="s">
        <v>1069</v>
      </c>
      <c r="M331" s="21" t="s">
        <v>981</v>
      </c>
      <c r="N331" s="21">
        <v>20.480898</v>
      </c>
      <c r="O331" s="74">
        <v>93.299485000000004</v>
      </c>
      <c r="P331" s="21" t="s">
        <v>985</v>
      </c>
      <c r="Q331" s="21" t="s">
        <v>483</v>
      </c>
      <c r="R331" s="21" t="s">
        <v>464</v>
      </c>
      <c r="T331" s="75">
        <v>87</v>
      </c>
      <c r="U331" s="76">
        <v>444</v>
      </c>
      <c r="V331" s="21" t="s">
        <v>949</v>
      </c>
      <c r="W331" s="77" t="s">
        <v>1046</v>
      </c>
      <c r="X331" s="21" t="s">
        <v>1085</v>
      </c>
    </row>
    <row r="332" spans="1:24" ht="17.25" customHeight="1" x14ac:dyDescent="0.2">
      <c r="A332" s="21" t="s">
        <v>1088</v>
      </c>
      <c r="C332" s="21" t="s">
        <v>2320</v>
      </c>
      <c r="D332" s="21" t="s">
        <v>1730</v>
      </c>
      <c r="E332" s="21" t="s">
        <v>2475</v>
      </c>
      <c r="F332" s="21" t="s">
        <v>1088</v>
      </c>
      <c r="G332" s="21">
        <v>196501</v>
      </c>
      <c r="J332" s="21" t="s">
        <v>984</v>
      </c>
      <c r="K332" s="21" t="s">
        <v>984</v>
      </c>
      <c r="L332" s="21" t="s">
        <v>1007</v>
      </c>
      <c r="M332" s="21" t="s">
        <v>464</v>
      </c>
      <c r="N332" s="21">
        <v>20.495086000000001</v>
      </c>
      <c r="O332" s="74">
        <v>93.246863000000005</v>
      </c>
      <c r="P332" s="21" t="s">
        <v>985</v>
      </c>
      <c r="Q332" s="21" t="s">
        <v>649</v>
      </c>
      <c r="R332" s="21" t="s">
        <v>464</v>
      </c>
      <c r="T332" s="75">
        <v>32</v>
      </c>
      <c r="U332" s="76">
        <v>131</v>
      </c>
      <c r="V332" s="21" t="s">
        <v>949</v>
      </c>
      <c r="W332" s="77" t="s">
        <v>1046</v>
      </c>
      <c r="X332" s="21" t="s">
        <v>1089</v>
      </c>
    </row>
    <row r="333" spans="1:24" ht="17.25" customHeight="1" x14ac:dyDescent="0.2">
      <c r="A333" s="21" t="s">
        <v>1090</v>
      </c>
      <c r="C333" s="21" t="s">
        <v>2320</v>
      </c>
      <c r="D333" s="21" t="s">
        <v>1731</v>
      </c>
      <c r="E333" s="21" t="s">
        <v>2476</v>
      </c>
      <c r="F333" s="21" t="s">
        <v>2476</v>
      </c>
      <c r="G333" s="21">
        <v>196507</v>
      </c>
      <c r="J333" s="21" t="s">
        <v>984</v>
      </c>
      <c r="K333" s="21" t="s">
        <v>984</v>
      </c>
      <c r="L333" s="21" t="s">
        <v>1069</v>
      </c>
      <c r="M333" s="21" t="s">
        <v>981</v>
      </c>
      <c r="N333" s="21">
        <v>20.501757999999999</v>
      </c>
      <c r="O333" s="74">
        <v>93.217039999999997</v>
      </c>
      <c r="P333" s="21" t="s">
        <v>985</v>
      </c>
      <c r="Q333" s="21" t="s">
        <v>649</v>
      </c>
      <c r="R333" s="21" t="s">
        <v>464</v>
      </c>
      <c r="T333" s="75">
        <v>365</v>
      </c>
      <c r="U333" s="76">
        <v>2366</v>
      </c>
      <c r="V333" s="21" t="s">
        <v>949</v>
      </c>
      <c r="W333" s="77" t="s">
        <v>1046</v>
      </c>
      <c r="X333" s="21" t="s">
        <v>1091</v>
      </c>
    </row>
    <row r="334" spans="1:24" ht="17.25" customHeight="1" x14ac:dyDescent="0.2">
      <c r="A334" s="21" t="s">
        <v>1095</v>
      </c>
      <c r="C334" s="21" t="s">
        <v>2320</v>
      </c>
      <c r="D334" s="21" t="s">
        <v>1751</v>
      </c>
      <c r="E334" s="21" t="s">
        <v>2477</v>
      </c>
      <c r="F334" s="21" t="s">
        <v>2477</v>
      </c>
      <c r="G334" s="21">
        <v>196428</v>
      </c>
      <c r="J334" s="21" t="s">
        <v>984</v>
      </c>
      <c r="K334" s="21" t="s">
        <v>984</v>
      </c>
      <c r="L334" s="21" t="s">
        <v>1069</v>
      </c>
      <c r="M334" s="21" t="s">
        <v>981</v>
      </c>
      <c r="N334" s="21">
        <v>20.576577</v>
      </c>
      <c r="O334" s="74">
        <v>93.245551000000006</v>
      </c>
      <c r="P334" s="21" t="s">
        <v>985</v>
      </c>
      <c r="Q334" s="21" t="s">
        <v>649</v>
      </c>
      <c r="R334" s="21" t="s">
        <v>464</v>
      </c>
      <c r="T334" s="75">
        <v>204</v>
      </c>
      <c r="U334" s="76">
        <v>1265</v>
      </c>
      <c r="V334" s="21" t="s">
        <v>949</v>
      </c>
      <c r="W334" s="77" t="s">
        <v>1046</v>
      </c>
      <c r="X334" s="21" t="s">
        <v>1095</v>
      </c>
    </row>
    <row r="335" spans="1:24" ht="17.25" customHeight="1" x14ac:dyDescent="0.2">
      <c r="A335" s="21" t="s">
        <v>1103</v>
      </c>
      <c r="C335" s="21" t="s">
        <v>2320</v>
      </c>
      <c r="D335" s="21" t="s">
        <v>1762</v>
      </c>
      <c r="E335" s="21" t="s">
        <v>669</v>
      </c>
      <c r="F335" s="21" t="s">
        <v>2478</v>
      </c>
      <c r="G335" s="21">
        <v>196441</v>
      </c>
      <c r="J335" s="21" t="s">
        <v>984</v>
      </c>
      <c r="K335" s="21" t="s">
        <v>984</v>
      </c>
      <c r="L335" s="21" t="s">
        <v>1007</v>
      </c>
      <c r="M335" s="21" t="s">
        <v>464</v>
      </c>
      <c r="N335" s="21">
        <v>20.61692</v>
      </c>
      <c r="O335" s="74">
        <v>93.239519999999999</v>
      </c>
      <c r="P335" s="21" t="s">
        <v>985</v>
      </c>
      <c r="Q335" s="21" t="s">
        <v>649</v>
      </c>
      <c r="R335" s="21" t="s">
        <v>464</v>
      </c>
      <c r="T335" s="75">
        <v>10</v>
      </c>
      <c r="U335" s="76">
        <v>64</v>
      </c>
      <c r="V335" s="21" t="s">
        <v>949</v>
      </c>
      <c r="W335" s="77" t="s">
        <v>1046</v>
      </c>
      <c r="X335" s="21" t="s">
        <v>1103</v>
      </c>
    </row>
    <row r="336" spans="1:24" ht="17.25" customHeight="1" x14ac:dyDescent="0.2">
      <c r="A336" s="21" t="s">
        <v>574</v>
      </c>
      <c r="B336" s="21" t="s">
        <v>2228</v>
      </c>
      <c r="C336" s="21" t="s">
        <v>2320</v>
      </c>
      <c r="D336" s="21" t="s">
        <v>1632</v>
      </c>
      <c r="E336" s="21" t="s">
        <v>2265</v>
      </c>
      <c r="F336" s="21" t="s">
        <v>2324</v>
      </c>
      <c r="G336" s="21" t="s">
        <v>2325</v>
      </c>
      <c r="J336" s="21" t="s">
        <v>984</v>
      </c>
      <c r="K336" s="21" t="s">
        <v>984</v>
      </c>
      <c r="L336" s="21" t="s">
        <v>1007</v>
      </c>
      <c r="M336" s="21" t="s">
        <v>464</v>
      </c>
      <c r="N336" s="21">
        <v>20.041981</v>
      </c>
      <c r="O336" s="74">
        <v>93.373951000000005</v>
      </c>
      <c r="P336" s="21" t="s">
        <v>985</v>
      </c>
      <c r="Q336" s="21" t="s">
        <v>572</v>
      </c>
      <c r="R336" s="21" t="s">
        <v>464</v>
      </c>
      <c r="S336" s="21" t="s">
        <v>966</v>
      </c>
      <c r="T336" s="75">
        <v>40</v>
      </c>
      <c r="U336" s="76">
        <v>204</v>
      </c>
      <c r="V336" s="21" t="s">
        <v>949</v>
      </c>
      <c r="W336" s="77"/>
      <c r="X336" s="21" t="s">
        <v>574</v>
      </c>
    </row>
    <row r="337" spans="1:24" ht="17.25" customHeight="1" x14ac:dyDescent="0.2">
      <c r="A337" s="396" t="s">
        <v>579</v>
      </c>
      <c r="B337" s="21" t="s">
        <v>2228</v>
      </c>
      <c r="C337" s="21" t="s">
        <v>2320</v>
      </c>
      <c r="D337" s="21" t="s">
        <v>1638</v>
      </c>
      <c r="E337" s="21" t="s">
        <v>579</v>
      </c>
      <c r="F337" s="21" t="s">
        <v>2264</v>
      </c>
      <c r="G337" s="21">
        <v>197548</v>
      </c>
      <c r="H337" s="21" t="s">
        <v>48</v>
      </c>
      <c r="I337" s="21" t="s">
        <v>583</v>
      </c>
      <c r="J337" s="21" t="s">
        <v>50</v>
      </c>
      <c r="K337" s="21" t="s">
        <v>50</v>
      </c>
      <c r="L337" s="21" t="s">
        <v>980</v>
      </c>
      <c r="M337" s="21" t="s">
        <v>981</v>
      </c>
      <c r="N337" s="21">
        <v>20.064226000000001</v>
      </c>
      <c r="O337" s="74">
        <v>92.993758999999997</v>
      </c>
      <c r="P337" s="21" t="s">
        <v>944</v>
      </c>
      <c r="Q337" s="21" t="s">
        <v>575</v>
      </c>
      <c r="R337" s="21" t="s">
        <v>464</v>
      </c>
      <c r="S337" s="21" t="s">
        <v>966</v>
      </c>
      <c r="T337" s="75">
        <v>617</v>
      </c>
      <c r="U337" s="76">
        <v>2845</v>
      </c>
      <c r="V337" s="21" t="s">
        <v>949</v>
      </c>
      <c r="W337" s="77"/>
      <c r="X337" s="21" t="s">
        <v>579</v>
      </c>
    </row>
    <row r="338" spans="1:24" ht="17.25" customHeight="1" x14ac:dyDescent="0.2">
      <c r="A338" s="396" t="s">
        <v>580</v>
      </c>
      <c r="B338" s="21" t="s">
        <v>2228</v>
      </c>
      <c r="C338" s="21" t="s">
        <v>2320</v>
      </c>
      <c r="D338" s="21" t="s">
        <v>1642</v>
      </c>
      <c r="E338" s="21" t="s">
        <v>2326</v>
      </c>
      <c r="F338" s="21" t="s">
        <v>2327</v>
      </c>
      <c r="G338" s="21" t="s">
        <v>2328</v>
      </c>
      <c r="J338" s="21" t="s">
        <v>50</v>
      </c>
      <c r="K338" s="21" t="s">
        <v>50</v>
      </c>
      <c r="L338" s="21" t="s">
        <v>2505</v>
      </c>
      <c r="M338" s="21" t="s">
        <v>981</v>
      </c>
      <c r="N338" s="21">
        <v>20.073437999999999</v>
      </c>
      <c r="O338" s="74">
        <v>93.154551999999995</v>
      </c>
      <c r="P338" s="21" t="s">
        <v>985</v>
      </c>
      <c r="Q338" s="21" t="s">
        <v>575</v>
      </c>
      <c r="R338" s="21" t="s">
        <v>464</v>
      </c>
      <c r="S338" s="21" t="s">
        <v>966</v>
      </c>
      <c r="T338" s="75">
        <v>1010</v>
      </c>
      <c r="U338" s="76">
        <v>4592</v>
      </c>
      <c r="V338" s="21" t="s">
        <v>949</v>
      </c>
      <c r="W338" s="77"/>
      <c r="X338" s="21" t="s">
        <v>580</v>
      </c>
    </row>
    <row r="339" spans="1:24" ht="17.25" customHeight="1" x14ac:dyDescent="0.2">
      <c r="A339" s="396" t="s">
        <v>581</v>
      </c>
      <c r="B339" s="21" t="s">
        <v>2228</v>
      </c>
      <c r="C339" s="21" t="s">
        <v>2320</v>
      </c>
      <c r="D339" s="21" t="s">
        <v>1642</v>
      </c>
      <c r="E339" s="21" t="s">
        <v>2326</v>
      </c>
      <c r="F339" s="21" t="s">
        <v>2327</v>
      </c>
      <c r="G339" s="21" t="s">
        <v>2328</v>
      </c>
      <c r="H339" s="21" t="s">
        <v>48</v>
      </c>
      <c r="I339" s="21" t="s">
        <v>1643</v>
      </c>
      <c r="J339" s="21" t="s">
        <v>50</v>
      </c>
      <c r="K339" s="21" t="s">
        <v>50</v>
      </c>
      <c r="L339" s="21" t="s">
        <v>980</v>
      </c>
      <c r="M339" s="21" t="s">
        <v>981</v>
      </c>
      <c r="N339" s="21">
        <v>20.073437999999999</v>
      </c>
      <c r="O339" s="74">
        <v>93.154551999999995</v>
      </c>
      <c r="P339" s="21" t="s">
        <v>944</v>
      </c>
      <c r="Q339" s="21" t="s">
        <v>575</v>
      </c>
      <c r="R339" s="21" t="s">
        <v>464</v>
      </c>
      <c r="S339" s="21" t="s">
        <v>966</v>
      </c>
      <c r="T339" s="75">
        <v>905</v>
      </c>
      <c r="U339" s="76">
        <v>4079</v>
      </c>
      <c r="V339" s="21" t="s">
        <v>949</v>
      </c>
      <c r="W339" s="77"/>
      <c r="X339" s="21" t="s">
        <v>581</v>
      </c>
    </row>
    <row r="340" spans="1:24" ht="17.25" customHeight="1" x14ac:dyDescent="0.2">
      <c r="A340" s="396" t="s">
        <v>584</v>
      </c>
      <c r="B340" s="21" t="s">
        <v>2228</v>
      </c>
      <c r="C340" s="21" t="s">
        <v>2320</v>
      </c>
      <c r="D340" s="21" t="s">
        <v>1647</v>
      </c>
      <c r="E340" s="21" t="s">
        <v>1021</v>
      </c>
      <c r="F340" s="21" t="s">
        <v>584</v>
      </c>
      <c r="G340" s="21" t="s">
        <v>2329</v>
      </c>
      <c r="H340" s="21" t="s">
        <v>48</v>
      </c>
      <c r="I340" s="21" t="s">
        <v>583</v>
      </c>
      <c r="J340" s="21" t="s">
        <v>50</v>
      </c>
      <c r="K340" s="21" t="s">
        <v>50</v>
      </c>
      <c r="L340" s="21" t="s">
        <v>980</v>
      </c>
      <c r="M340" s="21" t="s">
        <v>981</v>
      </c>
      <c r="N340" s="21">
        <v>20.090183</v>
      </c>
      <c r="O340" s="74">
        <v>93.010368999999997</v>
      </c>
      <c r="P340" s="21" t="s">
        <v>944</v>
      </c>
      <c r="Q340" s="21" t="s">
        <v>575</v>
      </c>
      <c r="R340" s="21" t="s">
        <v>464</v>
      </c>
      <c r="S340" s="21" t="s">
        <v>966</v>
      </c>
      <c r="T340" s="75">
        <v>1343</v>
      </c>
      <c r="U340" s="76">
        <v>5945</v>
      </c>
      <c r="V340" s="21" t="s">
        <v>949</v>
      </c>
      <c r="W340" s="77"/>
      <c r="X340" s="21" t="s">
        <v>584</v>
      </c>
    </row>
    <row r="341" spans="1:24" ht="17.25" customHeight="1" x14ac:dyDescent="0.2">
      <c r="A341" s="396" t="s">
        <v>586</v>
      </c>
      <c r="B341" s="21" t="s">
        <v>2228</v>
      </c>
      <c r="C341" s="21" t="s">
        <v>2320</v>
      </c>
      <c r="D341" s="21" t="s">
        <v>1651</v>
      </c>
      <c r="E341" s="21" t="s">
        <v>1021</v>
      </c>
      <c r="F341" s="21" t="s">
        <v>710</v>
      </c>
      <c r="G341" s="21">
        <v>197537</v>
      </c>
      <c r="H341" s="21" t="s">
        <v>48</v>
      </c>
      <c r="I341" s="21" t="s">
        <v>1643</v>
      </c>
      <c r="J341" s="21" t="s">
        <v>50</v>
      </c>
      <c r="K341" s="21" t="s">
        <v>50</v>
      </c>
      <c r="L341" s="21" t="s">
        <v>980</v>
      </c>
      <c r="M341" s="21" t="s">
        <v>981</v>
      </c>
      <c r="N341" s="21">
        <v>20.108101999999999</v>
      </c>
      <c r="O341" s="74">
        <v>92.985095000000001</v>
      </c>
      <c r="P341" s="21" t="s">
        <v>944</v>
      </c>
      <c r="Q341" s="21" t="s">
        <v>575</v>
      </c>
      <c r="R341" s="21" t="s">
        <v>464</v>
      </c>
      <c r="S341" s="21" t="s">
        <v>966</v>
      </c>
      <c r="T341" s="75">
        <v>1238</v>
      </c>
      <c r="U341" s="76">
        <v>4364</v>
      </c>
      <c r="V341" s="21" t="s">
        <v>949</v>
      </c>
      <c r="W341" s="77"/>
      <c r="X341" s="21" t="s">
        <v>1023</v>
      </c>
    </row>
    <row r="342" spans="1:24" ht="17.25" customHeight="1" x14ac:dyDescent="0.2">
      <c r="A342" s="21" t="s">
        <v>1045</v>
      </c>
      <c r="C342" s="21" t="s">
        <v>2320</v>
      </c>
      <c r="D342" s="21" t="s">
        <v>1673</v>
      </c>
      <c r="E342" s="21" t="s">
        <v>2265</v>
      </c>
      <c r="F342" s="21" t="s">
        <v>2469</v>
      </c>
      <c r="G342" s="21" t="s">
        <v>2470</v>
      </c>
      <c r="J342" s="21" t="s">
        <v>984</v>
      </c>
      <c r="K342" s="21" t="s">
        <v>984</v>
      </c>
      <c r="L342" s="21" t="s">
        <v>1007</v>
      </c>
      <c r="M342" s="21" t="s">
        <v>464</v>
      </c>
      <c r="N342" s="21">
        <v>20.173468</v>
      </c>
      <c r="O342" s="74">
        <v>93.067891000000003</v>
      </c>
      <c r="P342" s="21" t="s">
        <v>985</v>
      </c>
      <c r="Q342" s="21" t="s">
        <v>575</v>
      </c>
      <c r="R342" s="21" t="s">
        <v>464</v>
      </c>
      <c r="T342" s="75">
        <v>21</v>
      </c>
      <c r="U342" s="76">
        <v>122</v>
      </c>
      <c r="V342" s="21" t="s">
        <v>949</v>
      </c>
      <c r="W342" s="77" t="s">
        <v>1046</v>
      </c>
      <c r="X342" s="21" t="s">
        <v>1047</v>
      </c>
    </row>
    <row r="343" spans="1:24" ht="17.25" customHeight="1" x14ac:dyDescent="0.2">
      <c r="A343" s="21" t="s">
        <v>644</v>
      </c>
      <c r="B343" s="21" t="s">
        <v>2228</v>
      </c>
      <c r="C343" s="21" t="s">
        <v>2320</v>
      </c>
      <c r="D343" s="21" t="s">
        <v>1718</v>
      </c>
      <c r="E343" s="21" t="s">
        <v>644</v>
      </c>
      <c r="F343" s="21" t="s">
        <v>644</v>
      </c>
      <c r="G343" s="21">
        <v>197763</v>
      </c>
      <c r="J343" s="21" t="s">
        <v>984</v>
      </c>
      <c r="K343" s="21" t="s">
        <v>984</v>
      </c>
      <c r="L343" s="21" t="s">
        <v>1069</v>
      </c>
      <c r="M343" s="21" t="s">
        <v>981</v>
      </c>
      <c r="N343" s="21">
        <v>20.399269</v>
      </c>
      <c r="O343" s="74">
        <v>92.781294000000003</v>
      </c>
      <c r="P343" s="21" t="s">
        <v>985</v>
      </c>
      <c r="Q343" s="21" t="s">
        <v>508</v>
      </c>
      <c r="R343" s="21" t="s">
        <v>464</v>
      </c>
      <c r="S343" s="21" t="s">
        <v>966</v>
      </c>
      <c r="T343" s="75">
        <v>32</v>
      </c>
      <c r="U343" s="76">
        <v>157</v>
      </c>
      <c r="V343" s="21" t="s">
        <v>949</v>
      </c>
      <c r="W343" s="77"/>
      <c r="X343" s="21" t="s">
        <v>644</v>
      </c>
    </row>
    <row r="344" spans="1:24" ht="17.25" customHeight="1" x14ac:dyDescent="0.2">
      <c r="A344" s="396" t="s">
        <v>588</v>
      </c>
      <c r="B344" s="21" t="s">
        <v>2228</v>
      </c>
      <c r="C344" s="21" t="s">
        <v>2320</v>
      </c>
      <c r="D344" s="21" t="s">
        <v>1656</v>
      </c>
      <c r="E344" s="21" t="s">
        <v>2330</v>
      </c>
      <c r="F344" s="21" t="s">
        <v>2331</v>
      </c>
      <c r="G344" s="21" t="s">
        <v>2332</v>
      </c>
      <c r="H344" s="21" t="s">
        <v>48</v>
      </c>
      <c r="I344" s="21" t="s">
        <v>1643</v>
      </c>
      <c r="J344" s="21" t="s">
        <v>50</v>
      </c>
      <c r="K344" s="21" t="s">
        <v>50</v>
      </c>
      <c r="L344" s="21" t="s">
        <v>980</v>
      </c>
      <c r="M344" s="21" t="s">
        <v>981</v>
      </c>
      <c r="N344" s="21">
        <v>20.128488999999998</v>
      </c>
      <c r="O344" s="74">
        <v>92.875814000000005</v>
      </c>
      <c r="P344" s="21" t="s">
        <v>944</v>
      </c>
      <c r="Q344" s="21" t="s">
        <v>465</v>
      </c>
      <c r="R344" s="21" t="s">
        <v>464</v>
      </c>
      <c r="S344" s="21" t="s">
        <v>966</v>
      </c>
      <c r="T344" s="75">
        <v>392</v>
      </c>
      <c r="U344" s="76">
        <v>2252</v>
      </c>
      <c r="V344" s="21" t="s">
        <v>949</v>
      </c>
      <c r="W344" s="77"/>
      <c r="X344" s="21" t="s">
        <v>1026</v>
      </c>
    </row>
    <row r="345" spans="1:24" ht="17.25" customHeight="1" x14ac:dyDescent="0.2">
      <c r="A345" s="21" t="s">
        <v>592</v>
      </c>
      <c r="B345" s="21" t="s">
        <v>2228</v>
      </c>
      <c r="C345" s="21" t="s">
        <v>2320</v>
      </c>
      <c r="D345" s="21" t="s">
        <v>1664</v>
      </c>
      <c r="E345" s="21" t="s">
        <v>2265</v>
      </c>
      <c r="F345" s="21" t="s">
        <v>2266</v>
      </c>
      <c r="G345" s="21" t="s">
        <v>2267</v>
      </c>
      <c r="J345" s="21" t="s">
        <v>984</v>
      </c>
      <c r="K345" s="21" t="s">
        <v>984</v>
      </c>
      <c r="L345" s="21" t="s">
        <v>1007</v>
      </c>
      <c r="M345" s="21" t="s">
        <v>464</v>
      </c>
      <c r="N345" s="21">
        <v>20.151471999999998</v>
      </c>
      <c r="O345" s="74">
        <v>92.887277999999995</v>
      </c>
      <c r="P345" s="21" t="s">
        <v>985</v>
      </c>
      <c r="Q345" s="21" t="s">
        <v>465</v>
      </c>
      <c r="R345" s="21" t="s">
        <v>464</v>
      </c>
      <c r="S345" s="21" t="s">
        <v>966</v>
      </c>
      <c r="T345" s="75">
        <v>249</v>
      </c>
      <c r="U345" s="76">
        <v>1282</v>
      </c>
      <c r="V345" s="21" t="s">
        <v>949</v>
      </c>
      <c r="W345" s="77"/>
      <c r="X345" s="21" t="s">
        <v>592</v>
      </c>
    </row>
    <row r="346" spans="1:24" ht="17.25" customHeight="1" x14ac:dyDescent="0.2">
      <c r="A346" s="21" t="s">
        <v>593</v>
      </c>
      <c r="B346" s="21" t="s">
        <v>2228</v>
      </c>
      <c r="C346" s="21" t="s">
        <v>2320</v>
      </c>
      <c r="D346" s="21" t="s">
        <v>1665</v>
      </c>
      <c r="E346" s="21" t="s">
        <v>2265</v>
      </c>
      <c r="F346" s="21" t="s">
        <v>2266</v>
      </c>
      <c r="G346" s="21" t="s">
        <v>2267</v>
      </c>
      <c r="J346" s="21" t="s">
        <v>984</v>
      </c>
      <c r="K346" s="21" t="s">
        <v>984</v>
      </c>
      <c r="L346" s="21" t="s">
        <v>1007</v>
      </c>
      <c r="M346" s="21" t="s">
        <v>464</v>
      </c>
      <c r="N346" s="21">
        <v>20.151471999999998</v>
      </c>
      <c r="O346" s="74">
        <v>92.887277999999995</v>
      </c>
      <c r="P346" s="21" t="s">
        <v>985</v>
      </c>
      <c r="Q346" s="21" t="s">
        <v>465</v>
      </c>
      <c r="R346" s="21" t="s">
        <v>464</v>
      </c>
      <c r="S346" s="21" t="s">
        <v>966</v>
      </c>
      <c r="T346" s="75">
        <v>420</v>
      </c>
      <c r="U346" s="76">
        <v>2200</v>
      </c>
      <c r="V346" s="21" t="s">
        <v>949</v>
      </c>
      <c r="W346" s="77"/>
      <c r="X346" s="21" t="s">
        <v>593</v>
      </c>
    </row>
    <row r="347" spans="1:24" ht="17.25" customHeight="1" x14ac:dyDescent="0.2">
      <c r="A347" s="396" t="s">
        <v>596</v>
      </c>
      <c r="B347" s="21" t="s">
        <v>2228</v>
      </c>
      <c r="C347" s="21" t="s">
        <v>2320</v>
      </c>
      <c r="D347" s="21" t="s">
        <v>1670</v>
      </c>
      <c r="E347" s="21" t="s">
        <v>589</v>
      </c>
      <c r="F347" s="21" t="s">
        <v>595</v>
      </c>
      <c r="G347" s="21">
        <v>196211</v>
      </c>
      <c r="H347" s="21" t="s">
        <v>48</v>
      </c>
      <c r="I347" s="21" t="s">
        <v>1643</v>
      </c>
      <c r="J347" s="21" t="s">
        <v>50</v>
      </c>
      <c r="K347" s="21" t="s">
        <v>50</v>
      </c>
      <c r="L347" s="21" t="s">
        <v>983</v>
      </c>
      <c r="M347" s="21" t="s">
        <v>981</v>
      </c>
      <c r="N347" s="21">
        <v>20.1585</v>
      </c>
      <c r="O347" s="74">
        <v>92.839416999999997</v>
      </c>
      <c r="P347" s="21" t="s">
        <v>944</v>
      </c>
      <c r="Q347" s="21" t="s">
        <v>465</v>
      </c>
      <c r="R347" s="21" t="s">
        <v>464</v>
      </c>
      <c r="S347" s="21" t="s">
        <v>966</v>
      </c>
      <c r="T347" s="75">
        <v>2270</v>
      </c>
      <c r="U347" s="76">
        <v>13049</v>
      </c>
      <c r="V347" s="21" t="s">
        <v>949</v>
      </c>
      <c r="W347" s="77"/>
      <c r="X347" s="21" t="s">
        <v>1042</v>
      </c>
    </row>
    <row r="348" spans="1:24" ht="17.25" customHeight="1" x14ac:dyDescent="0.2">
      <c r="A348" s="396" t="s">
        <v>597</v>
      </c>
      <c r="B348" s="21" t="s">
        <v>2228</v>
      </c>
      <c r="C348" s="21" t="s">
        <v>2320</v>
      </c>
      <c r="D348" s="244" t="s">
        <v>1671</v>
      </c>
      <c r="E348" s="21" t="s">
        <v>589</v>
      </c>
      <c r="F348" s="21" t="s">
        <v>2333</v>
      </c>
      <c r="G348" s="21">
        <v>196206</v>
      </c>
      <c r="H348" s="21" t="s">
        <v>48</v>
      </c>
      <c r="I348" s="21" t="s">
        <v>979</v>
      </c>
      <c r="J348" s="21" t="s">
        <v>50</v>
      </c>
      <c r="K348" s="21" t="s">
        <v>50</v>
      </c>
      <c r="L348" s="21" t="s">
        <v>956</v>
      </c>
      <c r="M348" s="21" t="s">
        <v>981</v>
      </c>
      <c r="N348" s="21">
        <v>20.167421999999998</v>
      </c>
      <c r="O348" s="74">
        <v>92.830074999999994</v>
      </c>
      <c r="P348" s="21" t="s">
        <v>957</v>
      </c>
      <c r="Q348" s="21" t="s">
        <v>465</v>
      </c>
      <c r="R348" s="21" t="s">
        <v>464</v>
      </c>
      <c r="T348" s="75">
        <v>518</v>
      </c>
      <c r="U348" s="76">
        <v>2951</v>
      </c>
      <c r="V348" s="21" t="s">
        <v>949</v>
      </c>
      <c r="W348" s="77" t="s">
        <v>1043</v>
      </c>
      <c r="X348" s="21" t="s">
        <v>1044</v>
      </c>
    </row>
    <row r="349" spans="1:24" ht="17.25" customHeight="1" x14ac:dyDescent="0.2">
      <c r="A349" s="396" t="s">
        <v>598</v>
      </c>
      <c r="B349" s="21" t="s">
        <v>2228</v>
      </c>
      <c r="C349" s="21" t="s">
        <v>2320</v>
      </c>
      <c r="D349" s="244" t="s">
        <v>1672</v>
      </c>
      <c r="E349" s="21" t="s">
        <v>589</v>
      </c>
      <c r="F349" s="21" t="s">
        <v>2333</v>
      </c>
      <c r="G349" s="21">
        <v>196206</v>
      </c>
      <c r="H349" s="21" t="s">
        <v>48</v>
      </c>
      <c r="I349" s="21" t="s">
        <v>583</v>
      </c>
      <c r="J349" s="21" t="s">
        <v>50</v>
      </c>
      <c r="K349" s="21" t="s">
        <v>50</v>
      </c>
      <c r="L349" s="21" t="s">
        <v>980</v>
      </c>
      <c r="M349" s="21" t="s">
        <v>981</v>
      </c>
      <c r="N349" s="21">
        <v>20.16846</v>
      </c>
      <c r="O349" s="74">
        <v>92.827427</v>
      </c>
      <c r="P349" s="21" t="s">
        <v>944</v>
      </c>
      <c r="Q349" s="21" t="s">
        <v>465</v>
      </c>
      <c r="R349" s="21" t="s">
        <v>464</v>
      </c>
      <c r="S349" s="21" t="s">
        <v>966</v>
      </c>
      <c r="T349" s="75">
        <v>1983</v>
      </c>
      <c r="U349" s="76">
        <v>11363</v>
      </c>
      <c r="V349" s="21" t="s">
        <v>949</v>
      </c>
      <c r="W349" s="77"/>
      <c r="X349" s="21" t="s">
        <v>598</v>
      </c>
    </row>
    <row r="350" spans="1:24" ht="17.25" customHeight="1" x14ac:dyDescent="0.2">
      <c r="A350" s="396" t="s">
        <v>599</v>
      </c>
      <c r="B350" s="21" t="s">
        <v>2228</v>
      </c>
      <c r="C350" s="21" t="s">
        <v>2320</v>
      </c>
      <c r="D350" s="21" t="s">
        <v>1674</v>
      </c>
      <c r="E350" s="21" t="s">
        <v>2238</v>
      </c>
      <c r="F350" s="21" t="s">
        <v>2270</v>
      </c>
      <c r="G350" s="21">
        <v>196192</v>
      </c>
      <c r="H350" s="21" t="s">
        <v>48</v>
      </c>
      <c r="I350" s="21" t="s">
        <v>583</v>
      </c>
      <c r="J350" s="21" t="s">
        <v>50</v>
      </c>
      <c r="K350" s="21" t="s">
        <v>50</v>
      </c>
      <c r="L350" s="21" t="s">
        <v>980</v>
      </c>
      <c r="M350" s="21" t="s">
        <v>981</v>
      </c>
      <c r="N350" s="21">
        <v>20.179417000000001</v>
      </c>
      <c r="O350" s="74">
        <v>92.813028000000003</v>
      </c>
      <c r="P350" s="21" t="s">
        <v>944</v>
      </c>
      <c r="Q350" s="21" t="s">
        <v>465</v>
      </c>
      <c r="R350" s="21" t="s">
        <v>464</v>
      </c>
      <c r="T350" s="75">
        <v>1028</v>
      </c>
      <c r="U350" s="76">
        <v>4833</v>
      </c>
      <c r="W350" s="77" t="s">
        <v>1048</v>
      </c>
    </row>
    <row r="351" spans="1:24" ht="17.25" customHeight="1" x14ac:dyDescent="0.2">
      <c r="A351" s="396" t="s">
        <v>600</v>
      </c>
      <c r="B351" s="21" t="s">
        <v>2228</v>
      </c>
      <c r="C351" s="21" t="s">
        <v>2320</v>
      </c>
      <c r="D351" s="21" t="s">
        <v>1675</v>
      </c>
      <c r="E351" s="21" t="s">
        <v>589</v>
      </c>
      <c r="F351" s="21" t="s">
        <v>2334</v>
      </c>
      <c r="G351" s="21">
        <v>196186</v>
      </c>
      <c r="H351" s="21" t="s">
        <v>48</v>
      </c>
      <c r="I351" s="21" t="s">
        <v>1676</v>
      </c>
      <c r="J351" s="21" t="s">
        <v>50</v>
      </c>
      <c r="K351" s="21" t="s">
        <v>50</v>
      </c>
      <c r="L351" s="21" t="s">
        <v>980</v>
      </c>
      <c r="M351" s="21" t="s">
        <v>981</v>
      </c>
      <c r="N351" s="21">
        <v>20.179939999999998</v>
      </c>
      <c r="O351" s="74">
        <v>92.831879000000001</v>
      </c>
      <c r="P351" s="21" t="s">
        <v>944</v>
      </c>
      <c r="Q351" s="21" t="s">
        <v>465</v>
      </c>
      <c r="R351" s="21" t="s">
        <v>464</v>
      </c>
      <c r="S351" s="21" t="s">
        <v>966</v>
      </c>
      <c r="T351" s="75">
        <v>981</v>
      </c>
      <c r="U351" s="76">
        <v>5855</v>
      </c>
      <c r="V351" s="21" t="s">
        <v>949</v>
      </c>
      <c r="W351" s="77"/>
      <c r="X351" s="21" t="s">
        <v>1049</v>
      </c>
    </row>
    <row r="352" spans="1:24" ht="17.25" customHeight="1" x14ac:dyDescent="0.2">
      <c r="A352" s="396" t="s">
        <v>602</v>
      </c>
      <c r="B352" s="21" t="s">
        <v>2228</v>
      </c>
      <c r="C352" s="21" t="s">
        <v>2320</v>
      </c>
      <c r="D352" s="21" t="s">
        <v>1679</v>
      </c>
      <c r="E352" s="21" t="s">
        <v>2238</v>
      </c>
      <c r="F352" s="21" t="s">
        <v>2270</v>
      </c>
      <c r="G352" s="21">
        <v>196192</v>
      </c>
      <c r="H352" s="21" t="s">
        <v>48</v>
      </c>
      <c r="I352" s="21" t="s">
        <v>583</v>
      </c>
      <c r="J352" s="21" t="s">
        <v>50</v>
      </c>
      <c r="K352" s="21" t="s">
        <v>50</v>
      </c>
      <c r="L352" s="21" t="s">
        <v>980</v>
      </c>
      <c r="M352" s="21" t="s">
        <v>981</v>
      </c>
      <c r="N352" s="21">
        <v>20.181405999999999</v>
      </c>
      <c r="O352" s="74">
        <v>92.807552000000001</v>
      </c>
      <c r="P352" s="21" t="s">
        <v>944</v>
      </c>
      <c r="Q352" s="21" t="s">
        <v>465</v>
      </c>
      <c r="R352" s="21" t="s">
        <v>464</v>
      </c>
      <c r="T352" s="75">
        <v>1340</v>
      </c>
      <c r="U352" s="76">
        <v>7377</v>
      </c>
      <c r="W352" s="77" t="s">
        <v>1048</v>
      </c>
    </row>
    <row r="353" spans="1:24" ht="17.25" customHeight="1" x14ac:dyDescent="0.2">
      <c r="A353" s="396" t="s">
        <v>605</v>
      </c>
      <c r="B353" s="21" t="s">
        <v>2228</v>
      </c>
      <c r="C353" s="21" t="s">
        <v>2320</v>
      </c>
      <c r="D353" s="21" t="s">
        <v>1682</v>
      </c>
      <c r="E353" s="21" t="s">
        <v>2238</v>
      </c>
      <c r="F353" s="21" t="s">
        <v>2270</v>
      </c>
      <c r="G353" s="21">
        <v>196192</v>
      </c>
      <c r="H353" s="21" t="s">
        <v>48</v>
      </c>
      <c r="I353" s="21" t="s">
        <v>979</v>
      </c>
      <c r="J353" s="21" t="s">
        <v>50</v>
      </c>
      <c r="K353" s="21" t="s">
        <v>50</v>
      </c>
      <c r="L353" s="21" t="s">
        <v>956</v>
      </c>
      <c r="M353" s="21" t="s">
        <v>981</v>
      </c>
      <c r="N353" s="21">
        <v>20.182987000000001</v>
      </c>
      <c r="O353" s="74">
        <v>92.804803000000007</v>
      </c>
      <c r="P353" s="21" t="s">
        <v>957</v>
      </c>
      <c r="Q353" s="21" t="s">
        <v>465</v>
      </c>
      <c r="R353" s="21" t="s">
        <v>464</v>
      </c>
      <c r="S353" s="21" t="s">
        <v>966</v>
      </c>
      <c r="T353" s="75">
        <v>41</v>
      </c>
      <c r="U353" s="76">
        <v>226</v>
      </c>
      <c r="V353" s="21" t="s">
        <v>949</v>
      </c>
      <c r="W353" s="77"/>
      <c r="X353" s="21" t="s">
        <v>1053</v>
      </c>
    </row>
    <row r="354" spans="1:24" ht="17.25" customHeight="1" x14ac:dyDescent="0.2">
      <c r="A354" s="396" t="s">
        <v>607</v>
      </c>
      <c r="B354" s="21" t="s">
        <v>2228</v>
      </c>
      <c r="C354" s="21" t="s">
        <v>2320</v>
      </c>
      <c r="D354" s="21" t="s">
        <v>1683</v>
      </c>
      <c r="E354" s="21" t="s">
        <v>2238</v>
      </c>
      <c r="F354" s="21" t="s">
        <v>2270</v>
      </c>
      <c r="G354" s="21">
        <v>196192</v>
      </c>
      <c r="H354" s="21" t="s">
        <v>48</v>
      </c>
      <c r="I354" s="21" t="s">
        <v>1643</v>
      </c>
      <c r="J354" s="21" t="s">
        <v>50</v>
      </c>
      <c r="K354" s="21" t="s">
        <v>50</v>
      </c>
      <c r="L354" s="21" t="s">
        <v>980</v>
      </c>
      <c r="M354" s="21" t="s">
        <v>981</v>
      </c>
      <c r="N354" s="21">
        <v>20.185092000000001</v>
      </c>
      <c r="O354" s="74">
        <v>92.802295999999998</v>
      </c>
      <c r="P354" s="21" t="s">
        <v>944</v>
      </c>
      <c r="Q354" s="21" t="s">
        <v>465</v>
      </c>
      <c r="R354" s="21" t="s">
        <v>464</v>
      </c>
      <c r="S354" s="21" t="s">
        <v>966</v>
      </c>
      <c r="T354" s="75">
        <v>2259</v>
      </c>
      <c r="U354" s="76">
        <v>11234</v>
      </c>
      <c r="V354" s="21" t="s">
        <v>949</v>
      </c>
      <c r="W354" s="77"/>
      <c r="X354" s="21" t="s">
        <v>1054</v>
      </c>
    </row>
    <row r="355" spans="1:24" ht="17.25" customHeight="1" x14ac:dyDescent="0.2">
      <c r="A355" s="396" t="s">
        <v>608</v>
      </c>
      <c r="B355" s="21" t="s">
        <v>2228</v>
      </c>
      <c r="C355" s="21" t="s">
        <v>2320</v>
      </c>
      <c r="D355" s="21" t="s">
        <v>1684</v>
      </c>
      <c r="E355" s="21" t="s">
        <v>589</v>
      </c>
      <c r="F355" s="21" t="s">
        <v>589</v>
      </c>
      <c r="G355" s="21">
        <v>196200</v>
      </c>
      <c r="H355" s="21" t="s">
        <v>48</v>
      </c>
      <c r="I355" s="21" t="s">
        <v>1676</v>
      </c>
      <c r="J355" s="21" t="s">
        <v>50</v>
      </c>
      <c r="K355" s="21" t="s">
        <v>50</v>
      </c>
      <c r="L355" s="21" t="s">
        <v>980</v>
      </c>
      <c r="M355" s="21" t="s">
        <v>981</v>
      </c>
      <c r="N355" s="21">
        <v>20.185917</v>
      </c>
      <c r="O355" s="74">
        <v>92.831000000000003</v>
      </c>
      <c r="P355" s="21" t="s">
        <v>944</v>
      </c>
      <c r="Q355" s="21" t="s">
        <v>465</v>
      </c>
      <c r="R355" s="21" t="s">
        <v>464</v>
      </c>
      <c r="S355" s="21" t="s">
        <v>966</v>
      </c>
      <c r="T355" s="75">
        <v>621</v>
      </c>
      <c r="U355" s="76">
        <v>3440</v>
      </c>
      <c r="V355" s="21" t="s">
        <v>949</v>
      </c>
      <c r="W355" s="77"/>
      <c r="X355" s="21" t="s">
        <v>1055</v>
      </c>
    </row>
    <row r="356" spans="1:24" ht="17.25" customHeight="1" x14ac:dyDescent="0.2">
      <c r="A356" s="396" t="s">
        <v>609</v>
      </c>
      <c r="B356" s="21" t="s">
        <v>2228</v>
      </c>
      <c r="C356" s="21" t="s">
        <v>2320</v>
      </c>
      <c r="D356" s="21" t="s">
        <v>1685</v>
      </c>
      <c r="E356" s="21" t="s">
        <v>2238</v>
      </c>
      <c r="F356" s="21" t="s">
        <v>2270</v>
      </c>
      <c r="G356" s="21">
        <v>196192</v>
      </c>
      <c r="H356" s="21" t="s">
        <v>48</v>
      </c>
      <c r="I356" s="21" t="s">
        <v>583</v>
      </c>
      <c r="J356" s="21" t="s">
        <v>50</v>
      </c>
      <c r="K356" s="21" t="s">
        <v>50</v>
      </c>
      <c r="L356" s="21" t="s">
        <v>980</v>
      </c>
      <c r="M356" s="21" t="s">
        <v>981</v>
      </c>
      <c r="N356" s="21">
        <v>20.18994</v>
      </c>
      <c r="O356" s="74">
        <v>92.798880999999994</v>
      </c>
      <c r="P356" s="21" t="s">
        <v>944</v>
      </c>
      <c r="Q356" s="21" t="s">
        <v>465</v>
      </c>
      <c r="R356" s="21" t="s">
        <v>464</v>
      </c>
      <c r="S356" s="21" t="s">
        <v>966</v>
      </c>
      <c r="T356" s="75">
        <v>2668</v>
      </c>
      <c r="U356" s="76">
        <v>13794</v>
      </c>
      <c r="V356" s="21" t="s">
        <v>949</v>
      </c>
      <c r="W356" s="77"/>
      <c r="X356" s="21" t="s">
        <v>1056</v>
      </c>
    </row>
    <row r="357" spans="1:24" ht="17.25" customHeight="1" x14ac:dyDescent="0.2">
      <c r="A357" s="396" t="s">
        <v>616</v>
      </c>
      <c r="B357" s="21" t="s">
        <v>2228</v>
      </c>
      <c r="C357" s="21" t="s">
        <v>2320</v>
      </c>
      <c r="D357" s="21" t="s">
        <v>1689</v>
      </c>
      <c r="E357" s="21" t="s">
        <v>2335</v>
      </c>
      <c r="F357" s="21" t="s">
        <v>616</v>
      </c>
      <c r="G357" s="21">
        <v>196154</v>
      </c>
      <c r="H357" s="21" t="s">
        <v>48</v>
      </c>
      <c r="I357" s="21" t="s">
        <v>583</v>
      </c>
      <c r="J357" s="21" t="s">
        <v>50</v>
      </c>
      <c r="K357" s="21" t="s">
        <v>50</v>
      </c>
      <c r="L357" s="21" t="s">
        <v>980</v>
      </c>
      <c r="M357" s="21" t="s">
        <v>981</v>
      </c>
      <c r="N357" s="21">
        <v>20.202525000000001</v>
      </c>
      <c r="O357" s="74">
        <v>92.792479999999998</v>
      </c>
      <c r="P357" s="21" t="s">
        <v>944</v>
      </c>
      <c r="Q357" s="21" t="s">
        <v>465</v>
      </c>
      <c r="R357" s="21" t="s">
        <v>464</v>
      </c>
      <c r="S357" s="21" t="s">
        <v>966</v>
      </c>
      <c r="T357" s="75">
        <v>2692</v>
      </c>
      <c r="U357" s="76">
        <v>13743</v>
      </c>
      <c r="V357" s="21" t="s">
        <v>949</v>
      </c>
      <c r="W357" s="77"/>
      <c r="X357" s="21" t="s">
        <v>616</v>
      </c>
    </row>
    <row r="358" spans="1:24" ht="17.25" customHeight="1" x14ac:dyDescent="0.2">
      <c r="A358" s="396" t="s">
        <v>618</v>
      </c>
      <c r="B358" s="21" t="s">
        <v>2228</v>
      </c>
      <c r="C358" s="21" t="s">
        <v>2320</v>
      </c>
      <c r="D358" s="21" t="s">
        <v>1691</v>
      </c>
      <c r="E358" s="21" t="s">
        <v>2335</v>
      </c>
      <c r="F358" s="21" t="s">
        <v>617</v>
      </c>
      <c r="G358" s="21">
        <v>196158</v>
      </c>
      <c r="H358" s="21" t="s">
        <v>48</v>
      </c>
      <c r="I358" s="21" t="s">
        <v>583</v>
      </c>
      <c r="J358" s="21" t="s">
        <v>50</v>
      </c>
      <c r="K358" s="21" t="s">
        <v>50</v>
      </c>
      <c r="L358" s="21" t="s">
        <v>980</v>
      </c>
      <c r="M358" s="21" t="s">
        <v>981</v>
      </c>
      <c r="N358" s="21">
        <v>20.206778</v>
      </c>
      <c r="O358" s="74">
        <v>92.774193999999994</v>
      </c>
      <c r="P358" s="21" t="s">
        <v>944</v>
      </c>
      <c r="Q358" s="21" t="s">
        <v>465</v>
      </c>
      <c r="R358" s="21" t="s">
        <v>464</v>
      </c>
      <c r="S358" s="21" t="s">
        <v>966</v>
      </c>
      <c r="T358" s="75">
        <v>734</v>
      </c>
      <c r="U358" s="76">
        <v>4007</v>
      </c>
      <c r="V358" s="21" t="s">
        <v>949</v>
      </c>
      <c r="W358" s="77"/>
      <c r="X358" s="21" t="s">
        <v>618</v>
      </c>
    </row>
    <row r="359" spans="1:24" ht="17.25" customHeight="1" x14ac:dyDescent="0.2">
      <c r="A359" s="21" t="s">
        <v>902</v>
      </c>
      <c r="B359" s="21" t="s">
        <v>2228</v>
      </c>
      <c r="C359" s="21" t="s">
        <v>2320</v>
      </c>
      <c r="D359" s="21" t="s">
        <v>1916</v>
      </c>
      <c r="E359" s="21" t="s">
        <v>902</v>
      </c>
      <c r="F359" s="21" t="s">
        <v>902</v>
      </c>
      <c r="G359" s="21">
        <v>206352</v>
      </c>
      <c r="H359" s="21" t="s">
        <v>48</v>
      </c>
      <c r="I359" s="21" t="s">
        <v>297</v>
      </c>
      <c r="J359" s="21" t="s">
        <v>50</v>
      </c>
      <c r="K359" s="21" t="s">
        <v>50</v>
      </c>
      <c r="L359" s="21" t="s">
        <v>50</v>
      </c>
      <c r="M359" s="21" t="s">
        <v>51</v>
      </c>
      <c r="N359" s="21">
        <v>23.354268999999999</v>
      </c>
      <c r="O359" s="74">
        <v>98.218626999999998</v>
      </c>
      <c r="P359" s="21" t="s">
        <v>944</v>
      </c>
      <c r="Q359" s="21" t="s">
        <v>901</v>
      </c>
      <c r="R359" s="21" t="s">
        <v>878</v>
      </c>
      <c r="S359" s="21" t="s">
        <v>966</v>
      </c>
      <c r="T359" s="75">
        <v>33</v>
      </c>
      <c r="U359" s="76">
        <v>174</v>
      </c>
      <c r="V359" s="21" t="s">
        <v>949</v>
      </c>
      <c r="W359" s="77"/>
      <c r="X359" s="21" t="s">
        <v>902</v>
      </c>
    </row>
    <row r="360" spans="1:24" ht="17.25" customHeight="1" x14ac:dyDescent="0.2">
      <c r="A360" s="21" t="s">
        <v>927</v>
      </c>
      <c r="B360" s="21" t="s">
        <v>2228</v>
      </c>
      <c r="C360" s="21" t="s">
        <v>2320</v>
      </c>
      <c r="D360" s="21" t="s">
        <v>1917</v>
      </c>
      <c r="E360" s="21" t="s">
        <v>2353</v>
      </c>
      <c r="F360" s="21" t="s">
        <v>2353</v>
      </c>
      <c r="G360" s="21">
        <v>206422</v>
      </c>
      <c r="J360" s="21" t="s">
        <v>50</v>
      </c>
      <c r="K360" s="21" t="s">
        <v>1155</v>
      </c>
      <c r="L360" s="21" t="s">
        <v>956</v>
      </c>
      <c r="M360" s="21" t="s">
        <v>964</v>
      </c>
      <c r="N360" s="21">
        <v>23.372409999999999</v>
      </c>
      <c r="O360" s="74">
        <v>98.352670000000003</v>
      </c>
      <c r="P360" s="21" t="s">
        <v>957</v>
      </c>
      <c r="Q360" s="21" t="s">
        <v>901</v>
      </c>
      <c r="R360" s="21" t="s">
        <v>878</v>
      </c>
      <c r="S360" s="21" t="s">
        <v>966</v>
      </c>
      <c r="T360" s="75">
        <v>67</v>
      </c>
      <c r="U360" s="76">
        <v>392</v>
      </c>
      <c r="V360" s="21" t="s">
        <v>949</v>
      </c>
      <c r="W360" s="77"/>
      <c r="X360" s="21" t="s">
        <v>927</v>
      </c>
    </row>
    <row r="361" spans="1:24" ht="17.25" customHeight="1" x14ac:dyDescent="0.2">
      <c r="A361" s="21" t="s">
        <v>926</v>
      </c>
      <c r="B361" s="21" t="s">
        <v>2228</v>
      </c>
      <c r="C361" s="21" t="s">
        <v>2320</v>
      </c>
      <c r="D361" s="21" t="s">
        <v>1907</v>
      </c>
      <c r="E361" s="21" t="s">
        <v>2348</v>
      </c>
      <c r="F361" s="21" t="s">
        <v>2349</v>
      </c>
      <c r="G361" s="21">
        <v>209986</v>
      </c>
      <c r="J361" s="21" t="s">
        <v>50</v>
      </c>
      <c r="K361" s="21" t="s">
        <v>50</v>
      </c>
      <c r="L361" s="21" t="s">
        <v>961</v>
      </c>
      <c r="M361" s="21" t="s">
        <v>51</v>
      </c>
      <c r="N361" s="21">
        <v>22.677008000000001</v>
      </c>
      <c r="O361" s="74">
        <v>97.314762999999999</v>
      </c>
      <c r="P361" s="21" t="s">
        <v>944</v>
      </c>
      <c r="Q361" s="21" t="s">
        <v>925</v>
      </c>
      <c r="R361" s="21" t="s">
        <v>878</v>
      </c>
      <c r="S361" s="21" t="s">
        <v>945</v>
      </c>
      <c r="T361" s="75">
        <v>37</v>
      </c>
      <c r="U361" s="76">
        <v>120</v>
      </c>
      <c r="W361" s="77" t="s">
        <v>1149</v>
      </c>
      <c r="X361" s="21" t="s">
        <v>1150</v>
      </c>
    </row>
    <row r="362" spans="1:24" ht="17.25" customHeight="1" x14ac:dyDescent="0.2">
      <c r="A362" s="21" t="s">
        <v>906</v>
      </c>
      <c r="B362" s="21" t="s">
        <v>2228</v>
      </c>
      <c r="C362" s="21" t="s">
        <v>2320</v>
      </c>
      <c r="D362" s="21" t="s">
        <v>1918</v>
      </c>
      <c r="E362" s="21" t="s">
        <v>2244</v>
      </c>
      <c r="F362" s="21" t="s">
        <v>2245</v>
      </c>
      <c r="G362" s="21">
        <v>208557</v>
      </c>
      <c r="H362" s="21" t="s">
        <v>48</v>
      </c>
      <c r="I362" s="21" t="s">
        <v>297</v>
      </c>
      <c r="J362" s="21" t="s">
        <v>50</v>
      </c>
      <c r="K362" s="21" t="s">
        <v>1155</v>
      </c>
      <c r="L362" s="21" t="s">
        <v>50</v>
      </c>
      <c r="M362" s="21" t="s">
        <v>51</v>
      </c>
      <c r="N362" s="21">
        <v>23.38503</v>
      </c>
      <c r="O362" s="74">
        <v>97.837040000000002</v>
      </c>
      <c r="P362" s="21" t="s">
        <v>944</v>
      </c>
      <c r="Q362" s="21" t="s">
        <v>882</v>
      </c>
      <c r="R362" s="21" t="s">
        <v>878</v>
      </c>
      <c r="S362" s="21" t="s">
        <v>966</v>
      </c>
      <c r="T362" s="75">
        <v>187</v>
      </c>
      <c r="U362" s="76">
        <v>971</v>
      </c>
      <c r="V362" s="21" t="s">
        <v>949</v>
      </c>
      <c r="W362" s="77"/>
      <c r="X362" s="21" t="s">
        <v>906</v>
      </c>
    </row>
    <row r="363" spans="1:24" ht="17.25" customHeight="1" x14ac:dyDescent="0.2">
      <c r="A363" s="21" t="s">
        <v>910</v>
      </c>
      <c r="B363" s="21" t="s">
        <v>2228</v>
      </c>
      <c r="C363" s="21" t="s">
        <v>2320</v>
      </c>
      <c r="D363" s="21" t="s">
        <v>1921</v>
      </c>
      <c r="E363" s="21" t="s">
        <v>2244</v>
      </c>
      <c r="F363" s="21">
        <v>0</v>
      </c>
      <c r="G363" s="21">
        <v>0</v>
      </c>
      <c r="J363" s="21" t="s">
        <v>50</v>
      </c>
      <c r="K363" s="21" t="s">
        <v>1155</v>
      </c>
      <c r="L363" s="21" t="s">
        <v>961</v>
      </c>
      <c r="M363" s="21" t="s">
        <v>51</v>
      </c>
      <c r="N363" s="21">
        <v>23.447111</v>
      </c>
      <c r="O363" s="74">
        <v>97.868876999999998</v>
      </c>
      <c r="P363" s="21" t="s">
        <v>944</v>
      </c>
      <c r="Q363" s="21" t="s">
        <v>882</v>
      </c>
      <c r="R363" s="21" t="s">
        <v>878</v>
      </c>
      <c r="S363" s="21" t="s">
        <v>945</v>
      </c>
      <c r="T363" s="75">
        <v>105</v>
      </c>
      <c r="U363" s="76">
        <v>568</v>
      </c>
      <c r="W363" s="77"/>
    </row>
    <row r="364" spans="1:24" ht="17.25" customHeight="1" x14ac:dyDescent="0.2">
      <c r="A364" s="21" t="s">
        <v>909</v>
      </c>
      <c r="B364" s="21" t="s">
        <v>2228</v>
      </c>
      <c r="C364" s="21" t="s">
        <v>2320</v>
      </c>
      <c r="D364" s="21" t="s">
        <v>1922</v>
      </c>
      <c r="E364" s="21" t="s">
        <v>2354</v>
      </c>
      <c r="F364" s="21" t="s">
        <v>2355</v>
      </c>
      <c r="G364" s="21" t="s">
        <v>2356</v>
      </c>
      <c r="H364" s="21" t="s">
        <v>48</v>
      </c>
      <c r="I364" s="21" t="s">
        <v>297</v>
      </c>
      <c r="J364" s="21" t="s">
        <v>50</v>
      </c>
      <c r="K364" s="21" t="s">
        <v>50</v>
      </c>
      <c r="L364" s="21" t="s">
        <v>50</v>
      </c>
      <c r="M364" s="21" t="s">
        <v>51</v>
      </c>
      <c r="N364" s="21">
        <v>23.450914000000001</v>
      </c>
      <c r="O364" s="74">
        <v>97.926813999999993</v>
      </c>
      <c r="P364" s="21" t="s">
        <v>944</v>
      </c>
      <c r="Q364" s="21" t="s">
        <v>882</v>
      </c>
      <c r="R364" s="21" t="s">
        <v>878</v>
      </c>
      <c r="S364" s="21" t="s">
        <v>966</v>
      </c>
      <c r="T364" s="75">
        <v>58</v>
      </c>
      <c r="U364" s="76">
        <v>277</v>
      </c>
      <c r="V364" s="21" t="s">
        <v>949</v>
      </c>
      <c r="W364" s="77"/>
      <c r="X364" s="21" t="s">
        <v>909</v>
      </c>
    </row>
    <row r="365" spans="1:24" ht="17.25" customHeight="1" x14ac:dyDescent="0.2">
      <c r="A365" s="21" t="s">
        <v>914</v>
      </c>
      <c r="B365" s="21" t="s">
        <v>2228</v>
      </c>
      <c r="C365" s="21" t="s">
        <v>2320</v>
      </c>
      <c r="D365" s="21" t="s">
        <v>1923</v>
      </c>
      <c r="E365" s="21" t="s">
        <v>2354</v>
      </c>
      <c r="F365" s="21" t="s">
        <v>2234</v>
      </c>
      <c r="G365" s="21" t="s">
        <v>2357</v>
      </c>
      <c r="H365" s="21" t="s">
        <v>48</v>
      </c>
      <c r="I365" s="21" t="s">
        <v>297</v>
      </c>
      <c r="J365" s="21" t="s">
        <v>50</v>
      </c>
      <c r="K365" s="21" t="s">
        <v>50</v>
      </c>
      <c r="L365" s="21" t="s">
        <v>961</v>
      </c>
      <c r="M365" s="21" t="s">
        <v>51</v>
      </c>
      <c r="N365" s="21">
        <v>23.460349999999998</v>
      </c>
      <c r="O365" s="74">
        <v>97.947360000000003</v>
      </c>
      <c r="P365" s="21" t="s">
        <v>944</v>
      </c>
      <c r="Q365" s="21" t="s">
        <v>882</v>
      </c>
      <c r="R365" s="21" t="s">
        <v>878</v>
      </c>
      <c r="S365" s="21" t="s">
        <v>945</v>
      </c>
      <c r="T365" s="75">
        <v>36</v>
      </c>
      <c r="U365" s="76">
        <v>146</v>
      </c>
      <c r="V365" s="21">
        <v>42836</v>
      </c>
      <c r="W365" s="77" t="s">
        <v>1158</v>
      </c>
    </row>
    <row r="366" spans="1:24" ht="17.25" customHeight="1" x14ac:dyDescent="0.2">
      <c r="A366" s="21" t="s">
        <v>883</v>
      </c>
      <c r="B366" s="21" t="s">
        <v>2228</v>
      </c>
      <c r="C366" s="21" t="s">
        <v>2320</v>
      </c>
      <c r="D366" s="21" t="s">
        <v>1924</v>
      </c>
      <c r="E366" s="21" t="s">
        <v>2354</v>
      </c>
      <c r="F366" s="21" t="s">
        <v>2358</v>
      </c>
      <c r="G366" s="21" t="s">
        <v>2359</v>
      </c>
      <c r="H366" s="21" t="s">
        <v>48</v>
      </c>
      <c r="I366" s="21" t="s">
        <v>1571</v>
      </c>
      <c r="J366" s="21" t="s">
        <v>50</v>
      </c>
      <c r="K366" s="21" t="s">
        <v>50</v>
      </c>
      <c r="L366" s="21" t="s">
        <v>50</v>
      </c>
      <c r="M366" s="21" t="s">
        <v>51</v>
      </c>
      <c r="N366" s="21">
        <v>23.460349999999998</v>
      </c>
      <c r="O366" s="74">
        <v>97.947360000000003</v>
      </c>
      <c r="P366" s="21" t="s">
        <v>944</v>
      </c>
      <c r="Q366" s="21" t="s">
        <v>882</v>
      </c>
      <c r="R366" s="21" t="s">
        <v>878</v>
      </c>
      <c r="S366" s="21" t="s">
        <v>966</v>
      </c>
      <c r="T366" s="75">
        <v>30</v>
      </c>
      <c r="U366" s="76">
        <v>135</v>
      </c>
      <c r="V366" s="21" t="s">
        <v>949</v>
      </c>
      <c r="W366" s="77"/>
      <c r="X366" s="21" t="s">
        <v>883</v>
      </c>
    </row>
    <row r="367" spans="1:24" ht="17.25" customHeight="1" x14ac:dyDescent="0.2">
      <c r="A367" s="21" t="s">
        <v>887</v>
      </c>
      <c r="B367" s="21" t="s">
        <v>2228</v>
      </c>
      <c r="C367" s="21" t="s">
        <v>2320</v>
      </c>
      <c r="D367" s="21" t="s">
        <v>1925</v>
      </c>
      <c r="E367" s="21" t="s">
        <v>2360</v>
      </c>
      <c r="F367" s="21" t="s">
        <v>2361</v>
      </c>
      <c r="G367" s="21">
        <v>219842</v>
      </c>
      <c r="H367" s="21" t="s">
        <v>48</v>
      </c>
      <c r="I367" s="21" t="s">
        <v>1571</v>
      </c>
      <c r="J367" s="21" t="s">
        <v>50</v>
      </c>
      <c r="K367" s="21" t="s">
        <v>50</v>
      </c>
      <c r="L367" s="21" t="s">
        <v>50</v>
      </c>
      <c r="M367" s="21" t="s">
        <v>51</v>
      </c>
      <c r="N367" s="21">
        <v>23.463000000000001</v>
      </c>
      <c r="O367" s="74">
        <v>98.248999999999995</v>
      </c>
      <c r="P367" s="21" t="s">
        <v>944</v>
      </c>
      <c r="Q367" s="21" t="s">
        <v>882</v>
      </c>
      <c r="R367" s="21" t="s">
        <v>878</v>
      </c>
      <c r="S367" s="21" t="s">
        <v>966</v>
      </c>
      <c r="T367" s="75">
        <v>22</v>
      </c>
      <c r="U367" s="76">
        <v>105</v>
      </c>
      <c r="V367" s="21" t="s">
        <v>949</v>
      </c>
      <c r="W367" s="77"/>
      <c r="X367" s="21" t="s">
        <v>1159</v>
      </c>
    </row>
    <row r="368" spans="1:24" ht="17.25" customHeight="1" x14ac:dyDescent="0.2">
      <c r="A368" s="21" t="s">
        <v>918</v>
      </c>
      <c r="B368" s="21" t="s">
        <v>2228</v>
      </c>
      <c r="C368" s="21" t="s">
        <v>2320</v>
      </c>
      <c r="D368" s="21" t="s">
        <v>1926</v>
      </c>
      <c r="E368" s="21" t="s">
        <v>2362</v>
      </c>
      <c r="F368" s="21" t="s">
        <v>2362</v>
      </c>
      <c r="G368" s="21">
        <v>208747</v>
      </c>
      <c r="H368" s="21" t="s">
        <v>48</v>
      </c>
      <c r="I368" s="21" t="s">
        <v>297</v>
      </c>
      <c r="J368" s="21" t="s">
        <v>50</v>
      </c>
      <c r="K368" s="21" t="s">
        <v>1155</v>
      </c>
      <c r="L368" s="21" t="s">
        <v>50</v>
      </c>
      <c r="M368" s="21" t="s">
        <v>51</v>
      </c>
      <c r="N368" s="21">
        <v>23.588920000000002</v>
      </c>
      <c r="O368" s="74">
        <v>97.793019999999999</v>
      </c>
      <c r="P368" s="21" t="s">
        <v>944</v>
      </c>
      <c r="Q368" s="21" t="s">
        <v>882</v>
      </c>
      <c r="R368" s="21" t="s">
        <v>878</v>
      </c>
      <c r="S368" s="21" t="s">
        <v>966</v>
      </c>
      <c r="T368" s="75">
        <v>68</v>
      </c>
      <c r="U368" s="76">
        <v>309</v>
      </c>
      <c r="V368" s="21" t="s">
        <v>949</v>
      </c>
      <c r="W368" s="77"/>
      <c r="X368" s="21" t="s">
        <v>918</v>
      </c>
    </row>
    <row r="369" spans="1:24" ht="17.25" customHeight="1" x14ac:dyDescent="0.2">
      <c r="A369" s="21" t="s">
        <v>915</v>
      </c>
      <c r="B369" s="21" t="s">
        <v>2228</v>
      </c>
      <c r="C369" s="21" t="s">
        <v>2320</v>
      </c>
      <c r="D369" s="21" t="s">
        <v>1927</v>
      </c>
      <c r="E369" s="21" t="s">
        <v>2362</v>
      </c>
      <c r="F369" s="21" t="s">
        <v>2362</v>
      </c>
      <c r="G369" s="21">
        <v>208747</v>
      </c>
      <c r="H369" s="21" t="s">
        <v>48</v>
      </c>
      <c r="I369" s="21" t="s">
        <v>297</v>
      </c>
      <c r="J369" s="21" t="s">
        <v>50</v>
      </c>
      <c r="K369" s="21" t="s">
        <v>50</v>
      </c>
      <c r="L369" s="21" t="s">
        <v>50</v>
      </c>
      <c r="M369" s="21" t="s">
        <v>51</v>
      </c>
      <c r="N369" s="21">
        <v>23.591999999999999</v>
      </c>
      <c r="O369" s="74">
        <v>97.796999999999997</v>
      </c>
      <c r="P369" s="21" t="s">
        <v>944</v>
      </c>
      <c r="Q369" s="21" t="s">
        <v>882</v>
      </c>
      <c r="R369" s="21" t="s">
        <v>878</v>
      </c>
      <c r="S369" s="21" t="s">
        <v>966</v>
      </c>
      <c r="T369" s="75">
        <v>144</v>
      </c>
      <c r="U369" s="76">
        <v>721</v>
      </c>
      <c r="V369" s="21" t="s">
        <v>991</v>
      </c>
      <c r="W369" s="77"/>
    </row>
    <row r="370" spans="1:24" ht="17.25" customHeight="1" x14ac:dyDescent="0.2">
      <c r="A370" s="21" t="s">
        <v>896</v>
      </c>
      <c r="B370" s="21" t="s">
        <v>2228</v>
      </c>
      <c r="C370" s="21" t="s">
        <v>2320</v>
      </c>
      <c r="D370" s="21" t="s">
        <v>1931</v>
      </c>
      <c r="E370" s="21" t="s">
        <v>2363</v>
      </c>
      <c r="F370" s="21" t="s">
        <v>2364</v>
      </c>
      <c r="G370" s="21">
        <v>208696</v>
      </c>
      <c r="H370" s="21" t="s">
        <v>48</v>
      </c>
      <c r="I370" s="21" t="s">
        <v>297</v>
      </c>
      <c r="J370" s="21" t="s">
        <v>50</v>
      </c>
      <c r="K370" s="21" t="s">
        <v>50</v>
      </c>
      <c r="L370" s="21" t="s">
        <v>50</v>
      </c>
      <c r="M370" s="21" t="s">
        <v>51</v>
      </c>
      <c r="N370" s="21">
        <v>23.694130000000001</v>
      </c>
      <c r="O370" s="74">
        <v>97.818979999999996</v>
      </c>
      <c r="P370" s="21" t="s">
        <v>944</v>
      </c>
      <c r="Q370" s="21" t="s">
        <v>882</v>
      </c>
      <c r="R370" s="21" t="s">
        <v>878</v>
      </c>
      <c r="S370" s="21" t="s">
        <v>966</v>
      </c>
      <c r="T370" s="75">
        <v>57</v>
      </c>
      <c r="U370" s="76">
        <v>261</v>
      </c>
      <c r="V370" s="21" t="s">
        <v>949</v>
      </c>
      <c r="W370" s="77"/>
      <c r="X370" s="21" t="s">
        <v>896</v>
      </c>
    </row>
    <row r="371" spans="1:24" ht="17.25" customHeight="1" x14ac:dyDescent="0.2">
      <c r="A371" s="21" t="s">
        <v>913</v>
      </c>
      <c r="B371" s="21" t="s">
        <v>2228</v>
      </c>
      <c r="C371" s="21" t="s">
        <v>2320</v>
      </c>
      <c r="D371" s="21" t="s">
        <v>1944</v>
      </c>
      <c r="E371" s="21" t="s">
        <v>2366</v>
      </c>
      <c r="F371" s="21" t="s">
        <v>2367</v>
      </c>
      <c r="G371" s="21">
        <v>0</v>
      </c>
      <c r="J371" s="21" t="s">
        <v>50</v>
      </c>
      <c r="K371" s="21" t="s">
        <v>50</v>
      </c>
      <c r="L371" s="21" t="s">
        <v>961</v>
      </c>
      <c r="M371" s="21" t="s">
        <v>51</v>
      </c>
      <c r="N371" s="21">
        <v>23.850999999999999</v>
      </c>
      <c r="O371" s="74">
        <v>98.337999999999994</v>
      </c>
      <c r="P371" s="21" t="s">
        <v>944</v>
      </c>
      <c r="Q371" s="21" t="s">
        <v>882</v>
      </c>
      <c r="R371" s="21" t="s">
        <v>878</v>
      </c>
      <c r="S371" s="21" t="s">
        <v>945</v>
      </c>
      <c r="T371" s="75">
        <v>30</v>
      </c>
      <c r="U371" s="76">
        <v>170</v>
      </c>
      <c r="W371" s="77" t="s">
        <v>1169</v>
      </c>
    </row>
    <row r="372" spans="1:24" ht="17.25" customHeight="1" x14ac:dyDescent="0.2">
      <c r="A372" s="21" t="s">
        <v>923</v>
      </c>
      <c r="B372" s="21" t="s">
        <v>2228</v>
      </c>
      <c r="C372" s="21" t="s">
        <v>2320</v>
      </c>
      <c r="D372" s="21" t="s">
        <v>2125</v>
      </c>
      <c r="E372" s="21" t="s">
        <v>2468</v>
      </c>
      <c r="F372" s="21" t="s">
        <v>923</v>
      </c>
      <c r="G372" s="21">
        <v>208530</v>
      </c>
      <c r="J372" s="21" t="s">
        <v>50</v>
      </c>
      <c r="K372" s="21" t="s">
        <v>50</v>
      </c>
      <c r="L372" s="21" t="s">
        <v>961</v>
      </c>
      <c r="M372" s="21" t="s">
        <v>51</v>
      </c>
      <c r="N372" s="319"/>
      <c r="O372" s="319"/>
      <c r="P372" s="21" t="s">
        <v>944</v>
      </c>
      <c r="Q372" s="21" t="s">
        <v>882</v>
      </c>
      <c r="R372" s="21" t="s">
        <v>878</v>
      </c>
      <c r="S372" s="21" t="s">
        <v>988</v>
      </c>
      <c r="T372" s="75">
        <v>24</v>
      </c>
      <c r="U372" s="76">
        <v>84</v>
      </c>
      <c r="V372" s="21" t="s">
        <v>1273</v>
      </c>
      <c r="W372" s="77"/>
    </row>
    <row r="373" spans="1:24" ht="17.25" customHeight="1" x14ac:dyDescent="0.2">
      <c r="A373" s="323" t="s">
        <v>931</v>
      </c>
      <c r="B373" s="323" t="s">
        <v>2228</v>
      </c>
      <c r="C373" s="323" t="s">
        <v>2320</v>
      </c>
      <c r="D373" s="323" t="s">
        <v>2631</v>
      </c>
      <c r="E373" s="21" t="s">
        <v>931</v>
      </c>
      <c r="F373" s="21" t="s">
        <v>931</v>
      </c>
      <c r="G373" s="21">
        <v>0</v>
      </c>
      <c r="H373" s="323"/>
      <c r="I373" s="323"/>
      <c r="J373" s="323" t="s">
        <v>50</v>
      </c>
      <c r="K373" s="323" t="s">
        <v>50</v>
      </c>
      <c r="L373" s="323" t="s">
        <v>961</v>
      </c>
      <c r="M373" s="323" t="s">
        <v>51</v>
      </c>
      <c r="N373" s="324"/>
      <c r="O373" s="324"/>
      <c r="P373" s="323"/>
      <c r="Q373" s="323" t="s">
        <v>882</v>
      </c>
      <c r="R373" s="323" t="s">
        <v>878</v>
      </c>
      <c r="S373" s="325"/>
      <c r="T373" s="326">
        <v>37</v>
      </c>
      <c r="U373" s="326">
        <v>198</v>
      </c>
      <c r="V373" s="327"/>
      <c r="W373" s="323" t="s">
        <v>1345</v>
      </c>
    </row>
    <row r="374" spans="1:24" ht="17.25" customHeight="1" x14ac:dyDescent="0.2">
      <c r="A374" s="328" t="s">
        <v>1156</v>
      </c>
      <c r="B374" s="328" t="s">
        <v>2497</v>
      </c>
      <c r="C374" s="21" t="s">
        <v>2320</v>
      </c>
      <c r="D374" s="21" t="s">
        <v>1919</v>
      </c>
      <c r="E374" s="21" t="s">
        <v>2360</v>
      </c>
      <c r="F374" s="21" t="s">
        <v>2361</v>
      </c>
      <c r="G374" s="21">
        <v>219842</v>
      </c>
      <c r="I374" s="21" t="s">
        <v>297</v>
      </c>
      <c r="L374" s="21" t="s">
        <v>50</v>
      </c>
      <c r="M374" s="21" t="s">
        <v>51</v>
      </c>
      <c r="N374" s="21">
        <v>23.400155999999999</v>
      </c>
      <c r="O374" s="21">
        <v>98.220614999999995</v>
      </c>
      <c r="Q374" s="21" t="s">
        <v>882</v>
      </c>
      <c r="R374" s="21" t="s">
        <v>878</v>
      </c>
      <c r="T374" s="21">
        <v>46</v>
      </c>
      <c r="U374" s="21">
        <v>254</v>
      </c>
    </row>
    <row r="375" spans="1:24" ht="17.25" customHeight="1" x14ac:dyDescent="0.2">
      <c r="A375" s="328" t="s">
        <v>2508</v>
      </c>
      <c r="B375" s="328" t="s">
        <v>2497</v>
      </c>
      <c r="C375" s="21" t="s">
        <v>2320</v>
      </c>
      <c r="D375" s="21" t="s">
        <v>1930</v>
      </c>
      <c r="E375" s="21" t="s">
        <v>2363</v>
      </c>
      <c r="F375" s="21" t="s">
        <v>2400</v>
      </c>
      <c r="I375" s="21" t="s">
        <v>1571</v>
      </c>
      <c r="L375" s="21" t="s">
        <v>50</v>
      </c>
      <c r="M375" s="21" t="s">
        <v>51</v>
      </c>
      <c r="N375" s="21">
        <v>23.682887999999998</v>
      </c>
      <c r="O375" s="21">
        <v>97.810101000000003</v>
      </c>
      <c r="Q375" s="21" t="s">
        <v>882</v>
      </c>
      <c r="R375" s="21" t="s">
        <v>878</v>
      </c>
      <c r="T375" s="21">
        <v>39</v>
      </c>
      <c r="U375" s="21">
        <v>159</v>
      </c>
    </row>
    <row r="376" spans="1:24" ht="17.25" customHeight="1" x14ac:dyDescent="0.2">
      <c r="A376" s="21" t="s">
        <v>929</v>
      </c>
      <c r="B376" s="21" t="s">
        <v>2228</v>
      </c>
      <c r="C376" s="21" t="s">
        <v>2320</v>
      </c>
      <c r="D376" s="21" t="s">
        <v>1572</v>
      </c>
      <c r="E376" s="21">
        <v>0</v>
      </c>
      <c r="F376" s="21">
        <v>0</v>
      </c>
      <c r="G376" s="21">
        <v>0</v>
      </c>
      <c r="J376" s="21" t="s">
        <v>50</v>
      </c>
      <c r="K376" s="21" t="s">
        <v>50</v>
      </c>
      <c r="L376" s="21" t="s">
        <v>961</v>
      </c>
      <c r="M376" s="21" t="s">
        <v>51</v>
      </c>
      <c r="N376" s="319"/>
      <c r="O376" s="319"/>
      <c r="P376" s="21" t="s">
        <v>944</v>
      </c>
      <c r="Q376" s="21" t="s">
        <v>885</v>
      </c>
      <c r="R376" s="21" t="s">
        <v>878</v>
      </c>
      <c r="S376" s="21" t="s">
        <v>945</v>
      </c>
      <c r="T376" s="75">
        <v>36</v>
      </c>
      <c r="U376" s="76">
        <v>188</v>
      </c>
      <c r="W376" s="77" t="s">
        <v>962</v>
      </c>
    </row>
    <row r="377" spans="1:24" ht="17.25" customHeight="1" x14ac:dyDescent="0.2">
      <c r="A377" s="21" t="s">
        <v>886</v>
      </c>
      <c r="B377" s="21" t="s">
        <v>2228</v>
      </c>
      <c r="C377" s="21" t="s">
        <v>2320</v>
      </c>
      <c r="D377" s="21" t="s">
        <v>1913</v>
      </c>
      <c r="E377" s="21" t="s">
        <v>2265</v>
      </c>
      <c r="F377" s="21" t="s">
        <v>2288</v>
      </c>
      <c r="G377" s="21" t="s">
        <v>2352</v>
      </c>
      <c r="H377" s="21" t="s">
        <v>48</v>
      </c>
      <c r="I377" s="21" t="s">
        <v>1571</v>
      </c>
      <c r="J377" s="21" t="s">
        <v>50</v>
      </c>
      <c r="K377" s="21" t="s">
        <v>50</v>
      </c>
      <c r="L377" s="21" t="s">
        <v>50</v>
      </c>
      <c r="M377" s="21" t="s">
        <v>51</v>
      </c>
      <c r="N377" s="21">
        <v>23.24661</v>
      </c>
      <c r="O377" s="74">
        <v>97.116680000000002</v>
      </c>
      <c r="P377" s="21" t="s">
        <v>944</v>
      </c>
      <c r="Q377" s="21" t="s">
        <v>885</v>
      </c>
      <c r="R377" s="21" t="s">
        <v>878</v>
      </c>
      <c r="S377" s="21" t="s">
        <v>966</v>
      </c>
      <c r="T377" s="75">
        <v>29</v>
      </c>
      <c r="U377" s="76">
        <v>168</v>
      </c>
      <c r="V377" s="21" t="s">
        <v>949</v>
      </c>
      <c r="W377" s="77"/>
      <c r="X377" s="21" t="s">
        <v>886</v>
      </c>
    </row>
    <row r="378" spans="1:24" ht="17.25" customHeight="1" x14ac:dyDescent="0.2">
      <c r="A378" s="21" t="s">
        <v>917</v>
      </c>
      <c r="B378" s="21" t="s">
        <v>2228</v>
      </c>
      <c r="C378" s="21" t="s">
        <v>2320</v>
      </c>
      <c r="D378" s="21" t="s">
        <v>1914</v>
      </c>
      <c r="E378" s="21" t="s">
        <v>2265</v>
      </c>
      <c r="F378" s="21" t="s">
        <v>2288</v>
      </c>
      <c r="G378" s="21" t="s">
        <v>2352</v>
      </c>
      <c r="H378" s="21" t="s">
        <v>48</v>
      </c>
      <c r="I378" s="21" t="s">
        <v>297</v>
      </c>
      <c r="J378" s="21" t="s">
        <v>50</v>
      </c>
      <c r="K378" s="21" t="s">
        <v>50</v>
      </c>
      <c r="L378" s="21" t="s">
        <v>50</v>
      </c>
      <c r="M378" s="21" t="s">
        <v>51</v>
      </c>
      <c r="N378" s="21">
        <v>23.250678000000001</v>
      </c>
      <c r="O378" s="74">
        <v>97.124403000000001</v>
      </c>
      <c r="P378" s="21" t="s">
        <v>944</v>
      </c>
      <c r="Q378" s="21" t="s">
        <v>885</v>
      </c>
      <c r="R378" s="21" t="s">
        <v>878</v>
      </c>
      <c r="S378" s="21" t="s">
        <v>966</v>
      </c>
      <c r="T378" s="75">
        <v>35</v>
      </c>
      <c r="U378" s="76">
        <v>178</v>
      </c>
      <c r="V378" s="21" t="s">
        <v>949</v>
      </c>
      <c r="W378" s="77"/>
      <c r="X378" s="21" t="s">
        <v>917</v>
      </c>
    </row>
    <row r="379" spans="1:24" ht="17.25" customHeight="1" x14ac:dyDescent="0.2">
      <c r="A379" s="21" t="s">
        <v>919</v>
      </c>
      <c r="B379" s="21" t="s">
        <v>2228</v>
      </c>
      <c r="C379" s="21" t="s">
        <v>2320</v>
      </c>
      <c r="D379" s="21" t="s">
        <v>1954</v>
      </c>
      <c r="E379" s="21" t="s">
        <v>2251</v>
      </c>
      <c r="F379" s="21" t="s">
        <v>2254</v>
      </c>
      <c r="G379" s="21" t="s">
        <v>2255</v>
      </c>
      <c r="H379" s="21" t="s">
        <v>48</v>
      </c>
      <c r="I379" s="21" t="s">
        <v>297</v>
      </c>
      <c r="J379" s="21" t="s">
        <v>50</v>
      </c>
      <c r="K379" s="21" t="s">
        <v>50</v>
      </c>
      <c r="L379" s="21" t="s">
        <v>50</v>
      </c>
      <c r="M379" s="21" t="s">
        <v>51</v>
      </c>
      <c r="N379" s="21">
        <v>24.006319999999999</v>
      </c>
      <c r="O379" s="74">
        <v>97.909400000000005</v>
      </c>
      <c r="P379" s="21" t="s">
        <v>944</v>
      </c>
      <c r="Q379" s="21" t="s">
        <v>888</v>
      </c>
      <c r="R379" s="21" t="s">
        <v>878</v>
      </c>
      <c r="S379" s="21" t="s">
        <v>966</v>
      </c>
      <c r="T379" s="75">
        <v>44</v>
      </c>
      <c r="U379" s="76">
        <v>190</v>
      </c>
      <c r="V379" s="21" t="s">
        <v>949</v>
      </c>
      <c r="W379" s="77"/>
      <c r="X379" s="21" t="s">
        <v>1177</v>
      </c>
    </row>
    <row r="380" spans="1:24" ht="17.25" customHeight="1" x14ac:dyDescent="0.2">
      <c r="A380" s="21" t="s">
        <v>889</v>
      </c>
      <c r="B380" s="21" t="s">
        <v>2228</v>
      </c>
      <c r="C380" s="21" t="s">
        <v>2320</v>
      </c>
      <c r="D380" s="21" t="s">
        <v>1955</v>
      </c>
      <c r="E380" s="21" t="s">
        <v>2251</v>
      </c>
      <c r="F380" s="21" t="s">
        <v>2254</v>
      </c>
      <c r="G380" s="21" t="s">
        <v>2255</v>
      </c>
      <c r="H380" s="21" t="s">
        <v>48</v>
      </c>
      <c r="I380" s="21" t="s">
        <v>1571</v>
      </c>
      <c r="J380" s="21" t="s">
        <v>50</v>
      </c>
      <c r="K380" s="21" t="s">
        <v>50</v>
      </c>
      <c r="L380" s="21" t="s">
        <v>50</v>
      </c>
      <c r="M380" s="21" t="s">
        <v>51</v>
      </c>
      <c r="N380" s="21">
        <v>24.006789000000001</v>
      </c>
      <c r="O380" s="74">
        <v>97.911647000000002</v>
      </c>
      <c r="P380" s="21" t="s">
        <v>944</v>
      </c>
      <c r="Q380" s="21" t="s">
        <v>888</v>
      </c>
      <c r="R380" s="21" t="s">
        <v>878</v>
      </c>
      <c r="S380" s="21" t="s">
        <v>966</v>
      </c>
      <c r="T380" s="75">
        <v>22</v>
      </c>
      <c r="U380" s="76">
        <v>107</v>
      </c>
      <c r="V380" s="21" t="s">
        <v>949</v>
      </c>
      <c r="W380" s="77"/>
      <c r="X380" s="21" t="s">
        <v>1178</v>
      </c>
    </row>
    <row r="381" spans="1:24" ht="17.25" customHeight="1" x14ac:dyDescent="0.2">
      <c r="A381" s="244" t="s">
        <v>928</v>
      </c>
      <c r="B381" s="21" t="s">
        <v>2228</v>
      </c>
      <c r="C381" s="21" t="s">
        <v>2320</v>
      </c>
      <c r="D381" s="21" t="s">
        <v>1958</v>
      </c>
      <c r="E381" s="244" t="s">
        <v>924</v>
      </c>
      <c r="F381" s="21" t="s">
        <v>924</v>
      </c>
      <c r="G381" s="21">
        <v>208156</v>
      </c>
      <c r="J381" s="21" t="s">
        <v>50</v>
      </c>
      <c r="K381" s="21" t="s">
        <v>50</v>
      </c>
      <c r="L381" s="21" t="s">
        <v>956</v>
      </c>
      <c r="M381" s="21" t="s">
        <v>51</v>
      </c>
      <c r="N381" s="21">
        <v>24.08738</v>
      </c>
      <c r="O381" s="74">
        <v>98.115809999999996</v>
      </c>
      <c r="P381" s="21" t="s">
        <v>944</v>
      </c>
      <c r="Q381" s="244" t="s">
        <v>888</v>
      </c>
      <c r="R381" s="244" t="s">
        <v>878</v>
      </c>
      <c r="S381" s="21" t="s">
        <v>966</v>
      </c>
      <c r="T381" s="320">
        <v>32</v>
      </c>
      <c r="U381" s="321">
        <v>187</v>
      </c>
      <c r="V381" s="21" t="s">
        <v>949</v>
      </c>
      <c r="W381" s="77" t="s">
        <v>1180</v>
      </c>
      <c r="X381" s="21" t="s">
        <v>928</v>
      </c>
    </row>
    <row r="382" spans="1:24" ht="17.25" customHeight="1" x14ac:dyDescent="0.2">
      <c r="A382" s="244" t="s">
        <v>924</v>
      </c>
      <c r="B382" s="21" t="s">
        <v>2228</v>
      </c>
      <c r="C382" s="21" t="s">
        <v>2320</v>
      </c>
      <c r="D382" s="21" t="s">
        <v>2120</v>
      </c>
      <c r="E382" s="21" t="s">
        <v>2466</v>
      </c>
      <c r="F382" s="21" t="s">
        <v>924</v>
      </c>
      <c r="G382" s="21">
        <v>208156</v>
      </c>
      <c r="H382" s="21" t="s">
        <v>48</v>
      </c>
      <c r="I382" s="21" t="s">
        <v>297</v>
      </c>
      <c r="J382" s="21" t="s">
        <v>50</v>
      </c>
      <c r="K382" s="21" t="s">
        <v>50</v>
      </c>
      <c r="L382" s="21" t="s">
        <v>961</v>
      </c>
      <c r="M382" s="21" t="s">
        <v>51</v>
      </c>
      <c r="N382" s="21">
        <v>24.08738</v>
      </c>
      <c r="O382" s="21">
        <v>98.115809999999996</v>
      </c>
      <c r="P382" s="21" t="s">
        <v>944</v>
      </c>
      <c r="Q382" s="244" t="s">
        <v>888</v>
      </c>
      <c r="R382" s="244" t="s">
        <v>878</v>
      </c>
      <c r="S382" s="21" t="s">
        <v>988</v>
      </c>
      <c r="T382" s="320">
        <v>147</v>
      </c>
      <c r="U382" s="321">
        <v>737</v>
      </c>
      <c r="V382" s="21" t="s">
        <v>1273</v>
      </c>
      <c r="W382" s="77"/>
    </row>
    <row r="383" spans="1:24" ht="17.25" customHeight="1" x14ac:dyDescent="0.2">
      <c r="A383" s="244" t="s">
        <v>930</v>
      </c>
      <c r="B383" s="21" t="s">
        <v>2228</v>
      </c>
      <c r="C383" s="21" t="s">
        <v>2320</v>
      </c>
      <c r="D383" s="21" t="s">
        <v>1928</v>
      </c>
      <c r="E383" s="21" t="s">
        <v>2271</v>
      </c>
      <c r="F383" s="21" t="s">
        <v>2271</v>
      </c>
      <c r="G383" s="21">
        <v>208469</v>
      </c>
      <c r="J383" s="21" t="s">
        <v>50</v>
      </c>
      <c r="K383" s="21" t="s">
        <v>50</v>
      </c>
      <c r="L383" s="21" t="s">
        <v>961</v>
      </c>
      <c r="M383" s="21" t="s">
        <v>51</v>
      </c>
      <c r="N383" s="21">
        <v>23.611999999999998</v>
      </c>
      <c r="O383" s="74">
        <v>97.506</v>
      </c>
      <c r="P383" s="21" t="s">
        <v>944</v>
      </c>
      <c r="Q383" s="244" t="s">
        <v>879</v>
      </c>
      <c r="R383" s="244" t="s">
        <v>878</v>
      </c>
      <c r="S383" s="21" t="s">
        <v>945</v>
      </c>
      <c r="T383" s="320">
        <v>61</v>
      </c>
      <c r="U383" s="321">
        <v>276</v>
      </c>
      <c r="W383" s="77" t="s">
        <v>1160</v>
      </c>
    </row>
    <row r="384" spans="1:24" ht="17.25" customHeight="1" x14ac:dyDescent="0.2">
      <c r="A384" s="244" t="s">
        <v>890</v>
      </c>
      <c r="B384" s="21" t="s">
        <v>2228</v>
      </c>
      <c r="C384" s="21" t="s">
        <v>2320</v>
      </c>
      <c r="D384" s="21" t="s">
        <v>1934</v>
      </c>
      <c r="E384" s="21" t="s">
        <v>2257</v>
      </c>
      <c r="F384" s="21" t="s">
        <v>2257</v>
      </c>
      <c r="G384" s="21">
        <v>208353</v>
      </c>
      <c r="H384" s="21" t="s">
        <v>48</v>
      </c>
      <c r="I384" s="21" t="s">
        <v>297</v>
      </c>
      <c r="J384" s="21" t="s">
        <v>50</v>
      </c>
      <c r="K384" s="21" t="s">
        <v>50</v>
      </c>
      <c r="L384" s="21" t="s">
        <v>50</v>
      </c>
      <c r="M384" s="21" t="s">
        <v>51</v>
      </c>
      <c r="N384" s="21">
        <v>23.821380000000001</v>
      </c>
      <c r="O384" s="74">
        <v>97.681970000000007</v>
      </c>
      <c r="P384" s="21" t="s">
        <v>944</v>
      </c>
      <c r="Q384" s="244" t="s">
        <v>879</v>
      </c>
      <c r="R384" s="244" t="s">
        <v>878</v>
      </c>
      <c r="S384" s="21" t="s">
        <v>966</v>
      </c>
      <c r="T384" s="320">
        <v>75</v>
      </c>
      <c r="U384" s="321">
        <v>394</v>
      </c>
      <c r="V384" s="21" t="s">
        <v>949</v>
      </c>
      <c r="W384" s="77"/>
      <c r="X384" s="21" t="s">
        <v>890</v>
      </c>
    </row>
    <row r="385" spans="1:24" ht="17.25" customHeight="1" x14ac:dyDescent="0.2">
      <c r="A385" s="244" t="s">
        <v>880</v>
      </c>
      <c r="B385" s="21" t="s">
        <v>2228</v>
      </c>
      <c r="C385" s="21" t="s">
        <v>2320</v>
      </c>
      <c r="D385" s="21" t="s">
        <v>1936</v>
      </c>
      <c r="E385" s="21" t="s">
        <v>2257</v>
      </c>
      <c r="F385" s="21" t="s">
        <v>2257</v>
      </c>
      <c r="G385" s="21">
        <v>208353</v>
      </c>
      <c r="H385" s="21" t="s">
        <v>48</v>
      </c>
      <c r="I385" s="21" t="s">
        <v>1571</v>
      </c>
      <c r="J385" s="21" t="s">
        <v>50</v>
      </c>
      <c r="K385" s="21" t="s">
        <v>50</v>
      </c>
      <c r="L385" s="21" t="s">
        <v>50</v>
      </c>
      <c r="M385" s="21" t="s">
        <v>51</v>
      </c>
      <c r="N385" s="21">
        <v>23.828150000000001</v>
      </c>
      <c r="O385" s="74">
        <v>97.670360000000002</v>
      </c>
      <c r="P385" s="21" t="s">
        <v>944</v>
      </c>
      <c r="Q385" s="244" t="s">
        <v>879</v>
      </c>
      <c r="R385" s="244" t="s">
        <v>878</v>
      </c>
      <c r="S385" s="21" t="s">
        <v>966</v>
      </c>
      <c r="T385" s="320">
        <v>44</v>
      </c>
      <c r="U385" s="321">
        <v>121</v>
      </c>
      <c r="V385" s="21" t="s">
        <v>949</v>
      </c>
      <c r="W385" s="77"/>
      <c r="X385" s="21" t="s">
        <v>880</v>
      </c>
    </row>
    <row r="386" spans="1:24" ht="17.25" customHeight="1" x14ac:dyDescent="0.2">
      <c r="A386" s="244" t="s">
        <v>933</v>
      </c>
      <c r="B386" s="21" t="s">
        <v>2228</v>
      </c>
      <c r="C386" s="21" t="s">
        <v>2320</v>
      </c>
      <c r="D386" s="21" t="s">
        <v>1937</v>
      </c>
      <c r="E386" s="21" t="s">
        <v>2257</v>
      </c>
      <c r="F386" s="21" t="s">
        <v>2257</v>
      </c>
      <c r="G386" s="21">
        <v>208353</v>
      </c>
      <c r="H386" s="21" t="s">
        <v>48</v>
      </c>
      <c r="I386" s="21" t="s">
        <v>297</v>
      </c>
      <c r="J386" s="21" t="s">
        <v>50</v>
      </c>
      <c r="K386" s="21" t="s">
        <v>50</v>
      </c>
      <c r="L386" s="21" t="s">
        <v>50</v>
      </c>
      <c r="M386" s="21" t="s">
        <v>51</v>
      </c>
      <c r="N386" s="21">
        <v>23.828520000000001</v>
      </c>
      <c r="O386" s="74">
        <v>97.669557999999995</v>
      </c>
      <c r="P386" s="21" t="s">
        <v>944</v>
      </c>
      <c r="Q386" s="244" t="s">
        <v>879</v>
      </c>
      <c r="R386" s="244" t="s">
        <v>878</v>
      </c>
      <c r="S386" s="21" t="s">
        <v>966</v>
      </c>
      <c r="T386" s="320">
        <v>66</v>
      </c>
      <c r="U386" s="321">
        <v>351</v>
      </c>
      <c r="V386" s="21" t="s">
        <v>949</v>
      </c>
      <c r="W386" s="77"/>
      <c r="X386" s="21" t="s">
        <v>933</v>
      </c>
    </row>
    <row r="387" spans="1:24" ht="17.25" customHeight="1" x14ac:dyDescent="0.2">
      <c r="A387" s="244" t="s">
        <v>922</v>
      </c>
      <c r="B387" s="21" t="s">
        <v>2228</v>
      </c>
      <c r="C387" s="21" t="s">
        <v>2320</v>
      </c>
      <c r="D387" s="21" t="s">
        <v>1942</v>
      </c>
      <c r="E387" s="21" t="s">
        <v>2365</v>
      </c>
      <c r="F387" s="21" t="s">
        <v>2350</v>
      </c>
      <c r="G387" s="21">
        <v>208338</v>
      </c>
      <c r="H387" s="21" t="s">
        <v>48</v>
      </c>
      <c r="I387" s="21" t="s">
        <v>297</v>
      </c>
      <c r="J387" s="21" t="s">
        <v>50</v>
      </c>
      <c r="K387" s="21" t="s">
        <v>50</v>
      </c>
      <c r="L387" s="21" t="s">
        <v>50</v>
      </c>
      <c r="M387" s="21" t="s">
        <v>51</v>
      </c>
      <c r="N387" s="21">
        <v>23.838190000000001</v>
      </c>
      <c r="O387" s="74">
        <v>97.709879999999998</v>
      </c>
      <c r="P387" s="21" t="s">
        <v>944</v>
      </c>
      <c r="Q387" s="244" t="s">
        <v>879</v>
      </c>
      <c r="R387" s="244" t="s">
        <v>878</v>
      </c>
      <c r="S387" s="21" t="s">
        <v>966</v>
      </c>
      <c r="T387" s="320">
        <v>117</v>
      </c>
      <c r="U387" s="321">
        <v>545</v>
      </c>
      <c r="V387" s="21" t="s">
        <v>949</v>
      </c>
      <c r="W387" s="77"/>
      <c r="X387" s="21" t="s">
        <v>1167</v>
      </c>
    </row>
    <row r="388" spans="1:24" ht="17.25" customHeight="1" x14ac:dyDescent="0.2">
      <c r="A388" s="244" t="s">
        <v>920</v>
      </c>
      <c r="B388" s="21" t="s">
        <v>2228</v>
      </c>
      <c r="C388" s="21" t="s">
        <v>2320</v>
      </c>
      <c r="D388" s="21" t="s">
        <v>1943</v>
      </c>
      <c r="E388" s="21" t="s">
        <v>2257</v>
      </c>
      <c r="F388" s="21" t="s">
        <v>2257</v>
      </c>
      <c r="G388" s="21">
        <v>208353</v>
      </c>
      <c r="H388" s="21" t="s">
        <v>48</v>
      </c>
      <c r="I388" s="21" t="s">
        <v>297</v>
      </c>
      <c r="J388" s="21" t="s">
        <v>50</v>
      </c>
      <c r="K388" s="21" t="s">
        <v>50</v>
      </c>
      <c r="L388" s="21" t="s">
        <v>50</v>
      </c>
      <c r="M388" s="21" t="s">
        <v>51</v>
      </c>
      <c r="N388" s="21">
        <v>23.841646999999998</v>
      </c>
      <c r="O388" s="74">
        <v>97.700940000000003</v>
      </c>
      <c r="P388" s="21" t="s">
        <v>944</v>
      </c>
      <c r="Q388" s="244" t="s">
        <v>879</v>
      </c>
      <c r="R388" s="244" t="s">
        <v>878</v>
      </c>
      <c r="S388" s="21" t="s">
        <v>966</v>
      </c>
      <c r="T388" s="320">
        <v>36</v>
      </c>
      <c r="U388" s="321">
        <v>171</v>
      </c>
      <c r="V388" s="21" t="s">
        <v>949</v>
      </c>
      <c r="W388" s="77"/>
      <c r="X388" s="21" t="s">
        <v>1168</v>
      </c>
    </row>
    <row r="389" spans="1:24" ht="17.25" customHeight="1" x14ac:dyDescent="0.2">
      <c r="A389" s="244" t="s">
        <v>912</v>
      </c>
      <c r="B389" s="21" t="s">
        <v>2228</v>
      </c>
      <c r="C389" s="21" t="s">
        <v>2320</v>
      </c>
      <c r="D389" s="21" t="s">
        <v>1570</v>
      </c>
      <c r="E389" s="21" t="s">
        <v>2261</v>
      </c>
      <c r="F389" s="21" t="s">
        <v>2262</v>
      </c>
      <c r="G389" s="21" t="s">
        <v>2263</v>
      </c>
      <c r="H389" s="21" t="s">
        <v>48</v>
      </c>
      <c r="I389" s="21" t="s">
        <v>1571</v>
      </c>
      <c r="J389" s="21" t="s">
        <v>50</v>
      </c>
      <c r="K389" s="21" t="s">
        <v>50</v>
      </c>
      <c r="L389" s="21" t="s">
        <v>961</v>
      </c>
      <c r="M389" s="21" t="s">
        <v>51</v>
      </c>
      <c r="N389" s="319"/>
      <c r="O389" s="319"/>
      <c r="P389" s="21" t="s">
        <v>944</v>
      </c>
      <c r="Q389" s="244" t="s">
        <v>903</v>
      </c>
      <c r="R389" s="244" t="s">
        <v>878</v>
      </c>
      <c r="S389" s="21" t="s">
        <v>945</v>
      </c>
      <c r="T389" s="320">
        <v>23</v>
      </c>
      <c r="U389" s="321">
        <v>97</v>
      </c>
      <c r="W389" s="77"/>
    </row>
    <row r="390" spans="1:24" ht="17.25" customHeight="1" x14ac:dyDescent="0.2">
      <c r="A390" s="244" t="s">
        <v>904</v>
      </c>
      <c r="B390" s="21" t="s">
        <v>2228</v>
      </c>
      <c r="C390" s="21" t="s">
        <v>2320</v>
      </c>
      <c r="D390" s="21" t="s">
        <v>1908</v>
      </c>
      <c r="E390" s="21" t="s">
        <v>2350</v>
      </c>
      <c r="F390" s="21" t="s">
        <v>2351</v>
      </c>
      <c r="G390" s="21">
        <v>210455</v>
      </c>
      <c r="J390" s="21" t="s">
        <v>50</v>
      </c>
      <c r="K390" s="21" t="s">
        <v>50</v>
      </c>
      <c r="L390" s="21" t="s">
        <v>961</v>
      </c>
      <c r="M390" s="21" t="s">
        <v>51</v>
      </c>
      <c r="N390" s="21">
        <v>22.765999999999998</v>
      </c>
      <c r="O390" s="74">
        <v>97.358999999999995</v>
      </c>
      <c r="P390" s="21" t="s">
        <v>944</v>
      </c>
      <c r="Q390" s="244" t="s">
        <v>903</v>
      </c>
      <c r="R390" s="244" t="s">
        <v>878</v>
      </c>
      <c r="S390" s="21" t="s">
        <v>945</v>
      </c>
      <c r="T390" s="320">
        <v>19</v>
      </c>
      <c r="U390" s="321">
        <v>82</v>
      </c>
      <c r="W390" s="77" t="s">
        <v>1151</v>
      </c>
    </row>
    <row r="391" spans="1:24" ht="17.25" customHeight="1" x14ac:dyDescent="0.2">
      <c r="A391" s="244" t="s">
        <v>916</v>
      </c>
      <c r="B391" s="21" t="s">
        <v>2228</v>
      </c>
      <c r="C391" s="21" t="s">
        <v>2320</v>
      </c>
      <c r="D391" s="21" t="s">
        <v>1910</v>
      </c>
      <c r="E391" s="21" t="s">
        <v>2261</v>
      </c>
      <c r="F391" s="21" t="s">
        <v>2262</v>
      </c>
      <c r="G391" s="21" t="s">
        <v>2263</v>
      </c>
      <c r="H391" s="21" t="s">
        <v>48</v>
      </c>
      <c r="I391" s="21" t="s">
        <v>297</v>
      </c>
      <c r="J391" s="21" t="s">
        <v>50</v>
      </c>
      <c r="K391" s="21" t="s">
        <v>50</v>
      </c>
      <c r="L391" s="21" t="s">
        <v>50</v>
      </c>
      <c r="M391" s="21" t="s">
        <v>51</v>
      </c>
      <c r="N391" s="21">
        <v>23.094290000000001</v>
      </c>
      <c r="O391" s="74">
        <v>97.404089999999997</v>
      </c>
      <c r="P391" s="21" t="s">
        <v>944</v>
      </c>
      <c r="Q391" s="244" t="s">
        <v>903</v>
      </c>
      <c r="R391" s="244" t="s">
        <v>878</v>
      </c>
      <c r="S391" s="21" t="s">
        <v>966</v>
      </c>
      <c r="T391" s="320">
        <v>45</v>
      </c>
      <c r="U391" s="321">
        <v>195</v>
      </c>
      <c r="V391" s="21" t="s">
        <v>949</v>
      </c>
      <c r="W391" s="77"/>
      <c r="X391" s="21" t="s">
        <v>916</v>
      </c>
    </row>
    <row r="392" spans="1:24" ht="17.25" customHeight="1" x14ac:dyDescent="0.2">
      <c r="A392" s="244" t="s">
        <v>911</v>
      </c>
      <c r="B392" s="21" t="s">
        <v>2228</v>
      </c>
      <c r="C392" s="21" t="s">
        <v>2320</v>
      </c>
      <c r="D392" s="21" t="s">
        <v>1911</v>
      </c>
      <c r="E392" s="21" t="s">
        <v>2261</v>
      </c>
      <c r="F392" s="21" t="s">
        <v>2262</v>
      </c>
      <c r="G392" s="21" t="s">
        <v>2263</v>
      </c>
      <c r="H392" s="21" t="s">
        <v>48</v>
      </c>
      <c r="I392" s="21" t="s">
        <v>1571</v>
      </c>
      <c r="J392" s="21" t="s">
        <v>50</v>
      </c>
      <c r="K392" s="21" t="s">
        <v>50</v>
      </c>
      <c r="L392" s="21" t="s">
        <v>961</v>
      </c>
      <c r="M392" s="21" t="s">
        <v>51</v>
      </c>
      <c r="N392" s="21">
        <v>23.099304</v>
      </c>
      <c r="O392" s="74">
        <v>97.400671000000003</v>
      </c>
      <c r="Q392" s="244" t="s">
        <v>903</v>
      </c>
      <c r="R392" s="244" t="s">
        <v>878</v>
      </c>
      <c r="S392" s="21" t="s">
        <v>1112</v>
      </c>
      <c r="T392" s="75">
        <v>60</v>
      </c>
      <c r="U392" s="76">
        <v>252</v>
      </c>
      <c r="V392" s="21">
        <v>42983</v>
      </c>
      <c r="W392" s="77"/>
    </row>
    <row r="393" spans="1:24" ht="17.25" customHeight="1" x14ac:dyDescent="0.2">
      <c r="A393" s="21" t="s">
        <v>420</v>
      </c>
      <c r="B393" s="21" t="s">
        <v>2228</v>
      </c>
      <c r="C393" s="21" t="s">
        <v>2230</v>
      </c>
      <c r="D393" s="21" t="s">
        <v>2088</v>
      </c>
      <c r="E393" s="21" t="s">
        <v>2249</v>
      </c>
      <c r="F393" s="21" t="s">
        <v>2250</v>
      </c>
      <c r="G393" s="21">
        <v>166785</v>
      </c>
      <c r="H393" s="21" t="s">
        <v>48</v>
      </c>
      <c r="I393" s="21" t="s">
        <v>297</v>
      </c>
      <c r="J393" s="21" t="s">
        <v>50</v>
      </c>
      <c r="K393" s="21" t="s">
        <v>50</v>
      </c>
      <c r="L393" s="21" t="s">
        <v>943</v>
      </c>
      <c r="M393" s="21" t="s">
        <v>51</v>
      </c>
      <c r="N393" s="21">
        <v>25.668399999999998</v>
      </c>
      <c r="O393" s="74">
        <v>96.353030000000004</v>
      </c>
      <c r="P393" s="21" t="s">
        <v>944</v>
      </c>
      <c r="Q393" s="21" t="s">
        <v>304</v>
      </c>
      <c r="R393" s="21" t="s">
        <v>44</v>
      </c>
      <c r="S393" s="21" t="s">
        <v>966</v>
      </c>
      <c r="T393" s="75">
        <v>8</v>
      </c>
      <c r="U393" s="76">
        <v>32</v>
      </c>
      <c r="V393" s="21" t="s">
        <v>949</v>
      </c>
      <c r="W393" s="77"/>
      <c r="X393" s="21" t="s">
        <v>420</v>
      </c>
    </row>
    <row r="394" spans="1:24" ht="17.25" customHeight="1" x14ac:dyDescent="0.2">
      <c r="A394" s="21" t="s">
        <v>367</v>
      </c>
      <c r="B394" s="21" t="s">
        <v>2228</v>
      </c>
      <c r="C394" s="21" t="s">
        <v>2230</v>
      </c>
      <c r="D394" s="21" t="s">
        <v>1980</v>
      </c>
      <c r="E394" s="21" t="s">
        <v>2246</v>
      </c>
      <c r="F394" s="21" t="s">
        <v>2247</v>
      </c>
      <c r="G394" s="21" t="s">
        <v>2248</v>
      </c>
      <c r="J394" s="21" t="s">
        <v>50</v>
      </c>
      <c r="K394" s="21" t="s">
        <v>50</v>
      </c>
      <c r="L394" s="21" t="s">
        <v>943</v>
      </c>
      <c r="M394" s="21" t="s">
        <v>51</v>
      </c>
      <c r="N394" s="21">
        <v>24.251860000000001</v>
      </c>
      <c r="O394" s="74">
        <v>97.346940000000004</v>
      </c>
      <c r="P394" s="21" t="s">
        <v>944</v>
      </c>
      <c r="Q394" s="21" t="s">
        <v>361</v>
      </c>
      <c r="R394" s="21" t="s">
        <v>44</v>
      </c>
      <c r="S394" s="21" t="s">
        <v>966</v>
      </c>
      <c r="T394" s="75">
        <v>0</v>
      </c>
      <c r="U394" s="76">
        <v>0</v>
      </c>
      <c r="V394" s="21" t="s">
        <v>949</v>
      </c>
      <c r="W394" s="77" t="s">
        <v>1187</v>
      </c>
      <c r="X394" s="21" t="s">
        <v>367</v>
      </c>
    </row>
    <row r="395" spans="1:24" ht="17.25" customHeight="1" x14ac:dyDescent="0.2">
      <c r="A395" s="21" t="s">
        <v>787</v>
      </c>
      <c r="B395" s="21" t="s">
        <v>2228</v>
      </c>
      <c r="C395" s="21" t="s">
        <v>2230</v>
      </c>
      <c r="D395" s="21">
        <v>198336</v>
      </c>
      <c r="E395" s="21" t="s">
        <v>2241</v>
      </c>
      <c r="F395" s="21" t="s">
        <v>2242</v>
      </c>
      <c r="G395" s="21">
        <v>217898</v>
      </c>
      <c r="J395" s="21" t="s">
        <v>984</v>
      </c>
      <c r="K395" s="21" t="s">
        <v>984</v>
      </c>
      <c r="L395" s="21" t="s">
        <v>984</v>
      </c>
      <c r="M395" s="21" t="s">
        <v>464</v>
      </c>
      <c r="N395" s="21">
        <v>20.805580139160199</v>
      </c>
      <c r="O395" s="74">
        <v>92.549842834472699</v>
      </c>
      <c r="P395" s="21" t="s">
        <v>985</v>
      </c>
      <c r="Q395" s="21" t="s">
        <v>490</v>
      </c>
      <c r="R395" s="21" t="s">
        <v>464</v>
      </c>
      <c r="S395" s="21" t="s">
        <v>988</v>
      </c>
      <c r="T395" s="75"/>
      <c r="U395" s="76"/>
      <c r="V395" s="21">
        <v>42926</v>
      </c>
      <c r="W395" s="77" t="s">
        <v>989</v>
      </c>
    </row>
    <row r="396" spans="1:24" ht="17.25" customHeight="1" x14ac:dyDescent="0.2">
      <c r="A396" s="21" t="s">
        <v>528</v>
      </c>
      <c r="B396" s="21" t="s">
        <v>2228</v>
      </c>
      <c r="C396" s="21" t="s">
        <v>2230</v>
      </c>
      <c r="D396" s="21" t="s">
        <v>1585</v>
      </c>
      <c r="E396" s="21" t="s">
        <v>2233</v>
      </c>
      <c r="F396" s="21" t="s">
        <v>2234</v>
      </c>
      <c r="G396" s="21" t="s">
        <v>2235</v>
      </c>
      <c r="H396" s="21" t="s">
        <v>48</v>
      </c>
      <c r="I396" s="21" t="s">
        <v>979</v>
      </c>
      <c r="J396" s="21" t="s">
        <v>50</v>
      </c>
      <c r="K396" s="21" t="s">
        <v>50</v>
      </c>
      <c r="L396" s="21" t="s">
        <v>943</v>
      </c>
      <c r="M396" s="21" t="s">
        <v>981</v>
      </c>
      <c r="N396" s="21">
        <v>19.088283000000001</v>
      </c>
      <c r="O396" s="74">
        <v>93.857592999999994</v>
      </c>
      <c r="P396" s="21" t="s">
        <v>944</v>
      </c>
      <c r="Q396" s="21" t="s">
        <v>527</v>
      </c>
      <c r="R396" s="21" t="s">
        <v>464</v>
      </c>
      <c r="S396" s="21" t="s">
        <v>966</v>
      </c>
      <c r="T396" s="75"/>
      <c r="U396" s="76"/>
      <c r="V396" s="21" t="s">
        <v>949</v>
      </c>
      <c r="W396" s="21" t="s">
        <v>2230</v>
      </c>
      <c r="X396" s="21" t="s">
        <v>982</v>
      </c>
    </row>
    <row r="397" spans="1:24" ht="17.25" customHeight="1" x14ac:dyDescent="0.2">
      <c r="A397" s="21" t="s">
        <v>529</v>
      </c>
      <c r="B397" s="21" t="s">
        <v>2228</v>
      </c>
      <c r="C397" s="21" t="s">
        <v>2230</v>
      </c>
      <c r="D397" s="21" t="s">
        <v>1586</v>
      </c>
      <c r="E397" s="21" t="s">
        <v>2233</v>
      </c>
      <c r="F397" s="21" t="s">
        <v>2236</v>
      </c>
      <c r="G397" s="21" t="s">
        <v>2237</v>
      </c>
      <c r="H397" s="21" t="s">
        <v>48</v>
      </c>
      <c r="I397" s="21" t="s">
        <v>979</v>
      </c>
      <c r="J397" s="21" t="s">
        <v>50</v>
      </c>
      <c r="K397" s="21" t="s">
        <v>50</v>
      </c>
      <c r="L397" s="21" t="s">
        <v>943</v>
      </c>
      <c r="M397" s="21" t="s">
        <v>464</v>
      </c>
      <c r="N397" s="21">
        <v>19.091054</v>
      </c>
      <c r="O397" s="74">
        <v>93.865170000000006</v>
      </c>
      <c r="P397" s="21" t="s">
        <v>944</v>
      </c>
      <c r="Q397" s="21" t="s">
        <v>527</v>
      </c>
      <c r="R397" s="21" t="s">
        <v>464</v>
      </c>
      <c r="S397" s="21" t="s">
        <v>966</v>
      </c>
      <c r="T397" s="75"/>
      <c r="U397" s="76"/>
      <c r="V397" s="21" t="s">
        <v>949</v>
      </c>
      <c r="W397" s="77"/>
      <c r="X397" s="21" t="s">
        <v>529</v>
      </c>
    </row>
    <row r="398" spans="1:24" ht="17.25" customHeight="1" x14ac:dyDescent="0.2">
      <c r="A398" s="21" t="s">
        <v>601</v>
      </c>
      <c r="B398" s="21" t="s">
        <v>2228</v>
      </c>
      <c r="C398" s="21" t="s">
        <v>2230</v>
      </c>
      <c r="D398" s="21" t="s">
        <v>1677</v>
      </c>
      <c r="E398" s="21" t="s">
        <v>2238</v>
      </c>
      <c r="F398" s="21">
        <v>0</v>
      </c>
      <c r="G398" s="21">
        <v>0</v>
      </c>
      <c r="J398" s="21" t="s">
        <v>50</v>
      </c>
      <c r="K398" s="21" t="s">
        <v>50</v>
      </c>
      <c r="L398" s="21" t="s">
        <v>943</v>
      </c>
      <c r="M398" s="21" t="s">
        <v>981</v>
      </c>
      <c r="N398" s="21">
        <v>20.180194</v>
      </c>
      <c r="O398" s="74">
        <v>92.816638999999995</v>
      </c>
      <c r="P398" s="21" t="s">
        <v>944</v>
      </c>
      <c r="Q398" s="21" t="s">
        <v>465</v>
      </c>
      <c r="R398" s="21" t="s">
        <v>464</v>
      </c>
      <c r="S398" s="21" t="s">
        <v>966</v>
      </c>
      <c r="T398" s="75"/>
      <c r="U398" s="76"/>
      <c r="V398" s="21" t="s">
        <v>949</v>
      </c>
      <c r="W398" s="77"/>
      <c r="X398" s="21" t="s">
        <v>1050</v>
      </c>
    </row>
    <row r="399" spans="1:24" ht="17.25" customHeight="1" x14ac:dyDescent="0.2">
      <c r="A399" s="21" t="s">
        <v>619</v>
      </c>
      <c r="B399" s="21" t="s">
        <v>2228</v>
      </c>
      <c r="C399" s="21" t="s">
        <v>2230</v>
      </c>
      <c r="D399" s="21" t="s">
        <v>1692</v>
      </c>
      <c r="E399" s="21" t="s">
        <v>2239</v>
      </c>
      <c r="F399" s="21" t="s">
        <v>2240</v>
      </c>
      <c r="G399" s="21">
        <v>196157</v>
      </c>
      <c r="J399" s="21" t="s">
        <v>50</v>
      </c>
      <c r="K399" s="21" t="s">
        <v>50</v>
      </c>
      <c r="L399" s="21" t="s">
        <v>943</v>
      </c>
      <c r="M399" s="21" t="s">
        <v>981</v>
      </c>
      <c r="N399" s="21">
        <v>20.207284999999999</v>
      </c>
      <c r="O399" s="74">
        <v>92.788177000000005</v>
      </c>
      <c r="P399" s="21" t="s">
        <v>944</v>
      </c>
      <c r="Q399" s="21" t="s">
        <v>465</v>
      </c>
      <c r="R399" s="21" t="s">
        <v>464</v>
      </c>
      <c r="S399" s="21" t="s">
        <v>966</v>
      </c>
      <c r="T399" s="75"/>
      <c r="U399" s="76"/>
      <c r="V399" s="21" t="s">
        <v>949</v>
      </c>
      <c r="W399" s="77"/>
      <c r="X399" s="21" t="s">
        <v>1059</v>
      </c>
    </row>
    <row r="400" spans="1:24" ht="17.25" customHeight="1" x14ac:dyDescent="0.2">
      <c r="A400" s="21" t="s">
        <v>934</v>
      </c>
      <c r="B400" s="21" t="s">
        <v>2228</v>
      </c>
      <c r="C400" s="21" t="s">
        <v>2230</v>
      </c>
      <c r="D400" s="21" t="s">
        <v>1915</v>
      </c>
      <c r="E400" s="21" t="s">
        <v>2243</v>
      </c>
      <c r="F400" s="21" t="s">
        <v>2243</v>
      </c>
      <c r="G400" s="21">
        <v>206395</v>
      </c>
      <c r="J400" s="21" t="s">
        <v>50</v>
      </c>
      <c r="K400" s="21" t="s">
        <v>50</v>
      </c>
      <c r="L400" s="21" t="s">
        <v>943</v>
      </c>
      <c r="M400" s="21" t="s">
        <v>51</v>
      </c>
      <c r="N400" s="21">
        <v>23.353999999999999</v>
      </c>
      <c r="O400" s="74">
        <v>98.221000000000004</v>
      </c>
      <c r="P400" s="21" t="s">
        <v>944</v>
      </c>
      <c r="Q400" s="21" t="s">
        <v>901</v>
      </c>
      <c r="R400" s="21" t="s">
        <v>878</v>
      </c>
      <c r="S400" s="21" t="s">
        <v>945</v>
      </c>
      <c r="T400" s="75">
        <v>0</v>
      </c>
      <c r="U400" s="76">
        <v>0</v>
      </c>
      <c r="W400" s="77"/>
    </row>
    <row r="401" spans="1:24" ht="17.25" customHeight="1" x14ac:dyDescent="0.2">
      <c r="A401" s="21" t="s">
        <v>908</v>
      </c>
      <c r="B401" s="21" t="s">
        <v>2228</v>
      </c>
      <c r="C401" s="21" t="s">
        <v>2230</v>
      </c>
      <c r="D401" s="21" t="s">
        <v>1920</v>
      </c>
      <c r="E401" s="21" t="s">
        <v>2244</v>
      </c>
      <c r="F401" s="21" t="s">
        <v>2245</v>
      </c>
      <c r="G401" s="21">
        <v>208557</v>
      </c>
      <c r="H401" s="21" t="s">
        <v>48</v>
      </c>
      <c r="I401" s="21" t="s">
        <v>297</v>
      </c>
      <c r="J401" s="21" t="s">
        <v>50</v>
      </c>
      <c r="K401" s="21" t="s">
        <v>1155</v>
      </c>
      <c r="L401" s="21" t="s">
        <v>943</v>
      </c>
      <c r="M401" s="21" t="s">
        <v>51</v>
      </c>
      <c r="N401" s="21">
        <v>23.4008</v>
      </c>
      <c r="O401" s="74">
        <v>97.848529999999997</v>
      </c>
      <c r="P401" s="21" t="s">
        <v>944</v>
      </c>
      <c r="Q401" s="21" t="s">
        <v>882</v>
      </c>
      <c r="R401" s="21" t="s">
        <v>878</v>
      </c>
      <c r="S401" s="21" t="s">
        <v>966</v>
      </c>
      <c r="T401" s="75">
        <v>0</v>
      </c>
      <c r="U401" s="76">
        <v>0</v>
      </c>
      <c r="V401" s="21">
        <v>43049</v>
      </c>
      <c r="W401" s="77" t="s">
        <v>1157</v>
      </c>
      <c r="X401" s="21" t="s">
        <v>908</v>
      </c>
    </row>
    <row r="402" spans="1:24" ht="17.25" customHeight="1" x14ac:dyDescent="0.2">
      <c r="A402" s="21" t="s">
        <v>936</v>
      </c>
      <c r="B402" s="21" t="s">
        <v>2228</v>
      </c>
      <c r="C402" s="21" t="s">
        <v>2230</v>
      </c>
      <c r="D402" s="21" t="s">
        <v>1566</v>
      </c>
      <c r="E402" s="21">
        <v>0</v>
      </c>
      <c r="F402" s="21">
        <v>0</v>
      </c>
      <c r="G402" s="21">
        <v>0</v>
      </c>
      <c r="J402" s="21" t="s">
        <v>50</v>
      </c>
      <c r="K402" s="21" t="s">
        <v>50</v>
      </c>
      <c r="L402" s="21" t="s">
        <v>943</v>
      </c>
      <c r="M402" s="21" t="s">
        <v>51</v>
      </c>
      <c r="N402" s="319"/>
      <c r="O402" s="319"/>
      <c r="P402" s="21" t="s">
        <v>944</v>
      </c>
      <c r="Q402" s="21" t="s">
        <v>888</v>
      </c>
      <c r="R402" s="21" t="s">
        <v>878</v>
      </c>
      <c r="S402" s="21" t="s">
        <v>945</v>
      </c>
      <c r="T402" s="75">
        <v>0</v>
      </c>
      <c r="U402" s="76">
        <v>0</v>
      </c>
      <c r="W402" s="77"/>
      <c r="X402" s="21">
        <v>42920</v>
      </c>
    </row>
    <row r="403" spans="1:24" ht="17.25" customHeight="1" x14ac:dyDescent="0.2">
      <c r="A403" s="21" t="s">
        <v>895</v>
      </c>
      <c r="B403" s="21" t="s">
        <v>2228</v>
      </c>
      <c r="C403" s="21" t="s">
        <v>2230</v>
      </c>
      <c r="D403" s="21" t="s">
        <v>1575</v>
      </c>
      <c r="E403" s="21" t="s">
        <v>2231</v>
      </c>
      <c r="F403" s="21" t="s">
        <v>2232</v>
      </c>
      <c r="G403" s="21">
        <v>208182</v>
      </c>
      <c r="J403" s="21" t="s">
        <v>50</v>
      </c>
      <c r="K403" s="21" t="s">
        <v>50</v>
      </c>
      <c r="L403" s="21" t="s">
        <v>943</v>
      </c>
      <c r="M403" s="21" t="s">
        <v>964</v>
      </c>
      <c r="N403" s="21">
        <v>23.933098999999999</v>
      </c>
      <c r="O403" s="21">
        <v>98.139397000000002</v>
      </c>
      <c r="P403" s="21" t="s">
        <v>944</v>
      </c>
      <c r="Q403" s="21" t="s">
        <v>888</v>
      </c>
      <c r="R403" s="21" t="s">
        <v>878</v>
      </c>
      <c r="S403" s="21" t="s">
        <v>966</v>
      </c>
      <c r="T403" s="75">
        <v>9</v>
      </c>
      <c r="U403" s="76">
        <v>44</v>
      </c>
      <c r="V403" s="21" t="s">
        <v>949</v>
      </c>
      <c r="W403" s="77"/>
      <c r="X403" s="21" t="s">
        <v>895</v>
      </c>
    </row>
    <row r="404" spans="1:24" ht="17.25" customHeight="1" x14ac:dyDescent="0.2">
      <c r="A404" s="21" t="s">
        <v>347</v>
      </c>
      <c r="B404" s="21" t="s">
        <v>2228</v>
      </c>
      <c r="C404" s="21" t="s">
        <v>2229</v>
      </c>
      <c r="J404" s="21" t="s">
        <v>1951</v>
      </c>
      <c r="K404" s="21" t="s">
        <v>50</v>
      </c>
      <c r="L404" s="21" t="s">
        <v>50</v>
      </c>
      <c r="M404" s="21" t="s">
        <v>51</v>
      </c>
      <c r="N404" s="319"/>
      <c r="O404" s="319"/>
      <c r="P404" s="21" t="s">
        <v>944</v>
      </c>
      <c r="Q404" s="21" t="s">
        <v>304</v>
      </c>
      <c r="R404" s="21" t="s">
        <v>44</v>
      </c>
      <c r="S404" s="21" t="s">
        <v>945</v>
      </c>
      <c r="T404" s="75"/>
      <c r="U404" s="76"/>
      <c r="V404" s="21">
        <v>42824</v>
      </c>
      <c r="W404" s="77"/>
    </row>
    <row r="405" spans="1:24" ht="17.25" customHeight="1" x14ac:dyDescent="0.2">
      <c r="A405" s="21" t="s">
        <v>2569</v>
      </c>
      <c r="B405" s="21" t="s">
        <v>2228</v>
      </c>
      <c r="C405" s="21" t="s">
        <v>2229</v>
      </c>
      <c r="D405" s="21" t="s">
        <v>1953</v>
      </c>
      <c r="E405" s="21" t="s">
        <v>2278</v>
      </c>
      <c r="F405" s="21" t="s">
        <v>2278</v>
      </c>
      <c r="G405" s="21" t="s">
        <v>2278</v>
      </c>
      <c r="H405" s="21" t="s">
        <v>48</v>
      </c>
      <c r="I405" s="21" t="s">
        <v>49</v>
      </c>
      <c r="J405" s="21" t="s">
        <v>50</v>
      </c>
      <c r="K405" s="21" t="s">
        <v>50</v>
      </c>
      <c r="L405" s="21" t="s">
        <v>50</v>
      </c>
      <c r="M405" s="21" t="s">
        <v>964</v>
      </c>
      <c r="N405" s="21">
        <v>24.002433</v>
      </c>
      <c r="O405" s="74">
        <v>97.609832999999995</v>
      </c>
      <c r="P405" s="21" t="s">
        <v>944</v>
      </c>
      <c r="Q405" s="21" t="s">
        <v>45</v>
      </c>
      <c r="R405" s="21" t="s">
        <v>44</v>
      </c>
      <c r="S405" s="21" t="s">
        <v>945</v>
      </c>
      <c r="T405" s="75">
        <v>386</v>
      </c>
      <c r="U405" s="76">
        <v>1902</v>
      </c>
      <c r="W405" s="77"/>
    </row>
    <row r="406" spans="1:24" ht="17.25" customHeight="1" x14ac:dyDescent="0.2">
      <c r="A406" s="21" t="s">
        <v>454</v>
      </c>
      <c r="B406" s="21" t="s">
        <v>2228</v>
      </c>
      <c r="C406" s="21" t="s">
        <v>2229</v>
      </c>
      <c r="D406" s="21" t="s">
        <v>1957</v>
      </c>
      <c r="H406" s="21" t="s">
        <v>48</v>
      </c>
      <c r="I406" s="21" t="s">
        <v>49</v>
      </c>
      <c r="J406" s="21" t="s">
        <v>50</v>
      </c>
      <c r="K406" s="21" t="s">
        <v>50</v>
      </c>
      <c r="L406" s="21" t="s">
        <v>50</v>
      </c>
      <c r="M406" s="21" t="s">
        <v>964</v>
      </c>
      <c r="N406" s="21">
        <v>24.056132999999999</v>
      </c>
      <c r="O406" s="74">
        <v>97.625617000000005</v>
      </c>
      <c r="P406" s="21" t="s">
        <v>944</v>
      </c>
      <c r="Q406" s="21" t="s">
        <v>45</v>
      </c>
      <c r="R406" s="21" t="s">
        <v>44</v>
      </c>
      <c r="S406" s="21" t="s">
        <v>945</v>
      </c>
      <c r="T406" s="75">
        <v>548</v>
      </c>
      <c r="U406" s="76">
        <v>2482</v>
      </c>
      <c r="W406" s="77"/>
    </row>
    <row r="407" spans="1:24" ht="17.25" customHeight="1" x14ac:dyDescent="0.2">
      <c r="A407" s="21" t="s">
        <v>295</v>
      </c>
      <c r="B407" s="21" t="s">
        <v>2228</v>
      </c>
      <c r="C407" s="21" t="s">
        <v>2229</v>
      </c>
      <c r="J407" s="21" t="s">
        <v>1951</v>
      </c>
      <c r="K407" s="21" t="s">
        <v>50</v>
      </c>
      <c r="L407" s="21" t="s">
        <v>50</v>
      </c>
      <c r="M407" s="21" t="s">
        <v>51</v>
      </c>
      <c r="N407" s="319"/>
      <c r="O407" s="319"/>
      <c r="P407" s="21" t="s">
        <v>944</v>
      </c>
      <c r="Q407" s="21" t="s">
        <v>45</v>
      </c>
      <c r="R407" s="21" t="s">
        <v>44</v>
      </c>
      <c r="S407" s="21" t="s">
        <v>966</v>
      </c>
      <c r="T407" s="75"/>
      <c r="U407" s="76"/>
      <c r="V407" s="21">
        <v>42747</v>
      </c>
      <c r="W407" s="77" t="s">
        <v>1285</v>
      </c>
    </row>
    <row r="408" spans="1:24" ht="17.25" customHeight="1" x14ac:dyDescent="0.2">
      <c r="A408" s="21" t="s">
        <v>310</v>
      </c>
      <c r="B408" s="21" t="s">
        <v>2228</v>
      </c>
      <c r="C408" s="21" t="s">
        <v>2229</v>
      </c>
      <c r="D408" s="21" t="s">
        <v>2021</v>
      </c>
      <c r="H408" s="21" t="s">
        <v>48</v>
      </c>
      <c r="I408" s="21" t="s">
        <v>297</v>
      </c>
      <c r="J408" s="21" t="s">
        <v>50</v>
      </c>
      <c r="K408" s="21" t="s">
        <v>50</v>
      </c>
      <c r="L408" s="21" t="s">
        <v>50</v>
      </c>
      <c r="M408" s="21" t="s">
        <v>51</v>
      </c>
      <c r="N408" s="21">
        <v>25.296579999999999</v>
      </c>
      <c r="O408" s="74">
        <v>96.942279999999997</v>
      </c>
      <c r="P408" s="21" t="s">
        <v>944</v>
      </c>
      <c r="Q408" s="21" t="s">
        <v>308</v>
      </c>
      <c r="R408" s="21" t="s">
        <v>44</v>
      </c>
      <c r="S408" s="21" t="s">
        <v>966</v>
      </c>
      <c r="T408" s="75">
        <v>16</v>
      </c>
      <c r="U408" s="76">
        <v>78</v>
      </c>
      <c r="V408" s="21" t="s">
        <v>949</v>
      </c>
      <c r="W408" s="77"/>
      <c r="X408" s="21" t="s">
        <v>310</v>
      </c>
    </row>
    <row r="409" spans="1:24" ht="17.25" customHeight="1" x14ac:dyDescent="0.2">
      <c r="A409" s="21" t="s">
        <v>314</v>
      </c>
      <c r="B409" s="21" t="s">
        <v>2228</v>
      </c>
      <c r="C409" s="21" t="s">
        <v>2229</v>
      </c>
      <c r="D409" s="21" t="s">
        <v>2013</v>
      </c>
      <c r="H409" s="21" t="s">
        <v>48</v>
      </c>
      <c r="I409" s="21" t="s">
        <v>297</v>
      </c>
      <c r="J409" s="21" t="s">
        <v>50</v>
      </c>
      <c r="K409" s="21" t="s">
        <v>50</v>
      </c>
      <c r="L409" s="21" t="s">
        <v>50</v>
      </c>
      <c r="M409" s="21" t="s">
        <v>51</v>
      </c>
      <c r="N409" s="21">
        <v>24.998349999999999</v>
      </c>
      <c r="O409" s="74">
        <v>96.364949999999993</v>
      </c>
      <c r="P409" s="21" t="s">
        <v>944</v>
      </c>
      <c r="Q409" s="21" t="s">
        <v>313</v>
      </c>
      <c r="R409" s="21" t="s">
        <v>44</v>
      </c>
      <c r="S409" s="21" t="s">
        <v>966</v>
      </c>
      <c r="T409" s="75">
        <v>24</v>
      </c>
      <c r="U409" s="76">
        <v>115</v>
      </c>
      <c r="V409" s="21" t="s">
        <v>949</v>
      </c>
      <c r="W409" s="77"/>
      <c r="X409" s="21" t="s">
        <v>1225</v>
      </c>
    </row>
    <row r="410" spans="1:24" ht="17.25" customHeight="1" x14ac:dyDescent="0.2">
      <c r="A410" s="21" t="s">
        <v>362</v>
      </c>
      <c r="B410" s="21" t="s">
        <v>2228</v>
      </c>
      <c r="C410" s="21" t="s">
        <v>2229</v>
      </c>
      <c r="D410" s="21" t="s">
        <v>949</v>
      </c>
      <c r="J410" s="21" t="s">
        <v>1951</v>
      </c>
      <c r="K410" s="21" t="s">
        <v>50</v>
      </c>
      <c r="L410" s="21" t="s">
        <v>50</v>
      </c>
      <c r="M410" s="21" t="s">
        <v>51</v>
      </c>
      <c r="N410" s="319"/>
      <c r="O410" s="319"/>
      <c r="P410" s="21" t="s">
        <v>944</v>
      </c>
      <c r="Q410" s="21" t="s">
        <v>361</v>
      </c>
      <c r="R410" s="21" t="s">
        <v>44</v>
      </c>
      <c r="S410" s="21" t="s">
        <v>966</v>
      </c>
      <c r="T410" s="75"/>
      <c r="U410" s="76"/>
      <c r="V410" s="21" t="s">
        <v>949</v>
      </c>
      <c r="W410" s="77" t="s">
        <v>1280</v>
      </c>
      <c r="X410" s="21" t="s">
        <v>362</v>
      </c>
    </row>
    <row r="411" spans="1:24" ht="17.25" customHeight="1" x14ac:dyDescent="0.2">
      <c r="A411" s="21" t="s">
        <v>363</v>
      </c>
      <c r="B411" s="21" t="s">
        <v>2228</v>
      </c>
      <c r="C411" s="21" t="s">
        <v>2229</v>
      </c>
      <c r="D411" s="21" t="s">
        <v>949</v>
      </c>
      <c r="J411" s="21" t="s">
        <v>1951</v>
      </c>
      <c r="K411" s="21" t="s">
        <v>50</v>
      </c>
      <c r="L411" s="21" t="s">
        <v>50</v>
      </c>
      <c r="M411" s="21" t="s">
        <v>51</v>
      </c>
      <c r="N411" s="319"/>
      <c r="O411" s="319"/>
      <c r="P411" s="21" t="s">
        <v>944</v>
      </c>
      <c r="Q411" s="21" t="s">
        <v>361</v>
      </c>
      <c r="R411" s="21" t="s">
        <v>44</v>
      </c>
      <c r="S411" s="21" t="s">
        <v>966</v>
      </c>
      <c r="T411" s="75"/>
      <c r="U411" s="76"/>
      <c r="V411" s="21" t="s">
        <v>949</v>
      </c>
      <c r="W411" s="77" t="s">
        <v>1280</v>
      </c>
      <c r="X411" s="21" t="s">
        <v>363</v>
      </c>
    </row>
    <row r="412" spans="1:24" ht="17.25" customHeight="1" x14ac:dyDescent="0.2">
      <c r="A412" s="21" t="s">
        <v>365</v>
      </c>
      <c r="B412" s="21" t="s">
        <v>2228</v>
      </c>
      <c r="C412" s="21" t="s">
        <v>2229</v>
      </c>
      <c r="D412" s="21" t="s">
        <v>949</v>
      </c>
      <c r="J412" s="21" t="s">
        <v>1951</v>
      </c>
      <c r="K412" s="21" t="s">
        <v>50</v>
      </c>
      <c r="L412" s="21" t="s">
        <v>50</v>
      </c>
      <c r="M412" s="21" t="s">
        <v>51</v>
      </c>
      <c r="N412" s="319"/>
      <c r="O412" s="319"/>
      <c r="P412" s="21" t="s">
        <v>944</v>
      </c>
      <c r="Q412" s="21" t="s">
        <v>361</v>
      </c>
      <c r="R412" s="21" t="s">
        <v>44</v>
      </c>
      <c r="S412" s="21" t="s">
        <v>966</v>
      </c>
      <c r="T412" s="75"/>
      <c r="U412" s="76"/>
      <c r="V412" s="21" t="s">
        <v>949</v>
      </c>
      <c r="W412" s="77" t="s">
        <v>1280</v>
      </c>
      <c r="X412" s="21" t="s">
        <v>365</v>
      </c>
    </row>
    <row r="413" spans="1:24" ht="17.25" customHeight="1" x14ac:dyDescent="0.2">
      <c r="A413" s="21" t="s">
        <v>449</v>
      </c>
      <c r="B413" s="21" t="s">
        <v>2228</v>
      </c>
      <c r="C413" s="21" t="s">
        <v>2229</v>
      </c>
      <c r="J413" s="21" t="s">
        <v>1951</v>
      </c>
      <c r="K413" s="21" t="s">
        <v>50</v>
      </c>
      <c r="L413" s="21" t="s">
        <v>1289</v>
      </c>
      <c r="M413" s="21" t="s">
        <v>964</v>
      </c>
      <c r="N413" s="319"/>
      <c r="O413" s="319"/>
      <c r="P413" s="21" t="s">
        <v>944</v>
      </c>
      <c r="Q413" s="21" t="s">
        <v>361</v>
      </c>
      <c r="R413" s="21" t="s">
        <v>44</v>
      </c>
      <c r="S413" s="21" t="s">
        <v>945</v>
      </c>
      <c r="T413" s="75"/>
      <c r="U413" s="76"/>
      <c r="V413" s="21">
        <v>42849</v>
      </c>
      <c r="W413" s="77"/>
    </row>
    <row r="414" spans="1:24" ht="17.25" customHeight="1" x14ac:dyDescent="0.2">
      <c r="A414" s="21" t="s">
        <v>448</v>
      </c>
      <c r="B414" s="21" t="s">
        <v>2228</v>
      </c>
      <c r="C414" s="21" t="s">
        <v>2229</v>
      </c>
      <c r="J414" s="21" t="s">
        <v>1951</v>
      </c>
      <c r="K414" s="21" t="s">
        <v>50</v>
      </c>
      <c r="L414" s="21" t="s">
        <v>1289</v>
      </c>
      <c r="M414" s="21" t="s">
        <v>51</v>
      </c>
      <c r="N414" s="319"/>
      <c r="O414" s="319"/>
      <c r="P414" s="21" t="s">
        <v>944</v>
      </c>
      <c r="Q414" s="21" t="s">
        <v>361</v>
      </c>
      <c r="R414" s="21" t="s">
        <v>44</v>
      </c>
      <c r="S414" s="21" t="s">
        <v>945</v>
      </c>
      <c r="T414" s="75"/>
      <c r="U414" s="76"/>
      <c r="V414" s="21">
        <v>42849</v>
      </c>
      <c r="W414" s="77"/>
    </row>
    <row r="415" spans="1:24" ht="17.25" customHeight="1" x14ac:dyDescent="0.2">
      <c r="A415" s="21" t="s">
        <v>447</v>
      </c>
      <c r="B415" s="21" t="s">
        <v>2228</v>
      </c>
      <c r="C415" s="21" t="s">
        <v>2229</v>
      </c>
      <c r="D415" s="21" t="s">
        <v>949</v>
      </c>
      <c r="J415" s="21" t="s">
        <v>1951</v>
      </c>
      <c r="K415" s="21" t="s">
        <v>50</v>
      </c>
      <c r="L415" s="21" t="s">
        <v>50</v>
      </c>
      <c r="M415" s="21" t="s">
        <v>51</v>
      </c>
      <c r="N415" s="319"/>
      <c r="O415" s="319"/>
      <c r="P415" s="21" t="s">
        <v>944</v>
      </c>
      <c r="Q415" s="21" t="s">
        <v>361</v>
      </c>
      <c r="R415" s="21" t="s">
        <v>44</v>
      </c>
      <c r="S415" s="21" t="s">
        <v>966</v>
      </c>
      <c r="T415" s="75"/>
      <c r="U415" s="76"/>
      <c r="V415" s="21" t="s">
        <v>949</v>
      </c>
      <c r="W415" s="77" t="s">
        <v>1280</v>
      </c>
      <c r="X415" s="21" t="s">
        <v>447</v>
      </c>
    </row>
    <row r="416" spans="1:24" ht="17.25" customHeight="1" x14ac:dyDescent="0.2">
      <c r="A416" s="21" t="s">
        <v>375</v>
      </c>
      <c r="B416" s="21" t="s">
        <v>2228</v>
      </c>
      <c r="C416" s="21" t="s">
        <v>2229</v>
      </c>
      <c r="D416" s="21" t="s">
        <v>949</v>
      </c>
      <c r="J416" s="21" t="s">
        <v>1951</v>
      </c>
      <c r="K416" s="21" t="s">
        <v>50</v>
      </c>
      <c r="L416" s="21" t="s">
        <v>1216</v>
      </c>
      <c r="M416" s="21" t="s">
        <v>964</v>
      </c>
      <c r="N416" s="319"/>
      <c r="O416" s="319"/>
      <c r="P416" s="21" t="s">
        <v>944</v>
      </c>
      <c r="Q416" s="21" t="s">
        <v>298</v>
      </c>
      <c r="R416" s="21" t="s">
        <v>44</v>
      </c>
      <c r="S416" s="21" t="s">
        <v>966</v>
      </c>
      <c r="T416" s="75"/>
      <c r="U416" s="76"/>
      <c r="V416" s="21" t="s">
        <v>949</v>
      </c>
      <c r="W416" s="77" t="s">
        <v>1285</v>
      </c>
      <c r="X416" s="21" t="s">
        <v>375</v>
      </c>
    </row>
    <row r="417" spans="1:24" ht="17.25" customHeight="1" x14ac:dyDescent="0.2">
      <c r="A417" s="21" t="s">
        <v>376</v>
      </c>
      <c r="B417" s="21" t="s">
        <v>2228</v>
      </c>
      <c r="C417" s="21" t="s">
        <v>2229</v>
      </c>
      <c r="D417" s="21" t="s">
        <v>949</v>
      </c>
      <c r="J417" s="21" t="s">
        <v>1951</v>
      </c>
      <c r="K417" s="21" t="s">
        <v>50</v>
      </c>
      <c r="L417" s="21" t="s">
        <v>1216</v>
      </c>
      <c r="M417" s="21" t="s">
        <v>964</v>
      </c>
      <c r="N417" s="319"/>
      <c r="O417" s="319"/>
      <c r="P417" s="21" t="s">
        <v>944</v>
      </c>
      <c r="Q417" s="21" t="s">
        <v>298</v>
      </c>
      <c r="R417" s="21" t="s">
        <v>44</v>
      </c>
      <c r="S417" s="21" t="s">
        <v>966</v>
      </c>
      <c r="T417" s="75"/>
      <c r="U417" s="76"/>
      <c r="V417" s="21" t="s">
        <v>949</v>
      </c>
      <c r="W417" s="77" t="s">
        <v>1285</v>
      </c>
      <c r="X417" s="21" t="s">
        <v>376</v>
      </c>
    </row>
    <row r="418" spans="1:24" ht="17.25" customHeight="1" x14ac:dyDescent="0.2">
      <c r="A418" s="21" t="s">
        <v>379</v>
      </c>
      <c r="B418" s="21" t="s">
        <v>2228</v>
      </c>
      <c r="C418" s="21" t="s">
        <v>2229</v>
      </c>
      <c r="J418" s="21" t="s">
        <v>1951</v>
      </c>
      <c r="K418" s="21" t="s">
        <v>50</v>
      </c>
      <c r="L418" s="21" t="s">
        <v>1343</v>
      </c>
      <c r="M418" s="21" t="s">
        <v>964</v>
      </c>
      <c r="N418" s="319"/>
      <c r="O418" s="319"/>
      <c r="P418" s="21" t="s">
        <v>944</v>
      </c>
      <c r="Q418" s="21" t="s">
        <v>298</v>
      </c>
      <c r="R418" s="21" t="s">
        <v>44</v>
      </c>
      <c r="S418" s="21" t="s">
        <v>966</v>
      </c>
      <c r="T418" s="75"/>
      <c r="U418" s="76"/>
      <c r="W418" s="77" t="s">
        <v>1285</v>
      </c>
    </row>
    <row r="419" spans="1:24" ht="17.25" customHeight="1" x14ac:dyDescent="0.2">
      <c r="A419" s="21" t="s">
        <v>378</v>
      </c>
      <c r="B419" s="21" t="s">
        <v>2228</v>
      </c>
      <c r="C419" s="21" t="s">
        <v>2229</v>
      </c>
      <c r="D419" s="21" t="s">
        <v>949</v>
      </c>
      <c r="J419" s="21" t="s">
        <v>1951</v>
      </c>
      <c r="K419" s="21" t="s">
        <v>50</v>
      </c>
      <c r="L419" s="21" t="s">
        <v>956</v>
      </c>
      <c r="M419" s="21" t="s">
        <v>964</v>
      </c>
      <c r="N419" s="319"/>
      <c r="O419" s="319"/>
      <c r="P419" s="21" t="s">
        <v>957</v>
      </c>
      <c r="Q419" s="21" t="s">
        <v>298</v>
      </c>
      <c r="R419" s="21" t="s">
        <v>44</v>
      </c>
      <c r="S419" s="21" t="s">
        <v>966</v>
      </c>
      <c r="T419" s="75"/>
      <c r="U419" s="76"/>
      <c r="V419" s="21" t="s">
        <v>949</v>
      </c>
      <c r="W419" s="77" t="s">
        <v>1285</v>
      </c>
      <c r="X419" s="21" t="s">
        <v>949</v>
      </c>
    </row>
    <row r="420" spans="1:24" ht="17.25" customHeight="1" x14ac:dyDescent="0.2">
      <c r="A420" s="21" t="s">
        <v>544</v>
      </c>
      <c r="B420" s="21" t="s">
        <v>2228</v>
      </c>
      <c r="C420" s="21" t="s">
        <v>2229</v>
      </c>
      <c r="D420" s="21" t="s">
        <v>1598</v>
      </c>
      <c r="J420" s="21" t="s">
        <v>990</v>
      </c>
      <c r="K420" s="21" t="s">
        <v>984</v>
      </c>
      <c r="L420" s="21" t="s">
        <v>990</v>
      </c>
      <c r="M420" s="21" t="s">
        <v>464</v>
      </c>
      <c r="N420" s="21">
        <v>19.484790802001999</v>
      </c>
      <c r="O420" s="74">
        <v>94.007926940917997</v>
      </c>
      <c r="Q420" s="21" t="s">
        <v>496</v>
      </c>
      <c r="R420" s="21" t="s">
        <v>464</v>
      </c>
      <c r="S420" s="21" t="s">
        <v>966</v>
      </c>
      <c r="T420" s="75"/>
      <c r="U420" s="76"/>
      <c r="V420" s="21" t="s">
        <v>991</v>
      </c>
      <c r="W420" s="77"/>
      <c r="X420" s="21" t="s">
        <v>544</v>
      </c>
    </row>
    <row r="421" spans="1:24" ht="17.25" customHeight="1" x14ac:dyDescent="0.2">
      <c r="A421" s="21" t="s">
        <v>545</v>
      </c>
      <c r="B421" s="21" t="s">
        <v>2228</v>
      </c>
      <c r="C421" s="21" t="s">
        <v>2229</v>
      </c>
      <c r="D421" s="21">
        <v>199195</v>
      </c>
      <c r="J421" s="21" t="s">
        <v>990</v>
      </c>
      <c r="K421" s="21" t="s">
        <v>984</v>
      </c>
      <c r="L421" s="21" t="s">
        <v>990</v>
      </c>
      <c r="M421" s="21" t="s">
        <v>464</v>
      </c>
      <c r="N421" s="21">
        <v>19.591590881347699</v>
      </c>
      <c r="O421" s="74">
        <v>93.808258056640597</v>
      </c>
      <c r="Q421" s="21" t="s">
        <v>496</v>
      </c>
      <c r="R421" s="21" t="s">
        <v>464</v>
      </c>
      <c r="S421" s="21" t="s">
        <v>966</v>
      </c>
      <c r="T421" s="75"/>
      <c r="U421" s="76"/>
      <c r="V421" s="21">
        <v>42745</v>
      </c>
      <c r="W421" s="77"/>
    </row>
    <row r="422" spans="1:24" ht="17.25" customHeight="1" x14ac:dyDescent="0.2">
      <c r="A422" s="21" t="s">
        <v>546</v>
      </c>
      <c r="B422" s="21" t="s">
        <v>2228</v>
      </c>
      <c r="C422" s="21" t="s">
        <v>2229</v>
      </c>
      <c r="D422" s="21" t="s">
        <v>1599</v>
      </c>
      <c r="J422" s="21" t="s">
        <v>990</v>
      </c>
      <c r="K422" s="21" t="s">
        <v>984</v>
      </c>
      <c r="L422" s="21" t="s">
        <v>990</v>
      </c>
      <c r="M422" s="21" t="s">
        <v>464</v>
      </c>
      <c r="N422" s="21">
        <v>19.610979080200199</v>
      </c>
      <c r="O422" s="74">
        <v>93.9847412109375</v>
      </c>
      <c r="Q422" s="21" t="s">
        <v>496</v>
      </c>
      <c r="R422" s="21" t="s">
        <v>464</v>
      </c>
      <c r="S422" s="21" t="s">
        <v>966</v>
      </c>
      <c r="T422" s="75"/>
      <c r="U422" s="76"/>
      <c r="V422" s="21" t="s">
        <v>991</v>
      </c>
      <c r="W422" s="77"/>
      <c r="X422" s="21" t="s">
        <v>546</v>
      </c>
    </row>
    <row r="423" spans="1:24" ht="17.25" customHeight="1" x14ac:dyDescent="0.2">
      <c r="A423" s="21" t="s">
        <v>547</v>
      </c>
      <c r="B423" s="21" t="s">
        <v>2228</v>
      </c>
      <c r="C423" s="21" t="s">
        <v>2229</v>
      </c>
      <c r="D423" s="21" t="s">
        <v>1600</v>
      </c>
      <c r="J423" s="21" t="s">
        <v>990</v>
      </c>
      <c r="K423" s="21" t="s">
        <v>984</v>
      </c>
      <c r="L423" s="21" t="s">
        <v>990</v>
      </c>
      <c r="M423" s="21" t="s">
        <v>464</v>
      </c>
      <c r="N423" s="21">
        <v>19.611209869384801</v>
      </c>
      <c r="O423" s="74">
        <v>93.995933532714801</v>
      </c>
      <c r="Q423" s="21" t="s">
        <v>496</v>
      </c>
      <c r="R423" s="21" t="s">
        <v>464</v>
      </c>
      <c r="S423" s="21" t="s">
        <v>966</v>
      </c>
      <c r="T423" s="75"/>
      <c r="U423" s="76"/>
      <c r="V423" s="21" t="s">
        <v>991</v>
      </c>
      <c r="W423" s="77"/>
      <c r="X423" s="21" t="s">
        <v>992</v>
      </c>
    </row>
    <row r="424" spans="1:24" ht="17.25" customHeight="1" x14ac:dyDescent="0.2">
      <c r="A424" s="21" t="s">
        <v>548</v>
      </c>
      <c r="B424" s="21" t="s">
        <v>2228</v>
      </c>
      <c r="C424" s="21" t="s">
        <v>2229</v>
      </c>
      <c r="D424" s="21" t="s">
        <v>1601</v>
      </c>
      <c r="J424" s="21" t="s">
        <v>990</v>
      </c>
      <c r="K424" s="21" t="s">
        <v>984</v>
      </c>
      <c r="L424" s="21" t="s">
        <v>990</v>
      </c>
      <c r="M424" s="21" t="s">
        <v>464</v>
      </c>
      <c r="N424" s="21">
        <v>19.615800857543899</v>
      </c>
      <c r="O424" s="74">
        <v>94.000473022460895</v>
      </c>
      <c r="Q424" s="21" t="s">
        <v>496</v>
      </c>
      <c r="R424" s="21" t="s">
        <v>464</v>
      </c>
      <c r="S424" s="21" t="s">
        <v>966</v>
      </c>
      <c r="T424" s="75"/>
      <c r="U424" s="76"/>
      <c r="V424" s="21" t="s">
        <v>991</v>
      </c>
      <c r="W424" s="77"/>
      <c r="X424" s="21" t="s">
        <v>548</v>
      </c>
    </row>
    <row r="425" spans="1:24" ht="17.25" customHeight="1" x14ac:dyDescent="0.2">
      <c r="A425" s="21" t="s">
        <v>549</v>
      </c>
      <c r="B425" s="21" t="s">
        <v>2228</v>
      </c>
      <c r="C425" s="21" t="s">
        <v>2229</v>
      </c>
      <c r="D425" s="21" t="s">
        <v>1602</v>
      </c>
      <c r="J425" s="21" t="s">
        <v>990</v>
      </c>
      <c r="K425" s="21" t="s">
        <v>984</v>
      </c>
      <c r="L425" s="21" t="s">
        <v>990</v>
      </c>
      <c r="M425" s="21" t="s">
        <v>993</v>
      </c>
      <c r="N425" s="21">
        <v>19.619289398193398</v>
      </c>
      <c r="O425" s="74">
        <v>93.959686279296903</v>
      </c>
      <c r="Q425" s="21" t="s">
        <v>496</v>
      </c>
      <c r="R425" s="21" t="s">
        <v>464</v>
      </c>
      <c r="S425" s="21" t="s">
        <v>966</v>
      </c>
      <c r="T425" s="75"/>
      <c r="U425" s="76"/>
      <c r="V425" s="21" t="s">
        <v>991</v>
      </c>
      <c r="W425" s="77"/>
      <c r="X425" s="21" t="s">
        <v>549</v>
      </c>
    </row>
    <row r="426" spans="1:24" ht="17.25" customHeight="1" x14ac:dyDescent="0.2">
      <c r="A426" s="21" t="s">
        <v>550</v>
      </c>
      <c r="B426" s="21" t="s">
        <v>2228</v>
      </c>
      <c r="C426" s="21" t="s">
        <v>2229</v>
      </c>
      <c r="D426" s="244" t="s">
        <v>1603</v>
      </c>
      <c r="J426" s="21" t="s">
        <v>990</v>
      </c>
      <c r="K426" s="21" t="s">
        <v>984</v>
      </c>
      <c r="L426" s="21" t="s">
        <v>990</v>
      </c>
      <c r="M426" s="21" t="s">
        <v>464</v>
      </c>
      <c r="N426" s="21">
        <v>19.627199172973601</v>
      </c>
      <c r="O426" s="74">
        <v>93.962989807128906</v>
      </c>
      <c r="Q426" s="21" t="s">
        <v>496</v>
      </c>
      <c r="R426" s="21" t="s">
        <v>464</v>
      </c>
      <c r="S426" s="21" t="s">
        <v>966</v>
      </c>
      <c r="T426" s="75"/>
      <c r="U426" s="76"/>
      <c r="V426" s="21" t="s">
        <v>991</v>
      </c>
      <c r="W426" s="77"/>
      <c r="X426" s="21" t="s">
        <v>550</v>
      </c>
    </row>
    <row r="427" spans="1:24" ht="17.25" customHeight="1" x14ac:dyDescent="0.2">
      <c r="A427" s="21" t="s">
        <v>551</v>
      </c>
      <c r="B427" s="21" t="s">
        <v>2228</v>
      </c>
      <c r="C427" s="21" t="s">
        <v>2229</v>
      </c>
      <c r="D427" s="21" t="s">
        <v>1604</v>
      </c>
      <c r="J427" s="21" t="s">
        <v>990</v>
      </c>
      <c r="K427" s="21" t="s">
        <v>984</v>
      </c>
      <c r="L427" s="21" t="s">
        <v>990</v>
      </c>
      <c r="M427" s="21" t="s">
        <v>993</v>
      </c>
      <c r="N427" s="21">
        <v>19.639009475708001</v>
      </c>
      <c r="O427" s="74">
        <v>94.036079406738295</v>
      </c>
      <c r="Q427" s="21" t="s">
        <v>496</v>
      </c>
      <c r="R427" s="21" t="s">
        <v>464</v>
      </c>
      <c r="S427" s="21" t="s">
        <v>966</v>
      </c>
      <c r="T427" s="75"/>
      <c r="U427" s="76"/>
      <c r="V427" s="21" t="s">
        <v>991</v>
      </c>
      <c r="W427" s="77"/>
      <c r="X427" s="21" t="s">
        <v>551</v>
      </c>
    </row>
    <row r="428" spans="1:24" ht="17.25" customHeight="1" x14ac:dyDescent="0.2">
      <c r="A428" s="21" t="s">
        <v>552</v>
      </c>
      <c r="B428" s="21" t="s">
        <v>2228</v>
      </c>
      <c r="C428" s="21" t="s">
        <v>2229</v>
      </c>
      <c r="D428" s="21" t="s">
        <v>1605</v>
      </c>
      <c r="J428" s="21" t="s">
        <v>990</v>
      </c>
      <c r="K428" s="21" t="s">
        <v>984</v>
      </c>
      <c r="L428" s="21" t="s">
        <v>990</v>
      </c>
      <c r="M428" s="21" t="s">
        <v>464</v>
      </c>
      <c r="N428" s="21">
        <v>19.646549224853501</v>
      </c>
      <c r="O428" s="74">
        <v>94.004188537597699</v>
      </c>
      <c r="Q428" s="21" t="s">
        <v>496</v>
      </c>
      <c r="R428" s="21" t="s">
        <v>464</v>
      </c>
      <c r="S428" s="21" t="s">
        <v>966</v>
      </c>
      <c r="T428" s="75"/>
      <c r="U428" s="76"/>
      <c r="V428" s="21" t="s">
        <v>991</v>
      </c>
      <c r="W428" s="77"/>
      <c r="X428" s="21" t="s">
        <v>552</v>
      </c>
    </row>
    <row r="429" spans="1:24" ht="17.25" customHeight="1" x14ac:dyDescent="0.2">
      <c r="A429" s="21" t="s">
        <v>553</v>
      </c>
      <c r="B429" s="21" t="s">
        <v>2228</v>
      </c>
      <c r="C429" s="21" t="s">
        <v>2229</v>
      </c>
      <c r="D429" s="21" t="s">
        <v>1606</v>
      </c>
      <c r="J429" s="21" t="s">
        <v>990</v>
      </c>
      <c r="K429" s="21" t="s">
        <v>984</v>
      </c>
      <c r="L429" s="21" t="s">
        <v>990</v>
      </c>
      <c r="M429" s="21" t="s">
        <v>993</v>
      </c>
      <c r="N429" s="21">
        <v>19.686580657958999</v>
      </c>
      <c r="O429" s="74">
        <v>94.048843383789105</v>
      </c>
      <c r="Q429" s="21" t="s">
        <v>496</v>
      </c>
      <c r="R429" s="21" t="s">
        <v>464</v>
      </c>
      <c r="S429" s="21" t="s">
        <v>966</v>
      </c>
      <c r="T429" s="75"/>
      <c r="U429" s="76"/>
      <c r="V429" s="21" t="s">
        <v>991</v>
      </c>
      <c r="W429" s="77"/>
      <c r="X429" s="21" t="s">
        <v>553</v>
      </c>
    </row>
    <row r="430" spans="1:24" ht="17.25" customHeight="1" x14ac:dyDescent="0.2">
      <c r="A430" s="21" t="s">
        <v>554</v>
      </c>
      <c r="B430" s="21" t="s">
        <v>2228</v>
      </c>
      <c r="C430" s="21" t="s">
        <v>2229</v>
      </c>
      <c r="D430" s="21" t="s">
        <v>1607</v>
      </c>
      <c r="J430" s="21" t="s">
        <v>990</v>
      </c>
      <c r="K430" s="21" t="s">
        <v>984</v>
      </c>
      <c r="L430" s="21" t="s">
        <v>990</v>
      </c>
      <c r="M430" s="21" t="s">
        <v>993</v>
      </c>
      <c r="N430" s="21">
        <v>19.7062797546387</v>
      </c>
      <c r="O430" s="74">
        <v>94.016433715820298</v>
      </c>
      <c r="Q430" s="21" t="s">
        <v>496</v>
      </c>
      <c r="R430" s="21" t="s">
        <v>464</v>
      </c>
      <c r="S430" s="21" t="s">
        <v>966</v>
      </c>
      <c r="T430" s="75"/>
      <c r="U430" s="76"/>
      <c r="V430" s="21" t="s">
        <v>991</v>
      </c>
      <c r="W430" s="77"/>
      <c r="X430" s="21" t="s">
        <v>554</v>
      </c>
    </row>
    <row r="431" spans="1:24" ht="17.25" customHeight="1" x14ac:dyDescent="0.2">
      <c r="A431" s="21" t="s">
        <v>555</v>
      </c>
      <c r="B431" s="21" t="s">
        <v>2228</v>
      </c>
      <c r="C431" s="21" t="s">
        <v>2229</v>
      </c>
      <c r="D431" s="21" t="s">
        <v>1608</v>
      </c>
      <c r="J431" s="21" t="s">
        <v>990</v>
      </c>
      <c r="K431" s="21" t="s">
        <v>984</v>
      </c>
      <c r="L431" s="21" t="s">
        <v>990</v>
      </c>
      <c r="M431" s="21" t="s">
        <v>464</v>
      </c>
      <c r="N431" s="21">
        <v>19.721389770507798</v>
      </c>
      <c r="O431" s="74">
        <v>94.019851684570298</v>
      </c>
      <c r="Q431" s="21" t="s">
        <v>496</v>
      </c>
      <c r="R431" s="21" t="s">
        <v>464</v>
      </c>
      <c r="S431" s="21" t="s">
        <v>966</v>
      </c>
      <c r="T431" s="75"/>
      <c r="U431" s="76"/>
      <c r="V431" s="21" t="s">
        <v>991</v>
      </c>
      <c r="W431" s="77"/>
      <c r="X431" s="21" t="s">
        <v>555</v>
      </c>
    </row>
    <row r="432" spans="1:24" ht="17.25" customHeight="1" x14ac:dyDescent="0.2">
      <c r="A432" s="21" t="s">
        <v>556</v>
      </c>
      <c r="B432" s="21" t="s">
        <v>2228</v>
      </c>
      <c r="C432" s="21" t="s">
        <v>2229</v>
      </c>
      <c r="D432" s="21" t="s">
        <v>1609</v>
      </c>
      <c r="J432" s="21" t="s">
        <v>990</v>
      </c>
      <c r="K432" s="21" t="s">
        <v>984</v>
      </c>
      <c r="L432" s="21" t="s">
        <v>990</v>
      </c>
      <c r="M432" s="21" t="s">
        <v>464</v>
      </c>
      <c r="N432" s="21">
        <v>19.725629806518601</v>
      </c>
      <c r="O432" s="74">
        <v>94.031059265136705</v>
      </c>
      <c r="Q432" s="21" t="s">
        <v>496</v>
      </c>
      <c r="R432" s="21" t="s">
        <v>464</v>
      </c>
      <c r="S432" s="21" t="s">
        <v>966</v>
      </c>
      <c r="T432" s="75"/>
      <c r="U432" s="76"/>
      <c r="V432" s="21" t="s">
        <v>991</v>
      </c>
      <c r="W432" s="77"/>
      <c r="X432" s="21" t="s">
        <v>994</v>
      </c>
    </row>
    <row r="433" spans="1:24" ht="17.25" customHeight="1" x14ac:dyDescent="0.2">
      <c r="A433" s="21" t="s">
        <v>557</v>
      </c>
      <c r="B433" s="21" t="s">
        <v>2228</v>
      </c>
      <c r="C433" s="21" t="s">
        <v>2229</v>
      </c>
      <c r="D433" s="21" t="s">
        <v>1610</v>
      </c>
      <c r="J433" s="21" t="s">
        <v>990</v>
      </c>
      <c r="K433" s="21" t="s">
        <v>984</v>
      </c>
      <c r="L433" s="21" t="s">
        <v>990</v>
      </c>
      <c r="M433" s="21" t="s">
        <v>993</v>
      </c>
      <c r="N433" s="21">
        <v>19.726810455322301</v>
      </c>
      <c r="O433" s="74">
        <v>94.0286865234375</v>
      </c>
      <c r="Q433" s="21" t="s">
        <v>496</v>
      </c>
      <c r="R433" s="21" t="s">
        <v>464</v>
      </c>
      <c r="S433" s="21" t="s">
        <v>966</v>
      </c>
      <c r="T433" s="75"/>
      <c r="U433" s="76"/>
      <c r="V433" s="21" t="s">
        <v>991</v>
      </c>
      <c r="W433" s="77"/>
      <c r="X433" s="21" t="s">
        <v>557</v>
      </c>
    </row>
    <row r="434" spans="1:24" ht="17.25" customHeight="1" x14ac:dyDescent="0.2">
      <c r="A434" s="21" t="s">
        <v>558</v>
      </c>
      <c r="B434" s="21" t="s">
        <v>2228</v>
      </c>
      <c r="C434" s="21" t="s">
        <v>2229</v>
      </c>
      <c r="D434" s="21" t="s">
        <v>1611</v>
      </c>
      <c r="J434" s="21" t="s">
        <v>990</v>
      </c>
      <c r="K434" s="21" t="s">
        <v>984</v>
      </c>
      <c r="L434" s="21" t="s">
        <v>990</v>
      </c>
      <c r="M434" s="21" t="s">
        <v>464</v>
      </c>
      <c r="N434" s="21">
        <v>19.738719940185501</v>
      </c>
      <c r="O434" s="74">
        <v>94.035491943359403</v>
      </c>
      <c r="Q434" s="21" t="s">
        <v>496</v>
      </c>
      <c r="R434" s="21" t="s">
        <v>464</v>
      </c>
      <c r="S434" s="21" t="s">
        <v>966</v>
      </c>
      <c r="T434" s="75"/>
      <c r="U434" s="76"/>
      <c r="V434" s="21" t="s">
        <v>991</v>
      </c>
      <c r="W434" s="77"/>
      <c r="X434" s="21" t="s">
        <v>558</v>
      </c>
    </row>
    <row r="435" spans="1:24" ht="17.25" customHeight="1" x14ac:dyDescent="0.2">
      <c r="A435" s="21" t="s">
        <v>559</v>
      </c>
      <c r="B435" s="21" t="s">
        <v>2228</v>
      </c>
      <c r="C435" s="21" t="s">
        <v>2229</v>
      </c>
      <c r="D435" s="21" t="s">
        <v>1612</v>
      </c>
      <c r="J435" s="21" t="s">
        <v>990</v>
      </c>
      <c r="K435" s="21" t="s">
        <v>984</v>
      </c>
      <c r="L435" s="21" t="s">
        <v>990</v>
      </c>
      <c r="M435" s="21" t="s">
        <v>464</v>
      </c>
      <c r="N435" s="21">
        <v>19.9044303894043</v>
      </c>
      <c r="O435" s="74">
        <v>93.792778015136705</v>
      </c>
      <c r="Q435" s="21" t="s">
        <v>496</v>
      </c>
      <c r="R435" s="21" t="s">
        <v>464</v>
      </c>
      <c r="S435" s="21" t="s">
        <v>966</v>
      </c>
      <c r="T435" s="75"/>
      <c r="U435" s="76"/>
      <c r="V435" s="21" t="s">
        <v>991</v>
      </c>
      <c r="W435" s="77"/>
      <c r="X435" s="21" t="s">
        <v>559</v>
      </c>
    </row>
    <row r="436" spans="1:24" ht="17.25" customHeight="1" x14ac:dyDescent="0.2">
      <c r="A436" s="21" t="s">
        <v>560</v>
      </c>
      <c r="B436" s="21" t="s">
        <v>2228</v>
      </c>
      <c r="C436" s="21" t="s">
        <v>2229</v>
      </c>
      <c r="D436" s="21" t="s">
        <v>1613</v>
      </c>
      <c r="J436" s="21" t="s">
        <v>990</v>
      </c>
      <c r="K436" s="21" t="s">
        <v>984</v>
      </c>
      <c r="L436" s="21" t="s">
        <v>990</v>
      </c>
      <c r="M436" s="21" t="s">
        <v>464</v>
      </c>
      <c r="N436" s="21">
        <v>19.925739288330099</v>
      </c>
      <c r="O436" s="74">
        <v>93.792991638183594</v>
      </c>
      <c r="Q436" s="21" t="s">
        <v>496</v>
      </c>
      <c r="R436" s="21" t="s">
        <v>464</v>
      </c>
      <c r="S436" s="21" t="s">
        <v>966</v>
      </c>
      <c r="T436" s="75"/>
      <c r="U436" s="76"/>
      <c r="V436" s="21" t="s">
        <v>991</v>
      </c>
      <c r="W436" s="77"/>
      <c r="X436" s="21" t="s">
        <v>995</v>
      </c>
    </row>
    <row r="437" spans="1:24" ht="17.25" customHeight="1" x14ac:dyDescent="0.2">
      <c r="A437" s="21" t="s">
        <v>561</v>
      </c>
      <c r="B437" s="21" t="s">
        <v>2228</v>
      </c>
      <c r="C437" s="21" t="s">
        <v>2229</v>
      </c>
      <c r="D437" s="21" t="s">
        <v>1614</v>
      </c>
      <c r="J437" s="21" t="s">
        <v>990</v>
      </c>
      <c r="K437" s="21" t="s">
        <v>984</v>
      </c>
      <c r="L437" s="21" t="s">
        <v>990</v>
      </c>
      <c r="M437" s="21" t="s">
        <v>993</v>
      </c>
      <c r="N437" s="21">
        <v>19.930080413818398</v>
      </c>
      <c r="O437" s="74">
        <v>93.787002563476605</v>
      </c>
      <c r="Q437" s="21" t="s">
        <v>496</v>
      </c>
      <c r="R437" s="21" t="s">
        <v>464</v>
      </c>
      <c r="S437" s="21" t="s">
        <v>966</v>
      </c>
      <c r="T437" s="75"/>
      <c r="U437" s="76"/>
      <c r="V437" s="21" t="s">
        <v>991</v>
      </c>
      <c r="W437" s="77"/>
      <c r="X437" s="21" t="s">
        <v>561</v>
      </c>
    </row>
    <row r="438" spans="1:24" ht="17.25" customHeight="1" x14ac:dyDescent="0.2">
      <c r="A438" s="21" t="s">
        <v>562</v>
      </c>
      <c r="B438" s="21" t="s">
        <v>2228</v>
      </c>
      <c r="C438" s="21" t="s">
        <v>2229</v>
      </c>
      <c r="D438" s="21" t="s">
        <v>1616</v>
      </c>
      <c r="J438" s="21" t="s">
        <v>990</v>
      </c>
      <c r="K438" s="21" t="s">
        <v>984</v>
      </c>
      <c r="L438" s="21" t="s">
        <v>990</v>
      </c>
      <c r="M438" s="21" t="s">
        <v>997</v>
      </c>
      <c r="N438" s="21">
        <v>19.955690383911101</v>
      </c>
      <c r="O438" s="74">
        <v>93.801551818847699</v>
      </c>
      <c r="Q438" s="21" t="s">
        <v>496</v>
      </c>
      <c r="R438" s="21" t="s">
        <v>464</v>
      </c>
      <c r="S438" s="21" t="s">
        <v>966</v>
      </c>
      <c r="T438" s="75"/>
      <c r="U438" s="76"/>
      <c r="V438" s="21" t="s">
        <v>991</v>
      </c>
      <c r="W438" s="77"/>
      <c r="X438" s="21" t="s">
        <v>998</v>
      </c>
    </row>
    <row r="439" spans="1:24" ht="17.25" customHeight="1" x14ac:dyDescent="0.2">
      <c r="A439" s="21" t="s">
        <v>563</v>
      </c>
      <c r="B439" s="21" t="s">
        <v>2228</v>
      </c>
      <c r="C439" s="21" t="s">
        <v>2229</v>
      </c>
      <c r="D439" s="21" t="s">
        <v>1617</v>
      </c>
      <c r="J439" s="21" t="s">
        <v>990</v>
      </c>
      <c r="K439" s="21" t="s">
        <v>984</v>
      </c>
      <c r="L439" s="21" t="s">
        <v>990</v>
      </c>
      <c r="M439" s="21" t="s">
        <v>993</v>
      </c>
      <c r="N439" s="78">
        <v>19.962713241577099</v>
      </c>
      <c r="O439" s="78">
        <v>93.885574340820298</v>
      </c>
      <c r="Q439" s="21" t="s">
        <v>496</v>
      </c>
      <c r="R439" s="21" t="s">
        <v>464</v>
      </c>
      <c r="S439" s="21" t="s">
        <v>966</v>
      </c>
      <c r="T439" s="75"/>
      <c r="U439" s="76"/>
      <c r="V439" s="21" t="s">
        <v>991</v>
      </c>
      <c r="W439" s="77"/>
      <c r="X439" s="21" t="s">
        <v>563</v>
      </c>
    </row>
    <row r="440" spans="1:24" ht="17.25" customHeight="1" x14ac:dyDescent="0.2">
      <c r="A440" s="21" t="s">
        <v>564</v>
      </c>
      <c r="B440" s="21" t="s">
        <v>2228</v>
      </c>
      <c r="C440" s="21" t="s">
        <v>2229</v>
      </c>
      <c r="D440" s="21" t="s">
        <v>1618</v>
      </c>
      <c r="J440" s="21" t="s">
        <v>990</v>
      </c>
      <c r="K440" s="21" t="s">
        <v>984</v>
      </c>
      <c r="L440" s="21" t="s">
        <v>990</v>
      </c>
      <c r="M440" s="21" t="s">
        <v>464</v>
      </c>
      <c r="N440" s="21">
        <v>19.985679626464801</v>
      </c>
      <c r="O440" s="74">
        <v>93.843322753906307</v>
      </c>
      <c r="Q440" s="21" t="s">
        <v>496</v>
      </c>
      <c r="R440" s="21" t="s">
        <v>464</v>
      </c>
      <c r="S440" s="21" t="s">
        <v>966</v>
      </c>
      <c r="T440" s="75"/>
      <c r="U440" s="76"/>
      <c r="V440" s="21" t="s">
        <v>991</v>
      </c>
      <c r="W440" s="77"/>
      <c r="X440" s="21" t="s">
        <v>564</v>
      </c>
    </row>
    <row r="441" spans="1:24" ht="17.25" customHeight="1" x14ac:dyDescent="0.2">
      <c r="A441" s="21" t="s">
        <v>565</v>
      </c>
      <c r="B441" s="21" t="s">
        <v>2228</v>
      </c>
      <c r="C441" s="21" t="s">
        <v>2229</v>
      </c>
      <c r="D441" s="21" t="s">
        <v>1619</v>
      </c>
      <c r="J441" s="21" t="s">
        <v>990</v>
      </c>
      <c r="K441" s="21" t="s">
        <v>984</v>
      </c>
      <c r="L441" s="21" t="s">
        <v>990</v>
      </c>
      <c r="M441" s="21" t="s">
        <v>993</v>
      </c>
      <c r="N441" s="21">
        <v>19.988599777221701</v>
      </c>
      <c r="O441" s="74">
        <v>93.803939819335895</v>
      </c>
      <c r="Q441" s="21" t="s">
        <v>496</v>
      </c>
      <c r="R441" s="21" t="s">
        <v>464</v>
      </c>
      <c r="S441" s="21" t="s">
        <v>966</v>
      </c>
      <c r="T441" s="75"/>
      <c r="U441" s="76"/>
      <c r="V441" s="21" t="s">
        <v>991</v>
      </c>
      <c r="W441" s="77"/>
      <c r="X441" s="21" t="s">
        <v>999</v>
      </c>
    </row>
    <row r="442" spans="1:24" ht="17.25" customHeight="1" x14ac:dyDescent="0.2">
      <c r="A442" s="21" t="s">
        <v>566</v>
      </c>
      <c r="B442" s="21" t="s">
        <v>2228</v>
      </c>
      <c r="C442" s="21" t="s">
        <v>2229</v>
      </c>
      <c r="D442" s="21" t="s">
        <v>1620</v>
      </c>
      <c r="J442" s="21" t="s">
        <v>990</v>
      </c>
      <c r="K442" s="21" t="s">
        <v>984</v>
      </c>
      <c r="L442" s="21" t="s">
        <v>990</v>
      </c>
      <c r="M442" s="21" t="s">
        <v>464</v>
      </c>
      <c r="N442" s="21">
        <v>19.988689422607401</v>
      </c>
      <c r="O442" s="74">
        <v>93.842460632324205</v>
      </c>
      <c r="Q442" s="21" t="s">
        <v>496</v>
      </c>
      <c r="R442" s="21" t="s">
        <v>464</v>
      </c>
      <c r="S442" s="21" t="s">
        <v>966</v>
      </c>
      <c r="T442" s="75"/>
      <c r="U442" s="76"/>
      <c r="V442" s="21" t="s">
        <v>991</v>
      </c>
      <c r="W442" s="77"/>
      <c r="X442" s="21" t="s">
        <v>566</v>
      </c>
    </row>
    <row r="443" spans="1:24" ht="17.25" customHeight="1" x14ac:dyDescent="0.2">
      <c r="A443" s="21" t="s">
        <v>567</v>
      </c>
      <c r="B443" s="21" t="s">
        <v>2228</v>
      </c>
      <c r="C443" s="21" t="s">
        <v>2229</v>
      </c>
      <c r="D443" s="21" t="s">
        <v>1621</v>
      </c>
      <c r="J443" s="21" t="s">
        <v>990</v>
      </c>
      <c r="K443" s="21" t="s">
        <v>984</v>
      </c>
      <c r="L443" s="21" t="s">
        <v>990</v>
      </c>
      <c r="M443" s="21" t="s">
        <v>464</v>
      </c>
      <c r="N443" s="21">
        <v>19.989589691162099</v>
      </c>
      <c r="O443" s="74">
        <v>93.823867797851605</v>
      </c>
      <c r="Q443" s="21" t="s">
        <v>496</v>
      </c>
      <c r="R443" s="21" t="s">
        <v>464</v>
      </c>
      <c r="S443" s="21" t="s">
        <v>966</v>
      </c>
      <c r="T443" s="75"/>
      <c r="U443" s="76"/>
      <c r="V443" s="21" t="s">
        <v>991</v>
      </c>
      <c r="W443" s="77"/>
      <c r="X443" s="21" t="s">
        <v>1000</v>
      </c>
    </row>
    <row r="444" spans="1:24" ht="17.25" customHeight="1" x14ac:dyDescent="0.2">
      <c r="A444" s="21" t="s">
        <v>568</v>
      </c>
      <c r="B444" s="21" t="s">
        <v>2228</v>
      </c>
      <c r="C444" s="21" t="s">
        <v>2229</v>
      </c>
      <c r="D444" s="21" t="s">
        <v>1622</v>
      </c>
      <c r="J444" s="21" t="s">
        <v>990</v>
      </c>
      <c r="K444" s="21" t="s">
        <v>984</v>
      </c>
      <c r="L444" s="21" t="s">
        <v>990</v>
      </c>
      <c r="M444" s="21" t="s">
        <v>993</v>
      </c>
      <c r="N444" s="21">
        <v>19.991359710693398</v>
      </c>
      <c r="O444" s="74">
        <v>93.834663391113295</v>
      </c>
      <c r="Q444" s="21" t="s">
        <v>496</v>
      </c>
      <c r="R444" s="21" t="s">
        <v>464</v>
      </c>
      <c r="S444" s="21" t="s">
        <v>966</v>
      </c>
      <c r="T444" s="75"/>
      <c r="U444" s="76"/>
      <c r="V444" s="21" t="s">
        <v>991</v>
      </c>
      <c r="W444" s="77"/>
      <c r="X444" s="21" t="s">
        <v>568</v>
      </c>
    </row>
    <row r="445" spans="1:24" ht="17.25" customHeight="1" x14ac:dyDescent="0.2">
      <c r="A445" s="21" t="s">
        <v>569</v>
      </c>
      <c r="B445" s="21" t="s">
        <v>2228</v>
      </c>
      <c r="C445" s="21" t="s">
        <v>2229</v>
      </c>
      <c r="D445" s="21" t="s">
        <v>1623</v>
      </c>
      <c r="J445" s="21" t="s">
        <v>990</v>
      </c>
      <c r="K445" s="21" t="s">
        <v>984</v>
      </c>
      <c r="L445" s="21" t="s">
        <v>990</v>
      </c>
      <c r="M445" s="21" t="s">
        <v>464</v>
      </c>
      <c r="N445" s="21">
        <v>19.9947109222412</v>
      </c>
      <c r="O445" s="74">
        <v>93.836921691894503</v>
      </c>
      <c r="Q445" s="21" t="s">
        <v>496</v>
      </c>
      <c r="R445" s="21" t="s">
        <v>464</v>
      </c>
      <c r="S445" s="21" t="s">
        <v>966</v>
      </c>
      <c r="T445" s="75"/>
      <c r="U445" s="76"/>
      <c r="V445" s="21" t="s">
        <v>991</v>
      </c>
      <c r="W445" s="77"/>
      <c r="X445" s="21" t="s">
        <v>569</v>
      </c>
    </row>
    <row r="446" spans="1:24" ht="17.25" customHeight="1" x14ac:dyDescent="0.2">
      <c r="A446" s="21" t="s">
        <v>570</v>
      </c>
      <c r="B446" s="21" t="s">
        <v>2228</v>
      </c>
      <c r="C446" s="21" t="s">
        <v>2229</v>
      </c>
      <c r="D446" s="21" t="s">
        <v>1624</v>
      </c>
      <c r="J446" s="21" t="s">
        <v>990</v>
      </c>
      <c r="K446" s="21" t="s">
        <v>984</v>
      </c>
      <c r="L446" s="21" t="s">
        <v>990</v>
      </c>
      <c r="M446" s="21" t="s">
        <v>464</v>
      </c>
      <c r="N446" s="21">
        <v>20.0087699890137</v>
      </c>
      <c r="O446" s="74">
        <v>93.816879272460895</v>
      </c>
      <c r="Q446" s="21" t="s">
        <v>496</v>
      </c>
      <c r="R446" s="21" t="s">
        <v>464</v>
      </c>
      <c r="S446" s="21" t="s">
        <v>966</v>
      </c>
      <c r="T446" s="75"/>
      <c r="U446" s="76"/>
      <c r="V446" s="21" t="s">
        <v>991</v>
      </c>
      <c r="W446" s="77"/>
      <c r="X446" s="21" t="s">
        <v>570</v>
      </c>
    </row>
    <row r="447" spans="1:24" ht="17.25" customHeight="1" x14ac:dyDescent="0.2">
      <c r="A447" s="21" t="s">
        <v>497</v>
      </c>
      <c r="B447" s="21" t="s">
        <v>2228</v>
      </c>
      <c r="C447" s="21" t="s">
        <v>2229</v>
      </c>
      <c r="D447" s="21" t="s">
        <v>949</v>
      </c>
      <c r="J447" s="21" t="s">
        <v>990</v>
      </c>
      <c r="K447" s="21" t="s">
        <v>984</v>
      </c>
      <c r="L447" s="21" t="s">
        <v>990</v>
      </c>
      <c r="M447" s="21" t="s">
        <v>997</v>
      </c>
      <c r="N447" s="319"/>
      <c r="O447" s="319"/>
      <c r="Q447" s="21" t="s">
        <v>496</v>
      </c>
      <c r="R447" s="21" t="s">
        <v>464</v>
      </c>
      <c r="S447" s="21" t="s">
        <v>966</v>
      </c>
      <c r="T447" s="75"/>
      <c r="U447" s="76"/>
      <c r="V447" s="21" t="s">
        <v>991</v>
      </c>
      <c r="W447" s="77"/>
      <c r="X447" s="21" t="s">
        <v>497</v>
      </c>
    </row>
    <row r="448" spans="1:24" ht="17.25" customHeight="1" x14ac:dyDescent="0.2">
      <c r="A448" s="21" t="s">
        <v>697</v>
      </c>
      <c r="B448" s="21" t="s">
        <v>2228</v>
      </c>
      <c r="C448" s="21" t="s">
        <v>2229</v>
      </c>
      <c r="D448" s="21" t="s">
        <v>1772</v>
      </c>
      <c r="J448" s="21" t="s">
        <v>984</v>
      </c>
      <c r="K448" s="21" t="s">
        <v>984</v>
      </c>
      <c r="L448" s="21" t="s">
        <v>984</v>
      </c>
      <c r="M448" s="21" t="s">
        <v>981</v>
      </c>
      <c r="N448" s="21">
        <v>20.654249191000002</v>
      </c>
      <c r="O448" s="74">
        <v>92.619102478000002</v>
      </c>
      <c r="P448" s="21" t="s">
        <v>985</v>
      </c>
      <c r="Q448" s="21" t="s">
        <v>490</v>
      </c>
      <c r="R448" s="21" t="s">
        <v>464</v>
      </c>
      <c r="S448" s="21" t="s">
        <v>966</v>
      </c>
      <c r="T448" s="75"/>
      <c r="U448" s="76"/>
      <c r="V448" s="21" t="s">
        <v>949</v>
      </c>
      <c r="W448" s="77"/>
      <c r="X448" s="21" t="s">
        <v>1107</v>
      </c>
    </row>
    <row r="449" spans="1:24" ht="17.25" customHeight="1" x14ac:dyDescent="0.2">
      <c r="A449" s="21" t="s">
        <v>699</v>
      </c>
      <c r="B449" s="21" t="s">
        <v>2228</v>
      </c>
      <c r="C449" s="21" t="s">
        <v>2229</v>
      </c>
      <c r="D449" s="21" t="s">
        <v>1774</v>
      </c>
      <c r="J449" s="21" t="s">
        <v>984</v>
      </c>
      <c r="K449" s="21" t="s">
        <v>984</v>
      </c>
      <c r="L449" s="21" t="s">
        <v>984</v>
      </c>
      <c r="M449" s="21" t="s">
        <v>981</v>
      </c>
      <c r="N449" s="21">
        <v>20.663370132000001</v>
      </c>
      <c r="O449" s="74">
        <v>92.613876343000001</v>
      </c>
      <c r="P449" s="21" t="s">
        <v>985</v>
      </c>
      <c r="Q449" s="21" t="s">
        <v>490</v>
      </c>
      <c r="R449" s="21" t="s">
        <v>464</v>
      </c>
      <c r="S449" s="21" t="s">
        <v>966</v>
      </c>
      <c r="T449" s="75"/>
      <c r="U449" s="76"/>
      <c r="V449" s="21" t="s">
        <v>949</v>
      </c>
      <c r="W449" s="77"/>
      <c r="X449" s="21" t="s">
        <v>1108</v>
      </c>
    </row>
    <row r="450" spans="1:24" ht="17.25" customHeight="1" x14ac:dyDescent="0.2">
      <c r="A450" s="21" t="s">
        <v>700</v>
      </c>
      <c r="B450" s="21" t="s">
        <v>2228</v>
      </c>
      <c r="C450" s="21" t="s">
        <v>2229</v>
      </c>
      <c r="D450" s="21" t="s">
        <v>1775</v>
      </c>
      <c r="J450" s="21" t="s">
        <v>984</v>
      </c>
      <c r="K450" s="21" t="s">
        <v>984</v>
      </c>
      <c r="L450" s="21" t="s">
        <v>984</v>
      </c>
      <c r="M450" s="21" t="s">
        <v>981</v>
      </c>
      <c r="N450" s="21">
        <v>20.6638793945313</v>
      </c>
      <c r="O450" s="74">
        <v>92.609306335449205</v>
      </c>
      <c r="P450" s="21" t="s">
        <v>985</v>
      </c>
      <c r="Q450" s="21" t="s">
        <v>490</v>
      </c>
      <c r="R450" s="21" t="s">
        <v>464</v>
      </c>
      <c r="S450" s="21" t="s">
        <v>966</v>
      </c>
      <c r="T450" s="75"/>
      <c r="U450" s="76"/>
      <c r="V450" s="21" t="s">
        <v>949</v>
      </c>
      <c r="W450" s="77"/>
      <c r="X450" s="21" t="s">
        <v>700</v>
      </c>
    </row>
    <row r="451" spans="1:24" ht="17.25" customHeight="1" x14ac:dyDescent="0.2">
      <c r="A451" s="21" t="s">
        <v>702</v>
      </c>
      <c r="B451" s="21" t="s">
        <v>2228</v>
      </c>
      <c r="C451" s="21" t="s">
        <v>2229</v>
      </c>
      <c r="D451" s="21" t="s">
        <v>1776</v>
      </c>
      <c r="J451" s="21" t="s">
        <v>984</v>
      </c>
      <c r="K451" s="21" t="s">
        <v>984</v>
      </c>
      <c r="L451" s="21" t="s">
        <v>984</v>
      </c>
      <c r="M451" s="21" t="s">
        <v>464</v>
      </c>
      <c r="N451" s="21">
        <v>20.667749404907202</v>
      </c>
      <c r="O451" s="74">
        <v>92.608650207519503</v>
      </c>
      <c r="P451" s="21" t="s">
        <v>1109</v>
      </c>
      <c r="Q451" s="21" t="s">
        <v>490</v>
      </c>
      <c r="R451" s="21" t="s">
        <v>464</v>
      </c>
      <c r="S451" s="21" t="s">
        <v>966</v>
      </c>
      <c r="T451" s="75"/>
      <c r="U451" s="76"/>
      <c r="V451" s="21" t="s">
        <v>949</v>
      </c>
      <c r="W451" s="77"/>
      <c r="X451" s="21" t="s">
        <v>702</v>
      </c>
    </row>
    <row r="452" spans="1:24" ht="17.25" customHeight="1" x14ac:dyDescent="0.2">
      <c r="A452" s="21" t="s">
        <v>703</v>
      </c>
      <c r="B452" s="21" t="s">
        <v>2228</v>
      </c>
      <c r="C452" s="21" t="s">
        <v>2229</v>
      </c>
      <c r="D452" s="21" t="s">
        <v>1777</v>
      </c>
      <c r="J452" s="21" t="s">
        <v>984</v>
      </c>
      <c r="K452" s="21" t="s">
        <v>984</v>
      </c>
      <c r="L452" s="21" t="s">
        <v>984</v>
      </c>
      <c r="M452" s="21" t="s">
        <v>464</v>
      </c>
      <c r="N452" s="21">
        <v>20.669130325317401</v>
      </c>
      <c r="O452" s="74">
        <v>92.595497131347699</v>
      </c>
      <c r="P452" s="21" t="s">
        <v>985</v>
      </c>
      <c r="Q452" s="21" t="s">
        <v>490</v>
      </c>
      <c r="R452" s="21" t="s">
        <v>464</v>
      </c>
      <c r="S452" s="21" t="s">
        <v>966</v>
      </c>
      <c r="T452" s="75"/>
      <c r="U452" s="76"/>
      <c r="V452" s="21" t="s">
        <v>949</v>
      </c>
      <c r="W452" s="77"/>
      <c r="X452" s="21" t="s">
        <v>703</v>
      </c>
    </row>
    <row r="453" spans="1:24" ht="17.25" customHeight="1" x14ac:dyDescent="0.2">
      <c r="A453" s="21" t="s">
        <v>707</v>
      </c>
      <c r="B453" s="21" t="s">
        <v>2228</v>
      </c>
      <c r="C453" s="21" t="s">
        <v>2229</v>
      </c>
      <c r="D453" s="21" t="s">
        <v>1779</v>
      </c>
      <c r="J453" s="21" t="s">
        <v>984</v>
      </c>
      <c r="K453" s="21" t="s">
        <v>984</v>
      </c>
      <c r="L453" s="21" t="s">
        <v>984</v>
      </c>
      <c r="M453" s="21" t="s">
        <v>981</v>
      </c>
      <c r="N453" s="21">
        <v>20.673639297485401</v>
      </c>
      <c r="O453" s="74">
        <v>92.596298217773395</v>
      </c>
      <c r="P453" s="21" t="s">
        <v>985</v>
      </c>
      <c r="Q453" s="21" t="s">
        <v>490</v>
      </c>
      <c r="R453" s="21" t="s">
        <v>464</v>
      </c>
      <c r="S453" s="21" t="s">
        <v>966</v>
      </c>
      <c r="T453" s="75"/>
      <c r="U453" s="76"/>
      <c r="V453" s="21" t="s">
        <v>949</v>
      </c>
      <c r="W453" s="77"/>
      <c r="X453" s="21" t="s">
        <v>707</v>
      </c>
    </row>
    <row r="454" spans="1:24" ht="17.25" customHeight="1" x14ac:dyDescent="0.2">
      <c r="A454" s="21" t="s">
        <v>708</v>
      </c>
      <c r="B454" s="21" t="s">
        <v>2228</v>
      </c>
      <c r="C454" s="21" t="s">
        <v>2229</v>
      </c>
      <c r="D454" s="21" t="s">
        <v>1780</v>
      </c>
      <c r="J454" s="21" t="s">
        <v>984</v>
      </c>
      <c r="K454" s="21" t="s">
        <v>984</v>
      </c>
      <c r="L454" s="21" t="s">
        <v>984</v>
      </c>
      <c r="M454" s="21" t="s">
        <v>981</v>
      </c>
      <c r="N454" s="21">
        <v>20.674699783325199</v>
      </c>
      <c r="O454" s="74">
        <v>92.590393066406307</v>
      </c>
      <c r="P454" s="21" t="s">
        <v>985</v>
      </c>
      <c r="Q454" s="21" t="s">
        <v>490</v>
      </c>
      <c r="R454" s="21" t="s">
        <v>464</v>
      </c>
      <c r="S454" s="21" t="s">
        <v>966</v>
      </c>
      <c r="T454" s="75"/>
      <c r="U454" s="76"/>
      <c r="V454" s="21" t="s">
        <v>949</v>
      </c>
      <c r="W454" s="77"/>
      <c r="X454" s="21" t="s">
        <v>708</v>
      </c>
    </row>
    <row r="455" spans="1:24" ht="17.25" customHeight="1" x14ac:dyDescent="0.2">
      <c r="A455" s="21" t="s">
        <v>709</v>
      </c>
      <c r="B455" s="21" t="s">
        <v>2228</v>
      </c>
      <c r="C455" s="21" t="s">
        <v>2229</v>
      </c>
      <c r="D455" s="21" t="s">
        <v>1781</v>
      </c>
      <c r="J455" s="21" t="s">
        <v>984</v>
      </c>
      <c r="K455" s="21" t="s">
        <v>984</v>
      </c>
      <c r="L455" s="21" t="s">
        <v>984</v>
      </c>
      <c r="M455" s="21" t="s">
        <v>981</v>
      </c>
      <c r="N455" s="21">
        <v>20.676519393920898</v>
      </c>
      <c r="O455" s="74">
        <v>92.591667175292997</v>
      </c>
      <c r="P455" s="21" t="s">
        <v>985</v>
      </c>
      <c r="Q455" s="21" t="s">
        <v>490</v>
      </c>
      <c r="R455" s="21" t="s">
        <v>464</v>
      </c>
      <c r="S455" s="21" t="s">
        <v>966</v>
      </c>
      <c r="T455" s="75"/>
      <c r="U455" s="76"/>
      <c r="V455" s="21" t="s">
        <v>949</v>
      </c>
      <c r="W455" s="77"/>
      <c r="X455" s="21" t="s">
        <v>709</v>
      </c>
    </row>
    <row r="456" spans="1:24" ht="17.25" customHeight="1" x14ac:dyDescent="0.2">
      <c r="A456" s="21" t="s">
        <v>711</v>
      </c>
      <c r="B456" s="21" t="s">
        <v>2228</v>
      </c>
      <c r="C456" s="21" t="s">
        <v>2229</v>
      </c>
      <c r="D456" s="21" t="s">
        <v>1782</v>
      </c>
      <c r="J456" s="21" t="s">
        <v>984</v>
      </c>
      <c r="K456" s="21" t="s">
        <v>984</v>
      </c>
      <c r="L456" s="21" t="s">
        <v>984</v>
      </c>
      <c r="M456" s="21" t="s">
        <v>981</v>
      </c>
      <c r="N456" s="21">
        <v>20.678150177001999</v>
      </c>
      <c r="O456" s="74">
        <v>92.587867736816406</v>
      </c>
      <c r="P456" s="21" t="s">
        <v>985</v>
      </c>
      <c r="Q456" s="21" t="s">
        <v>490</v>
      </c>
      <c r="R456" s="21" t="s">
        <v>464</v>
      </c>
      <c r="S456" s="21" t="s">
        <v>966</v>
      </c>
      <c r="T456" s="75"/>
      <c r="U456" s="76"/>
      <c r="V456" s="21" t="s">
        <v>949</v>
      </c>
      <c r="W456" s="77"/>
      <c r="X456" s="21" t="s">
        <v>711</v>
      </c>
    </row>
    <row r="457" spans="1:24" ht="17.25" customHeight="1" x14ac:dyDescent="0.2">
      <c r="A457" s="21" t="s">
        <v>716</v>
      </c>
      <c r="B457" s="21" t="s">
        <v>2228</v>
      </c>
      <c r="C457" s="21" t="s">
        <v>2229</v>
      </c>
      <c r="D457" s="21" t="s">
        <v>1785</v>
      </c>
      <c r="J457" s="21" t="s">
        <v>984</v>
      </c>
      <c r="K457" s="21" t="s">
        <v>984</v>
      </c>
      <c r="L457" s="21" t="s">
        <v>984</v>
      </c>
      <c r="M457" s="21" t="s">
        <v>464</v>
      </c>
      <c r="N457" s="78">
        <v>20.6856899261475</v>
      </c>
      <c r="O457" s="78">
        <v>92.572860717773395</v>
      </c>
      <c r="P457" s="21" t="s">
        <v>985</v>
      </c>
      <c r="Q457" s="21" t="s">
        <v>490</v>
      </c>
      <c r="R457" s="21" t="s">
        <v>464</v>
      </c>
      <c r="S457" s="21" t="s">
        <v>966</v>
      </c>
      <c r="T457" s="75"/>
      <c r="U457" s="76"/>
      <c r="V457" s="21" t="s">
        <v>949</v>
      </c>
      <c r="W457" s="77"/>
      <c r="X457" s="21" t="s">
        <v>716</v>
      </c>
    </row>
    <row r="458" spans="1:24" ht="17.25" customHeight="1" x14ac:dyDescent="0.2">
      <c r="A458" s="21" t="s">
        <v>718</v>
      </c>
      <c r="B458" s="21" t="s">
        <v>2228</v>
      </c>
      <c r="C458" s="21" t="s">
        <v>2229</v>
      </c>
      <c r="D458" s="21" t="s">
        <v>1786</v>
      </c>
      <c r="J458" s="21" t="s">
        <v>984</v>
      </c>
      <c r="K458" s="21" t="s">
        <v>984</v>
      </c>
      <c r="L458" s="21" t="s">
        <v>984</v>
      </c>
      <c r="M458" s="21" t="s">
        <v>981</v>
      </c>
      <c r="N458" s="21">
        <v>20.6868190765381</v>
      </c>
      <c r="O458" s="74">
        <v>92.578559875488295</v>
      </c>
      <c r="P458" s="21" t="s">
        <v>985</v>
      </c>
      <c r="Q458" s="21" t="s">
        <v>490</v>
      </c>
      <c r="R458" s="21" t="s">
        <v>464</v>
      </c>
      <c r="S458" s="21" t="s">
        <v>966</v>
      </c>
      <c r="T458" s="75"/>
      <c r="U458" s="76"/>
      <c r="V458" s="21" t="s">
        <v>949</v>
      </c>
      <c r="W458" s="77"/>
      <c r="X458" s="21" t="s">
        <v>718</v>
      </c>
    </row>
    <row r="459" spans="1:24" ht="17.25" customHeight="1" x14ac:dyDescent="0.2">
      <c r="A459" s="21" t="s">
        <v>719</v>
      </c>
      <c r="B459" s="21" t="s">
        <v>2228</v>
      </c>
      <c r="C459" s="21" t="s">
        <v>2229</v>
      </c>
      <c r="D459" s="21" t="s">
        <v>1787</v>
      </c>
      <c r="J459" s="21" t="s">
        <v>984</v>
      </c>
      <c r="K459" s="21" t="s">
        <v>984</v>
      </c>
      <c r="L459" s="21" t="s">
        <v>984</v>
      </c>
      <c r="M459" s="21" t="s">
        <v>981</v>
      </c>
      <c r="N459" s="21">
        <v>20.6876106262207</v>
      </c>
      <c r="O459" s="74">
        <v>92.617988586425795</v>
      </c>
      <c r="P459" s="21" t="s">
        <v>985</v>
      </c>
      <c r="Q459" s="21" t="s">
        <v>490</v>
      </c>
      <c r="R459" s="21" t="s">
        <v>464</v>
      </c>
      <c r="S459" s="21" t="s">
        <v>966</v>
      </c>
      <c r="T459" s="75"/>
      <c r="U459" s="76"/>
      <c r="V459" s="21" t="s">
        <v>949</v>
      </c>
      <c r="W459" s="77"/>
      <c r="X459" s="21" t="s">
        <v>719</v>
      </c>
    </row>
    <row r="460" spans="1:24" ht="17.25" customHeight="1" x14ac:dyDescent="0.2">
      <c r="A460" s="21" t="s">
        <v>720</v>
      </c>
      <c r="B460" s="21" t="s">
        <v>2228</v>
      </c>
      <c r="C460" s="21" t="s">
        <v>2229</v>
      </c>
      <c r="D460" s="21" t="s">
        <v>1788</v>
      </c>
      <c r="J460" s="21" t="s">
        <v>984</v>
      </c>
      <c r="K460" s="21" t="s">
        <v>984</v>
      </c>
      <c r="L460" s="21" t="s">
        <v>984</v>
      </c>
      <c r="M460" s="21" t="s">
        <v>464</v>
      </c>
      <c r="N460" s="21">
        <v>20.688310623168899</v>
      </c>
      <c r="O460" s="74">
        <v>92.696960449218807</v>
      </c>
      <c r="P460" s="21" t="s">
        <v>985</v>
      </c>
      <c r="Q460" s="21" t="s">
        <v>490</v>
      </c>
      <c r="R460" s="21" t="s">
        <v>464</v>
      </c>
      <c r="S460" s="21" t="s">
        <v>966</v>
      </c>
      <c r="T460" s="75"/>
      <c r="U460" s="76"/>
      <c r="V460" s="21" t="s">
        <v>949</v>
      </c>
      <c r="W460" s="77"/>
      <c r="X460" s="21" t="s">
        <v>720</v>
      </c>
    </row>
    <row r="461" spans="1:24" ht="17.25" customHeight="1" x14ac:dyDescent="0.2">
      <c r="A461" s="21" t="s">
        <v>722</v>
      </c>
      <c r="B461" s="21" t="s">
        <v>2228</v>
      </c>
      <c r="C461" s="21" t="s">
        <v>2229</v>
      </c>
      <c r="D461" s="21" t="s">
        <v>1790</v>
      </c>
      <c r="J461" s="21" t="s">
        <v>984</v>
      </c>
      <c r="K461" s="21" t="s">
        <v>984</v>
      </c>
      <c r="L461" s="21" t="s">
        <v>984</v>
      </c>
      <c r="M461" s="21" t="s">
        <v>464</v>
      </c>
      <c r="N461" s="21">
        <v>20.691099166870099</v>
      </c>
      <c r="O461" s="74">
        <v>92.590652465820298</v>
      </c>
      <c r="P461" s="21" t="s">
        <v>985</v>
      </c>
      <c r="Q461" s="21" t="s">
        <v>490</v>
      </c>
      <c r="R461" s="21" t="s">
        <v>464</v>
      </c>
      <c r="S461" s="21" t="s">
        <v>966</v>
      </c>
      <c r="T461" s="75"/>
      <c r="U461" s="76"/>
      <c r="V461" s="21" t="s">
        <v>949</v>
      </c>
      <c r="W461" s="77"/>
      <c r="X461" s="21" t="s">
        <v>722</v>
      </c>
    </row>
    <row r="462" spans="1:24" ht="17.25" customHeight="1" x14ac:dyDescent="0.2">
      <c r="A462" s="21" t="s">
        <v>723</v>
      </c>
      <c r="B462" s="21" t="s">
        <v>2228</v>
      </c>
      <c r="C462" s="21" t="s">
        <v>2229</v>
      </c>
      <c r="D462" s="21" t="s">
        <v>1791</v>
      </c>
      <c r="J462" s="21" t="s">
        <v>984</v>
      </c>
      <c r="K462" s="21" t="s">
        <v>984</v>
      </c>
      <c r="L462" s="21" t="s">
        <v>984</v>
      </c>
      <c r="M462" s="21" t="s">
        <v>981</v>
      </c>
      <c r="N462" s="21">
        <v>20.692510604858398</v>
      </c>
      <c r="O462" s="74">
        <v>92.579689025878906</v>
      </c>
      <c r="P462" s="21" t="s">
        <v>985</v>
      </c>
      <c r="Q462" s="21" t="s">
        <v>490</v>
      </c>
      <c r="R462" s="21" t="s">
        <v>464</v>
      </c>
      <c r="S462" s="21" t="s">
        <v>966</v>
      </c>
      <c r="T462" s="75"/>
      <c r="U462" s="76"/>
      <c r="V462" s="21" t="s">
        <v>949</v>
      </c>
      <c r="W462" s="77"/>
      <c r="X462" s="21" t="s">
        <v>723</v>
      </c>
    </row>
    <row r="463" spans="1:24" ht="17.25" customHeight="1" x14ac:dyDescent="0.2">
      <c r="A463" s="21" t="s">
        <v>728</v>
      </c>
      <c r="B463" s="21" t="s">
        <v>2228</v>
      </c>
      <c r="C463" s="21" t="s">
        <v>2229</v>
      </c>
      <c r="D463" s="21" t="s">
        <v>1795</v>
      </c>
      <c r="J463" s="21" t="s">
        <v>984</v>
      </c>
      <c r="K463" s="21" t="s">
        <v>984</v>
      </c>
      <c r="L463" s="21" t="s">
        <v>984</v>
      </c>
      <c r="M463" s="21" t="s">
        <v>981</v>
      </c>
      <c r="N463" s="21">
        <v>20.703790664672901</v>
      </c>
      <c r="O463" s="74">
        <v>92.628463745117202</v>
      </c>
      <c r="P463" s="21" t="s">
        <v>985</v>
      </c>
      <c r="Q463" s="21" t="s">
        <v>490</v>
      </c>
      <c r="R463" s="21" t="s">
        <v>464</v>
      </c>
      <c r="S463" s="21" t="s">
        <v>966</v>
      </c>
      <c r="T463" s="75"/>
      <c r="U463" s="76"/>
      <c r="V463" s="21" t="s">
        <v>949</v>
      </c>
      <c r="W463" s="77"/>
      <c r="X463" s="21" t="s">
        <v>728</v>
      </c>
    </row>
    <row r="464" spans="1:24" ht="17.25" customHeight="1" x14ac:dyDescent="0.2">
      <c r="A464" s="21" t="s">
        <v>729</v>
      </c>
      <c r="B464" s="21" t="s">
        <v>2228</v>
      </c>
      <c r="C464" s="21" t="s">
        <v>2229</v>
      </c>
      <c r="D464" s="21" t="s">
        <v>1796</v>
      </c>
      <c r="J464" s="21" t="s">
        <v>984</v>
      </c>
      <c r="K464" s="21" t="s">
        <v>984</v>
      </c>
      <c r="L464" s="21" t="s">
        <v>984</v>
      </c>
      <c r="M464" s="21" t="s">
        <v>464</v>
      </c>
      <c r="N464" s="21">
        <v>20.703920364379901</v>
      </c>
      <c r="O464" s="74">
        <v>92.631500244140597</v>
      </c>
      <c r="P464" s="21" t="s">
        <v>985</v>
      </c>
      <c r="Q464" s="21" t="s">
        <v>490</v>
      </c>
      <c r="R464" s="21" t="s">
        <v>464</v>
      </c>
      <c r="S464" s="21" t="s">
        <v>966</v>
      </c>
      <c r="T464" s="75"/>
      <c r="U464" s="76"/>
      <c r="V464" s="21" t="s">
        <v>949</v>
      </c>
      <c r="W464" s="77"/>
      <c r="X464" s="21" t="s">
        <v>729</v>
      </c>
    </row>
    <row r="465" spans="1:24" ht="17.25" customHeight="1" x14ac:dyDescent="0.2">
      <c r="A465" s="21" t="s">
        <v>731</v>
      </c>
      <c r="B465" s="21" t="s">
        <v>2228</v>
      </c>
      <c r="C465" s="21" t="s">
        <v>2229</v>
      </c>
      <c r="D465" s="21" t="s">
        <v>1798</v>
      </c>
      <c r="J465" s="21" t="s">
        <v>984</v>
      </c>
      <c r="K465" s="21" t="s">
        <v>984</v>
      </c>
      <c r="L465" s="21" t="s">
        <v>984</v>
      </c>
      <c r="M465" s="21" t="s">
        <v>464</v>
      </c>
      <c r="N465" s="21">
        <v>20.707460403442401</v>
      </c>
      <c r="O465" s="74">
        <v>92.680862426757798</v>
      </c>
      <c r="P465" s="21" t="s">
        <v>985</v>
      </c>
      <c r="Q465" s="21" t="s">
        <v>490</v>
      </c>
      <c r="R465" s="21" t="s">
        <v>464</v>
      </c>
      <c r="S465" s="21" t="s">
        <v>966</v>
      </c>
      <c r="T465" s="75"/>
      <c r="U465" s="76"/>
      <c r="V465" s="21" t="s">
        <v>949</v>
      </c>
      <c r="W465" s="77"/>
      <c r="X465" s="21" t="s">
        <v>731</v>
      </c>
    </row>
    <row r="466" spans="1:24" ht="17.25" customHeight="1" x14ac:dyDescent="0.2">
      <c r="A466" s="21" t="s">
        <v>745</v>
      </c>
      <c r="B466" s="21" t="s">
        <v>2228</v>
      </c>
      <c r="C466" s="21" t="s">
        <v>2229</v>
      </c>
      <c r="D466" s="21" t="s">
        <v>1813</v>
      </c>
      <c r="J466" s="21" t="s">
        <v>984</v>
      </c>
      <c r="K466" s="21" t="s">
        <v>984</v>
      </c>
      <c r="L466" s="21" t="s">
        <v>984</v>
      </c>
      <c r="M466" s="21" t="s">
        <v>981</v>
      </c>
      <c r="N466" s="21">
        <v>20.721019744873001</v>
      </c>
      <c r="O466" s="74">
        <v>92.626197814941406</v>
      </c>
      <c r="P466" s="21" t="s">
        <v>985</v>
      </c>
      <c r="Q466" s="21" t="s">
        <v>490</v>
      </c>
      <c r="R466" s="21" t="s">
        <v>464</v>
      </c>
      <c r="S466" s="21" t="s">
        <v>966</v>
      </c>
      <c r="T466" s="75"/>
      <c r="U466" s="76"/>
      <c r="V466" s="21" t="s">
        <v>949</v>
      </c>
      <c r="W466" s="77"/>
      <c r="X466" s="21" t="s">
        <v>745</v>
      </c>
    </row>
    <row r="467" spans="1:24" ht="17.25" customHeight="1" x14ac:dyDescent="0.2">
      <c r="A467" s="21" t="s">
        <v>746</v>
      </c>
      <c r="B467" s="21" t="s">
        <v>2228</v>
      </c>
      <c r="C467" s="21" t="s">
        <v>2229</v>
      </c>
      <c r="D467" s="21" t="s">
        <v>1814</v>
      </c>
      <c r="J467" s="21" t="s">
        <v>984</v>
      </c>
      <c r="K467" s="21" t="s">
        <v>984</v>
      </c>
      <c r="L467" s="21" t="s">
        <v>984</v>
      </c>
      <c r="M467" s="21" t="s">
        <v>981</v>
      </c>
      <c r="N467" s="21">
        <v>20.721290588378899</v>
      </c>
      <c r="O467" s="74">
        <v>92.605140686035199</v>
      </c>
      <c r="P467" s="21" t="s">
        <v>985</v>
      </c>
      <c r="Q467" s="21" t="s">
        <v>490</v>
      </c>
      <c r="R467" s="21" t="s">
        <v>464</v>
      </c>
      <c r="S467" s="21" t="s">
        <v>966</v>
      </c>
      <c r="T467" s="75"/>
      <c r="U467" s="76"/>
      <c r="V467" s="21" t="s">
        <v>949</v>
      </c>
      <c r="W467" s="77"/>
      <c r="X467" s="21" t="s">
        <v>746</v>
      </c>
    </row>
    <row r="468" spans="1:24" ht="17.25" customHeight="1" x14ac:dyDescent="0.2">
      <c r="A468" s="21" t="s">
        <v>748</v>
      </c>
      <c r="B468" s="21" t="s">
        <v>2228</v>
      </c>
      <c r="C468" s="21" t="s">
        <v>2229</v>
      </c>
      <c r="D468" s="21" t="s">
        <v>1816</v>
      </c>
      <c r="J468" s="21" t="s">
        <v>984</v>
      </c>
      <c r="K468" s="21" t="s">
        <v>984</v>
      </c>
      <c r="L468" s="21" t="s">
        <v>984</v>
      </c>
      <c r="M468" s="21" t="s">
        <v>981</v>
      </c>
      <c r="N468" s="21">
        <v>20.7247009277344</v>
      </c>
      <c r="O468" s="74">
        <v>92.628196716308594</v>
      </c>
      <c r="P468" s="21" t="s">
        <v>985</v>
      </c>
      <c r="Q468" s="21" t="s">
        <v>490</v>
      </c>
      <c r="R468" s="21" t="s">
        <v>464</v>
      </c>
      <c r="S468" s="21" t="s">
        <v>966</v>
      </c>
      <c r="T468" s="75"/>
      <c r="U468" s="76"/>
      <c r="V468" s="21" t="s">
        <v>949</v>
      </c>
      <c r="W468" s="77"/>
      <c r="X468" s="21" t="s">
        <v>748</v>
      </c>
    </row>
    <row r="469" spans="1:24" ht="17.25" customHeight="1" x14ac:dyDescent="0.2">
      <c r="A469" s="21" t="s">
        <v>750</v>
      </c>
      <c r="B469" s="21" t="s">
        <v>2228</v>
      </c>
      <c r="C469" s="21" t="s">
        <v>2229</v>
      </c>
      <c r="D469" s="21" t="s">
        <v>1818</v>
      </c>
      <c r="J469" s="21" t="s">
        <v>984</v>
      </c>
      <c r="K469" s="21" t="s">
        <v>984</v>
      </c>
      <c r="L469" s="21" t="s">
        <v>984</v>
      </c>
      <c r="M469" s="21" t="s">
        <v>464</v>
      </c>
      <c r="N469" s="21">
        <v>20.7264194488525</v>
      </c>
      <c r="O469" s="74">
        <v>92.671180725097699</v>
      </c>
      <c r="P469" s="21" t="s">
        <v>985</v>
      </c>
      <c r="Q469" s="21" t="s">
        <v>490</v>
      </c>
      <c r="R469" s="21" t="s">
        <v>464</v>
      </c>
      <c r="S469" s="21" t="s">
        <v>966</v>
      </c>
      <c r="T469" s="75"/>
      <c r="U469" s="76"/>
      <c r="V469" s="21" t="s">
        <v>949</v>
      </c>
      <c r="W469" s="77"/>
      <c r="X469" s="21" t="s">
        <v>750</v>
      </c>
    </row>
    <row r="470" spans="1:24" ht="17.25" customHeight="1" x14ac:dyDescent="0.2">
      <c r="A470" s="21" t="s">
        <v>752</v>
      </c>
      <c r="B470" s="21" t="s">
        <v>2228</v>
      </c>
      <c r="C470" s="21" t="s">
        <v>2229</v>
      </c>
      <c r="D470" s="21">
        <v>198400</v>
      </c>
      <c r="J470" s="21" t="s">
        <v>990</v>
      </c>
      <c r="K470" s="21" t="s">
        <v>984</v>
      </c>
      <c r="L470" s="21" t="s">
        <v>990</v>
      </c>
      <c r="M470" s="21" t="s">
        <v>981</v>
      </c>
      <c r="N470" s="21">
        <v>20.733280181884801</v>
      </c>
      <c r="O470" s="74">
        <v>92.601409912109403</v>
      </c>
      <c r="Q470" s="21" t="s">
        <v>490</v>
      </c>
      <c r="R470" s="21" t="s">
        <v>464</v>
      </c>
      <c r="S470" s="21" t="s">
        <v>988</v>
      </c>
      <c r="T470" s="75"/>
      <c r="U470" s="76"/>
      <c r="V470" s="21">
        <v>42926</v>
      </c>
      <c r="W470" s="77" t="s">
        <v>1120</v>
      </c>
    </row>
    <row r="471" spans="1:24" ht="17.25" customHeight="1" x14ac:dyDescent="0.2">
      <c r="A471" s="21" t="s">
        <v>753</v>
      </c>
      <c r="B471" s="21" t="s">
        <v>2228</v>
      </c>
      <c r="C471" s="21" t="s">
        <v>2229</v>
      </c>
      <c r="D471" s="21" t="s">
        <v>1820</v>
      </c>
      <c r="J471" s="21" t="s">
        <v>984</v>
      </c>
      <c r="K471" s="21" t="s">
        <v>984</v>
      </c>
      <c r="L471" s="21" t="s">
        <v>984</v>
      </c>
      <c r="M471" s="21" t="s">
        <v>981</v>
      </c>
      <c r="N471" s="21">
        <v>20.737430572509801</v>
      </c>
      <c r="O471" s="74">
        <v>92.634773254394503</v>
      </c>
      <c r="P471" s="21" t="s">
        <v>985</v>
      </c>
      <c r="Q471" s="21" t="s">
        <v>490</v>
      </c>
      <c r="R471" s="21" t="s">
        <v>464</v>
      </c>
      <c r="S471" s="21" t="s">
        <v>966</v>
      </c>
      <c r="T471" s="75"/>
      <c r="U471" s="76"/>
      <c r="V471" s="21" t="s">
        <v>949</v>
      </c>
      <c r="W471" s="77"/>
      <c r="X471" s="21" t="s">
        <v>753</v>
      </c>
    </row>
    <row r="472" spans="1:24" ht="17.25" customHeight="1" x14ac:dyDescent="0.2">
      <c r="A472" s="21" t="s">
        <v>754</v>
      </c>
      <c r="B472" s="21" t="s">
        <v>2228</v>
      </c>
      <c r="C472" s="21" t="s">
        <v>2229</v>
      </c>
      <c r="D472" s="21" t="s">
        <v>1821</v>
      </c>
      <c r="J472" s="21" t="s">
        <v>984</v>
      </c>
      <c r="K472" s="21" t="s">
        <v>984</v>
      </c>
      <c r="L472" s="21" t="s">
        <v>984</v>
      </c>
      <c r="M472" s="21" t="s">
        <v>464</v>
      </c>
      <c r="N472" s="21">
        <v>20.739839553833001</v>
      </c>
      <c r="O472" s="74">
        <v>92.613456726074205</v>
      </c>
      <c r="P472" s="21" t="s">
        <v>985</v>
      </c>
      <c r="Q472" s="21" t="s">
        <v>490</v>
      </c>
      <c r="R472" s="21" t="s">
        <v>464</v>
      </c>
      <c r="S472" s="21" t="s">
        <v>966</v>
      </c>
      <c r="T472" s="75"/>
      <c r="U472" s="76"/>
      <c r="V472" s="21" t="s">
        <v>949</v>
      </c>
      <c r="W472" s="77"/>
      <c r="X472" s="21" t="s">
        <v>754</v>
      </c>
    </row>
    <row r="473" spans="1:24" ht="17.25" customHeight="1" x14ac:dyDescent="0.2">
      <c r="A473" s="21" t="s">
        <v>755</v>
      </c>
      <c r="B473" s="21" t="s">
        <v>2228</v>
      </c>
      <c r="C473" s="21" t="s">
        <v>2229</v>
      </c>
      <c r="D473" s="21" t="s">
        <v>1822</v>
      </c>
      <c r="J473" s="21" t="s">
        <v>984</v>
      </c>
      <c r="K473" s="21" t="s">
        <v>984</v>
      </c>
      <c r="L473" s="21" t="s">
        <v>984</v>
      </c>
      <c r="M473" s="21" t="s">
        <v>981</v>
      </c>
      <c r="N473" s="21">
        <v>20.741249084472699</v>
      </c>
      <c r="O473" s="74">
        <v>92.610519409179702</v>
      </c>
      <c r="P473" s="21" t="s">
        <v>985</v>
      </c>
      <c r="Q473" s="21" t="s">
        <v>490</v>
      </c>
      <c r="R473" s="21" t="s">
        <v>464</v>
      </c>
      <c r="S473" s="21" t="s">
        <v>966</v>
      </c>
      <c r="T473" s="75"/>
      <c r="U473" s="76"/>
      <c r="V473" s="21" t="s">
        <v>949</v>
      </c>
      <c r="W473" s="77"/>
      <c r="X473" s="21" t="s">
        <v>755</v>
      </c>
    </row>
    <row r="474" spans="1:24" ht="17.25" customHeight="1" x14ac:dyDescent="0.2">
      <c r="A474" s="21" t="s">
        <v>757</v>
      </c>
      <c r="B474" s="21" t="s">
        <v>2228</v>
      </c>
      <c r="C474" s="21" t="s">
        <v>2229</v>
      </c>
      <c r="D474" s="21" t="s">
        <v>1823</v>
      </c>
      <c r="J474" s="21" t="s">
        <v>984</v>
      </c>
      <c r="K474" s="21" t="s">
        <v>984</v>
      </c>
      <c r="L474" s="21" t="s">
        <v>984</v>
      </c>
      <c r="M474" s="21" t="s">
        <v>1075</v>
      </c>
      <c r="N474" s="21">
        <v>20.742059707641602</v>
      </c>
      <c r="O474" s="74">
        <v>92.630676269531307</v>
      </c>
      <c r="P474" s="21" t="s">
        <v>985</v>
      </c>
      <c r="Q474" s="21" t="s">
        <v>490</v>
      </c>
      <c r="R474" s="21" t="s">
        <v>464</v>
      </c>
      <c r="S474" s="21" t="s">
        <v>966</v>
      </c>
      <c r="T474" s="75"/>
      <c r="U474" s="76"/>
      <c r="V474" s="21" t="s">
        <v>949</v>
      </c>
      <c r="W474" s="77"/>
      <c r="X474" s="21" t="s">
        <v>757</v>
      </c>
    </row>
    <row r="475" spans="1:24" ht="17.25" customHeight="1" x14ac:dyDescent="0.2">
      <c r="A475" s="21" t="s">
        <v>758</v>
      </c>
      <c r="B475" s="21" t="s">
        <v>2228</v>
      </c>
      <c r="C475" s="21" t="s">
        <v>2229</v>
      </c>
      <c r="D475" s="21" t="s">
        <v>1824</v>
      </c>
      <c r="J475" s="21" t="s">
        <v>984</v>
      </c>
      <c r="K475" s="21" t="s">
        <v>984</v>
      </c>
      <c r="L475" s="21" t="s">
        <v>984</v>
      </c>
      <c r="M475" s="21" t="s">
        <v>464</v>
      </c>
      <c r="N475" s="21">
        <v>20.7494297027588</v>
      </c>
      <c r="O475" s="74">
        <v>92.528648376464801</v>
      </c>
      <c r="P475" s="21" t="s">
        <v>985</v>
      </c>
      <c r="Q475" s="21" t="s">
        <v>490</v>
      </c>
      <c r="R475" s="21" t="s">
        <v>464</v>
      </c>
      <c r="S475" s="21" t="s">
        <v>966</v>
      </c>
      <c r="T475" s="75"/>
      <c r="U475" s="76"/>
      <c r="V475" s="21" t="s">
        <v>949</v>
      </c>
      <c r="W475" s="77"/>
      <c r="X475" s="21" t="s">
        <v>758</v>
      </c>
    </row>
    <row r="476" spans="1:24" ht="17.25" customHeight="1" x14ac:dyDescent="0.2">
      <c r="A476" s="21" t="s">
        <v>759</v>
      </c>
      <c r="B476" s="21" t="s">
        <v>2228</v>
      </c>
      <c r="C476" s="21" t="s">
        <v>2229</v>
      </c>
      <c r="D476" s="21" t="s">
        <v>1825</v>
      </c>
      <c r="J476" s="21" t="s">
        <v>984</v>
      </c>
      <c r="K476" s="21" t="s">
        <v>984</v>
      </c>
      <c r="L476" s="21" t="s">
        <v>984</v>
      </c>
      <c r="M476" s="21" t="s">
        <v>981</v>
      </c>
      <c r="N476" s="21">
        <v>20.753370285034201</v>
      </c>
      <c r="O476" s="74">
        <v>92.545188903808594</v>
      </c>
      <c r="P476" s="21" t="s">
        <v>985</v>
      </c>
      <c r="Q476" s="21" t="s">
        <v>490</v>
      </c>
      <c r="R476" s="21" t="s">
        <v>464</v>
      </c>
      <c r="S476" s="21" t="s">
        <v>966</v>
      </c>
      <c r="T476" s="75"/>
      <c r="U476" s="76"/>
      <c r="V476" s="21" t="s">
        <v>949</v>
      </c>
      <c r="W476" s="77"/>
      <c r="X476" s="21" t="s">
        <v>759</v>
      </c>
    </row>
    <row r="477" spans="1:24" ht="17.25" customHeight="1" x14ac:dyDescent="0.2">
      <c r="A477" s="21" t="s">
        <v>760</v>
      </c>
      <c r="B477" s="21" t="s">
        <v>2228</v>
      </c>
      <c r="C477" s="21" t="s">
        <v>2229</v>
      </c>
      <c r="D477" s="21" t="s">
        <v>1826</v>
      </c>
      <c r="J477" s="21" t="s">
        <v>984</v>
      </c>
      <c r="K477" s="21" t="s">
        <v>984</v>
      </c>
      <c r="L477" s="21" t="s">
        <v>984</v>
      </c>
      <c r="M477" s="21" t="s">
        <v>464</v>
      </c>
      <c r="N477" s="21">
        <v>20.756410598754901</v>
      </c>
      <c r="O477" s="74">
        <v>92.635803222656307</v>
      </c>
      <c r="P477" s="21" t="s">
        <v>985</v>
      </c>
      <c r="Q477" s="21" t="s">
        <v>490</v>
      </c>
      <c r="R477" s="21" t="s">
        <v>464</v>
      </c>
      <c r="S477" s="21" t="s">
        <v>966</v>
      </c>
      <c r="T477" s="75"/>
      <c r="U477" s="76"/>
      <c r="V477" s="21" t="s">
        <v>949</v>
      </c>
      <c r="W477" s="77"/>
      <c r="X477" s="21" t="s">
        <v>760</v>
      </c>
    </row>
    <row r="478" spans="1:24" ht="17.25" customHeight="1" x14ac:dyDescent="0.2">
      <c r="A478" s="21" t="s">
        <v>761</v>
      </c>
      <c r="B478" s="21" t="s">
        <v>2228</v>
      </c>
      <c r="C478" s="21" t="s">
        <v>2229</v>
      </c>
      <c r="D478" s="21" t="s">
        <v>1827</v>
      </c>
      <c r="J478" s="21" t="s">
        <v>984</v>
      </c>
      <c r="K478" s="21" t="s">
        <v>984</v>
      </c>
      <c r="L478" s="21" t="s">
        <v>984</v>
      </c>
      <c r="M478" s="21" t="s">
        <v>981</v>
      </c>
      <c r="N478" s="21">
        <v>20.761529922485401</v>
      </c>
      <c r="O478" s="74">
        <v>92.544082641601605</v>
      </c>
      <c r="P478" s="21" t="s">
        <v>985</v>
      </c>
      <c r="Q478" s="21" t="s">
        <v>490</v>
      </c>
      <c r="R478" s="21" t="s">
        <v>464</v>
      </c>
      <c r="S478" s="21" t="s">
        <v>966</v>
      </c>
      <c r="T478" s="75"/>
      <c r="U478" s="76"/>
      <c r="V478" s="21" t="s">
        <v>949</v>
      </c>
      <c r="W478" s="77"/>
      <c r="X478" s="21" t="s">
        <v>761</v>
      </c>
    </row>
    <row r="479" spans="1:24" ht="17.25" customHeight="1" x14ac:dyDescent="0.2">
      <c r="A479" s="21" t="s">
        <v>762</v>
      </c>
      <c r="B479" s="21" t="s">
        <v>2228</v>
      </c>
      <c r="C479" s="21" t="s">
        <v>2229</v>
      </c>
      <c r="D479" s="21" t="s">
        <v>1828</v>
      </c>
      <c r="J479" s="21" t="s">
        <v>984</v>
      </c>
      <c r="K479" s="21" t="s">
        <v>984</v>
      </c>
      <c r="L479" s="21" t="s">
        <v>984</v>
      </c>
      <c r="M479" s="21" t="s">
        <v>464</v>
      </c>
      <c r="N479" s="21">
        <v>20.7640705108643</v>
      </c>
      <c r="O479" s="74">
        <v>92.631126403808594</v>
      </c>
      <c r="P479" s="21" t="s">
        <v>985</v>
      </c>
      <c r="Q479" s="21" t="s">
        <v>490</v>
      </c>
      <c r="R479" s="21" t="s">
        <v>464</v>
      </c>
      <c r="S479" s="21" t="s">
        <v>966</v>
      </c>
      <c r="T479" s="75"/>
      <c r="U479" s="76"/>
      <c r="V479" s="21" t="s">
        <v>949</v>
      </c>
      <c r="W479" s="77"/>
      <c r="X479" s="21" t="s">
        <v>762</v>
      </c>
    </row>
    <row r="480" spans="1:24" ht="17.25" customHeight="1" x14ac:dyDescent="0.2">
      <c r="A480" s="21" t="s">
        <v>764</v>
      </c>
      <c r="B480" s="21" t="s">
        <v>2228</v>
      </c>
      <c r="C480" s="21" t="s">
        <v>2229</v>
      </c>
      <c r="D480" s="21" t="s">
        <v>1830</v>
      </c>
      <c r="J480" s="21" t="s">
        <v>984</v>
      </c>
      <c r="K480" s="21" t="s">
        <v>984</v>
      </c>
      <c r="L480" s="21" t="s">
        <v>984</v>
      </c>
      <c r="M480" s="21" t="s">
        <v>464</v>
      </c>
      <c r="N480" s="21">
        <v>20.7677192687988</v>
      </c>
      <c r="O480" s="74">
        <v>92.631736755371094</v>
      </c>
      <c r="P480" s="21" t="s">
        <v>985</v>
      </c>
      <c r="Q480" s="21" t="s">
        <v>490</v>
      </c>
      <c r="R480" s="21" t="s">
        <v>464</v>
      </c>
      <c r="S480" s="21" t="s">
        <v>966</v>
      </c>
      <c r="T480" s="75"/>
      <c r="U480" s="76"/>
      <c r="V480" s="21" t="s">
        <v>949</v>
      </c>
      <c r="W480" s="77"/>
      <c r="X480" s="21" t="s">
        <v>764</v>
      </c>
    </row>
    <row r="481" spans="1:24" ht="17.25" customHeight="1" x14ac:dyDescent="0.2">
      <c r="A481" s="21" t="s">
        <v>765</v>
      </c>
      <c r="B481" s="21" t="s">
        <v>2228</v>
      </c>
      <c r="C481" s="21" t="s">
        <v>2229</v>
      </c>
      <c r="D481" s="21" t="s">
        <v>1831</v>
      </c>
      <c r="J481" s="21" t="s">
        <v>984</v>
      </c>
      <c r="K481" s="21" t="s">
        <v>984</v>
      </c>
      <c r="L481" s="21" t="s">
        <v>984</v>
      </c>
      <c r="M481" s="21" t="s">
        <v>464</v>
      </c>
      <c r="N481" s="21">
        <v>20.769779205322301</v>
      </c>
      <c r="O481" s="74">
        <v>92.604240417480497</v>
      </c>
      <c r="P481" s="21" t="s">
        <v>985</v>
      </c>
      <c r="Q481" s="21" t="s">
        <v>490</v>
      </c>
      <c r="R481" s="21" t="s">
        <v>464</v>
      </c>
      <c r="S481" s="21" t="s">
        <v>966</v>
      </c>
      <c r="T481" s="75"/>
      <c r="U481" s="76"/>
      <c r="V481" s="21" t="s">
        <v>949</v>
      </c>
      <c r="W481" s="77"/>
      <c r="X481" s="21" t="s">
        <v>765</v>
      </c>
    </row>
    <row r="482" spans="1:24" ht="17.25" customHeight="1" x14ac:dyDescent="0.2">
      <c r="A482" s="21" t="s">
        <v>766</v>
      </c>
      <c r="B482" s="21" t="s">
        <v>2228</v>
      </c>
      <c r="C482" s="21" t="s">
        <v>2229</v>
      </c>
      <c r="D482" s="21" t="s">
        <v>1832</v>
      </c>
      <c r="J482" s="21" t="s">
        <v>984</v>
      </c>
      <c r="K482" s="21" t="s">
        <v>984</v>
      </c>
      <c r="L482" s="21" t="s">
        <v>984</v>
      </c>
      <c r="M482" s="21" t="s">
        <v>464</v>
      </c>
      <c r="N482" s="21">
        <v>20.7725505828857</v>
      </c>
      <c r="O482" s="74">
        <v>92.638290405273395</v>
      </c>
      <c r="P482" s="21" t="s">
        <v>985</v>
      </c>
      <c r="Q482" s="21" t="s">
        <v>490</v>
      </c>
      <c r="R482" s="21" t="s">
        <v>464</v>
      </c>
      <c r="S482" s="21" t="s">
        <v>966</v>
      </c>
      <c r="T482" s="75"/>
      <c r="U482" s="76"/>
      <c r="V482" s="21" t="s">
        <v>949</v>
      </c>
      <c r="W482" s="77"/>
      <c r="X482" s="21" t="s">
        <v>766</v>
      </c>
    </row>
    <row r="483" spans="1:24" ht="17.25" customHeight="1" x14ac:dyDescent="0.2">
      <c r="A483" s="21" t="s">
        <v>767</v>
      </c>
      <c r="B483" s="21" t="s">
        <v>2228</v>
      </c>
      <c r="C483" s="21" t="s">
        <v>2229</v>
      </c>
      <c r="D483" s="21" t="s">
        <v>1833</v>
      </c>
      <c r="J483" s="21" t="s">
        <v>984</v>
      </c>
      <c r="K483" s="21" t="s">
        <v>984</v>
      </c>
      <c r="L483" s="21" t="s">
        <v>984</v>
      </c>
      <c r="M483" s="21" t="s">
        <v>981</v>
      </c>
      <c r="N483" s="78">
        <v>20.775840759277301</v>
      </c>
      <c r="O483" s="78">
        <v>92.613082885742202</v>
      </c>
      <c r="P483" s="21" t="s">
        <v>985</v>
      </c>
      <c r="Q483" s="21" t="s">
        <v>490</v>
      </c>
      <c r="R483" s="21" t="s">
        <v>464</v>
      </c>
      <c r="S483" s="21" t="s">
        <v>966</v>
      </c>
      <c r="T483" s="75"/>
      <c r="U483" s="76"/>
      <c r="V483" s="21" t="s">
        <v>949</v>
      </c>
      <c r="W483" s="77"/>
      <c r="X483" s="21" t="s">
        <v>767</v>
      </c>
    </row>
    <row r="484" spans="1:24" ht="17.25" customHeight="1" x14ac:dyDescent="0.2">
      <c r="A484" s="21" t="s">
        <v>770</v>
      </c>
      <c r="B484" s="21" t="s">
        <v>2228</v>
      </c>
      <c r="C484" s="21" t="s">
        <v>2229</v>
      </c>
      <c r="D484" s="21">
        <v>220753</v>
      </c>
      <c r="J484" s="21" t="s">
        <v>990</v>
      </c>
      <c r="K484" s="21" t="s">
        <v>984</v>
      </c>
      <c r="L484" s="21" t="s">
        <v>990</v>
      </c>
      <c r="M484" s="21" t="s">
        <v>464</v>
      </c>
      <c r="N484" s="21">
        <v>20.782770156860401</v>
      </c>
      <c r="O484" s="74">
        <v>92.551826477050795</v>
      </c>
      <c r="Q484" s="21" t="s">
        <v>490</v>
      </c>
      <c r="R484" s="21" t="s">
        <v>464</v>
      </c>
      <c r="S484" s="21" t="s">
        <v>988</v>
      </c>
      <c r="T484" s="75"/>
      <c r="U484" s="76"/>
      <c r="V484" s="21">
        <v>42926</v>
      </c>
      <c r="W484" s="77" t="s">
        <v>1120</v>
      </c>
    </row>
    <row r="485" spans="1:24" ht="17.25" customHeight="1" x14ac:dyDescent="0.2">
      <c r="A485" s="21" t="s">
        <v>769</v>
      </c>
      <c r="B485" s="21" t="s">
        <v>2228</v>
      </c>
      <c r="C485" s="21" t="s">
        <v>2229</v>
      </c>
      <c r="D485" s="21">
        <v>198388</v>
      </c>
      <c r="J485" s="21" t="s">
        <v>984</v>
      </c>
      <c r="K485" s="21" t="s">
        <v>984</v>
      </c>
      <c r="L485" s="21" t="s">
        <v>984</v>
      </c>
      <c r="M485" s="21" t="s">
        <v>464</v>
      </c>
      <c r="N485" s="21">
        <v>20.782770156860401</v>
      </c>
      <c r="O485" s="74">
        <v>92.551826477050795</v>
      </c>
      <c r="P485" s="21" t="s">
        <v>985</v>
      </c>
      <c r="Q485" s="21" t="s">
        <v>490</v>
      </c>
      <c r="R485" s="21" t="s">
        <v>464</v>
      </c>
      <c r="S485" s="21" t="s">
        <v>988</v>
      </c>
      <c r="T485" s="75"/>
      <c r="U485" s="76"/>
      <c r="V485" s="21">
        <v>42926</v>
      </c>
      <c r="W485" s="77" t="s">
        <v>989</v>
      </c>
    </row>
    <row r="486" spans="1:24" ht="17.25" customHeight="1" x14ac:dyDescent="0.2">
      <c r="A486" s="21" t="s">
        <v>776</v>
      </c>
      <c r="B486" s="21" t="s">
        <v>2228</v>
      </c>
      <c r="C486" s="21" t="s">
        <v>2229</v>
      </c>
      <c r="D486" s="21" t="s">
        <v>1839</v>
      </c>
      <c r="J486" s="21" t="s">
        <v>984</v>
      </c>
      <c r="K486" s="21" t="s">
        <v>984</v>
      </c>
      <c r="L486" s="21" t="s">
        <v>984</v>
      </c>
      <c r="M486" s="21" t="s">
        <v>981</v>
      </c>
      <c r="N486" s="21">
        <v>20.787410736083999</v>
      </c>
      <c r="O486" s="74">
        <v>92.551551818847699</v>
      </c>
      <c r="P486" s="21" t="s">
        <v>985</v>
      </c>
      <c r="Q486" s="21" t="s">
        <v>490</v>
      </c>
      <c r="R486" s="21" t="s">
        <v>464</v>
      </c>
      <c r="S486" s="21" t="s">
        <v>966</v>
      </c>
      <c r="T486" s="75"/>
      <c r="U486" s="76"/>
      <c r="V486" s="21" t="s">
        <v>949</v>
      </c>
      <c r="W486" s="77"/>
      <c r="X486" s="21" t="s">
        <v>776</v>
      </c>
    </row>
    <row r="487" spans="1:24" ht="17.25" customHeight="1" x14ac:dyDescent="0.2">
      <c r="A487" s="21" t="s">
        <v>778</v>
      </c>
      <c r="B487" s="21" t="s">
        <v>2228</v>
      </c>
      <c r="C487" s="21" t="s">
        <v>2229</v>
      </c>
      <c r="D487" s="21" t="s">
        <v>1841</v>
      </c>
      <c r="J487" s="21" t="s">
        <v>984</v>
      </c>
      <c r="K487" s="21" t="s">
        <v>984</v>
      </c>
      <c r="L487" s="21" t="s">
        <v>984</v>
      </c>
      <c r="M487" s="21" t="s">
        <v>981</v>
      </c>
      <c r="N487" s="21">
        <v>20.791679382324201</v>
      </c>
      <c r="O487" s="74">
        <v>92.5509033203125</v>
      </c>
      <c r="P487" s="21" t="s">
        <v>985</v>
      </c>
      <c r="Q487" s="21" t="s">
        <v>490</v>
      </c>
      <c r="R487" s="21" t="s">
        <v>464</v>
      </c>
      <c r="S487" s="21" t="s">
        <v>966</v>
      </c>
      <c r="T487" s="75"/>
      <c r="U487" s="76"/>
      <c r="V487" s="21" t="s">
        <v>949</v>
      </c>
      <c r="W487" s="77"/>
      <c r="X487" s="21" t="s">
        <v>778</v>
      </c>
    </row>
    <row r="488" spans="1:24" ht="17.25" customHeight="1" x14ac:dyDescent="0.2">
      <c r="A488" s="21" t="s">
        <v>779</v>
      </c>
      <c r="B488" s="21" t="s">
        <v>2228</v>
      </c>
      <c r="C488" s="21" t="s">
        <v>2229</v>
      </c>
      <c r="D488" s="21" t="s">
        <v>1842</v>
      </c>
      <c r="J488" s="21" t="s">
        <v>984</v>
      </c>
      <c r="K488" s="21" t="s">
        <v>984</v>
      </c>
      <c r="L488" s="21" t="s">
        <v>984</v>
      </c>
      <c r="M488" s="21" t="s">
        <v>981</v>
      </c>
      <c r="N488" s="21">
        <v>20.7923908233643</v>
      </c>
      <c r="O488" s="74">
        <v>92.587081909179702</v>
      </c>
      <c r="P488" s="21" t="s">
        <v>985</v>
      </c>
      <c r="Q488" s="21" t="s">
        <v>490</v>
      </c>
      <c r="R488" s="21" t="s">
        <v>464</v>
      </c>
      <c r="S488" s="21" t="s">
        <v>966</v>
      </c>
      <c r="T488" s="75"/>
      <c r="U488" s="76"/>
      <c r="V488" s="21" t="s">
        <v>949</v>
      </c>
      <c r="W488" s="77"/>
      <c r="X488" s="21" t="s">
        <v>779</v>
      </c>
    </row>
    <row r="489" spans="1:24" ht="17.25" customHeight="1" x14ac:dyDescent="0.2">
      <c r="A489" s="21" t="s">
        <v>780</v>
      </c>
      <c r="B489" s="21" t="s">
        <v>2228</v>
      </c>
      <c r="C489" s="21" t="s">
        <v>2229</v>
      </c>
      <c r="D489" s="21" t="s">
        <v>1843</v>
      </c>
      <c r="J489" s="21" t="s">
        <v>984</v>
      </c>
      <c r="K489" s="21" t="s">
        <v>984</v>
      </c>
      <c r="L489" s="21" t="s">
        <v>984</v>
      </c>
      <c r="M489" s="21" t="s">
        <v>981</v>
      </c>
      <c r="N489" s="21">
        <v>20.7989101409912</v>
      </c>
      <c r="O489" s="74">
        <v>92.553680419921903</v>
      </c>
      <c r="P489" s="21" t="s">
        <v>985</v>
      </c>
      <c r="Q489" s="21" t="s">
        <v>490</v>
      </c>
      <c r="R489" s="21" t="s">
        <v>464</v>
      </c>
      <c r="S489" s="21" t="s">
        <v>966</v>
      </c>
      <c r="T489" s="75"/>
      <c r="U489" s="76"/>
      <c r="V489" s="21" t="s">
        <v>949</v>
      </c>
      <c r="W489" s="77"/>
      <c r="X489" s="21" t="s">
        <v>780</v>
      </c>
    </row>
    <row r="490" spans="1:24" ht="17.25" customHeight="1" x14ac:dyDescent="0.2">
      <c r="A490" s="21" t="s">
        <v>782</v>
      </c>
      <c r="B490" s="21" t="s">
        <v>2228</v>
      </c>
      <c r="C490" s="21" t="s">
        <v>2229</v>
      </c>
      <c r="D490" s="21" t="s">
        <v>1845</v>
      </c>
      <c r="J490" s="21" t="s">
        <v>984</v>
      </c>
      <c r="K490" s="21" t="s">
        <v>984</v>
      </c>
      <c r="L490" s="21" t="s">
        <v>984</v>
      </c>
      <c r="M490" s="21" t="s">
        <v>464</v>
      </c>
      <c r="N490" s="21">
        <v>20.802820205688501</v>
      </c>
      <c r="O490" s="74">
        <v>92.599418640136705</v>
      </c>
      <c r="P490" s="21" t="s">
        <v>985</v>
      </c>
      <c r="Q490" s="21" t="s">
        <v>490</v>
      </c>
      <c r="R490" s="21" t="s">
        <v>464</v>
      </c>
      <c r="S490" s="21" t="s">
        <v>966</v>
      </c>
      <c r="T490" s="75"/>
      <c r="U490" s="76"/>
      <c r="V490" s="21" t="s">
        <v>949</v>
      </c>
      <c r="W490" s="77"/>
      <c r="X490" s="21" t="s">
        <v>782</v>
      </c>
    </row>
    <row r="491" spans="1:24" ht="17.25" customHeight="1" x14ac:dyDescent="0.2">
      <c r="A491" s="21" t="s">
        <v>791</v>
      </c>
      <c r="B491" s="21" t="s">
        <v>2228</v>
      </c>
      <c r="C491" s="21" t="s">
        <v>2229</v>
      </c>
      <c r="D491" s="21" t="s">
        <v>1851</v>
      </c>
      <c r="J491" s="21" t="s">
        <v>984</v>
      </c>
      <c r="K491" s="21" t="s">
        <v>984</v>
      </c>
      <c r="L491" s="21" t="s">
        <v>984</v>
      </c>
      <c r="M491" s="21" t="s">
        <v>981</v>
      </c>
      <c r="N491" s="21">
        <v>20.8060302734375</v>
      </c>
      <c r="O491" s="74">
        <v>92.601951599121094</v>
      </c>
      <c r="P491" s="21" t="s">
        <v>985</v>
      </c>
      <c r="Q491" s="21" t="s">
        <v>490</v>
      </c>
      <c r="R491" s="21" t="s">
        <v>464</v>
      </c>
      <c r="S491" s="21" t="s">
        <v>966</v>
      </c>
      <c r="T491" s="75"/>
      <c r="U491" s="76"/>
      <c r="V491" s="21" t="s">
        <v>949</v>
      </c>
      <c r="W491" s="77"/>
      <c r="X491" s="21" t="s">
        <v>791</v>
      </c>
    </row>
    <row r="492" spans="1:24" ht="17.25" customHeight="1" x14ac:dyDescent="0.2">
      <c r="A492" s="21" t="s">
        <v>795</v>
      </c>
      <c r="B492" s="21" t="s">
        <v>2228</v>
      </c>
      <c r="C492" s="21" t="s">
        <v>2229</v>
      </c>
      <c r="D492" s="21" t="s">
        <v>1853</v>
      </c>
      <c r="J492" s="21" t="s">
        <v>984</v>
      </c>
      <c r="K492" s="21" t="s">
        <v>984</v>
      </c>
      <c r="L492" s="21" t="s">
        <v>984</v>
      </c>
      <c r="M492" s="21" t="s">
        <v>464</v>
      </c>
      <c r="N492" s="21">
        <v>20.818290710449201</v>
      </c>
      <c r="O492" s="74">
        <v>92.594978332519503</v>
      </c>
      <c r="P492" s="21" t="s">
        <v>985</v>
      </c>
      <c r="Q492" s="21" t="s">
        <v>490</v>
      </c>
      <c r="R492" s="21" t="s">
        <v>464</v>
      </c>
      <c r="S492" s="21" t="s">
        <v>966</v>
      </c>
      <c r="T492" s="75"/>
      <c r="U492" s="76"/>
      <c r="V492" s="21" t="s">
        <v>949</v>
      </c>
      <c r="W492" s="77"/>
      <c r="X492" s="21" t="s">
        <v>1127</v>
      </c>
    </row>
    <row r="493" spans="1:24" ht="17.25" customHeight="1" x14ac:dyDescent="0.2">
      <c r="A493" s="21" t="s">
        <v>796</v>
      </c>
      <c r="B493" s="21" t="s">
        <v>2228</v>
      </c>
      <c r="C493" s="21" t="s">
        <v>2229</v>
      </c>
      <c r="D493" s="21" t="s">
        <v>1854</v>
      </c>
      <c r="J493" s="21" t="s">
        <v>984</v>
      </c>
      <c r="K493" s="21" t="s">
        <v>984</v>
      </c>
      <c r="L493" s="21" t="s">
        <v>984</v>
      </c>
      <c r="M493" s="21" t="s">
        <v>464</v>
      </c>
      <c r="N493" s="21">
        <v>20.818910598754901</v>
      </c>
      <c r="O493" s="74">
        <v>92.541358947753906</v>
      </c>
      <c r="P493" s="21" t="s">
        <v>985</v>
      </c>
      <c r="Q493" s="21" t="s">
        <v>490</v>
      </c>
      <c r="R493" s="21" t="s">
        <v>464</v>
      </c>
      <c r="S493" s="21" t="s">
        <v>966</v>
      </c>
      <c r="T493" s="75"/>
      <c r="U493" s="76"/>
      <c r="V493" s="21" t="s">
        <v>949</v>
      </c>
      <c r="W493" s="77"/>
      <c r="X493" s="21" t="s">
        <v>796</v>
      </c>
    </row>
    <row r="494" spans="1:24" ht="17.25" customHeight="1" x14ac:dyDescent="0.2">
      <c r="A494" s="21" t="s">
        <v>798</v>
      </c>
      <c r="B494" s="21" t="s">
        <v>2228</v>
      </c>
      <c r="C494" s="21" t="s">
        <v>2229</v>
      </c>
      <c r="D494" s="21" t="s">
        <v>1856</v>
      </c>
      <c r="J494" s="21" t="s">
        <v>984</v>
      </c>
      <c r="K494" s="21" t="s">
        <v>984</v>
      </c>
      <c r="L494" s="21" t="s">
        <v>984</v>
      </c>
      <c r="M494" s="21" t="s">
        <v>981</v>
      </c>
      <c r="N494" s="21">
        <v>20.821479797363299</v>
      </c>
      <c r="O494" s="74">
        <v>92.603950500488295</v>
      </c>
      <c r="P494" s="21" t="s">
        <v>985</v>
      </c>
      <c r="Q494" s="21" t="s">
        <v>490</v>
      </c>
      <c r="R494" s="21" t="s">
        <v>464</v>
      </c>
      <c r="S494" s="21" t="s">
        <v>966</v>
      </c>
      <c r="T494" s="75"/>
      <c r="U494" s="76"/>
      <c r="V494" s="21" t="s">
        <v>949</v>
      </c>
      <c r="W494" s="77"/>
      <c r="X494" s="21" t="s">
        <v>798</v>
      </c>
    </row>
    <row r="495" spans="1:24" ht="17.25" customHeight="1" x14ac:dyDescent="0.2">
      <c r="A495" s="21" t="s">
        <v>805</v>
      </c>
      <c r="B495" s="21" t="s">
        <v>2228</v>
      </c>
      <c r="C495" s="21" t="s">
        <v>2229</v>
      </c>
      <c r="D495" s="21" t="s">
        <v>1863</v>
      </c>
      <c r="J495" s="21" t="s">
        <v>984</v>
      </c>
      <c r="K495" s="21" t="s">
        <v>984</v>
      </c>
      <c r="L495" s="21" t="s">
        <v>984</v>
      </c>
      <c r="M495" s="21" t="s">
        <v>981</v>
      </c>
      <c r="N495" s="21">
        <v>20.825700759887699</v>
      </c>
      <c r="O495" s="74">
        <v>92.542686462402301</v>
      </c>
      <c r="P495" s="21" t="s">
        <v>985</v>
      </c>
      <c r="Q495" s="21" t="s">
        <v>490</v>
      </c>
      <c r="R495" s="21" t="s">
        <v>464</v>
      </c>
      <c r="S495" s="21" t="s">
        <v>966</v>
      </c>
      <c r="T495" s="75"/>
      <c r="U495" s="76"/>
      <c r="V495" s="21" t="s">
        <v>949</v>
      </c>
      <c r="W495" s="77"/>
      <c r="X495" s="21" t="s">
        <v>805</v>
      </c>
    </row>
    <row r="496" spans="1:24" ht="17.25" customHeight="1" x14ac:dyDescent="0.2">
      <c r="A496" s="21" t="s">
        <v>809</v>
      </c>
      <c r="B496" s="21" t="s">
        <v>2228</v>
      </c>
      <c r="C496" s="21" t="s">
        <v>2229</v>
      </c>
      <c r="D496" s="21" t="s">
        <v>1866</v>
      </c>
      <c r="J496" s="21" t="s">
        <v>984</v>
      </c>
      <c r="K496" s="21" t="s">
        <v>984</v>
      </c>
      <c r="L496" s="21" t="s">
        <v>984</v>
      </c>
      <c r="M496" s="21" t="s">
        <v>981</v>
      </c>
      <c r="N496" s="21">
        <v>20.83371925354</v>
      </c>
      <c r="O496" s="74">
        <v>92.534461975097699</v>
      </c>
      <c r="P496" s="21" t="s">
        <v>985</v>
      </c>
      <c r="Q496" s="21" t="s">
        <v>490</v>
      </c>
      <c r="R496" s="21" t="s">
        <v>464</v>
      </c>
      <c r="S496" s="21" t="s">
        <v>966</v>
      </c>
      <c r="T496" s="75"/>
      <c r="U496" s="76"/>
      <c r="V496" s="21" t="s">
        <v>949</v>
      </c>
      <c r="W496" s="77"/>
      <c r="X496" s="21" t="s">
        <v>809</v>
      </c>
    </row>
    <row r="497" spans="1:24" ht="17.25" customHeight="1" x14ac:dyDescent="0.2">
      <c r="A497" s="21" t="s">
        <v>811</v>
      </c>
      <c r="B497" s="21" t="s">
        <v>2228</v>
      </c>
      <c r="C497" s="21" t="s">
        <v>2229</v>
      </c>
      <c r="D497" s="21">
        <v>198325</v>
      </c>
      <c r="J497" s="21" t="s">
        <v>990</v>
      </c>
      <c r="K497" s="21" t="s">
        <v>984</v>
      </c>
      <c r="L497" s="21" t="s">
        <v>990</v>
      </c>
      <c r="M497" s="21" t="s">
        <v>981</v>
      </c>
      <c r="N497" s="21">
        <v>20.839260101318398</v>
      </c>
      <c r="O497" s="74">
        <v>92.534591674804702</v>
      </c>
      <c r="Q497" s="21" t="s">
        <v>490</v>
      </c>
      <c r="R497" s="21" t="s">
        <v>464</v>
      </c>
      <c r="S497" s="21" t="s">
        <v>988</v>
      </c>
      <c r="T497" s="75"/>
      <c r="U497" s="76"/>
      <c r="V497" s="21">
        <v>42926</v>
      </c>
      <c r="W497" s="77" t="s">
        <v>1120</v>
      </c>
    </row>
    <row r="498" spans="1:24" ht="17.25" customHeight="1" x14ac:dyDescent="0.2">
      <c r="A498" s="21" t="s">
        <v>812</v>
      </c>
      <c r="B498" s="21" t="s">
        <v>2228</v>
      </c>
      <c r="C498" s="21" t="s">
        <v>2229</v>
      </c>
      <c r="D498" s="21">
        <v>198313</v>
      </c>
      <c r="J498" s="21" t="s">
        <v>990</v>
      </c>
      <c r="K498" s="21" t="s">
        <v>984</v>
      </c>
      <c r="L498" s="21" t="s">
        <v>990</v>
      </c>
      <c r="M498" s="21" t="s">
        <v>464</v>
      </c>
      <c r="N498" s="21">
        <v>20.8490600585938</v>
      </c>
      <c r="O498" s="74">
        <v>92.497413635253906</v>
      </c>
      <c r="Q498" s="21" t="s">
        <v>490</v>
      </c>
      <c r="R498" s="21" t="s">
        <v>464</v>
      </c>
      <c r="S498" s="21" t="s">
        <v>988</v>
      </c>
      <c r="T498" s="75"/>
      <c r="U498" s="76"/>
      <c r="V498" s="21">
        <v>42926</v>
      </c>
      <c r="W498" s="77" t="s">
        <v>1120</v>
      </c>
    </row>
    <row r="499" spans="1:24" ht="17.25" customHeight="1" x14ac:dyDescent="0.2">
      <c r="A499" s="21" t="s">
        <v>815</v>
      </c>
      <c r="B499" s="21" t="s">
        <v>2228</v>
      </c>
      <c r="C499" s="21" t="s">
        <v>2229</v>
      </c>
      <c r="D499" s="21">
        <v>198308</v>
      </c>
      <c r="J499" s="21" t="s">
        <v>990</v>
      </c>
      <c r="K499" s="21" t="s">
        <v>984</v>
      </c>
      <c r="L499" s="21" t="s">
        <v>990</v>
      </c>
      <c r="M499" s="21" t="s">
        <v>981</v>
      </c>
      <c r="N499" s="21">
        <v>20.863079071044901</v>
      </c>
      <c r="O499" s="74">
        <v>92.4971923828125</v>
      </c>
      <c r="Q499" s="21" t="s">
        <v>490</v>
      </c>
      <c r="R499" s="21" t="s">
        <v>464</v>
      </c>
      <c r="S499" s="21" t="s">
        <v>988</v>
      </c>
      <c r="T499" s="75"/>
      <c r="U499" s="76"/>
      <c r="V499" s="21">
        <v>42926</v>
      </c>
      <c r="W499" s="77" t="s">
        <v>1120</v>
      </c>
    </row>
    <row r="500" spans="1:24" ht="17.25" customHeight="1" x14ac:dyDescent="0.2">
      <c r="A500" s="21" t="s">
        <v>817</v>
      </c>
      <c r="B500" s="21" t="s">
        <v>2228</v>
      </c>
      <c r="C500" s="21" t="s">
        <v>2229</v>
      </c>
      <c r="D500" s="21" t="s">
        <v>1869</v>
      </c>
      <c r="J500" s="21" t="s">
        <v>984</v>
      </c>
      <c r="K500" s="21" t="s">
        <v>984</v>
      </c>
      <c r="L500" s="21" t="s">
        <v>984</v>
      </c>
      <c r="M500" s="21" t="s">
        <v>981</v>
      </c>
      <c r="N500" s="21">
        <v>20.871829986572301</v>
      </c>
      <c r="O500" s="74">
        <v>92.566909790039105</v>
      </c>
      <c r="P500" s="21" t="s">
        <v>985</v>
      </c>
      <c r="Q500" s="21" t="s">
        <v>490</v>
      </c>
      <c r="R500" s="21" t="s">
        <v>464</v>
      </c>
      <c r="S500" s="21" t="s">
        <v>966</v>
      </c>
      <c r="T500" s="75"/>
      <c r="U500" s="76"/>
      <c r="V500" s="21" t="s">
        <v>949</v>
      </c>
      <c r="W500" s="77"/>
      <c r="X500" s="21" t="s">
        <v>817</v>
      </c>
    </row>
    <row r="501" spans="1:24" ht="17.25" customHeight="1" x14ac:dyDescent="0.2">
      <c r="A501" s="21" t="s">
        <v>818</v>
      </c>
      <c r="B501" s="21" t="s">
        <v>2228</v>
      </c>
      <c r="C501" s="21" t="s">
        <v>2229</v>
      </c>
      <c r="D501" s="21" t="s">
        <v>1870</v>
      </c>
      <c r="J501" s="21" t="s">
        <v>984</v>
      </c>
      <c r="K501" s="21" t="s">
        <v>984</v>
      </c>
      <c r="L501" s="21" t="s">
        <v>984</v>
      </c>
      <c r="M501" s="21" t="s">
        <v>981</v>
      </c>
      <c r="N501" s="21">
        <v>20.876710891723601</v>
      </c>
      <c r="O501" s="74">
        <v>92.537406921386705</v>
      </c>
      <c r="P501" s="21" t="s">
        <v>985</v>
      </c>
      <c r="Q501" s="21" t="s">
        <v>490</v>
      </c>
      <c r="R501" s="21" t="s">
        <v>464</v>
      </c>
      <c r="S501" s="21" t="s">
        <v>966</v>
      </c>
      <c r="T501" s="75"/>
      <c r="U501" s="76"/>
      <c r="V501" s="21" t="s">
        <v>949</v>
      </c>
      <c r="W501" s="77"/>
      <c r="X501" s="21" t="s">
        <v>818</v>
      </c>
    </row>
    <row r="502" spans="1:24" ht="17.25" customHeight="1" x14ac:dyDescent="0.2">
      <c r="A502" s="21" t="s">
        <v>819</v>
      </c>
      <c r="B502" s="21" t="s">
        <v>2228</v>
      </c>
      <c r="C502" s="21" t="s">
        <v>2229</v>
      </c>
      <c r="D502" s="21" t="s">
        <v>1871</v>
      </c>
      <c r="J502" s="21" t="s">
        <v>984</v>
      </c>
      <c r="K502" s="21" t="s">
        <v>984</v>
      </c>
      <c r="L502" s="21" t="s">
        <v>984</v>
      </c>
      <c r="M502" s="21" t="s">
        <v>981</v>
      </c>
      <c r="N502" s="21">
        <v>20.8825492858887</v>
      </c>
      <c r="O502" s="74">
        <v>92.551338195800795</v>
      </c>
      <c r="P502" s="21" t="s">
        <v>985</v>
      </c>
      <c r="Q502" s="21" t="s">
        <v>490</v>
      </c>
      <c r="R502" s="21" t="s">
        <v>464</v>
      </c>
      <c r="S502" s="21" t="s">
        <v>966</v>
      </c>
      <c r="T502" s="75"/>
      <c r="U502" s="76"/>
      <c r="V502" s="21" t="s">
        <v>949</v>
      </c>
      <c r="W502" s="77"/>
      <c r="X502" s="21" t="s">
        <v>1132</v>
      </c>
    </row>
    <row r="503" spans="1:24" ht="17.25" customHeight="1" x14ac:dyDescent="0.2">
      <c r="A503" s="21" t="s">
        <v>820</v>
      </c>
      <c r="B503" s="21" t="s">
        <v>2228</v>
      </c>
      <c r="C503" s="21" t="s">
        <v>2229</v>
      </c>
      <c r="D503" s="21" t="s">
        <v>1872</v>
      </c>
      <c r="J503" s="21" t="s">
        <v>984</v>
      </c>
      <c r="K503" s="21" t="s">
        <v>984</v>
      </c>
      <c r="L503" s="21" t="s">
        <v>984</v>
      </c>
      <c r="M503" s="21" t="s">
        <v>981</v>
      </c>
      <c r="N503" s="21">
        <v>20.883680343627901</v>
      </c>
      <c r="O503" s="74">
        <v>92.569938659667997</v>
      </c>
      <c r="P503" s="21" t="s">
        <v>985</v>
      </c>
      <c r="Q503" s="21" t="s">
        <v>490</v>
      </c>
      <c r="R503" s="21" t="s">
        <v>464</v>
      </c>
      <c r="S503" s="21" t="s">
        <v>966</v>
      </c>
      <c r="T503" s="75"/>
      <c r="U503" s="76"/>
      <c r="V503" s="21" t="s">
        <v>949</v>
      </c>
      <c r="W503" s="77"/>
      <c r="X503" s="21" t="s">
        <v>1133</v>
      </c>
    </row>
    <row r="504" spans="1:24" ht="17.25" customHeight="1" x14ac:dyDescent="0.2">
      <c r="A504" s="21" t="s">
        <v>821</v>
      </c>
      <c r="B504" s="21" t="s">
        <v>2228</v>
      </c>
      <c r="C504" s="21" t="s">
        <v>2229</v>
      </c>
      <c r="D504" s="21" t="s">
        <v>1872</v>
      </c>
      <c r="J504" s="21" t="s">
        <v>984</v>
      </c>
      <c r="K504" s="21" t="s">
        <v>984</v>
      </c>
      <c r="L504" s="21" t="s">
        <v>984</v>
      </c>
      <c r="M504" s="21" t="s">
        <v>981</v>
      </c>
      <c r="N504" s="21">
        <v>20.883680343627901</v>
      </c>
      <c r="O504" s="74">
        <v>92.569938659667997</v>
      </c>
      <c r="P504" s="21" t="s">
        <v>985</v>
      </c>
      <c r="Q504" s="21" t="s">
        <v>490</v>
      </c>
      <c r="R504" s="21" t="s">
        <v>464</v>
      </c>
      <c r="S504" s="21" t="s">
        <v>966</v>
      </c>
      <c r="T504" s="75"/>
      <c r="U504" s="76"/>
      <c r="V504" s="21">
        <v>42745</v>
      </c>
      <c r="W504" s="77"/>
    </row>
    <row r="505" spans="1:24" ht="17.25" customHeight="1" x14ac:dyDescent="0.2">
      <c r="A505" s="21" t="s">
        <v>822</v>
      </c>
      <c r="B505" s="21" t="s">
        <v>2228</v>
      </c>
      <c r="C505" s="21" t="s">
        <v>2229</v>
      </c>
      <c r="D505" s="21" t="s">
        <v>1873</v>
      </c>
      <c r="J505" s="21" t="s">
        <v>984</v>
      </c>
      <c r="K505" s="21" t="s">
        <v>984</v>
      </c>
      <c r="L505" s="21" t="s">
        <v>984</v>
      </c>
      <c r="M505" s="21" t="s">
        <v>981</v>
      </c>
      <c r="N505" s="21">
        <v>20.884159088134801</v>
      </c>
      <c r="O505" s="74">
        <v>92.551063537597699</v>
      </c>
      <c r="P505" s="21" t="s">
        <v>985</v>
      </c>
      <c r="Q505" s="21" t="s">
        <v>490</v>
      </c>
      <c r="R505" s="21" t="s">
        <v>464</v>
      </c>
      <c r="S505" s="21" t="s">
        <v>966</v>
      </c>
      <c r="T505" s="75"/>
      <c r="U505" s="76"/>
      <c r="V505" s="21" t="s">
        <v>949</v>
      </c>
      <c r="W505" s="77"/>
      <c r="X505" s="21" t="s">
        <v>822</v>
      </c>
    </row>
    <row r="506" spans="1:24" ht="17.25" customHeight="1" x14ac:dyDescent="0.2">
      <c r="A506" s="21" t="s">
        <v>824</v>
      </c>
      <c r="B506" s="21" t="s">
        <v>2228</v>
      </c>
      <c r="C506" s="21" t="s">
        <v>2229</v>
      </c>
      <c r="D506" s="21" t="s">
        <v>1875</v>
      </c>
      <c r="J506" s="21" t="s">
        <v>984</v>
      </c>
      <c r="K506" s="21" t="s">
        <v>984</v>
      </c>
      <c r="L506" s="21" t="s">
        <v>984</v>
      </c>
      <c r="M506" s="21" t="s">
        <v>981</v>
      </c>
      <c r="N506" s="21">
        <v>20.887029647827099</v>
      </c>
      <c r="O506" s="74">
        <v>92.556823730468807</v>
      </c>
      <c r="P506" s="21" t="s">
        <v>985</v>
      </c>
      <c r="Q506" s="21" t="s">
        <v>490</v>
      </c>
      <c r="R506" s="21" t="s">
        <v>464</v>
      </c>
      <c r="S506" s="21" t="s">
        <v>966</v>
      </c>
      <c r="T506" s="75"/>
      <c r="U506" s="76"/>
      <c r="V506" s="21" t="s">
        <v>949</v>
      </c>
      <c r="W506" s="77"/>
      <c r="X506" s="21" t="s">
        <v>824</v>
      </c>
    </row>
    <row r="507" spans="1:24" ht="17.25" customHeight="1" x14ac:dyDescent="0.2">
      <c r="A507" s="21" t="s">
        <v>825</v>
      </c>
      <c r="B507" s="21" t="s">
        <v>2228</v>
      </c>
      <c r="C507" s="21" t="s">
        <v>2229</v>
      </c>
      <c r="D507" s="21" t="s">
        <v>1876</v>
      </c>
      <c r="J507" s="21" t="s">
        <v>984</v>
      </c>
      <c r="K507" s="21" t="s">
        <v>984</v>
      </c>
      <c r="L507" s="21" t="s">
        <v>984</v>
      </c>
      <c r="M507" s="21" t="s">
        <v>464</v>
      </c>
      <c r="N507" s="21">
        <v>20.8874206542969</v>
      </c>
      <c r="O507" s="74">
        <v>92.54541015625</v>
      </c>
      <c r="P507" s="21" t="s">
        <v>985</v>
      </c>
      <c r="Q507" s="21" t="s">
        <v>490</v>
      </c>
      <c r="R507" s="21" t="s">
        <v>464</v>
      </c>
      <c r="S507" s="21" t="s">
        <v>966</v>
      </c>
      <c r="T507" s="75"/>
      <c r="U507" s="76"/>
      <c r="V507" s="21" t="s">
        <v>949</v>
      </c>
      <c r="W507" s="77"/>
      <c r="X507" s="21" t="s">
        <v>1134</v>
      </c>
    </row>
    <row r="508" spans="1:24" ht="17.25" customHeight="1" x14ac:dyDescent="0.2">
      <c r="A508" s="21" t="s">
        <v>826</v>
      </c>
      <c r="B508" s="21" t="s">
        <v>2228</v>
      </c>
      <c r="C508" s="21" t="s">
        <v>2229</v>
      </c>
      <c r="D508" s="21">
        <v>198305</v>
      </c>
      <c r="J508" s="21" t="s">
        <v>990</v>
      </c>
      <c r="K508" s="21" t="s">
        <v>984</v>
      </c>
      <c r="L508" s="21" t="s">
        <v>990</v>
      </c>
      <c r="M508" s="21" t="s">
        <v>981</v>
      </c>
      <c r="N508" s="21">
        <v>20.8898105621338</v>
      </c>
      <c r="O508" s="74">
        <v>92.519569396972699</v>
      </c>
      <c r="Q508" s="21" t="s">
        <v>490</v>
      </c>
      <c r="R508" s="21" t="s">
        <v>464</v>
      </c>
      <c r="S508" s="21" t="s">
        <v>988</v>
      </c>
      <c r="T508" s="75"/>
      <c r="U508" s="76"/>
      <c r="V508" s="21">
        <v>42926</v>
      </c>
      <c r="W508" s="77" t="s">
        <v>1120</v>
      </c>
    </row>
    <row r="509" spans="1:24" ht="17.25" customHeight="1" x14ac:dyDescent="0.2">
      <c r="A509" s="21" t="s">
        <v>827</v>
      </c>
      <c r="B509" s="21" t="s">
        <v>2228</v>
      </c>
      <c r="C509" s="21" t="s">
        <v>2229</v>
      </c>
      <c r="D509" s="21" t="s">
        <v>1877</v>
      </c>
      <c r="J509" s="21" t="s">
        <v>984</v>
      </c>
      <c r="K509" s="21" t="s">
        <v>984</v>
      </c>
      <c r="L509" s="21" t="s">
        <v>984</v>
      </c>
      <c r="M509" s="21" t="s">
        <v>981</v>
      </c>
      <c r="N509" s="21">
        <v>20.891330718994102</v>
      </c>
      <c r="O509" s="74">
        <v>92.491966247558594</v>
      </c>
      <c r="P509" s="21" t="s">
        <v>985</v>
      </c>
      <c r="Q509" s="21" t="s">
        <v>490</v>
      </c>
      <c r="R509" s="21" t="s">
        <v>464</v>
      </c>
      <c r="S509" s="21" t="s">
        <v>966</v>
      </c>
      <c r="T509" s="75"/>
      <c r="U509" s="76"/>
      <c r="V509" s="21" t="s">
        <v>949</v>
      </c>
      <c r="W509" s="77"/>
      <c r="X509" s="21" t="s">
        <v>827</v>
      </c>
    </row>
    <row r="510" spans="1:24" ht="17.25" customHeight="1" x14ac:dyDescent="0.2">
      <c r="A510" s="21" t="s">
        <v>828</v>
      </c>
      <c r="B510" s="21" t="s">
        <v>2228</v>
      </c>
      <c r="C510" s="21" t="s">
        <v>2229</v>
      </c>
      <c r="D510" s="21" t="s">
        <v>1878</v>
      </c>
      <c r="J510" s="21" t="s">
        <v>984</v>
      </c>
      <c r="K510" s="21" t="s">
        <v>984</v>
      </c>
      <c r="L510" s="21" t="s">
        <v>984</v>
      </c>
      <c r="M510" s="21" t="s">
        <v>981</v>
      </c>
      <c r="N510" s="21">
        <v>20.892290115356399</v>
      </c>
      <c r="O510" s="74">
        <v>92.550079345703097</v>
      </c>
      <c r="P510" s="21" t="s">
        <v>985</v>
      </c>
      <c r="Q510" s="21" t="s">
        <v>490</v>
      </c>
      <c r="R510" s="21" t="s">
        <v>464</v>
      </c>
      <c r="S510" s="21" t="s">
        <v>966</v>
      </c>
      <c r="T510" s="75"/>
      <c r="U510" s="76"/>
      <c r="V510" s="21" t="s">
        <v>949</v>
      </c>
      <c r="W510" s="77"/>
      <c r="X510" s="21" t="s">
        <v>828</v>
      </c>
    </row>
    <row r="511" spans="1:24" ht="17.25" customHeight="1" x14ac:dyDescent="0.2">
      <c r="A511" s="21" t="s">
        <v>829</v>
      </c>
      <c r="B511" s="21" t="s">
        <v>2228</v>
      </c>
      <c r="C511" s="21" t="s">
        <v>2229</v>
      </c>
      <c r="D511" s="21" t="s">
        <v>1878</v>
      </c>
      <c r="J511" s="21" t="s">
        <v>984</v>
      </c>
      <c r="K511" s="21" t="s">
        <v>984</v>
      </c>
      <c r="L511" s="21" t="s">
        <v>984</v>
      </c>
      <c r="M511" s="21" t="s">
        <v>464</v>
      </c>
      <c r="N511" s="21">
        <v>20.892290115356399</v>
      </c>
      <c r="O511" s="74">
        <v>92.550079345703097</v>
      </c>
      <c r="P511" s="21" t="s">
        <v>985</v>
      </c>
      <c r="Q511" s="21" t="s">
        <v>490</v>
      </c>
      <c r="R511" s="21" t="s">
        <v>464</v>
      </c>
      <c r="S511" s="21" t="s">
        <v>966</v>
      </c>
      <c r="T511" s="75"/>
      <c r="U511" s="76"/>
      <c r="V511" s="21" t="s">
        <v>949</v>
      </c>
      <c r="W511" s="77"/>
      <c r="X511" s="21" t="s">
        <v>829</v>
      </c>
    </row>
    <row r="512" spans="1:24" ht="17.25" customHeight="1" x14ac:dyDescent="0.2">
      <c r="A512" s="21" t="s">
        <v>830</v>
      </c>
      <c r="B512" s="21" t="s">
        <v>2228</v>
      </c>
      <c r="C512" s="21" t="s">
        <v>2229</v>
      </c>
      <c r="D512" s="21" t="s">
        <v>1879</v>
      </c>
      <c r="J512" s="21" t="s">
        <v>984</v>
      </c>
      <c r="K512" s="21" t="s">
        <v>984</v>
      </c>
      <c r="L512" s="21" t="s">
        <v>984</v>
      </c>
      <c r="M512" s="21" t="s">
        <v>981</v>
      </c>
      <c r="N512" s="21">
        <v>20.8927097320557</v>
      </c>
      <c r="O512" s="74">
        <v>92.562187194824205</v>
      </c>
      <c r="P512" s="21" t="s">
        <v>985</v>
      </c>
      <c r="Q512" s="21" t="s">
        <v>490</v>
      </c>
      <c r="R512" s="21" t="s">
        <v>464</v>
      </c>
      <c r="S512" s="21" t="s">
        <v>966</v>
      </c>
      <c r="T512" s="75"/>
      <c r="U512" s="76"/>
      <c r="V512" s="21" t="s">
        <v>949</v>
      </c>
      <c r="W512" s="77"/>
      <c r="X512" s="21" t="s">
        <v>830</v>
      </c>
    </row>
    <row r="513" spans="1:24" ht="17.25" customHeight="1" x14ac:dyDescent="0.2">
      <c r="A513" s="21" t="s">
        <v>831</v>
      </c>
      <c r="B513" s="21" t="s">
        <v>2228</v>
      </c>
      <c r="C513" s="21" t="s">
        <v>2229</v>
      </c>
      <c r="D513" s="21" t="s">
        <v>1880</v>
      </c>
      <c r="J513" s="21" t="s">
        <v>984</v>
      </c>
      <c r="K513" s="21" t="s">
        <v>984</v>
      </c>
      <c r="L513" s="21" t="s">
        <v>984</v>
      </c>
      <c r="M513" s="21" t="s">
        <v>981</v>
      </c>
      <c r="N513" s="21">
        <v>20.893180847168001</v>
      </c>
      <c r="O513" s="74">
        <v>92.493637084960895</v>
      </c>
      <c r="P513" s="21" t="s">
        <v>985</v>
      </c>
      <c r="Q513" s="21" t="s">
        <v>490</v>
      </c>
      <c r="R513" s="21" t="s">
        <v>464</v>
      </c>
      <c r="S513" s="21" t="s">
        <v>966</v>
      </c>
      <c r="T513" s="75"/>
      <c r="U513" s="76"/>
      <c r="V513" s="21" t="s">
        <v>949</v>
      </c>
      <c r="W513" s="77"/>
      <c r="X513" s="21" t="s">
        <v>831</v>
      </c>
    </row>
    <row r="514" spans="1:24" ht="17.25" customHeight="1" x14ac:dyDescent="0.2">
      <c r="A514" s="21" t="s">
        <v>834</v>
      </c>
      <c r="B514" s="21" t="s">
        <v>2228</v>
      </c>
      <c r="C514" s="21" t="s">
        <v>2229</v>
      </c>
      <c r="D514" s="21" t="s">
        <v>1881</v>
      </c>
      <c r="J514" s="21" t="s">
        <v>984</v>
      </c>
      <c r="K514" s="21" t="s">
        <v>984</v>
      </c>
      <c r="L514" s="21" t="s">
        <v>984</v>
      </c>
      <c r="M514" s="21" t="s">
        <v>981</v>
      </c>
      <c r="N514" s="21">
        <v>20.895900726318398</v>
      </c>
      <c r="O514" s="74">
        <v>92.497329711914105</v>
      </c>
      <c r="P514" s="21" t="s">
        <v>985</v>
      </c>
      <c r="Q514" s="21" t="s">
        <v>490</v>
      </c>
      <c r="R514" s="21" t="s">
        <v>464</v>
      </c>
      <c r="S514" s="21" t="s">
        <v>966</v>
      </c>
      <c r="T514" s="75"/>
      <c r="U514" s="76"/>
      <c r="V514" s="21" t="s">
        <v>949</v>
      </c>
      <c r="W514" s="77"/>
      <c r="X514" s="21" t="s">
        <v>834</v>
      </c>
    </row>
    <row r="515" spans="1:24" ht="17.25" customHeight="1" x14ac:dyDescent="0.2">
      <c r="A515" s="21" t="s">
        <v>837</v>
      </c>
      <c r="B515" s="21" t="s">
        <v>2228</v>
      </c>
      <c r="C515" s="21" t="s">
        <v>2229</v>
      </c>
      <c r="D515" s="21">
        <v>198234</v>
      </c>
      <c r="J515" s="21" t="s">
        <v>984</v>
      </c>
      <c r="K515" s="21" t="s">
        <v>984</v>
      </c>
      <c r="L515" s="21" t="s">
        <v>984</v>
      </c>
      <c r="M515" s="21" t="s">
        <v>464</v>
      </c>
      <c r="N515" s="21">
        <v>20.926780700683601</v>
      </c>
      <c r="O515" s="74">
        <v>92.5399169921875</v>
      </c>
      <c r="P515" s="21" t="s">
        <v>985</v>
      </c>
      <c r="Q515" s="21" t="s">
        <v>490</v>
      </c>
      <c r="R515" s="21" t="s">
        <v>464</v>
      </c>
      <c r="S515" s="21" t="s">
        <v>988</v>
      </c>
      <c r="T515" s="75"/>
      <c r="U515" s="76"/>
      <c r="V515" s="21">
        <v>42926</v>
      </c>
      <c r="W515" s="77" t="s">
        <v>989</v>
      </c>
    </row>
    <row r="516" spans="1:24" ht="17.25" customHeight="1" x14ac:dyDescent="0.2">
      <c r="A516" s="21" t="s">
        <v>838</v>
      </c>
      <c r="B516" s="21" t="s">
        <v>2228</v>
      </c>
      <c r="C516" s="21" t="s">
        <v>2229</v>
      </c>
      <c r="D516" s="21" t="s">
        <v>1886</v>
      </c>
      <c r="J516" s="21" t="s">
        <v>984</v>
      </c>
      <c r="K516" s="21" t="s">
        <v>984</v>
      </c>
      <c r="L516" s="21" t="s">
        <v>984</v>
      </c>
      <c r="M516" s="21" t="s">
        <v>981</v>
      </c>
      <c r="N516" s="21">
        <v>20.9363498687744</v>
      </c>
      <c r="O516" s="74">
        <v>92.468246459960895</v>
      </c>
      <c r="P516" s="21" t="s">
        <v>985</v>
      </c>
      <c r="Q516" s="21" t="s">
        <v>490</v>
      </c>
      <c r="R516" s="21" t="s">
        <v>464</v>
      </c>
      <c r="S516" s="21" t="s">
        <v>966</v>
      </c>
      <c r="T516" s="75"/>
      <c r="U516" s="76"/>
      <c r="V516" s="21" t="s">
        <v>949</v>
      </c>
      <c r="W516" s="77"/>
      <c r="X516" s="21" t="s">
        <v>838</v>
      </c>
    </row>
    <row r="517" spans="1:24" ht="17.25" customHeight="1" x14ac:dyDescent="0.2">
      <c r="A517" s="21" t="s">
        <v>839</v>
      </c>
      <c r="B517" s="21" t="s">
        <v>2228</v>
      </c>
      <c r="C517" s="21" t="s">
        <v>2229</v>
      </c>
      <c r="D517" s="21" t="s">
        <v>1887</v>
      </c>
      <c r="J517" s="21" t="s">
        <v>984</v>
      </c>
      <c r="K517" s="21" t="s">
        <v>984</v>
      </c>
      <c r="L517" s="21" t="s">
        <v>984</v>
      </c>
      <c r="M517" s="21" t="s">
        <v>1138</v>
      </c>
      <c r="N517" s="21">
        <v>20.94580078125</v>
      </c>
      <c r="O517" s="74">
        <v>92.471672058105497</v>
      </c>
      <c r="P517" s="21" t="s">
        <v>985</v>
      </c>
      <c r="Q517" s="21" t="s">
        <v>490</v>
      </c>
      <c r="R517" s="21" t="s">
        <v>464</v>
      </c>
      <c r="S517" s="21" t="s">
        <v>966</v>
      </c>
      <c r="T517" s="75"/>
      <c r="U517" s="76"/>
      <c r="V517" s="21" t="s">
        <v>949</v>
      </c>
      <c r="W517" s="77"/>
      <c r="X517" s="21" t="s">
        <v>839</v>
      </c>
    </row>
    <row r="518" spans="1:24" ht="17.25" customHeight="1" x14ac:dyDescent="0.2">
      <c r="A518" s="21" t="s">
        <v>840</v>
      </c>
      <c r="B518" s="21" t="s">
        <v>2228</v>
      </c>
      <c r="C518" s="21" t="s">
        <v>2229</v>
      </c>
      <c r="D518" s="21" t="s">
        <v>1888</v>
      </c>
      <c r="J518" s="21" t="s">
        <v>984</v>
      </c>
      <c r="K518" s="21" t="s">
        <v>984</v>
      </c>
      <c r="L518" s="21" t="s">
        <v>984</v>
      </c>
      <c r="M518" s="21" t="s">
        <v>981</v>
      </c>
      <c r="N518" s="21">
        <v>20.9616508483887</v>
      </c>
      <c r="O518" s="74">
        <v>92.502937316894503</v>
      </c>
      <c r="P518" s="21" t="s">
        <v>985</v>
      </c>
      <c r="Q518" s="21" t="s">
        <v>490</v>
      </c>
      <c r="R518" s="21" t="s">
        <v>464</v>
      </c>
      <c r="S518" s="21" t="s">
        <v>966</v>
      </c>
      <c r="T518" s="75"/>
      <c r="U518" s="76"/>
      <c r="V518" s="21" t="s">
        <v>949</v>
      </c>
      <c r="W518" s="77"/>
      <c r="X518" s="21" t="s">
        <v>840</v>
      </c>
    </row>
    <row r="519" spans="1:24" ht="17.25" customHeight="1" x14ac:dyDescent="0.2">
      <c r="A519" s="21" t="s">
        <v>841</v>
      </c>
      <c r="B519" s="21" t="s">
        <v>2228</v>
      </c>
      <c r="C519" s="21" t="s">
        <v>2229</v>
      </c>
      <c r="D519" s="21">
        <v>198222</v>
      </c>
      <c r="J519" s="21" t="s">
        <v>990</v>
      </c>
      <c r="K519" s="21" t="s">
        <v>984</v>
      </c>
      <c r="L519" s="21" t="s">
        <v>990</v>
      </c>
      <c r="M519" s="21" t="s">
        <v>981</v>
      </c>
      <c r="N519" s="21">
        <v>20.9627990722656</v>
      </c>
      <c r="O519" s="74">
        <v>92.527702331542997</v>
      </c>
      <c r="Q519" s="21" t="s">
        <v>490</v>
      </c>
      <c r="R519" s="21" t="s">
        <v>464</v>
      </c>
      <c r="S519" s="21" t="s">
        <v>988</v>
      </c>
      <c r="T519" s="75"/>
      <c r="U519" s="76"/>
      <c r="V519" s="21">
        <v>42926</v>
      </c>
      <c r="W519" s="77" t="s">
        <v>1120</v>
      </c>
    </row>
    <row r="520" spans="1:24" ht="17.25" customHeight="1" x14ac:dyDescent="0.2">
      <c r="A520" s="21" t="s">
        <v>842</v>
      </c>
      <c r="B520" s="21" t="s">
        <v>2228</v>
      </c>
      <c r="C520" s="21" t="s">
        <v>2229</v>
      </c>
      <c r="D520" s="21" t="s">
        <v>1889</v>
      </c>
      <c r="J520" s="21" t="s">
        <v>984</v>
      </c>
      <c r="K520" s="21" t="s">
        <v>984</v>
      </c>
      <c r="L520" s="21" t="s">
        <v>984</v>
      </c>
      <c r="M520" s="21" t="s">
        <v>981</v>
      </c>
      <c r="N520" s="21">
        <v>20.974870681762699</v>
      </c>
      <c r="O520" s="74">
        <v>92.483711242675795</v>
      </c>
      <c r="P520" s="21" t="s">
        <v>985</v>
      </c>
      <c r="Q520" s="21" t="s">
        <v>490</v>
      </c>
      <c r="R520" s="21" t="s">
        <v>464</v>
      </c>
      <c r="S520" s="21" t="s">
        <v>966</v>
      </c>
      <c r="T520" s="75"/>
      <c r="U520" s="76"/>
      <c r="V520" s="21" t="s">
        <v>949</v>
      </c>
      <c r="W520" s="77"/>
      <c r="X520" s="21" t="s">
        <v>842</v>
      </c>
    </row>
    <row r="521" spans="1:24" ht="17.25" customHeight="1" x14ac:dyDescent="0.2">
      <c r="A521" s="21" t="s">
        <v>843</v>
      </c>
      <c r="B521" s="21" t="s">
        <v>2228</v>
      </c>
      <c r="C521" s="21" t="s">
        <v>2229</v>
      </c>
      <c r="D521" s="21" t="s">
        <v>1890</v>
      </c>
      <c r="J521" s="21" t="s">
        <v>984</v>
      </c>
      <c r="K521" s="21" t="s">
        <v>984</v>
      </c>
      <c r="L521" s="21" t="s">
        <v>984</v>
      </c>
      <c r="M521" s="21" t="s">
        <v>1138</v>
      </c>
      <c r="N521" s="21">
        <v>20.977460861206101</v>
      </c>
      <c r="O521" s="74">
        <v>92.484466552734403</v>
      </c>
      <c r="P521" s="21" t="s">
        <v>985</v>
      </c>
      <c r="Q521" s="21" t="s">
        <v>490</v>
      </c>
      <c r="R521" s="21" t="s">
        <v>464</v>
      </c>
      <c r="S521" s="21" t="s">
        <v>966</v>
      </c>
      <c r="T521" s="75"/>
      <c r="U521" s="76"/>
      <c r="V521" s="21" t="s">
        <v>949</v>
      </c>
      <c r="W521" s="77"/>
      <c r="X521" s="21" t="s">
        <v>843</v>
      </c>
    </row>
    <row r="522" spans="1:24" ht="17.25" customHeight="1" x14ac:dyDescent="0.2">
      <c r="A522" s="21" t="s">
        <v>846</v>
      </c>
      <c r="B522" s="21" t="s">
        <v>2228</v>
      </c>
      <c r="C522" s="21" t="s">
        <v>2229</v>
      </c>
      <c r="D522" s="21" t="s">
        <v>1891</v>
      </c>
      <c r="J522" s="21" t="s">
        <v>984</v>
      </c>
      <c r="K522" s="21" t="s">
        <v>984</v>
      </c>
      <c r="L522" s="21" t="s">
        <v>984</v>
      </c>
      <c r="M522" s="21" t="s">
        <v>981</v>
      </c>
      <c r="N522" s="21">
        <v>20.9911003112793</v>
      </c>
      <c r="O522" s="74">
        <v>92.493858337402301</v>
      </c>
      <c r="P522" s="21" t="s">
        <v>985</v>
      </c>
      <c r="Q522" s="21" t="s">
        <v>490</v>
      </c>
      <c r="R522" s="21" t="s">
        <v>464</v>
      </c>
      <c r="S522" s="21" t="s">
        <v>966</v>
      </c>
      <c r="T522" s="75"/>
      <c r="U522" s="76"/>
      <c r="V522" s="21" t="s">
        <v>949</v>
      </c>
      <c r="W522" s="77"/>
      <c r="X522" s="21" t="s">
        <v>846</v>
      </c>
    </row>
    <row r="523" spans="1:24" ht="17.25" customHeight="1" x14ac:dyDescent="0.2">
      <c r="A523" s="21" t="s">
        <v>848</v>
      </c>
      <c r="B523" s="21" t="s">
        <v>2228</v>
      </c>
      <c r="C523" s="21" t="s">
        <v>2229</v>
      </c>
      <c r="D523" s="21">
        <v>198163</v>
      </c>
      <c r="J523" s="21" t="s">
        <v>990</v>
      </c>
      <c r="K523" s="21" t="s">
        <v>984</v>
      </c>
      <c r="L523" s="21" t="s">
        <v>990</v>
      </c>
      <c r="M523" s="21" t="s">
        <v>1140</v>
      </c>
      <c r="N523" s="21">
        <v>20.998989105224599</v>
      </c>
      <c r="O523" s="74">
        <v>92.4632568359375</v>
      </c>
      <c r="Q523" s="21" t="s">
        <v>490</v>
      </c>
      <c r="R523" s="21" t="s">
        <v>464</v>
      </c>
      <c r="S523" s="21" t="s">
        <v>988</v>
      </c>
      <c r="T523" s="75"/>
      <c r="U523" s="76"/>
      <c r="V523" s="21">
        <v>42926</v>
      </c>
      <c r="W523" s="77" t="s">
        <v>1120</v>
      </c>
    </row>
    <row r="524" spans="1:24" ht="17.25" customHeight="1" x14ac:dyDescent="0.2">
      <c r="A524" s="21" t="s">
        <v>857</v>
      </c>
      <c r="B524" s="21" t="s">
        <v>2228</v>
      </c>
      <c r="C524" s="21" t="s">
        <v>2229</v>
      </c>
      <c r="D524" s="21">
        <v>198196</v>
      </c>
      <c r="J524" s="21" t="s">
        <v>984</v>
      </c>
      <c r="K524" s="21" t="s">
        <v>984</v>
      </c>
      <c r="L524" s="21" t="s">
        <v>984</v>
      </c>
      <c r="M524" s="21" t="s">
        <v>464</v>
      </c>
      <c r="N524" s="21">
        <v>21.025630950927699</v>
      </c>
      <c r="O524" s="74">
        <v>92.524818420410199</v>
      </c>
      <c r="P524" s="21" t="s">
        <v>985</v>
      </c>
      <c r="Q524" s="21" t="s">
        <v>490</v>
      </c>
      <c r="R524" s="21" t="s">
        <v>464</v>
      </c>
      <c r="S524" s="21" t="s">
        <v>988</v>
      </c>
      <c r="T524" s="75"/>
      <c r="U524" s="76"/>
      <c r="V524" s="21">
        <v>42926</v>
      </c>
      <c r="W524" s="77" t="s">
        <v>989</v>
      </c>
    </row>
    <row r="525" spans="1:24" ht="17.25" customHeight="1" x14ac:dyDescent="0.2">
      <c r="A525" s="21" t="s">
        <v>864</v>
      </c>
      <c r="B525" s="21" t="s">
        <v>2228</v>
      </c>
      <c r="C525" s="21" t="s">
        <v>2229</v>
      </c>
      <c r="D525" s="21">
        <v>198146</v>
      </c>
      <c r="J525" s="21" t="s">
        <v>990</v>
      </c>
      <c r="K525" s="21" t="s">
        <v>984</v>
      </c>
      <c r="L525" s="21" t="s">
        <v>990</v>
      </c>
      <c r="M525" s="21" t="s">
        <v>981</v>
      </c>
      <c r="N525" s="21">
        <v>21.098579406738299</v>
      </c>
      <c r="O525" s="74">
        <v>92.445549011230497</v>
      </c>
      <c r="Q525" s="21" t="s">
        <v>490</v>
      </c>
      <c r="R525" s="21" t="s">
        <v>464</v>
      </c>
      <c r="S525" s="21" t="s">
        <v>988</v>
      </c>
      <c r="T525" s="75"/>
      <c r="U525" s="76"/>
      <c r="V525" s="21">
        <v>42926</v>
      </c>
      <c r="W525" s="77" t="s">
        <v>1120</v>
      </c>
    </row>
    <row r="526" spans="1:24" ht="17.25" customHeight="1" x14ac:dyDescent="0.2">
      <c r="A526" s="21" t="s">
        <v>491</v>
      </c>
      <c r="B526" s="21" t="s">
        <v>2228</v>
      </c>
      <c r="C526" s="21" t="s">
        <v>2229</v>
      </c>
      <c r="J526" s="21" t="s">
        <v>990</v>
      </c>
      <c r="K526" s="21" t="s">
        <v>984</v>
      </c>
      <c r="L526" s="21" t="s">
        <v>990</v>
      </c>
      <c r="M526" s="21" t="s">
        <v>981</v>
      </c>
      <c r="N526" s="319"/>
      <c r="O526" s="319"/>
      <c r="Q526" s="21" t="s">
        <v>490</v>
      </c>
      <c r="R526" s="21" t="s">
        <v>464</v>
      </c>
      <c r="S526" s="21" t="s">
        <v>988</v>
      </c>
      <c r="T526" s="75"/>
      <c r="U526" s="76"/>
      <c r="V526" s="21">
        <v>42926</v>
      </c>
      <c r="W526" s="77" t="s">
        <v>1120</v>
      </c>
    </row>
    <row r="527" spans="1:24" ht="17.25" customHeight="1" x14ac:dyDescent="0.2">
      <c r="A527" s="21" t="s">
        <v>495</v>
      </c>
      <c r="B527" s="21" t="s">
        <v>2228</v>
      </c>
      <c r="C527" s="21" t="s">
        <v>2229</v>
      </c>
      <c r="J527" s="21" t="s">
        <v>990</v>
      </c>
      <c r="K527" s="21" t="s">
        <v>984</v>
      </c>
      <c r="L527" s="21" t="s">
        <v>990</v>
      </c>
      <c r="M527" s="21" t="s">
        <v>981</v>
      </c>
      <c r="N527" s="319"/>
      <c r="O527" s="319"/>
      <c r="Q527" s="21" t="s">
        <v>490</v>
      </c>
      <c r="R527" s="21" t="s">
        <v>464</v>
      </c>
      <c r="S527" s="21" t="s">
        <v>988</v>
      </c>
      <c r="T527" s="75"/>
      <c r="U527" s="76"/>
      <c r="V527" s="21">
        <v>42926</v>
      </c>
      <c r="W527" s="77" t="s">
        <v>1120</v>
      </c>
    </row>
    <row r="528" spans="1:24" ht="17.25" customHeight="1" x14ac:dyDescent="0.2">
      <c r="A528" s="21" t="s">
        <v>521</v>
      </c>
      <c r="B528" s="21" t="s">
        <v>2228</v>
      </c>
      <c r="C528" s="21" t="s">
        <v>2229</v>
      </c>
      <c r="D528" s="21" t="s">
        <v>949</v>
      </c>
      <c r="J528" s="21" t="s">
        <v>984</v>
      </c>
      <c r="K528" s="21" t="s">
        <v>984</v>
      </c>
      <c r="L528" s="21" t="s">
        <v>984</v>
      </c>
      <c r="M528" s="21" t="s">
        <v>1341</v>
      </c>
      <c r="N528" s="319"/>
      <c r="O528" s="319"/>
      <c r="P528" s="21" t="s">
        <v>985</v>
      </c>
      <c r="Q528" s="21" t="s">
        <v>490</v>
      </c>
      <c r="R528" s="21" t="s">
        <v>464</v>
      </c>
      <c r="S528" s="21" t="s">
        <v>966</v>
      </c>
      <c r="T528" s="75"/>
      <c r="U528" s="76"/>
      <c r="V528" s="21" t="s">
        <v>949</v>
      </c>
      <c r="W528" s="77"/>
      <c r="X528" s="21" t="s">
        <v>521</v>
      </c>
    </row>
    <row r="529" spans="1:24" ht="17.25" customHeight="1" x14ac:dyDescent="0.2">
      <c r="A529" s="21" t="s">
        <v>531</v>
      </c>
      <c r="B529" s="21" t="s">
        <v>2228</v>
      </c>
      <c r="C529" s="21" t="s">
        <v>2229</v>
      </c>
      <c r="D529" s="21" t="s">
        <v>1587</v>
      </c>
      <c r="J529" s="21" t="s">
        <v>984</v>
      </c>
      <c r="K529" s="21" t="s">
        <v>984</v>
      </c>
      <c r="L529" s="21" t="s">
        <v>984</v>
      </c>
      <c r="M529" s="21" t="s">
        <v>464</v>
      </c>
      <c r="N529" s="21">
        <v>19.170919418335</v>
      </c>
      <c r="O529" s="74">
        <v>93.692680358886705</v>
      </c>
      <c r="P529" s="21" t="s">
        <v>985</v>
      </c>
      <c r="Q529" s="21" t="s">
        <v>530</v>
      </c>
      <c r="R529" s="21" t="s">
        <v>464</v>
      </c>
      <c r="S529" s="21" t="s">
        <v>966</v>
      </c>
      <c r="T529" s="75"/>
      <c r="U529" s="76"/>
      <c r="V529" s="21" t="s">
        <v>949</v>
      </c>
      <c r="W529" s="77"/>
      <c r="X529" s="21" t="s">
        <v>531</v>
      </c>
    </row>
    <row r="530" spans="1:24" ht="17.25" customHeight="1" x14ac:dyDescent="0.2">
      <c r="A530" s="21" t="s">
        <v>532</v>
      </c>
      <c r="B530" s="21" t="s">
        <v>2228</v>
      </c>
      <c r="C530" s="21" t="s">
        <v>2229</v>
      </c>
      <c r="D530" s="21" t="s">
        <v>1588</v>
      </c>
      <c r="J530" s="21" t="s">
        <v>984</v>
      </c>
      <c r="K530" s="21" t="s">
        <v>984</v>
      </c>
      <c r="L530" s="21" t="s">
        <v>984</v>
      </c>
      <c r="M530" s="21" t="s">
        <v>464</v>
      </c>
      <c r="N530" s="21">
        <v>19.1756496429443</v>
      </c>
      <c r="O530" s="74">
        <v>93.596443176269503</v>
      </c>
      <c r="P530" s="21" t="s">
        <v>985</v>
      </c>
      <c r="Q530" s="21" t="s">
        <v>530</v>
      </c>
      <c r="R530" s="21" t="s">
        <v>464</v>
      </c>
      <c r="S530" s="21" t="s">
        <v>966</v>
      </c>
      <c r="T530" s="75"/>
      <c r="U530" s="76"/>
      <c r="V530" s="21" t="s">
        <v>949</v>
      </c>
      <c r="W530" s="77"/>
      <c r="X530" s="21" t="s">
        <v>532</v>
      </c>
    </row>
    <row r="531" spans="1:24" ht="17.25" customHeight="1" x14ac:dyDescent="0.2">
      <c r="A531" s="21" t="s">
        <v>533</v>
      </c>
      <c r="B531" s="21" t="s">
        <v>2228</v>
      </c>
      <c r="C531" s="21" t="s">
        <v>2229</v>
      </c>
      <c r="D531" s="21" t="s">
        <v>1589</v>
      </c>
      <c r="J531" s="21" t="s">
        <v>984</v>
      </c>
      <c r="K531" s="21" t="s">
        <v>984</v>
      </c>
      <c r="L531" s="21" t="s">
        <v>984</v>
      </c>
      <c r="M531" s="21" t="s">
        <v>464</v>
      </c>
      <c r="N531" s="21">
        <v>19.184219360351602</v>
      </c>
      <c r="O531" s="74">
        <v>93.699806213378906</v>
      </c>
      <c r="P531" s="21" t="s">
        <v>985</v>
      </c>
      <c r="Q531" s="21" t="s">
        <v>530</v>
      </c>
      <c r="R531" s="21" t="s">
        <v>464</v>
      </c>
      <c r="S531" s="21" t="s">
        <v>966</v>
      </c>
      <c r="T531" s="75"/>
      <c r="U531" s="76"/>
      <c r="V531" s="21" t="s">
        <v>949</v>
      </c>
      <c r="W531" s="77"/>
      <c r="X531" s="21" t="s">
        <v>533</v>
      </c>
    </row>
    <row r="532" spans="1:24" ht="17.25" customHeight="1" x14ac:dyDescent="0.2">
      <c r="A532" s="21" t="s">
        <v>534</v>
      </c>
      <c r="B532" s="21" t="s">
        <v>2228</v>
      </c>
      <c r="C532" s="21" t="s">
        <v>2229</v>
      </c>
      <c r="D532" s="21" t="s">
        <v>1590</v>
      </c>
      <c r="J532" s="21" t="s">
        <v>984</v>
      </c>
      <c r="K532" s="21" t="s">
        <v>984</v>
      </c>
      <c r="L532" s="21" t="s">
        <v>984</v>
      </c>
      <c r="M532" s="21" t="s">
        <v>464</v>
      </c>
      <c r="N532" s="21">
        <v>19.1886596679688</v>
      </c>
      <c r="O532" s="74">
        <v>93.720703125</v>
      </c>
      <c r="P532" s="21" t="s">
        <v>985</v>
      </c>
      <c r="Q532" s="21" t="s">
        <v>530</v>
      </c>
      <c r="R532" s="21" t="s">
        <v>464</v>
      </c>
      <c r="S532" s="21" t="s">
        <v>966</v>
      </c>
      <c r="T532" s="75"/>
      <c r="U532" s="76"/>
      <c r="V532" s="21" t="s">
        <v>949</v>
      </c>
      <c r="W532" s="77"/>
      <c r="X532" s="21" t="s">
        <v>534</v>
      </c>
    </row>
    <row r="533" spans="1:24" ht="17.25" customHeight="1" x14ac:dyDescent="0.2">
      <c r="A533" s="21" t="s">
        <v>535</v>
      </c>
      <c r="B533" s="21" t="s">
        <v>2228</v>
      </c>
      <c r="C533" s="21" t="s">
        <v>2229</v>
      </c>
      <c r="D533" s="21" t="s">
        <v>1591</v>
      </c>
      <c r="J533" s="21" t="s">
        <v>984</v>
      </c>
      <c r="K533" s="21" t="s">
        <v>984</v>
      </c>
      <c r="L533" s="21" t="s">
        <v>984</v>
      </c>
      <c r="M533" s="21" t="s">
        <v>464</v>
      </c>
      <c r="N533" s="21">
        <v>19.189439773559599</v>
      </c>
      <c r="O533" s="74">
        <v>93.733673095703097</v>
      </c>
      <c r="P533" s="21" t="s">
        <v>985</v>
      </c>
      <c r="Q533" s="21" t="s">
        <v>530</v>
      </c>
      <c r="R533" s="21" t="s">
        <v>464</v>
      </c>
      <c r="S533" s="21" t="s">
        <v>966</v>
      </c>
      <c r="T533" s="75"/>
      <c r="U533" s="76"/>
      <c r="V533" s="21" t="s">
        <v>949</v>
      </c>
      <c r="W533" s="77"/>
      <c r="X533" s="21" t="s">
        <v>535</v>
      </c>
    </row>
    <row r="534" spans="1:24" ht="17.25" customHeight="1" x14ac:dyDescent="0.2">
      <c r="A534" s="21" t="s">
        <v>536</v>
      </c>
      <c r="B534" s="21" t="s">
        <v>2228</v>
      </c>
      <c r="C534" s="21" t="s">
        <v>2229</v>
      </c>
      <c r="D534" s="21" t="s">
        <v>1593</v>
      </c>
      <c r="J534" s="21" t="s">
        <v>984</v>
      </c>
      <c r="K534" s="21" t="s">
        <v>984</v>
      </c>
      <c r="L534" s="21" t="s">
        <v>984</v>
      </c>
      <c r="M534" s="21" t="s">
        <v>464</v>
      </c>
      <c r="N534" s="21">
        <v>19.221920013427699</v>
      </c>
      <c r="O534" s="74">
        <v>93.571296691894503</v>
      </c>
      <c r="P534" s="21" t="s">
        <v>985</v>
      </c>
      <c r="Q534" s="21" t="s">
        <v>530</v>
      </c>
      <c r="R534" s="21" t="s">
        <v>464</v>
      </c>
      <c r="S534" s="21" t="s">
        <v>966</v>
      </c>
      <c r="T534" s="75"/>
      <c r="U534" s="76"/>
      <c r="V534" s="21" t="s">
        <v>949</v>
      </c>
      <c r="W534" s="77"/>
      <c r="X534" s="21" t="s">
        <v>536</v>
      </c>
    </row>
    <row r="535" spans="1:24" ht="17.25" customHeight="1" x14ac:dyDescent="0.2">
      <c r="A535" s="21" t="s">
        <v>537</v>
      </c>
      <c r="B535" s="21" t="s">
        <v>2228</v>
      </c>
      <c r="C535" s="21" t="s">
        <v>2229</v>
      </c>
      <c r="D535" s="21" t="s">
        <v>1594</v>
      </c>
      <c r="J535" s="21" t="s">
        <v>984</v>
      </c>
      <c r="K535" s="21" t="s">
        <v>984</v>
      </c>
      <c r="L535" s="21" t="s">
        <v>984</v>
      </c>
      <c r="M535" s="21" t="s">
        <v>464</v>
      </c>
      <c r="N535" s="21">
        <v>19.249820709228501</v>
      </c>
      <c r="O535" s="74">
        <v>93.551040649414105</v>
      </c>
      <c r="P535" s="21" t="s">
        <v>985</v>
      </c>
      <c r="Q535" s="21" t="s">
        <v>530</v>
      </c>
      <c r="R535" s="21" t="s">
        <v>464</v>
      </c>
      <c r="S535" s="21" t="s">
        <v>966</v>
      </c>
      <c r="T535" s="75"/>
      <c r="U535" s="76"/>
      <c r="V535" s="21" t="s">
        <v>949</v>
      </c>
      <c r="W535" s="77"/>
      <c r="X535" s="21" t="s">
        <v>537</v>
      </c>
    </row>
    <row r="536" spans="1:24" ht="17.25" customHeight="1" x14ac:dyDescent="0.2">
      <c r="A536" s="21" t="s">
        <v>538</v>
      </c>
      <c r="B536" s="21" t="s">
        <v>2228</v>
      </c>
      <c r="C536" s="21" t="s">
        <v>2229</v>
      </c>
      <c r="D536" s="21" t="s">
        <v>1595</v>
      </c>
      <c r="J536" s="21" t="s">
        <v>984</v>
      </c>
      <c r="K536" s="21" t="s">
        <v>984</v>
      </c>
      <c r="L536" s="21" t="s">
        <v>984</v>
      </c>
      <c r="M536" s="21" t="s">
        <v>464</v>
      </c>
      <c r="N536" s="21">
        <v>19.254320144653299</v>
      </c>
      <c r="O536" s="74">
        <v>93.548591613769503</v>
      </c>
      <c r="P536" s="21" t="s">
        <v>985</v>
      </c>
      <c r="Q536" s="21" t="s">
        <v>530</v>
      </c>
      <c r="R536" s="21" t="s">
        <v>464</v>
      </c>
      <c r="S536" s="21" t="s">
        <v>966</v>
      </c>
      <c r="T536" s="75"/>
      <c r="U536" s="76"/>
      <c r="V536" s="21" t="s">
        <v>949</v>
      </c>
      <c r="W536" s="77"/>
      <c r="X536" s="21" t="s">
        <v>538</v>
      </c>
    </row>
    <row r="537" spans="1:24" ht="17.25" customHeight="1" x14ac:dyDescent="0.2">
      <c r="A537" s="21" t="s">
        <v>692</v>
      </c>
      <c r="B537" s="21" t="s">
        <v>2228</v>
      </c>
      <c r="C537" s="21" t="s">
        <v>2229</v>
      </c>
      <c r="D537" s="21" t="s">
        <v>1768</v>
      </c>
      <c r="J537" s="21" t="s">
        <v>984</v>
      </c>
      <c r="K537" s="21" t="s">
        <v>984</v>
      </c>
      <c r="L537" s="21" t="s">
        <v>984</v>
      </c>
      <c r="M537" s="21" t="s">
        <v>464</v>
      </c>
      <c r="N537" s="78">
        <v>20.644098281860401</v>
      </c>
      <c r="O537" s="78">
        <v>93.036460876464801</v>
      </c>
      <c r="P537" s="21" t="s">
        <v>985</v>
      </c>
      <c r="Q537" s="21" t="s">
        <v>473</v>
      </c>
      <c r="R537" s="21" t="s">
        <v>464</v>
      </c>
      <c r="S537" s="21" t="s">
        <v>966</v>
      </c>
      <c r="T537" s="75"/>
      <c r="U537" s="76"/>
      <c r="V537" s="21" t="s">
        <v>949</v>
      </c>
      <c r="W537" s="77"/>
      <c r="X537" s="21" t="s">
        <v>949</v>
      </c>
    </row>
    <row r="538" spans="1:24" ht="17.25" customHeight="1" x14ac:dyDescent="0.2">
      <c r="A538" s="21" t="s">
        <v>714</v>
      </c>
      <c r="B538" s="21" t="s">
        <v>2228</v>
      </c>
      <c r="C538" s="21" t="s">
        <v>2229</v>
      </c>
      <c r="D538" s="21">
        <v>196930</v>
      </c>
      <c r="J538" s="21" t="s">
        <v>990</v>
      </c>
      <c r="K538" s="21" t="s">
        <v>984</v>
      </c>
      <c r="L538" s="21" t="s">
        <v>984</v>
      </c>
      <c r="N538" s="78">
        <v>20.681715011596701</v>
      </c>
      <c r="O538" s="78">
        <v>92.94140625</v>
      </c>
      <c r="P538" s="21" t="s">
        <v>1109</v>
      </c>
      <c r="Q538" s="21" t="s">
        <v>473</v>
      </c>
      <c r="R538" s="21" t="s">
        <v>464</v>
      </c>
      <c r="S538" s="21" t="s">
        <v>1112</v>
      </c>
      <c r="T538" s="75"/>
      <c r="U538" s="76"/>
      <c r="V538" s="21">
        <v>43011</v>
      </c>
      <c r="W538" s="77" t="s">
        <v>1113</v>
      </c>
    </row>
    <row r="539" spans="1:24" ht="17.25" customHeight="1" x14ac:dyDescent="0.2">
      <c r="A539" s="21" t="s">
        <v>730</v>
      </c>
      <c r="B539" s="21" t="s">
        <v>2228</v>
      </c>
      <c r="C539" s="21" t="s">
        <v>2229</v>
      </c>
      <c r="D539" s="21" t="s">
        <v>1797</v>
      </c>
      <c r="J539" s="21" t="s">
        <v>990</v>
      </c>
      <c r="K539" s="21" t="s">
        <v>984</v>
      </c>
      <c r="L539" s="21" t="s">
        <v>984</v>
      </c>
      <c r="M539" s="21" t="s">
        <v>464</v>
      </c>
      <c r="N539" s="21">
        <v>20.705930709838899</v>
      </c>
      <c r="O539" s="74">
        <v>93.001953125</v>
      </c>
      <c r="P539" s="21" t="s">
        <v>1109</v>
      </c>
      <c r="Q539" s="21" t="s">
        <v>473</v>
      </c>
      <c r="R539" s="21" t="s">
        <v>464</v>
      </c>
      <c r="S539" s="21" t="s">
        <v>966</v>
      </c>
      <c r="T539" s="75"/>
      <c r="U539" s="76"/>
      <c r="V539" s="21" t="s">
        <v>949</v>
      </c>
      <c r="W539" s="77"/>
      <c r="X539" s="21" t="s">
        <v>730</v>
      </c>
    </row>
    <row r="540" spans="1:24" ht="17.25" customHeight="1" x14ac:dyDescent="0.2">
      <c r="A540" s="21" t="s">
        <v>732</v>
      </c>
      <c r="B540" s="21" t="s">
        <v>2228</v>
      </c>
      <c r="C540" s="21" t="s">
        <v>2229</v>
      </c>
      <c r="D540" s="21" t="s">
        <v>1799</v>
      </c>
      <c r="J540" s="21" t="s">
        <v>984</v>
      </c>
      <c r="K540" s="21" t="s">
        <v>984</v>
      </c>
      <c r="L540" s="21" t="s">
        <v>984</v>
      </c>
      <c r="M540" s="21" t="s">
        <v>464</v>
      </c>
      <c r="N540" s="21">
        <v>20.709970473999999</v>
      </c>
      <c r="O540" s="74">
        <v>93.015357971</v>
      </c>
      <c r="P540" s="21" t="s">
        <v>985</v>
      </c>
      <c r="Q540" s="21" t="s">
        <v>473</v>
      </c>
      <c r="R540" s="21" t="s">
        <v>464</v>
      </c>
      <c r="S540" s="21" t="s">
        <v>966</v>
      </c>
      <c r="T540" s="75"/>
      <c r="U540" s="76"/>
      <c r="V540" s="21" t="s">
        <v>949</v>
      </c>
      <c r="W540" s="77"/>
      <c r="X540" s="21" t="s">
        <v>949</v>
      </c>
    </row>
    <row r="541" spans="1:24" ht="17.25" customHeight="1" x14ac:dyDescent="0.2">
      <c r="A541" s="21" t="s">
        <v>733</v>
      </c>
      <c r="B541" s="21" t="s">
        <v>2228</v>
      </c>
      <c r="C541" s="21" t="s">
        <v>2229</v>
      </c>
      <c r="D541" s="21">
        <v>196944</v>
      </c>
      <c r="J541" s="21" t="s">
        <v>990</v>
      </c>
      <c r="K541" s="21" t="s">
        <v>984</v>
      </c>
      <c r="L541" s="21" t="s">
        <v>984</v>
      </c>
      <c r="N541" s="21">
        <v>20.711349487304702</v>
      </c>
      <c r="O541" s="74">
        <v>92.980506896972699</v>
      </c>
      <c r="P541" s="21" t="s">
        <v>1109</v>
      </c>
      <c r="Q541" s="21" t="s">
        <v>473</v>
      </c>
      <c r="R541" s="21" t="s">
        <v>464</v>
      </c>
      <c r="S541" s="21" t="s">
        <v>1112</v>
      </c>
      <c r="T541" s="75"/>
      <c r="U541" s="76"/>
      <c r="V541" s="21">
        <v>43011</v>
      </c>
      <c r="W541" s="77" t="s">
        <v>1113</v>
      </c>
    </row>
    <row r="542" spans="1:24" ht="17.25" customHeight="1" x14ac:dyDescent="0.2">
      <c r="A542" s="21" t="s">
        <v>744</v>
      </c>
      <c r="B542" s="21" t="s">
        <v>2228</v>
      </c>
      <c r="C542" s="21" t="s">
        <v>2229</v>
      </c>
      <c r="D542" s="21" t="s">
        <v>1810</v>
      </c>
      <c r="J542" s="21" t="s">
        <v>984</v>
      </c>
      <c r="K542" s="21" t="s">
        <v>984</v>
      </c>
      <c r="L542" s="21" t="s">
        <v>1069</v>
      </c>
      <c r="M542" s="21" t="s">
        <v>464</v>
      </c>
      <c r="N542" s="21">
        <v>20.720213000000001</v>
      </c>
      <c r="O542" s="74">
        <v>92.961841000000007</v>
      </c>
      <c r="P542" s="21" t="s">
        <v>985</v>
      </c>
      <c r="Q542" s="21" t="s">
        <v>473</v>
      </c>
      <c r="R542" s="21" t="s">
        <v>464</v>
      </c>
      <c r="S542" s="21" t="s">
        <v>966</v>
      </c>
      <c r="T542" s="75">
        <v>100</v>
      </c>
      <c r="U542" s="76">
        <v>559</v>
      </c>
      <c r="V542" s="21" t="s">
        <v>949</v>
      </c>
      <c r="W542" s="77"/>
      <c r="X542" s="21" t="s">
        <v>744</v>
      </c>
    </row>
    <row r="543" spans="1:24" ht="17.25" customHeight="1" x14ac:dyDescent="0.2">
      <c r="A543" s="21" t="s">
        <v>747</v>
      </c>
      <c r="B543" s="21" t="s">
        <v>2228</v>
      </c>
      <c r="C543" s="21" t="s">
        <v>2229</v>
      </c>
      <c r="D543" s="21" t="s">
        <v>1815</v>
      </c>
      <c r="J543" s="21" t="s">
        <v>984</v>
      </c>
      <c r="K543" s="21" t="s">
        <v>984</v>
      </c>
      <c r="L543" s="21" t="s">
        <v>984</v>
      </c>
      <c r="M543" s="21" t="s">
        <v>464</v>
      </c>
      <c r="N543" s="21">
        <v>20.723630905151399</v>
      </c>
      <c r="O543" s="74">
        <v>92.974327087402301</v>
      </c>
      <c r="P543" s="21" t="s">
        <v>985</v>
      </c>
      <c r="Q543" s="21" t="s">
        <v>473</v>
      </c>
      <c r="R543" s="21" t="s">
        <v>464</v>
      </c>
      <c r="S543" s="21" t="s">
        <v>966</v>
      </c>
      <c r="T543" s="75"/>
      <c r="U543" s="76"/>
      <c r="V543" s="21" t="s">
        <v>949</v>
      </c>
      <c r="W543" s="77"/>
      <c r="X543" s="21" t="s">
        <v>747</v>
      </c>
    </row>
    <row r="544" spans="1:24" ht="17.25" customHeight="1" x14ac:dyDescent="0.2">
      <c r="A544" s="21" t="s">
        <v>773</v>
      </c>
      <c r="B544" s="21" t="s">
        <v>2228</v>
      </c>
      <c r="C544" s="21" t="s">
        <v>2229</v>
      </c>
      <c r="D544" s="21" t="s">
        <v>1837</v>
      </c>
      <c r="J544" s="21" t="s">
        <v>984</v>
      </c>
      <c r="K544" s="21" t="s">
        <v>984</v>
      </c>
      <c r="L544" s="21" t="s">
        <v>984</v>
      </c>
      <c r="M544" s="21" t="s">
        <v>464</v>
      </c>
      <c r="N544" s="21">
        <v>20.785699844360401</v>
      </c>
      <c r="O544" s="74">
        <v>92.986633300781307</v>
      </c>
      <c r="P544" s="21" t="s">
        <v>985</v>
      </c>
      <c r="Q544" s="21" t="s">
        <v>473</v>
      </c>
      <c r="R544" s="21" t="s">
        <v>464</v>
      </c>
      <c r="S544" s="21" t="s">
        <v>966</v>
      </c>
      <c r="T544" s="75"/>
      <c r="U544" s="76"/>
      <c r="V544" s="21" t="s">
        <v>949</v>
      </c>
      <c r="W544" s="77"/>
      <c r="X544" s="21" t="s">
        <v>773</v>
      </c>
    </row>
    <row r="545" spans="1:24" ht="17.25" customHeight="1" x14ac:dyDescent="0.2">
      <c r="A545" s="21" t="s">
        <v>774</v>
      </c>
      <c r="B545" s="21" t="s">
        <v>2228</v>
      </c>
      <c r="C545" s="21" t="s">
        <v>2229</v>
      </c>
      <c r="D545" s="21">
        <v>196887</v>
      </c>
      <c r="J545" s="21" t="s">
        <v>990</v>
      </c>
      <c r="K545" s="21" t="s">
        <v>984</v>
      </c>
      <c r="L545" s="21" t="s">
        <v>984</v>
      </c>
      <c r="N545" s="21">
        <v>20.785770416259801</v>
      </c>
      <c r="O545" s="74">
        <v>92.931427001953097</v>
      </c>
      <c r="P545" s="21" t="s">
        <v>1109</v>
      </c>
      <c r="Q545" s="21" t="s">
        <v>473</v>
      </c>
      <c r="R545" s="21" t="s">
        <v>464</v>
      </c>
      <c r="S545" s="21" t="s">
        <v>1112</v>
      </c>
      <c r="T545" s="75"/>
      <c r="U545" s="76"/>
      <c r="V545" s="21">
        <v>43011</v>
      </c>
      <c r="W545" s="77" t="s">
        <v>1113</v>
      </c>
    </row>
    <row r="546" spans="1:24" ht="17.25" customHeight="1" x14ac:dyDescent="0.2">
      <c r="A546" s="21" t="s">
        <v>785</v>
      </c>
      <c r="B546" s="21" t="s">
        <v>2228</v>
      </c>
      <c r="C546" s="21" t="s">
        <v>2229</v>
      </c>
      <c r="D546" s="21" t="s">
        <v>1847</v>
      </c>
      <c r="J546" s="21" t="s">
        <v>990</v>
      </c>
      <c r="K546" s="21" t="s">
        <v>984</v>
      </c>
      <c r="L546" s="21" t="s">
        <v>984</v>
      </c>
      <c r="M546" s="21" t="s">
        <v>1119</v>
      </c>
      <c r="N546" s="21">
        <v>20.803529739379901</v>
      </c>
      <c r="O546" s="74">
        <v>92.929466247558594</v>
      </c>
      <c r="P546" s="21" t="s">
        <v>1109</v>
      </c>
      <c r="Q546" s="21" t="s">
        <v>473</v>
      </c>
      <c r="R546" s="21" t="s">
        <v>464</v>
      </c>
      <c r="T546" s="75"/>
      <c r="U546" s="76"/>
      <c r="V546" s="21" t="s">
        <v>949</v>
      </c>
      <c r="W546" s="77"/>
      <c r="X546" s="21" t="s">
        <v>785</v>
      </c>
    </row>
    <row r="547" spans="1:24" ht="17.25" customHeight="1" x14ac:dyDescent="0.2">
      <c r="A547" s="21" t="s">
        <v>792</v>
      </c>
      <c r="B547" s="21" t="s">
        <v>2228</v>
      </c>
      <c r="C547" s="21" t="s">
        <v>2229</v>
      </c>
      <c r="D547" s="21" t="s">
        <v>1852</v>
      </c>
      <c r="J547" s="21" t="s">
        <v>984</v>
      </c>
      <c r="K547" s="21" t="s">
        <v>984</v>
      </c>
      <c r="L547" s="21" t="s">
        <v>984</v>
      </c>
      <c r="M547" s="21" t="s">
        <v>464</v>
      </c>
      <c r="N547" s="21">
        <v>20.806400299072301</v>
      </c>
      <c r="O547" s="74">
        <v>92.982147216796903</v>
      </c>
      <c r="P547" s="21" t="s">
        <v>985</v>
      </c>
      <c r="Q547" s="21" t="s">
        <v>473</v>
      </c>
      <c r="R547" s="21" t="s">
        <v>464</v>
      </c>
      <c r="S547" s="21" t="s">
        <v>966</v>
      </c>
      <c r="T547" s="75"/>
      <c r="U547" s="76"/>
      <c r="V547" s="21" t="s">
        <v>949</v>
      </c>
      <c r="W547" s="77"/>
      <c r="X547" s="21" t="s">
        <v>792</v>
      </c>
    </row>
    <row r="548" spans="1:24" ht="17.25" customHeight="1" x14ac:dyDescent="0.2">
      <c r="A548" s="21" t="s">
        <v>793</v>
      </c>
      <c r="B548" s="21" t="s">
        <v>2228</v>
      </c>
      <c r="C548" s="21" t="s">
        <v>2229</v>
      </c>
      <c r="D548" s="21">
        <v>196882</v>
      </c>
      <c r="J548" s="21" t="s">
        <v>990</v>
      </c>
      <c r="K548" s="21" t="s">
        <v>984</v>
      </c>
      <c r="L548" s="21" t="s">
        <v>984</v>
      </c>
      <c r="N548" s="21">
        <v>20.807970046997099</v>
      </c>
      <c r="O548" s="74">
        <v>92.929046630859403</v>
      </c>
      <c r="P548" s="21" t="s">
        <v>1109</v>
      </c>
      <c r="Q548" s="21" t="s">
        <v>473</v>
      </c>
      <c r="R548" s="21" t="s">
        <v>464</v>
      </c>
      <c r="S548" s="21" t="s">
        <v>1112</v>
      </c>
      <c r="T548" s="75"/>
      <c r="U548" s="76"/>
      <c r="V548" s="21">
        <v>43011</v>
      </c>
      <c r="W548" s="77" t="s">
        <v>1113</v>
      </c>
    </row>
    <row r="549" spans="1:24" ht="17.25" customHeight="1" x14ac:dyDescent="0.2">
      <c r="A549" s="21" t="s">
        <v>794</v>
      </c>
      <c r="B549" s="21" t="s">
        <v>2228</v>
      </c>
      <c r="C549" s="21" t="s">
        <v>2229</v>
      </c>
      <c r="D549" s="21">
        <v>196881</v>
      </c>
      <c r="J549" s="21" t="s">
        <v>990</v>
      </c>
      <c r="K549" s="21" t="s">
        <v>984</v>
      </c>
      <c r="L549" s="21" t="s">
        <v>984</v>
      </c>
      <c r="N549" s="21">
        <v>20.809240341186499</v>
      </c>
      <c r="O549" s="74">
        <v>92.923919677734403</v>
      </c>
      <c r="P549" s="21" t="s">
        <v>1109</v>
      </c>
      <c r="Q549" s="21" t="s">
        <v>473</v>
      </c>
      <c r="R549" s="21" t="s">
        <v>464</v>
      </c>
      <c r="S549" s="21" t="s">
        <v>1112</v>
      </c>
      <c r="T549" s="75"/>
      <c r="U549" s="76"/>
      <c r="V549" s="21">
        <v>43011</v>
      </c>
      <c r="W549" s="77" t="s">
        <v>1113</v>
      </c>
    </row>
    <row r="550" spans="1:24" ht="17.25" customHeight="1" x14ac:dyDescent="0.2">
      <c r="A550" s="21" t="s">
        <v>808</v>
      </c>
      <c r="B550" s="21" t="s">
        <v>2228</v>
      </c>
      <c r="C550" s="21" t="s">
        <v>2229</v>
      </c>
      <c r="D550" s="21">
        <v>196880</v>
      </c>
      <c r="J550" s="21" t="s">
        <v>990</v>
      </c>
      <c r="K550" s="21" t="s">
        <v>984</v>
      </c>
      <c r="L550" s="21" t="s">
        <v>984</v>
      </c>
      <c r="N550" s="21">
        <v>20.831729888916001</v>
      </c>
      <c r="O550" s="74">
        <v>92.919639587402301</v>
      </c>
      <c r="P550" s="21" t="s">
        <v>1109</v>
      </c>
      <c r="Q550" s="21" t="s">
        <v>473</v>
      </c>
      <c r="R550" s="21" t="s">
        <v>464</v>
      </c>
      <c r="S550" s="21" t="s">
        <v>1112</v>
      </c>
      <c r="T550" s="75"/>
      <c r="U550" s="76"/>
      <c r="V550" s="21">
        <v>43011</v>
      </c>
      <c r="W550" s="77" t="s">
        <v>1113</v>
      </c>
    </row>
    <row r="551" spans="1:24" ht="17.25" customHeight="1" x14ac:dyDescent="0.2">
      <c r="A551" s="21" t="s">
        <v>813</v>
      </c>
      <c r="B551" s="21" t="s">
        <v>2228</v>
      </c>
      <c r="C551" s="21" t="s">
        <v>2229</v>
      </c>
      <c r="D551" s="21">
        <v>196825</v>
      </c>
      <c r="J551" s="21" t="s">
        <v>990</v>
      </c>
      <c r="K551" s="21" t="s">
        <v>984</v>
      </c>
      <c r="L551" s="21" t="s">
        <v>984</v>
      </c>
      <c r="N551" s="21">
        <v>20.851089477539102</v>
      </c>
      <c r="O551" s="74">
        <v>92.916893005371094</v>
      </c>
      <c r="P551" s="21" t="s">
        <v>1109</v>
      </c>
      <c r="Q551" s="21" t="s">
        <v>473</v>
      </c>
      <c r="R551" s="21" t="s">
        <v>464</v>
      </c>
      <c r="S551" s="21" t="s">
        <v>1112</v>
      </c>
      <c r="T551" s="75"/>
      <c r="U551" s="76"/>
      <c r="V551" s="21">
        <v>43011</v>
      </c>
      <c r="W551" s="77" t="s">
        <v>1113</v>
      </c>
    </row>
    <row r="552" spans="1:24" ht="17.25" customHeight="1" x14ac:dyDescent="0.2">
      <c r="A552" s="21" t="s">
        <v>814</v>
      </c>
      <c r="B552" s="21" t="s">
        <v>2228</v>
      </c>
      <c r="C552" s="21" t="s">
        <v>2229</v>
      </c>
      <c r="D552" s="21">
        <v>196824</v>
      </c>
      <c r="J552" s="21" t="s">
        <v>990</v>
      </c>
      <c r="K552" s="21" t="s">
        <v>984</v>
      </c>
      <c r="L552" s="21" t="s">
        <v>984</v>
      </c>
      <c r="N552" s="21">
        <v>20.8550128936768</v>
      </c>
      <c r="O552" s="74">
        <v>92.91</v>
      </c>
      <c r="P552" s="21" t="s">
        <v>1109</v>
      </c>
      <c r="Q552" s="21" t="s">
        <v>473</v>
      </c>
      <c r="R552" s="21" t="s">
        <v>464</v>
      </c>
      <c r="S552" s="21" t="s">
        <v>1112</v>
      </c>
      <c r="T552" s="75"/>
      <c r="U552" s="76"/>
      <c r="V552" s="21">
        <v>43011</v>
      </c>
      <c r="W552" s="77" t="s">
        <v>1113</v>
      </c>
    </row>
    <row r="553" spans="1:24" ht="17.25" customHeight="1" x14ac:dyDescent="0.2">
      <c r="A553" s="21" t="s">
        <v>816</v>
      </c>
      <c r="B553" s="21" t="s">
        <v>2228</v>
      </c>
      <c r="C553" s="21" t="s">
        <v>2229</v>
      </c>
      <c r="D553" s="21">
        <v>196817</v>
      </c>
      <c r="J553" s="21" t="s">
        <v>990</v>
      </c>
      <c r="K553" s="21" t="s">
        <v>984</v>
      </c>
      <c r="L553" s="21" t="s">
        <v>984</v>
      </c>
      <c r="N553" s="21">
        <v>20.864519119262699</v>
      </c>
      <c r="O553" s="74">
        <v>92.940399169921903</v>
      </c>
      <c r="P553" s="21" t="s">
        <v>1109</v>
      </c>
      <c r="Q553" s="21" t="s">
        <v>473</v>
      </c>
      <c r="R553" s="21" t="s">
        <v>464</v>
      </c>
      <c r="S553" s="21" t="s">
        <v>1112</v>
      </c>
      <c r="T553" s="75"/>
      <c r="U553" s="76"/>
      <c r="V553" s="21">
        <v>43011</v>
      </c>
      <c r="W553" s="77" t="s">
        <v>1113</v>
      </c>
    </row>
    <row r="554" spans="1:24" ht="17.25" customHeight="1" x14ac:dyDescent="0.2">
      <c r="A554" s="21" t="s">
        <v>832</v>
      </c>
      <c r="B554" s="21" t="s">
        <v>2228</v>
      </c>
      <c r="C554" s="21" t="s">
        <v>2229</v>
      </c>
      <c r="D554" s="21">
        <v>196814</v>
      </c>
      <c r="J554" s="21" t="s">
        <v>990</v>
      </c>
      <c r="K554" s="21" t="s">
        <v>984</v>
      </c>
      <c r="L554" s="21" t="s">
        <v>984</v>
      </c>
      <c r="N554" s="21">
        <v>20.894269943237301</v>
      </c>
      <c r="O554" s="74">
        <v>92.920730590820298</v>
      </c>
      <c r="P554" s="21" t="s">
        <v>1109</v>
      </c>
      <c r="Q554" s="21" t="s">
        <v>473</v>
      </c>
      <c r="R554" s="21" t="s">
        <v>464</v>
      </c>
      <c r="S554" s="21" t="s">
        <v>1112</v>
      </c>
      <c r="T554" s="75"/>
      <c r="U554" s="76"/>
      <c r="V554" s="21">
        <v>43011</v>
      </c>
      <c r="W554" s="77" t="s">
        <v>1113</v>
      </c>
    </row>
    <row r="555" spans="1:24" ht="17.25" customHeight="1" x14ac:dyDescent="0.2">
      <c r="A555" s="21" t="s">
        <v>833</v>
      </c>
      <c r="B555" s="21" t="s">
        <v>2228</v>
      </c>
      <c r="C555" s="21" t="s">
        <v>2229</v>
      </c>
      <c r="D555" s="21">
        <v>196807</v>
      </c>
      <c r="J555" s="21" t="s">
        <v>990</v>
      </c>
      <c r="K555" s="21" t="s">
        <v>984</v>
      </c>
      <c r="L555" s="21" t="s">
        <v>984</v>
      </c>
      <c r="N555" s="21">
        <v>20.8950595855713</v>
      </c>
      <c r="O555" s="74">
        <v>92.907356262207003</v>
      </c>
      <c r="P555" s="21" t="s">
        <v>1109</v>
      </c>
      <c r="Q555" s="21" t="s">
        <v>473</v>
      </c>
      <c r="R555" s="21" t="s">
        <v>464</v>
      </c>
      <c r="S555" s="21" t="s">
        <v>1112</v>
      </c>
      <c r="T555" s="75"/>
      <c r="U555" s="76"/>
      <c r="V555" s="21">
        <v>43011</v>
      </c>
      <c r="W555" s="77" t="s">
        <v>1113</v>
      </c>
    </row>
    <row r="556" spans="1:24" ht="17.25" customHeight="1" x14ac:dyDescent="0.2">
      <c r="A556" s="21" t="s">
        <v>835</v>
      </c>
      <c r="B556" s="21" t="s">
        <v>2228</v>
      </c>
      <c r="C556" s="21" t="s">
        <v>2229</v>
      </c>
      <c r="D556" s="21" t="s">
        <v>1883</v>
      </c>
      <c r="J556" s="21" t="s">
        <v>984</v>
      </c>
      <c r="K556" s="21" t="s">
        <v>984</v>
      </c>
      <c r="L556" s="21" t="s">
        <v>984</v>
      </c>
      <c r="M556" s="21" t="s">
        <v>981</v>
      </c>
      <c r="N556" s="78">
        <v>20.903770446777301</v>
      </c>
      <c r="O556" s="78">
        <v>93.004432678222699</v>
      </c>
      <c r="P556" s="21" t="s">
        <v>985</v>
      </c>
      <c r="Q556" s="21" t="s">
        <v>473</v>
      </c>
      <c r="R556" s="21" t="s">
        <v>464</v>
      </c>
      <c r="S556" s="21" t="s">
        <v>966</v>
      </c>
      <c r="T556" s="75"/>
      <c r="U556" s="76"/>
      <c r="V556" s="21" t="s">
        <v>949</v>
      </c>
      <c r="W556" s="77"/>
      <c r="X556" s="21" t="s">
        <v>835</v>
      </c>
    </row>
    <row r="557" spans="1:24" ht="17.25" customHeight="1" x14ac:dyDescent="0.2">
      <c r="A557" s="21" t="s">
        <v>870</v>
      </c>
      <c r="B557" s="21" t="s">
        <v>2228</v>
      </c>
      <c r="C557" s="21" t="s">
        <v>2229</v>
      </c>
      <c r="D557" s="21" t="s">
        <v>2112</v>
      </c>
      <c r="J557" s="21" t="s">
        <v>990</v>
      </c>
      <c r="K557" s="21" t="s">
        <v>984</v>
      </c>
      <c r="L557" s="21" t="s">
        <v>984</v>
      </c>
      <c r="M557" s="21" t="s">
        <v>981</v>
      </c>
      <c r="N557" s="74">
        <v>20.859569549560501</v>
      </c>
      <c r="O557" s="21">
        <v>92.941146850585895</v>
      </c>
      <c r="P557" s="21" t="s">
        <v>1109</v>
      </c>
      <c r="Q557" s="21" t="s">
        <v>473</v>
      </c>
      <c r="R557" s="21" t="s">
        <v>464</v>
      </c>
      <c r="S557" s="21" t="s">
        <v>966</v>
      </c>
      <c r="T557" s="75"/>
      <c r="U557" s="76"/>
      <c r="V557" s="21" t="s">
        <v>949</v>
      </c>
      <c r="W557" s="77"/>
      <c r="X557" s="21" t="s">
        <v>949</v>
      </c>
    </row>
    <row r="558" spans="1:24" ht="17.25" customHeight="1" x14ac:dyDescent="0.2">
      <c r="A558" s="21" t="s">
        <v>871</v>
      </c>
      <c r="B558" s="21" t="s">
        <v>2228</v>
      </c>
      <c r="C558" s="21" t="s">
        <v>2229</v>
      </c>
      <c r="D558" s="21" t="s">
        <v>2113</v>
      </c>
      <c r="J558" s="21" t="s">
        <v>990</v>
      </c>
      <c r="K558" s="21" t="s">
        <v>1065</v>
      </c>
      <c r="L558" s="21" t="s">
        <v>984</v>
      </c>
      <c r="M558" s="21" t="s">
        <v>464</v>
      </c>
      <c r="N558" s="74">
        <v>20.786739349365199</v>
      </c>
      <c r="O558" s="21">
        <v>92.944313049316406</v>
      </c>
      <c r="P558" s="21" t="s">
        <v>1109</v>
      </c>
      <c r="Q558" s="21" t="s">
        <v>473</v>
      </c>
      <c r="R558" s="21" t="s">
        <v>464</v>
      </c>
      <c r="S558" s="21" t="s">
        <v>966</v>
      </c>
      <c r="T558" s="75"/>
      <c r="U558" s="76"/>
      <c r="V558" s="21" t="s">
        <v>949</v>
      </c>
      <c r="W558" s="77"/>
      <c r="X558" s="21" t="s">
        <v>949</v>
      </c>
    </row>
    <row r="559" spans="1:24" ht="17.25" customHeight="1" x14ac:dyDescent="0.2">
      <c r="A559" s="21" t="s">
        <v>872</v>
      </c>
      <c r="B559" s="21" t="s">
        <v>2228</v>
      </c>
      <c r="C559" s="21" t="s">
        <v>2229</v>
      </c>
      <c r="D559" s="21" t="s">
        <v>2114</v>
      </c>
      <c r="J559" s="21" t="s">
        <v>990</v>
      </c>
      <c r="K559" s="21" t="s">
        <v>984</v>
      </c>
      <c r="L559" s="21" t="s">
        <v>984</v>
      </c>
      <c r="M559" s="21" t="s">
        <v>464</v>
      </c>
      <c r="N559" s="74">
        <v>20.8037109375</v>
      </c>
      <c r="O559" s="21">
        <v>92.946136474609403</v>
      </c>
      <c r="P559" s="21" t="s">
        <v>1109</v>
      </c>
      <c r="Q559" s="21" t="s">
        <v>473</v>
      </c>
      <c r="R559" s="21" t="s">
        <v>464</v>
      </c>
      <c r="S559" s="21" t="s">
        <v>966</v>
      </c>
      <c r="T559" s="75"/>
      <c r="U559" s="76"/>
      <c r="V559" s="21" t="s">
        <v>949</v>
      </c>
      <c r="W559" s="77"/>
      <c r="X559" s="21" t="s">
        <v>949</v>
      </c>
    </row>
    <row r="560" spans="1:24" ht="17.25" customHeight="1" x14ac:dyDescent="0.2">
      <c r="A560" s="21" t="s">
        <v>873</v>
      </c>
      <c r="B560" s="21" t="s">
        <v>2228</v>
      </c>
      <c r="C560" s="21" t="s">
        <v>2229</v>
      </c>
      <c r="D560" s="21" t="s">
        <v>2115</v>
      </c>
      <c r="J560" s="21" t="s">
        <v>984</v>
      </c>
      <c r="K560" s="21" t="s">
        <v>984</v>
      </c>
      <c r="L560" s="21" t="s">
        <v>984</v>
      </c>
      <c r="M560" s="21" t="s">
        <v>464</v>
      </c>
      <c r="N560" s="74">
        <v>20.697889328002901</v>
      </c>
      <c r="O560" s="21">
        <v>92.951232910156307</v>
      </c>
      <c r="P560" s="21" t="s">
        <v>985</v>
      </c>
      <c r="Q560" s="21" t="s">
        <v>473</v>
      </c>
      <c r="R560" s="21" t="s">
        <v>464</v>
      </c>
      <c r="S560" s="21" t="s">
        <v>966</v>
      </c>
      <c r="T560" s="75"/>
      <c r="U560" s="76"/>
      <c r="V560" s="21" t="s">
        <v>949</v>
      </c>
      <c r="W560" s="77"/>
      <c r="X560" s="21" t="s">
        <v>949</v>
      </c>
    </row>
    <row r="561" spans="1:24" ht="17.25" customHeight="1" x14ac:dyDescent="0.2">
      <c r="A561" s="21" t="s">
        <v>874</v>
      </c>
      <c r="B561" s="21" t="s">
        <v>2228</v>
      </c>
      <c r="C561" s="21" t="s">
        <v>2229</v>
      </c>
      <c r="D561" s="21" t="s">
        <v>2116</v>
      </c>
      <c r="J561" s="21" t="s">
        <v>990</v>
      </c>
      <c r="K561" s="21" t="s">
        <v>984</v>
      </c>
      <c r="L561" s="21" t="s">
        <v>984</v>
      </c>
      <c r="M561" s="21" t="s">
        <v>464</v>
      </c>
      <c r="N561" s="74">
        <v>20.677059173583999</v>
      </c>
      <c r="O561" s="21">
        <v>92.9532470703125</v>
      </c>
      <c r="P561" s="21" t="s">
        <v>1109</v>
      </c>
      <c r="Q561" s="21" t="s">
        <v>473</v>
      </c>
      <c r="R561" s="21" t="s">
        <v>464</v>
      </c>
      <c r="S561" s="21" t="s">
        <v>966</v>
      </c>
      <c r="T561" s="75"/>
      <c r="U561" s="76"/>
      <c r="V561" s="21" t="s">
        <v>949</v>
      </c>
      <c r="W561" s="77"/>
      <c r="X561" s="21" t="s">
        <v>949</v>
      </c>
    </row>
    <row r="562" spans="1:24" ht="17.25" customHeight="1" x14ac:dyDescent="0.2">
      <c r="A562" s="21" t="s">
        <v>875</v>
      </c>
      <c r="B562" s="21" t="s">
        <v>2228</v>
      </c>
      <c r="C562" s="21" t="s">
        <v>2229</v>
      </c>
      <c r="D562" s="21" t="s">
        <v>2117</v>
      </c>
      <c r="J562" s="21" t="s">
        <v>984</v>
      </c>
      <c r="K562" s="21" t="s">
        <v>984</v>
      </c>
      <c r="L562" s="21" t="s">
        <v>984</v>
      </c>
      <c r="M562" s="21" t="s">
        <v>464</v>
      </c>
      <c r="N562" s="74">
        <v>20.716699600219702</v>
      </c>
      <c r="O562" s="21">
        <v>92.997863769531307</v>
      </c>
      <c r="P562" s="21" t="s">
        <v>985</v>
      </c>
      <c r="Q562" s="21" t="s">
        <v>473</v>
      </c>
      <c r="R562" s="21" t="s">
        <v>464</v>
      </c>
      <c r="S562" s="21" t="s">
        <v>966</v>
      </c>
      <c r="T562" s="75"/>
      <c r="U562" s="76"/>
      <c r="V562" s="21" t="s">
        <v>949</v>
      </c>
      <c r="W562" s="77"/>
      <c r="X562" s="21" t="s">
        <v>949</v>
      </c>
    </row>
    <row r="563" spans="1:24" ht="17.25" customHeight="1" x14ac:dyDescent="0.2">
      <c r="A563" s="21" t="s">
        <v>876</v>
      </c>
      <c r="B563" s="21" t="s">
        <v>2228</v>
      </c>
      <c r="C563" s="21" t="s">
        <v>2229</v>
      </c>
      <c r="D563" s="21" t="s">
        <v>2118</v>
      </c>
      <c r="J563" s="21" t="s">
        <v>984</v>
      </c>
      <c r="K563" s="21" t="s">
        <v>984</v>
      </c>
      <c r="L563" s="21" t="s">
        <v>984</v>
      </c>
      <c r="M563" s="21" t="s">
        <v>464</v>
      </c>
      <c r="N563" s="74">
        <v>20.627639770507798</v>
      </c>
      <c r="O563" s="21">
        <v>93.022773742675795</v>
      </c>
      <c r="P563" s="21" t="s">
        <v>985</v>
      </c>
      <c r="Q563" s="21" t="s">
        <v>473</v>
      </c>
      <c r="R563" s="21" t="s">
        <v>464</v>
      </c>
      <c r="S563" s="21" t="s">
        <v>966</v>
      </c>
      <c r="T563" s="75"/>
      <c r="U563" s="76"/>
      <c r="V563" s="21" t="s">
        <v>949</v>
      </c>
      <c r="W563" s="77"/>
      <c r="X563" s="21" t="s">
        <v>949</v>
      </c>
    </row>
    <row r="564" spans="1:24" ht="17.25" customHeight="1" x14ac:dyDescent="0.2">
      <c r="A564" s="21" t="s">
        <v>877</v>
      </c>
      <c r="B564" s="21" t="s">
        <v>2228</v>
      </c>
      <c r="C564" s="21" t="s">
        <v>2229</v>
      </c>
      <c r="D564" s="21" t="s">
        <v>2119</v>
      </c>
      <c r="J564" s="21" t="s">
        <v>984</v>
      </c>
      <c r="K564" s="21" t="s">
        <v>984</v>
      </c>
      <c r="L564" s="21" t="s">
        <v>984</v>
      </c>
      <c r="M564" s="21" t="s">
        <v>464</v>
      </c>
      <c r="N564" s="74">
        <v>20.6080207824707</v>
      </c>
      <c r="O564" s="21">
        <v>93.035400390625</v>
      </c>
      <c r="P564" s="21" t="s">
        <v>985</v>
      </c>
      <c r="Q564" s="21" t="s">
        <v>473</v>
      </c>
      <c r="R564" s="21" t="s">
        <v>464</v>
      </c>
      <c r="S564" s="21" t="s">
        <v>966</v>
      </c>
      <c r="T564" s="75"/>
      <c r="U564" s="76"/>
      <c r="V564" s="21" t="s">
        <v>949</v>
      </c>
      <c r="W564" s="77"/>
      <c r="X564" s="21" t="s">
        <v>949</v>
      </c>
    </row>
    <row r="565" spans="1:24" ht="17.25" customHeight="1" x14ac:dyDescent="0.2">
      <c r="A565" s="246" t="s">
        <v>474</v>
      </c>
      <c r="B565" s="246" t="s">
        <v>2228</v>
      </c>
      <c r="C565" s="21" t="s">
        <v>2229</v>
      </c>
      <c r="D565" s="21" t="s">
        <v>949</v>
      </c>
      <c r="J565" s="21" t="s">
        <v>984</v>
      </c>
      <c r="K565" s="21" t="s">
        <v>984</v>
      </c>
      <c r="L565" s="21" t="s">
        <v>984</v>
      </c>
      <c r="M565" s="21" t="s">
        <v>464</v>
      </c>
      <c r="N565" s="319"/>
      <c r="O565" s="319"/>
      <c r="P565" s="21" t="s">
        <v>985</v>
      </c>
      <c r="Q565" s="21" t="s">
        <v>473</v>
      </c>
      <c r="R565" s="21" t="s">
        <v>464</v>
      </c>
      <c r="S565" s="21" t="s">
        <v>966</v>
      </c>
      <c r="T565" s="75"/>
      <c r="U565" s="76"/>
      <c r="V565" s="21" t="s">
        <v>949</v>
      </c>
      <c r="W565" s="77"/>
      <c r="X565" s="21" t="s">
        <v>474</v>
      </c>
    </row>
    <row r="566" spans="1:24" ht="17.25" customHeight="1" x14ac:dyDescent="0.2">
      <c r="A566" s="21" t="s">
        <v>504</v>
      </c>
      <c r="B566" s="21" t="s">
        <v>2228</v>
      </c>
      <c r="C566" s="21" t="s">
        <v>2229</v>
      </c>
      <c r="J566" s="21" t="s">
        <v>990</v>
      </c>
      <c r="K566" s="21" t="s">
        <v>984</v>
      </c>
      <c r="L566" s="21" t="s">
        <v>984</v>
      </c>
      <c r="N566" s="319"/>
      <c r="O566" s="319"/>
      <c r="P566" s="21" t="s">
        <v>1109</v>
      </c>
      <c r="Q566" s="21" t="s">
        <v>473</v>
      </c>
      <c r="R566" s="21" t="s">
        <v>464</v>
      </c>
      <c r="S566" s="21" t="s">
        <v>1112</v>
      </c>
      <c r="T566" s="75"/>
      <c r="U566" s="76"/>
      <c r="V566" s="21">
        <v>43011</v>
      </c>
      <c r="W566" s="77" t="s">
        <v>1113</v>
      </c>
    </row>
    <row r="567" spans="1:24" ht="17.25" customHeight="1" x14ac:dyDescent="0.2">
      <c r="A567" s="21" t="s">
        <v>507</v>
      </c>
      <c r="B567" s="21" t="s">
        <v>2228</v>
      </c>
      <c r="C567" s="21" t="s">
        <v>2229</v>
      </c>
      <c r="D567" s="21">
        <v>196815</v>
      </c>
      <c r="J567" s="21" t="s">
        <v>990</v>
      </c>
      <c r="K567" s="21" t="s">
        <v>984</v>
      </c>
      <c r="L567" s="21" t="s">
        <v>984</v>
      </c>
      <c r="N567" s="319"/>
      <c r="O567" s="319"/>
      <c r="P567" s="21" t="s">
        <v>1109</v>
      </c>
      <c r="Q567" s="21" t="s">
        <v>473</v>
      </c>
      <c r="R567" s="21" t="s">
        <v>464</v>
      </c>
      <c r="S567" s="21" t="s">
        <v>1112</v>
      </c>
      <c r="T567" s="75"/>
      <c r="U567" s="76"/>
      <c r="V567" s="21">
        <v>43011</v>
      </c>
      <c r="W567" s="77" t="s">
        <v>1113</v>
      </c>
    </row>
    <row r="568" spans="1:24" ht="17.25" customHeight="1" x14ac:dyDescent="0.2">
      <c r="A568" s="21" t="s">
        <v>514</v>
      </c>
      <c r="B568" s="21" t="s">
        <v>2228</v>
      </c>
      <c r="C568" s="21" t="s">
        <v>2229</v>
      </c>
      <c r="D568" s="21" t="s">
        <v>949</v>
      </c>
      <c r="J568" s="21" t="s">
        <v>984</v>
      </c>
      <c r="K568" s="21" t="s">
        <v>984</v>
      </c>
      <c r="L568" s="21" t="s">
        <v>984</v>
      </c>
      <c r="M568" s="21" t="s">
        <v>464</v>
      </c>
      <c r="N568" s="319"/>
      <c r="O568" s="319"/>
      <c r="P568" s="21" t="s">
        <v>985</v>
      </c>
      <c r="Q568" s="21" t="s">
        <v>473</v>
      </c>
      <c r="R568" s="21" t="s">
        <v>464</v>
      </c>
      <c r="S568" s="21" t="s">
        <v>966</v>
      </c>
      <c r="T568" s="75"/>
      <c r="U568" s="76"/>
      <c r="V568" s="21" t="s">
        <v>949</v>
      </c>
      <c r="W568" s="77"/>
      <c r="X568" s="21" t="s">
        <v>949</v>
      </c>
    </row>
    <row r="569" spans="1:24" ht="17.25" customHeight="1" x14ac:dyDescent="0.2">
      <c r="A569" s="21" t="s">
        <v>520</v>
      </c>
      <c r="B569" s="21" t="s">
        <v>2228</v>
      </c>
      <c r="C569" s="21" t="s">
        <v>2229</v>
      </c>
      <c r="J569" s="21" t="s">
        <v>990</v>
      </c>
      <c r="K569" s="21" t="s">
        <v>984</v>
      </c>
      <c r="L569" s="21" t="s">
        <v>984</v>
      </c>
      <c r="N569" s="319"/>
      <c r="O569" s="319"/>
      <c r="P569" s="21" t="s">
        <v>1109</v>
      </c>
      <c r="Q569" s="21" t="s">
        <v>473</v>
      </c>
      <c r="R569" s="21" t="s">
        <v>464</v>
      </c>
      <c r="S569" s="21" t="s">
        <v>1112</v>
      </c>
      <c r="T569" s="75"/>
      <c r="U569" s="76"/>
      <c r="V569" s="21">
        <v>43011</v>
      </c>
      <c r="W569" s="77" t="s">
        <v>1113</v>
      </c>
    </row>
    <row r="570" spans="1:24" ht="17.25" customHeight="1" x14ac:dyDescent="0.2">
      <c r="A570" s="21" t="s">
        <v>522</v>
      </c>
      <c r="B570" s="21" t="s">
        <v>2228</v>
      </c>
      <c r="C570" s="21" t="s">
        <v>2229</v>
      </c>
      <c r="J570" s="21" t="s">
        <v>990</v>
      </c>
      <c r="K570" s="21" t="s">
        <v>984</v>
      </c>
      <c r="L570" s="21" t="s">
        <v>984</v>
      </c>
      <c r="N570" s="319"/>
      <c r="O570" s="319"/>
      <c r="P570" s="21" t="s">
        <v>1109</v>
      </c>
      <c r="Q570" s="21" t="s">
        <v>473</v>
      </c>
      <c r="R570" s="21" t="s">
        <v>464</v>
      </c>
      <c r="S570" s="21" t="s">
        <v>1112</v>
      </c>
      <c r="T570" s="75"/>
      <c r="U570" s="76"/>
      <c r="V570" s="21">
        <v>43011</v>
      </c>
      <c r="W570" s="77" t="s">
        <v>1113</v>
      </c>
    </row>
    <row r="571" spans="1:24" ht="17.25" customHeight="1" x14ac:dyDescent="0.2">
      <c r="A571" s="21" t="s">
        <v>523</v>
      </c>
      <c r="B571" s="21" t="s">
        <v>2228</v>
      </c>
      <c r="C571" s="21" t="s">
        <v>2229</v>
      </c>
      <c r="J571" s="21" t="s">
        <v>990</v>
      </c>
      <c r="K571" s="21" t="s">
        <v>984</v>
      </c>
      <c r="L571" s="21" t="s">
        <v>984</v>
      </c>
      <c r="N571" s="319"/>
      <c r="O571" s="319"/>
      <c r="P571" s="21" t="s">
        <v>1109</v>
      </c>
      <c r="Q571" s="21" t="s">
        <v>473</v>
      </c>
      <c r="R571" s="21" t="s">
        <v>464</v>
      </c>
      <c r="S571" s="21" t="s">
        <v>1112</v>
      </c>
      <c r="T571" s="75"/>
      <c r="U571" s="76"/>
      <c r="V571" s="21">
        <v>43011</v>
      </c>
      <c r="W571" s="77" t="s">
        <v>1113</v>
      </c>
    </row>
    <row r="572" spans="1:24" ht="17.25" customHeight="1" x14ac:dyDescent="0.2">
      <c r="A572" s="21" t="s">
        <v>670</v>
      </c>
      <c r="B572" s="21" t="s">
        <v>2228</v>
      </c>
      <c r="C572" s="21" t="s">
        <v>2229</v>
      </c>
      <c r="D572" s="21" t="s">
        <v>1739</v>
      </c>
      <c r="J572" s="21" t="s">
        <v>984</v>
      </c>
      <c r="K572" s="21" t="s">
        <v>984</v>
      </c>
      <c r="L572" s="21" t="s">
        <v>984</v>
      </c>
      <c r="M572" s="21" t="s">
        <v>464</v>
      </c>
      <c r="N572" s="21">
        <v>20.543220520019499</v>
      </c>
      <c r="O572" s="74">
        <v>92.544296264648395</v>
      </c>
      <c r="P572" s="21" t="s">
        <v>985</v>
      </c>
      <c r="Q572" s="21" t="s">
        <v>476</v>
      </c>
      <c r="R572" s="21" t="s">
        <v>464</v>
      </c>
      <c r="S572" s="21" t="s">
        <v>966</v>
      </c>
      <c r="T572" s="75"/>
      <c r="U572" s="76"/>
      <c r="V572" s="21" t="s">
        <v>949</v>
      </c>
      <c r="W572" s="77"/>
      <c r="X572" s="21" t="s">
        <v>670</v>
      </c>
    </row>
    <row r="573" spans="1:24" ht="17.25" customHeight="1" x14ac:dyDescent="0.2">
      <c r="A573" s="21" t="s">
        <v>694</v>
      </c>
      <c r="B573" s="21" t="s">
        <v>2228</v>
      </c>
      <c r="C573" s="21" t="s">
        <v>2229</v>
      </c>
      <c r="D573" s="21" t="s">
        <v>1771</v>
      </c>
      <c r="J573" s="21" t="s">
        <v>984</v>
      </c>
      <c r="K573" s="21" t="s">
        <v>984</v>
      </c>
      <c r="L573" s="21" t="s">
        <v>984</v>
      </c>
      <c r="M573" s="21" t="s">
        <v>981</v>
      </c>
      <c r="N573" s="21">
        <v>20.6468505859375</v>
      </c>
      <c r="O573" s="74">
        <v>92.493553161621094</v>
      </c>
      <c r="P573" s="21" t="s">
        <v>985</v>
      </c>
      <c r="Q573" s="21" t="s">
        <v>476</v>
      </c>
      <c r="R573" s="21" t="s">
        <v>464</v>
      </c>
      <c r="S573" s="21" t="s">
        <v>966</v>
      </c>
      <c r="T573" s="75"/>
      <c r="U573" s="76"/>
      <c r="V573" s="21" t="s">
        <v>949</v>
      </c>
      <c r="W573" s="77"/>
      <c r="X573" s="21" t="s">
        <v>694</v>
      </c>
    </row>
    <row r="574" spans="1:24" ht="17.25" customHeight="1" x14ac:dyDescent="0.2">
      <c r="A574" s="21" t="s">
        <v>695</v>
      </c>
      <c r="B574" s="21" t="s">
        <v>2228</v>
      </c>
      <c r="C574" s="21" t="s">
        <v>2229</v>
      </c>
      <c r="D574" s="21" t="s">
        <v>949</v>
      </c>
      <c r="J574" s="21" t="s">
        <v>984</v>
      </c>
      <c r="K574" s="21" t="s">
        <v>984</v>
      </c>
      <c r="L574" s="21" t="s">
        <v>984</v>
      </c>
      <c r="M574" s="21" t="s">
        <v>464</v>
      </c>
      <c r="N574" s="21">
        <v>20.651159286498999</v>
      </c>
      <c r="O574" s="74">
        <v>92.605712890625</v>
      </c>
      <c r="P574" s="21" t="s">
        <v>985</v>
      </c>
      <c r="Q574" s="21" t="s">
        <v>476</v>
      </c>
      <c r="R574" s="21" t="s">
        <v>464</v>
      </c>
      <c r="S574" s="21" t="s">
        <v>966</v>
      </c>
      <c r="T574" s="75"/>
      <c r="U574" s="76"/>
      <c r="V574" s="21" t="s">
        <v>949</v>
      </c>
      <c r="W574" s="77"/>
      <c r="X574" s="21" t="s">
        <v>695</v>
      </c>
    </row>
    <row r="575" spans="1:24" ht="17.25" customHeight="1" x14ac:dyDescent="0.2">
      <c r="A575" s="21" t="s">
        <v>704</v>
      </c>
      <c r="B575" s="21" t="s">
        <v>2228</v>
      </c>
      <c r="C575" s="21" t="s">
        <v>2229</v>
      </c>
      <c r="D575" s="21">
        <v>198024</v>
      </c>
      <c r="J575" s="21" t="s">
        <v>984</v>
      </c>
      <c r="K575" s="21" t="s">
        <v>984</v>
      </c>
      <c r="L575" s="21" t="s">
        <v>984</v>
      </c>
      <c r="M575" s="21" t="s">
        <v>981</v>
      </c>
      <c r="N575" s="21">
        <v>20.6693000793457</v>
      </c>
      <c r="O575" s="74">
        <v>92.465759277343807</v>
      </c>
      <c r="P575" s="21" t="s">
        <v>985</v>
      </c>
      <c r="Q575" s="21" t="s">
        <v>476</v>
      </c>
      <c r="R575" s="21" t="s">
        <v>464</v>
      </c>
      <c r="S575" s="21" t="s">
        <v>966</v>
      </c>
      <c r="T575" s="75"/>
      <c r="U575" s="76"/>
      <c r="V575" s="21">
        <v>42745</v>
      </c>
      <c r="W575" s="77"/>
      <c r="X575" s="21" t="s">
        <v>1110</v>
      </c>
    </row>
    <row r="576" spans="1:24" ht="17.25" customHeight="1" x14ac:dyDescent="0.2">
      <c r="A576" s="21" t="s">
        <v>706</v>
      </c>
      <c r="B576" s="21" t="s">
        <v>2228</v>
      </c>
      <c r="C576" s="21" t="s">
        <v>2229</v>
      </c>
      <c r="D576" s="21" t="s">
        <v>1778</v>
      </c>
      <c r="J576" s="21" t="s">
        <v>984</v>
      </c>
      <c r="K576" s="21" t="s">
        <v>984</v>
      </c>
      <c r="L576" s="21" t="s">
        <v>984</v>
      </c>
      <c r="M576" s="21" t="s">
        <v>981</v>
      </c>
      <c r="N576" s="21">
        <v>20.6716194152832</v>
      </c>
      <c r="O576" s="74">
        <v>92.473846435546903</v>
      </c>
      <c r="P576" s="21" t="s">
        <v>985</v>
      </c>
      <c r="Q576" s="21" t="s">
        <v>476</v>
      </c>
      <c r="R576" s="21" t="s">
        <v>464</v>
      </c>
      <c r="S576" s="21" t="s">
        <v>966</v>
      </c>
      <c r="T576" s="75"/>
      <c r="U576" s="76"/>
      <c r="V576" s="21" t="s">
        <v>949</v>
      </c>
      <c r="W576" s="77"/>
      <c r="X576" s="21" t="s">
        <v>1111</v>
      </c>
    </row>
    <row r="577" spans="1:24" ht="17.25" customHeight="1" x14ac:dyDescent="0.2">
      <c r="A577" s="21" t="s">
        <v>735</v>
      </c>
      <c r="B577" s="21" t="s">
        <v>2228</v>
      </c>
      <c r="C577" s="21" t="s">
        <v>2229</v>
      </c>
      <c r="D577" s="21" t="s">
        <v>1801</v>
      </c>
      <c r="H577" s="21" t="s">
        <v>48</v>
      </c>
      <c r="I577" s="21" t="s">
        <v>979</v>
      </c>
      <c r="J577" s="21" t="s">
        <v>984</v>
      </c>
      <c r="K577" s="21" t="s">
        <v>984</v>
      </c>
      <c r="L577" s="21" t="s">
        <v>2229</v>
      </c>
      <c r="M577" s="21" t="s">
        <v>981</v>
      </c>
      <c r="N577" s="21">
        <v>20.713882999999999</v>
      </c>
      <c r="O577" s="74">
        <v>92.435378</v>
      </c>
      <c r="P577" s="21" t="s">
        <v>944</v>
      </c>
      <c r="Q577" s="21" t="s">
        <v>476</v>
      </c>
      <c r="R577" s="21" t="s">
        <v>464</v>
      </c>
      <c r="S577" s="21" t="s">
        <v>966</v>
      </c>
      <c r="T577" s="75"/>
      <c r="U577" s="76"/>
      <c r="V577" s="550">
        <v>43248</v>
      </c>
      <c r="W577" s="77" t="s">
        <v>2635</v>
      </c>
    </row>
    <row r="578" spans="1:24" ht="17.25" customHeight="1" x14ac:dyDescent="0.2">
      <c r="A578" s="21" t="s">
        <v>736</v>
      </c>
      <c r="B578" s="21" t="s">
        <v>2228</v>
      </c>
      <c r="C578" s="21" t="s">
        <v>2229</v>
      </c>
      <c r="D578" s="21" t="s">
        <v>1802</v>
      </c>
      <c r="J578" s="21" t="s">
        <v>984</v>
      </c>
      <c r="K578" s="21" t="s">
        <v>984</v>
      </c>
      <c r="L578" s="21" t="s">
        <v>984</v>
      </c>
      <c r="M578" s="21" t="s">
        <v>981</v>
      </c>
      <c r="N578" s="21">
        <v>20.7145595550537</v>
      </c>
      <c r="O578" s="74">
        <v>92.435226440429702</v>
      </c>
      <c r="P578" s="21" t="s">
        <v>985</v>
      </c>
      <c r="Q578" s="21" t="s">
        <v>476</v>
      </c>
      <c r="R578" s="21" t="s">
        <v>464</v>
      </c>
      <c r="S578" s="21" t="s">
        <v>966</v>
      </c>
      <c r="T578" s="75"/>
      <c r="U578" s="76"/>
      <c r="V578" s="21" t="s">
        <v>949</v>
      </c>
      <c r="W578" s="77"/>
      <c r="X578" s="21" t="s">
        <v>736</v>
      </c>
    </row>
    <row r="579" spans="1:24" ht="17.25" customHeight="1" x14ac:dyDescent="0.2">
      <c r="A579" s="21" t="s">
        <v>737</v>
      </c>
      <c r="B579" s="21" t="s">
        <v>2228</v>
      </c>
      <c r="C579" s="21" t="s">
        <v>2229</v>
      </c>
      <c r="D579" s="21" t="s">
        <v>1803</v>
      </c>
      <c r="H579" s="21" t="s">
        <v>48</v>
      </c>
      <c r="I579" s="21" t="s">
        <v>979</v>
      </c>
      <c r="J579" s="21" t="s">
        <v>984</v>
      </c>
      <c r="K579" s="21" t="s">
        <v>984</v>
      </c>
      <c r="L579" s="21" t="s">
        <v>2229</v>
      </c>
      <c r="M579" s="21" t="s">
        <v>981</v>
      </c>
      <c r="N579" s="21">
        <v>20.714846999999999</v>
      </c>
      <c r="O579" s="74">
        <v>92.443427999999997</v>
      </c>
      <c r="P579" s="21" t="s">
        <v>944</v>
      </c>
      <c r="Q579" s="21" t="s">
        <v>476</v>
      </c>
      <c r="R579" s="21" t="s">
        <v>464</v>
      </c>
      <c r="S579" s="21" t="s">
        <v>966</v>
      </c>
      <c r="T579" s="75"/>
      <c r="U579" s="76"/>
      <c r="V579" s="550">
        <v>43248</v>
      </c>
      <c r="W579" s="77" t="s">
        <v>2635</v>
      </c>
    </row>
    <row r="580" spans="1:24" ht="17.25" customHeight="1" x14ac:dyDescent="0.2">
      <c r="A580" s="21" t="s">
        <v>738</v>
      </c>
      <c r="B580" s="21" t="s">
        <v>2228</v>
      </c>
      <c r="C580" s="21" t="s">
        <v>2229</v>
      </c>
      <c r="D580" s="21" t="s">
        <v>1804</v>
      </c>
      <c r="J580" s="21" t="s">
        <v>984</v>
      </c>
      <c r="K580" s="21" t="s">
        <v>984</v>
      </c>
      <c r="L580" s="21" t="s">
        <v>984</v>
      </c>
      <c r="M580" s="21" t="s">
        <v>464</v>
      </c>
      <c r="N580" s="78">
        <v>20.716121673583999</v>
      </c>
      <c r="O580" s="78">
        <v>92.442459106445298</v>
      </c>
      <c r="P580" s="21" t="s">
        <v>985</v>
      </c>
      <c r="Q580" s="21" t="s">
        <v>476</v>
      </c>
      <c r="R580" s="21" t="s">
        <v>464</v>
      </c>
      <c r="S580" s="21" t="s">
        <v>966</v>
      </c>
      <c r="T580" s="75"/>
      <c r="U580" s="76"/>
      <c r="V580" s="21" t="s">
        <v>949</v>
      </c>
      <c r="W580" s="77"/>
      <c r="X580" s="21" t="s">
        <v>1116</v>
      </c>
    </row>
    <row r="581" spans="1:24" ht="17.25" customHeight="1" x14ac:dyDescent="0.2">
      <c r="A581" s="21" t="s">
        <v>740</v>
      </c>
      <c r="B581" s="21" t="s">
        <v>2228</v>
      </c>
      <c r="C581" s="21" t="s">
        <v>2229</v>
      </c>
      <c r="D581" s="21" t="s">
        <v>1806</v>
      </c>
      <c r="J581" s="21" t="s">
        <v>984</v>
      </c>
      <c r="K581" s="21" t="s">
        <v>984</v>
      </c>
      <c r="L581" s="21" t="s">
        <v>984</v>
      </c>
      <c r="M581" s="21" t="s">
        <v>981</v>
      </c>
      <c r="N581" s="21">
        <v>20.717479705810501</v>
      </c>
      <c r="O581" s="74">
        <v>92.437492370605497</v>
      </c>
      <c r="P581" s="21" t="s">
        <v>985</v>
      </c>
      <c r="Q581" s="21" t="s">
        <v>476</v>
      </c>
      <c r="R581" s="21" t="s">
        <v>464</v>
      </c>
      <c r="S581" s="21" t="s">
        <v>966</v>
      </c>
      <c r="T581" s="75"/>
      <c r="U581" s="76"/>
      <c r="V581" s="21" t="s">
        <v>949</v>
      </c>
      <c r="W581" s="77"/>
      <c r="X581" s="21" t="s">
        <v>740</v>
      </c>
    </row>
    <row r="582" spans="1:24" ht="17.25" customHeight="1" x14ac:dyDescent="0.2">
      <c r="A582" s="21" t="s">
        <v>741</v>
      </c>
      <c r="B582" s="21" t="s">
        <v>2228</v>
      </c>
      <c r="C582" s="21" t="s">
        <v>2229</v>
      </c>
      <c r="D582" s="21" t="s">
        <v>1807</v>
      </c>
      <c r="J582" s="21" t="s">
        <v>984</v>
      </c>
      <c r="K582" s="21" t="s">
        <v>984</v>
      </c>
      <c r="L582" s="21" t="s">
        <v>984</v>
      </c>
      <c r="M582" s="21" t="s">
        <v>981</v>
      </c>
      <c r="N582" s="21">
        <v>20.7175903320313</v>
      </c>
      <c r="O582" s="74">
        <v>92.426422119140597</v>
      </c>
      <c r="P582" s="21" t="s">
        <v>985</v>
      </c>
      <c r="Q582" s="21" t="s">
        <v>476</v>
      </c>
      <c r="R582" s="21" t="s">
        <v>464</v>
      </c>
      <c r="S582" s="21" t="s">
        <v>966</v>
      </c>
      <c r="T582" s="75"/>
      <c r="U582" s="76"/>
      <c r="V582" s="21" t="s">
        <v>949</v>
      </c>
      <c r="W582" s="77"/>
      <c r="X582" s="21" t="s">
        <v>741</v>
      </c>
    </row>
    <row r="583" spans="1:24" ht="17.25" customHeight="1" x14ac:dyDescent="0.2">
      <c r="A583" s="21" t="s">
        <v>742</v>
      </c>
      <c r="B583" s="21" t="s">
        <v>2228</v>
      </c>
      <c r="C583" s="21" t="s">
        <v>2229</v>
      </c>
      <c r="D583" s="21" t="s">
        <v>1808</v>
      </c>
      <c r="J583" s="21" t="s">
        <v>984</v>
      </c>
      <c r="K583" s="21" t="s">
        <v>984</v>
      </c>
      <c r="L583" s="21" t="s">
        <v>984</v>
      </c>
      <c r="M583" s="21" t="s">
        <v>981</v>
      </c>
      <c r="N583" s="21">
        <v>20.720079421997099</v>
      </c>
      <c r="O583" s="74">
        <v>92.423591613769503</v>
      </c>
      <c r="P583" s="21" t="s">
        <v>985</v>
      </c>
      <c r="Q583" s="21" t="s">
        <v>476</v>
      </c>
      <c r="R583" s="21" t="s">
        <v>464</v>
      </c>
      <c r="S583" s="21" t="s">
        <v>966</v>
      </c>
      <c r="T583" s="75"/>
      <c r="U583" s="76"/>
      <c r="V583" s="21" t="s">
        <v>949</v>
      </c>
      <c r="W583" s="77"/>
      <c r="X583" s="21" t="s">
        <v>742</v>
      </c>
    </row>
    <row r="584" spans="1:24" ht="17.25" customHeight="1" x14ac:dyDescent="0.2">
      <c r="A584" s="21" t="s">
        <v>743</v>
      </c>
      <c r="B584" s="21" t="s">
        <v>2228</v>
      </c>
      <c r="C584" s="21" t="s">
        <v>2229</v>
      </c>
      <c r="D584" s="21" t="s">
        <v>1809</v>
      </c>
      <c r="J584" s="21" t="s">
        <v>984</v>
      </c>
      <c r="K584" s="21" t="s">
        <v>984</v>
      </c>
      <c r="L584" s="21" t="s">
        <v>984</v>
      </c>
      <c r="M584" s="21" t="s">
        <v>981</v>
      </c>
      <c r="N584" s="21">
        <v>20.720169067382798</v>
      </c>
      <c r="O584" s="74">
        <v>92.4329833984375</v>
      </c>
      <c r="P584" s="21" t="s">
        <v>985</v>
      </c>
      <c r="Q584" s="21" t="s">
        <v>476</v>
      </c>
      <c r="R584" s="21" t="s">
        <v>464</v>
      </c>
      <c r="S584" s="21" t="s">
        <v>966</v>
      </c>
      <c r="T584" s="75"/>
      <c r="U584" s="76"/>
      <c r="V584" s="21" t="s">
        <v>949</v>
      </c>
      <c r="W584" s="77"/>
      <c r="X584" s="21" t="s">
        <v>743</v>
      </c>
    </row>
    <row r="585" spans="1:24" ht="17.25" customHeight="1" x14ac:dyDescent="0.2">
      <c r="A585" s="21" t="s">
        <v>763</v>
      </c>
      <c r="B585" s="21" t="s">
        <v>2228</v>
      </c>
      <c r="C585" s="21" t="s">
        <v>2229</v>
      </c>
      <c r="D585" s="21" t="s">
        <v>1829</v>
      </c>
      <c r="J585" s="21" t="s">
        <v>984</v>
      </c>
      <c r="K585" s="21" t="s">
        <v>984</v>
      </c>
      <c r="L585" s="21" t="s">
        <v>984</v>
      </c>
      <c r="M585" s="21" t="s">
        <v>464</v>
      </c>
      <c r="N585" s="78">
        <v>20.7652397155762</v>
      </c>
      <c r="O585" s="78">
        <v>92.422332763671903</v>
      </c>
      <c r="P585" s="21" t="s">
        <v>985</v>
      </c>
      <c r="Q585" s="21" t="s">
        <v>476</v>
      </c>
      <c r="R585" s="21" t="s">
        <v>464</v>
      </c>
      <c r="S585" s="21" t="s">
        <v>966</v>
      </c>
      <c r="T585" s="75"/>
      <c r="U585" s="76"/>
      <c r="V585" s="21" t="s">
        <v>949</v>
      </c>
      <c r="W585" s="77"/>
      <c r="X585" s="21" t="s">
        <v>1121</v>
      </c>
    </row>
    <row r="586" spans="1:24" ht="17.25" customHeight="1" x14ac:dyDescent="0.2">
      <c r="A586" s="21" t="s">
        <v>768</v>
      </c>
      <c r="B586" s="21" t="s">
        <v>2228</v>
      </c>
      <c r="C586" s="21" t="s">
        <v>2229</v>
      </c>
      <c r="D586" s="21" t="s">
        <v>1834</v>
      </c>
      <c r="J586" s="21" t="s">
        <v>984</v>
      </c>
      <c r="K586" s="21" t="s">
        <v>984</v>
      </c>
      <c r="L586" s="21" t="s">
        <v>984</v>
      </c>
      <c r="M586" s="21" t="s">
        <v>981</v>
      </c>
      <c r="N586" s="21">
        <v>20.7818698883057</v>
      </c>
      <c r="O586" s="74">
        <v>92.393142700195298</v>
      </c>
      <c r="P586" s="21" t="s">
        <v>985</v>
      </c>
      <c r="Q586" s="21" t="s">
        <v>476</v>
      </c>
      <c r="R586" s="21" t="s">
        <v>464</v>
      </c>
      <c r="S586" s="21" t="s">
        <v>966</v>
      </c>
      <c r="T586" s="75"/>
      <c r="U586" s="76"/>
      <c r="V586" s="21" t="s">
        <v>949</v>
      </c>
      <c r="W586" s="77"/>
      <c r="X586" s="21" t="s">
        <v>768</v>
      </c>
    </row>
    <row r="587" spans="1:24" ht="17.25" customHeight="1" x14ac:dyDescent="0.2">
      <c r="A587" s="21" t="s">
        <v>772</v>
      </c>
      <c r="B587" s="21" t="s">
        <v>2228</v>
      </c>
      <c r="C587" s="21" t="s">
        <v>2229</v>
      </c>
      <c r="D587" s="21" t="s">
        <v>1836</v>
      </c>
      <c r="J587" s="21" t="s">
        <v>984</v>
      </c>
      <c r="K587" s="21" t="s">
        <v>984</v>
      </c>
      <c r="L587" s="21" t="s">
        <v>984</v>
      </c>
      <c r="M587" s="21" t="s">
        <v>981</v>
      </c>
      <c r="N587" s="21">
        <v>20.785320281982401</v>
      </c>
      <c r="O587" s="74">
        <v>92.406509399414105</v>
      </c>
      <c r="P587" s="21" t="s">
        <v>985</v>
      </c>
      <c r="Q587" s="21" t="s">
        <v>476</v>
      </c>
      <c r="R587" s="21" t="s">
        <v>464</v>
      </c>
      <c r="S587" s="21" t="s">
        <v>966</v>
      </c>
      <c r="T587" s="75"/>
      <c r="U587" s="76"/>
      <c r="V587" s="21" t="s">
        <v>949</v>
      </c>
      <c r="W587" s="77"/>
      <c r="X587" s="21" t="s">
        <v>772</v>
      </c>
    </row>
    <row r="588" spans="1:24" ht="17.25" customHeight="1" x14ac:dyDescent="0.2">
      <c r="A588" s="21" t="s">
        <v>775</v>
      </c>
      <c r="B588" s="21" t="s">
        <v>2228</v>
      </c>
      <c r="C588" s="21" t="s">
        <v>2229</v>
      </c>
      <c r="D588" s="21" t="s">
        <v>1838</v>
      </c>
      <c r="J588" s="21" t="s">
        <v>984</v>
      </c>
      <c r="K588" s="21" t="s">
        <v>984</v>
      </c>
      <c r="L588" s="21" t="s">
        <v>984</v>
      </c>
      <c r="M588" s="21" t="s">
        <v>981</v>
      </c>
      <c r="N588" s="21">
        <v>20.787290573120099</v>
      </c>
      <c r="O588" s="74">
        <v>92.401252746582003</v>
      </c>
      <c r="P588" s="21" t="s">
        <v>985</v>
      </c>
      <c r="Q588" s="21" t="s">
        <v>476</v>
      </c>
      <c r="R588" s="21" t="s">
        <v>464</v>
      </c>
      <c r="S588" s="21" t="s">
        <v>966</v>
      </c>
      <c r="T588" s="75"/>
      <c r="U588" s="76"/>
      <c r="V588" s="21" t="s">
        <v>949</v>
      </c>
      <c r="W588" s="77"/>
      <c r="X588" s="21" t="s">
        <v>775</v>
      </c>
    </row>
    <row r="589" spans="1:24" ht="17.25" customHeight="1" x14ac:dyDescent="0.2">
      <c r="A589" s="21" t="s">
        <v>777</v>
      </c>
      <c r="B589" s="21" t="s">
        <v>2228</v>
      </c>
      <c r="C589" s="21" t="s">
        <v>2229</v>
      </c>
      <c r="D589" s="21" t="s">
        <v>1840</v>
      </c>
      <c r="J589" s="21" t="s">
        <v>984</v>
      </c>
      <c r="K589" s="21" t="s">
        <v>984</v>
      </c>
      <c r="L589" s="21" t="s">
        <v>984</v>
      </c>
      <c r="M589" s="21" t="s">
        <v>981</v>
      </c>
      <c r="N589" s="21">
        <v>20.788669586181602</v>
      </c>
      <c r="O589" s="74">
        <v>92.397300720214801</v>
      </c>
      <c r="P589" s="21" t="s">
        <v>985</v>
      </c>
      <c r="Q589" s="21" t="s">
        <v>476</v>
      </c>
      <c r="R589" s="21" t="s">
        <v>464</v>
      </c>
      <c r="S589" s="21" t="s">
        <v>966</v>
      </c>
      <c r="T589" s="75"/>
      <c r="U589" s="76"/>
      <c r="V589" s="21" t="s">
        <v>949</v>
      </c>
      <c r="W589" s="77"/>
      <c r="X589" s="21" t="s">
        <v>777</v>
      </c>
    </row>
    <row r="590" spans="1:24" ht="17.25" customHeight="1" x14ac:dyDescent="0.2">
      <c r="A590" s="21" t="s">
        <v>781</v>
      </c>
      <c r="B590" s="21" t="s">
        <v>2228</v>
      </c>
      <c r="C590" s="21" t="s">
        <v>2229</v>
      </c>
      <c r="D590" s="21" t="s">
        <v>1844</v>
      </c>
      <c r="J590" s="21" t="s">
        <v>984</v>
      </c>
      <c r="K590" s="21" t="s">
        <v>984</v>
      </c>
      <c r="L590" s="21" t="s">
        <v>984</v>
      </c>
      <c r="M590" s="21" t="s">
        <v>464</v>
      </c>
      <c r="N590" s="21">
        <v>20.8013000488281</v>
      </c>
      <c r="O590" s="74">
        <v>92.423202514648395</v>
      </c>
      <c r="P590" s="21" t="s">
        <v>985</v>
      </c>
      <c r="Q590" s="21" t="s">
        <v>476</v>
      </c>
      <c r="R590" s="21" t="s">
        <v>464</v>
      </c>
      <c r="S590" s="21" t="s">
        <v>966</v>
      </c>
      <c r="T590" s="75"/>
      <c r="U590" s="76"/>
      <c r="V590" s="21" t="s">
        <v>949</v>
      </c>
      <c r="W590" s="77"/>
      <c r="X590" s="21" t="s">
        <v>781</v>
      </c>
    </row>
    <row r="591" spans="1:24" ht="17.25" customHeight="1" x14ac:dyDescent="0.2">
      <c r="A591" s="21" t="s">
        <v>783</v>
      </c>
      <c r="B591" s="21" t="s">
        <v>2228</v>
      </c>
      <c r="C591" s="21" t="s">
        <v>2229</v>
      </c>
      <c r="D591" s="21" t="s">
        <v>1846</v>
      </c>
      <c r="J591" s="21" t="s">
        <v>984</v>
      </c>
      <c r="K591" s="21" t="s">
        <v>984</v>
      </c>
      <c r="L591" s="21" t="s">
        <v>984</v>
      </c>
      <c r="M591" s="21" t="s">
        <v>981</v>
      </c>
      <c r="N591" s="21">
        <v>20.802850723266602</v>
      </c>
      <c r="O591" s="74">
        <v>92.392669677734403</v>
      </c>
      <c r="P591" s="21" t="s">
        <v>985</v>
      </c>
      <c r="Q591" s="21" t="s">
        <v>476</v>
      </c>
      <c r="R591" s="21" t="s">
        <v>464</v>
      </c>
      <c r="S591" s="21" t="s">
        <v>966</v>
      </c>
      <c r="T591" s="75"/>
      <c r="U591" s="76"/>
      <c r="V591" s="21" t="s">
        <v>949</v>
      </c>
      <c r="W591" s="77"/>
      <c r="X591" s="21" t="s">
        <v>1122</v>
      </c>
    </row>
    <row r="592" spans="1:24" ht="17.25" customHeight="1" x14ac:dyDescent="0.2">
      <c r="A592" s="21" t="s">
        <v>784</v>
      </c>
      <c r="B592" s="21" t="s">
        <v>2228</v>
      </c>
      <c r="C592" s="21" t="s">
        <v>2229</v>
      </c>
      <c r="D592" s="21" t="s">
        <v>1846</v>
      </c>
      <c r="J592" s="21" t="s">
        <v>984</v>
      </c>
      <c r="K592" s="21" t="s">
        <v>984</v>
      </c>
      <c r="L592" s="21" t="s">
        <v>984</v>
      </c>
      <c r="M592" s="21" t="s">
        <v>981</v>
      </c>
      <c r="N592" s="21">
        <v>20.802850723266602</v>
      </c>
      <c r="O592" s="74">
        <v>92.392669677734403</v>
      </c>
      <c r="P592" s="21" t="s">
        <v>985</v>
      </c>
      <c r="Q592" s="21" t="s">
        <v>476</v>
      </c>
      <c r="R592" s="21" t="s">
        <v>464</v>
      </c>
      <c r="S592" s="21" t="s">
        <v>966</v>
      </c>
      <c r="T592" s="75"/>
      <c r="U592" s="76"/>
      <c r="V592" s="21" t="s">
        <v>949</v>
      </c>
      <c r="W592" s="77"/>
      <c r="X592" s="21" t="s">
        <v>1122</v>
      </c>
    </row>
    <row r="593" spans="1:24" ht="17.25" customHeight="1" x14ac:dyDescent="0.2">
      <c r="A593" s="21" t="s">
        <v>786</v>
      </c>
      <c r="B593" s="21" t="s">
        <v>2228</v>
      </c>
      <c r="C593" s="21" t="s">
        <v>2229</v>
      </c>
      <c r="D593" s="21" t="s">
        <v>1848</v>
      </c>
      <c r="J593" s="21" t="s">
        <v>984</v>
      </c>
      <c r="K593" s="21" t="s">
        <v>984</v>
      </c>
      <c r="L593" s="21" t="s">
        <v>984</v>
      </c>
      <c r="M593" s="21" t="s">
        <v>981</v>
      </c>
      <c r="N593" s="21">
        <v>20.803909301757798</v>
      </c>
      <c r="O593" s="74">
        <v>92.3768310546875</v>
      </c>
      <c r="P593" s="21" t="s">
        <v>985</v>
      </c>
      <c r="Q593" s="21" t="s">
        <v>476</v>
      </c>
      <c r="R593" s="21" t="s">
        <v>464</v>
      </c>
      <c r="S593" s="21" t="s">
        <v>966</v>
      </c>
      <c r="T593" s="75"/>
      <c r="U593" s="76"/>
      <c r="V593" s="21" t="s">
        <v>949</v>
      </c>
      <c r="W593" s="77"/>
      <c r="X593" s="21" t="s">
        <v>1123</v>
      </c>
    </row>
    <row r="594" spans="1:24" ht="17.25" customHeight="1" x14ac:dyDescent="0.2">
      <c r="A594" s="21" t="s">
        <v>789</v>
      </c>
      <c r="B594" s="21" t="s">
        <v>2228</v>
      </c>
      <c r="C594" s="21" t="s">
        <v>2229</v>
      </c>
      <c r="D594" s="21" t="s">
        <v>1850</v>
      </c>
      <c r="J594" s="21" t="s">
        <v>984</v>
      </c>
      <c r="K594" s="21" t="s">
        <v>984</v>
      </c>
      <c r="L594" s="21" t="s">
        <v>984</v>
      </c>
      <c r="M594" s="21" t="s">
        <v>981</v>
      </c>
      <c r="N594" s="21">
        <v>20.805980682373001</v>
      </c>
      <c r="O594" s="74">
        <v>92.383308410644503</v>
      </c>
      <c r="P594" s="21" t="s">
        <v>985</v>
      </c>
      <c r="Q594" s="21" t="s">
        <v>476</v>
      </c>
      <c r="R594" s="21" t="s">
        <v>464</v>
      </c>
      <c r="S594" s="21" t="s">
        <v>966</v>
      </c>
      <c r="T594" s="75"/>
      <c r="U594" s="76"/>
      <c r="V594" s="21" t="s">
        <v>949</v>
      </c>
      <c r="W594" s="77"/>
      <c r="X594" s="21" t="s">
        <v>1124</v>
      </c>
    </row>
    <row r="595" spans="1:24" ht="17.25" customHeight="1" x14ac:dyDescent="0.2">
      <c r="A595" s="21" t="s">
        <v>790</v>
      </c>
      <c r="B595" s="21" t="s">
        <v>2228</v>
      </c>
      <c r="C595" s="21" t="s">
        <v>2229</v>
      </c>
      <c r="D595" s="21" t="s">
        <v>1850</v>
      </c>
      <c r="J595" s="21" t="s">
        <v>984</v>
      </c>
      <c r="K595" s="21" t="s">
        <v>984</v>
      </c>
      <c r="L595" s="21" t="s">
        <v>984</v>
      </c>
      <c r="M595" s="21" t="s">
        <v>981</v>
      </c>
      <c r="N595" s="21">
        <v>20.805980682373001</v>
      </c>
      <c r="O595" s="74">
        <v>92.383308410644503</v>
      </c>
      <c r="P595" s="21" t="s">
        <v>985</v>
      </c>
      <c r="Q595" s="21" t="s">
        <v>476</v>
      </c>
      <c r="R595" s="21" t="s">
        <v>464</v>
      </c>
      <c r="S595" s="21" t="s">
        <v>966</v>
      </c>
      <c r="T595" s="75"/>
      <c r="U595" s="76"/>
      <c r="V595" s="21" t="s">
        <v>949</v>
      </c>
      <c r="W595" s="77"/>
      <c r="X595" s="21" t="s">
        <v>1125</v>
      </c>
    </row>
    <row r="596" spans="1:24" ht="17.25" customHeight="1" x14ac:dyDescent="0.2">
      <c r="A596" s="21" t="s">
        <v>797</v>
      </c>
      <c r="B596" s="21" t="s">
        <v>2228</v>
      </c>
      <c r="C596" s="21" t="s">
        <v>2229</v>
      </c>
      <c r="D596" s="21" t="s">
        <v>1855</v>
      </c>
      <c r="H596" s="21" t="s">
        <v>48</v>
      </c>
      <c r="I596" s="21" t="s">
        <v>979</v>
      </c>
      <c r="J596" s="21" t="s">
        <v>984</v>
      </c>
      <c r="K596" s="21" t="s">
        <v>984</v>
      </c>
      <c r="L596" s="21" t="s">
        <v>2229</v>
      </c>
      <c r="M596" s="21" t="s">
        <v>981</v>
      </c>
      <c r="N596" s="21">
        <v>20.819958</v>
      </c>
      <c r="O596" s="74">
        <v>92.365793999999994</v>
      </c>
      <c r="P596" s="21" t="s">
        <v>944</v>
      </c>
      <c r="Q596" s="21" t="s">
        <v>476</v>
      </c>
      <c r="R596" s="21" t="s">
        <v>464</v>
      </c>
      <c r="S596" s="21" t="s">
        <v>966</v>
      </c>
      <c r="T596" s="75"/>
      <c r="U596" s="76"/>
      <c r="V596" s="550">
        <v>43248</v>
      </c>
      <c r="W596" s="77" t="s">
        <v>2635</v>
      </c>
    </row>
    <row r="597" spans="1:24" ht="17.25" customHeight="1" x14ac:dyDescent="0.2">
      <c r="A597" s="21" t="s">
        <v>799</v>
      </c>
      <c r="B597" s="21" t="s">
        <v>2228</v>
      </c>
      <c r="C597" s="21" t="s">
        <v>2229</v>
      </c>
      <c r="D597" s="21" t="s">
        <v>1857</v>
      </c>
      <c r="J597" s="21" t="s">
        <v>984</v>
      </c>
      <c r="K597" s="21" t="s">
        <v>984</v>
      </c>
      <c r="L597" s="21" t="s">
        <v>984</v>
      </c>
      <c r="M597" s="21" t="s">
        <v>464</v>
      </c>
      <c r="N597" s="21">
        <v>20.822059631347699</v>
      </c>
      <c r="O597" s="74">
        <v>92.416908264160199</v>
      </c>
      <c r="P597" s="21" t="s">
        <v>985</v>
      </c>
      <c r="Q597" s="21" t="s">
        <v>476</v>
      </c>
      <c r="R597" s="21" t="s">
        <v>464</v>
      </c>
      <c r="S597" s="21" t="s">
        <v>966</v>
      </c>
      <c r="T597" s="75"/>
      <c r="U597" s="76"/>
      <c r="V597" s="21" t="s">
        <v>949</v>
      </c>
      <c r="W597" s="77"/>
      <c r="X597" s="21" t="s">
        <v>799</v>
      </c>
    </row>
    <row r="598" spans="1:24" ht="17.25" customHeight="1" x14ac:dyDescent="0.2">
      <c r="A598" s="21" t="s">
        <v>800</v>
      </c>
      <c r="B598" s="21" t="s">
        <v>2228</v>
      </c>
      <c r="C598" s="21" t="s">
        <v>2229</v>
      </c>
      <c r="D598" s="21" t="s">
        <v>1858</v>
      </c>
      <c r="H598" s="21" t="s">
        <v>48</v>
      </c>
      <c r="I598" s="21" t="s">
        <v>979</v>
      </c>
      <c r="J598" s="21" t="s">
        <v>984</v>
      </c>
      <c r="K598" s="21" t="s">
        <v>984</v>
      </c>
      <c r="L598" s="21" t="s">
        <v>2229</v>
      </c>
      <c r="M598" s="21" t="s">
        <v>981</v>
      </c>
      <c r="N598" s="21">
        <v>20.824517</v>
      </c>
      <c r="O598" s="74">
        <v>92.401293999999993</v>
      </c>
      <c r="P598" s="21" t="s">
        <v>944</v>
      </c>
      <c r="Q598" s="21" t="s">
        <v>476</v>
      </c>
      <c r="R598" s="21" t="s">
        <v>464</v>
      </c>
      <c r="T598" s="75"/>
      <c r="U598" s="76"/>
      <c r="V598" s="550">
        <v>43248</v>
      </c>
      <c r="W598" s="77" t="s">
        <v>2635</v>
      </c>
      <c r="X598" s="21" t="s">
        <v>1128</v>
      </c>
    </row>
    <row r="599" spans="1:24" ht="17.25" customHeight="1" x14ac:dyDescent="0.2">
      <c r="A599" s="21" t="s">
        <v>801</v>
      </c>
      <c r="B599" s="21" t="s">
        <v>2228</v>
      </c>
      <c r="C599" s="21" t="s">
        <v>2229</v>
      </c>
      <c r="D599" s="21" t="s">
        <v>1859</v>
      </c>
      <c r="J599" s="21" t="s">
        <v>984</v>
      </c>
      <c r="K599" s="21" t="s">
        <v>984</v>
      </c>
      <c r="L599" s="21" t="s">
        <v>984</v>
      </c>
      <c r="M599" s="21" t="s">
        <v>981</v>
      </c>
      <c r="N599" s="21">
        <v>20.824769973754901</v>
      </c>
      <c r="O599" s="74">
        <v>92.398788452148395</v>
      </c>
      <c r="P599" s="21" t="s">
        <v>985</v>
      </c>
      <c r="Q599" s="21" t="s">
        <v>476</v>
      </c>
      <c r="R599" s="21" t="s">
        <v>464</v>
      </c>
      <c r="S599" s="21" t="s">
        <v>966</v>
      </c>
      <c r="T599" s="75"/>
      <c r="U599" s="76"/>
      <c r="V599" s="21" t="s">
        <v>949</v>
      </c>
      <c r="W599" s="77"/>
      <c r="X599" s="21" t="s">
        <v>1129</v>
      </c>
    </row>
    <row r="600" spans="1:24" ht="17.25" customHeight="1" x14ac:dyDescent="0.2">
      <c r="A600" s="21" t="s">
        <v>802</v>
      </c>
      <c r="B600" s="21" t="s">
        <v>2228</v>
      </c>
      <c r="C600" s="21" t="s">
        <v>2229</v>
      </c>
      <c r="D600" s="21" t="s">
        <v>1859</v>
      </c>
      <c r="J600" s="21" t="s">
        <v>984</v>
      </c>
      <c r="K600" s="21" t="s">
        <v>984</v>
      </c>
      <c r="L600" s="21" t="s">
        <v>984</v>
      </c>
      <c r="M600" s="21" t="s">
        <v>981</v>
      </c>
      <c r="N600" s="21">
        <v>20.824769973754901</v>
      </c>
      <c r="O600" s="74">
        <v>92.398788452148395</v>
      </c>
      <c r="P600" s="21" t="s">
        <v>985</v>
      </c>
      <c r="Q600" s="21" t="s">
        <v>476</v>
      </c>
      <c r="R600" s="21" t="s">
        <v>464</v>
      </c>
      <c r="S600" s="21" t="s">
        <v>966</v>
      </c>
      <c r="T600" s="75"/>
      <c r="U600" s="76"/>
      <c r="V600" s="21" t="s">
        <v>949</v>
      </c>
      <c r="W600" s="77"/>
      <c r="X600" s="21" t="s">
        <v>1129</v>
      </c>
    </row>
    <row r="601" spans="1:24" ht="17.25" customHeight="1" x14ac:dyDescent="0.2">
      <c r="A601" s="21" t="s">
        <v>803</v>
      </c>
      <c r="B601" s="21" t="s">
        <v>2228</v>
      </c>
      <c r="C601" s="21" t="s">
        <v>2229</v>
      </c>
      <c r="D601" s="21" t="s">
        <v>1861</v>
      </c>
      <c r="J601" s="21" t="s">
        <v>984</v>
      </c>
      <c r="K601" s="21" t="s">
        <v>984</v>
      </c>
      <c r="L601" s="21" t="s">
        <v>984</v>
      </c>
      <c r="M601" s="21" t="s">
        <v>981</v>
      </c>
      <c r="N601" s="21">
        <v>20.824989318847699</v>
      </c>
      <c r="O601" s="74">
        <v>92.390571594238295</v>
      </c>
      <c r="P601" s="21" t="s">
        <v>985</v>
      </c>
      <c r="Q601" s="21" t="s">
        <v>476</v>
      </c>
      <c r="R601" s="21" t="s">
        <v>464</v>
      </c>
      <c r="S601" s="21" t="s">
        <v>966</v>
      </c>
      <c r="T601" s="75"/>
      <c r="U601" s="76"/>
      <c r="V601" s="21" t="s">
        <v>949</v>
      </c>
      <c r="W601" s="77"/>
      <c r="X601" s="21" t="s">
        <v>803</v>
      </c>
    </row>
    <row r="602" spans="1:24" ht="17.25" customHeight="1" x14ac:dyDescent="0.2">
      <c r="A602" s="21" t="s">
        <v>804</v>
      </c>
      <c r="B602" s="21" t="s">
        <v>2228</v>
      </c>
      <c r="C602" s="21" t="s">
        <v>2229</v>
      </c>
      <c r="D602" s="21" t="s">
        <v>1862</v>
      </c>
      <c r="H602" s="21" t="s">
        <v>48</v>
      </c>
      <c r="I602" s="21" t="s">
        <v>979</v>
      </c>
      <c r="J602" s="21" t="s">
        <v>984</v>
      </c>
      <c r="K602" s="21" t="s">
        <v>984</v>
      </c>
      <c r="L602" s="21" t="s">
        <v>2229</v>
      </c>
      <c r="M602" s="21" t="s">
        <v>981</v>
      </c>
      <c r="N602" s="21">
        <v>20.825306000000001</v>
      </c>
      <c r="O602" s="74">
        <v>92.367852999999997</v>
      </c>
      <c r="P602" s="21" t="s">
        <v>944</v>
      </c>
      <c r="Q602" s="21" t="s">
        <v>476</v>
      </c>
      <c r="R602" s="21" t="s">
        <v>464</v>
      </c>
      <c r="S602" s="21" t="s">
        <v>966</v>
      </c>
      <c r="T602" s="75"/>
      <c r="U602" s="76"/>
      <c r="V602" s="550">
        <v>43248</v>
      </c>
      <c r="W602" s="77" t="s">
        <v>2635</v>
      </c>
    </row>
    <row r="603" spans="1:24" ht="17.25" customHeight="1" x14ac:dyDescent="0.2">
      <c r="A603" s="21" t="s">
        <v>806</v>
      </c>
      <c r="B603" s="21" t="s">
        <v>2228</v>
      </c>
      <c r="C603" s="21" t="s">
        <v>2229</v>
      </c>
      <c r="D603" s="21" t="s">
        <v>1864</v>
      </c>
      <c r="H603" s="21" t="s">
        <v>48</v>
      </c>
      <c r="I603" s="21" t="s">
        <v>979</v>
      </c>
      <c r="J603" s="21" t="s">
        <v>984</v>
      </c>
      <c r="K603" s="21" t="s">
        <v>984</v>
      </c>
      <c r="L603" s="21" t="s">
        <v>2229</v>
      </c>
      <c r="M603" s="21" t="s">
        <v>981</v>
      </c>
      <c r="N603" s="21">
        <v>20.827044000000001</v>
      </c>
      <c r="O603" s="74">
        <v>92.362932999999998</v>
      </c>
      <c r="P603" s="21" t="s">
        <v>944</v>
      </c>
      <c r="Q603" s="21" t="s">
        <v>476</v>
      </c>
      <c r="R603" s="21" t="s">
        <v>464</v>
      </c>
      <c r="S603" s="21" t="s">
        <v>966</v>
      </c>
      <c r="T603" s="75"/>
      <c r="U603" s="76"/>
      <c r="V603" s="550">
        <v>43248</v>
      </c>
      <c r="W603" s="77" t="s">
        <v>2635</v>
      </c>
    </row>
    <row r="604" spans="1:24" ht="17.25" customHeight="1" x14ac:dyDescent="0.2">
      <c r="A604" s="21" t="s">
        <v>807</v>
      </c>
      <c r="B604" s="21" t="s">
        <v>2228</v>
      </c>
      <c r="C604" s="21" t="s">
        <v>2229</v>
      </c>
      <c r="D604" s="21" t="s">
        <v>1865</v>
      </c>
      <c r="J604" s="21" t="s">
        <v>984</v>
      </c>
      <c r="K604" s="21" t="s">
        <v>984</v>
      </c>
      <c r="L604" s="21" t="s">
        <v>984</v>
      </c>
      <c r="M604" s="21" t="s">
        <v>981</v>
      </c>
      <c r="N604" s="21">
        <v>20.830490112304702</v>
      </c>
      <c r="O604" s="74">
        <v>92.393707275390597</v>
      </c>
      <c r="P604" s="21" t="s">
        <v>985</v>
      </c>
      <c r="Q604" s="21" t="s">
        <v>476</v>
      </c>
      <c r="R604" s="21" t="s">
        <v>464</v>
      </c>
      <c r="S604" s="21" t="s">
        <v>966</v>
      </c>
      <c r="T604" s="75"/>
      <c r="U604" s="76"/>
      <c r="V604" s="21" t="s">
        <v>949</v>
      </c>
      <c r="W604" s="77"/>
      <c r="X604" s="21" t="s">
        <v>807</v>
      </c>
    </row>
    <row r="605" spans="1:24" ht="17.25" customHeight="1" x14ac:dyDescent="0.2">
      <c r="A605" s="21" t="s">
        <v>810</v>
      </c>
      <c r="B605" s="21" t="s">
        <v>2228</v>
      </c>
      <c r="C605" s="21" t="s">
        <v>2229</v>
      </c>
      <c r="D605" s="21" t="s">
        <v>1867</v>
      </c>
      <c r="H605" s="21" t="s">
        <v>48</v>
      </c>
      <c r="I605" s="21" t="s">
        <v>979</v>
      </c>
      <c r="J605" s="21" t="s">
        <v>984</v>
      </c>
      <c r="K605" s="21" t="s">
        <v>984</v>
      </c>
      <c r="L605" s="21" t="s">
        <v>2229</v>
      </c>
      <c r="M605" s="21" t="s">
        <v>981</v>
      </c>
      <c r="N605" s="21">
        <v>20.833831</v>
      </c>
      <c r="O605" s="74">
        <v>92.416683000000006</v>
      </c>
      <c r="P605" s="21" t="s">
        <v>944</v>
      </c>
      <c r="Q605" s="21" t="s">
        <v>476</v>
      </c>
      <c r="R605" s="21" t="s">
        <v>464</v>
      </c>
      <c r="S605" s="21" t="s">
        <v>966</v>
      </c>
      <c r="T605" s="75"/>
      <c r="U605" s="76"/>
      <c r="V605" s="550">
        <v>43248</v>
      </c>
      <c r="W605" s="77" t="s">
        <v>2635</v>
      </c>
    </row>
    <row r="606" spans="1:24" ht="17.25" customHeight="1" x14ac:dyDescent="0.2">
      <c r="A606" s="21" t="s">
        <v>836</v>
      </c>
      <c r="B606" s="21" t="s">
        <v>2228</v>
      </c>
      <c r="C606" s="21" t="s">
        <v>2229</v>
      </c>
      <c r="D606" s="21">
        <v>220734</v>
      </c>
      <c r="J606" s="21" t="s">
        <v>984</v>
      </c>
      <c r="K606" s="21" t="s">
        <v>984</v>
      </c>
      <c r="L606" s="21" t="s">
        <v>984</v>
      </c>
      <c r="M606" s="21" t="s">
        <v>464</v>
      </c>
      <c r="N606" s="78">
        <v>20.910375595092798</v>
      </c>
      <c r="O606" s="78">
        <v>92.400138854980497</v>
      </c>
      <c r="P606" s="21" t="s">
        <v>985</v>
      </c>
      <c r="Q606" s="21" t="s">
        <v>476</v>
      </c>
      <c r="R606" s="21" t="s">
        <v>464</v>
      </c>
      <c r="S606" s="21" t="s">
        <v>988</v>
      </c>
      <c r="T606" s="75"/>
      <c r="U606" s="76"/>
      <c r="V606" s="21">
        <v>42926</v>
      </c>
      <c r="W606" s="77" t="s">
        <v>989</v>
      </c>
    </row>
    <row r="607" spans="1:24" ht="17.25" customHeight="1" x14ac:dyDescent="0.2">
      <c r="A607" s="21" t="s">
        <v>844</v>
      </c>
      <c r="B607" s="21" t="s">
        <v>2228</v>
      </c>
      <c r="C607" s="21" t="s">
        <v>2229</v>
      </c>
      <c r="D607" s="21">
        <v>197913</v>
      </c>
      <c r="J607" s="21" t="s">
        <v>984</v>
      </c>
      <c r="K607" s="21" t="s">
        <v>984</v>
      </c>
      <c r="L607" s="21" t="s">
        <v>984</v>
      </c>
      <c r="M607" s="21" t="s">
        <v>464</v>
      </c>
      <c r="N607" s="21">
        <v>20.987419128418001</v>
      </c>
      <c r="O607" s="74">
        <v>92.362136840820298</v>
      </c>
      <c r="P607" s="21" t="s">
        <v>985</v>
      </c>
      <c r="Q607" s="21" t="s">
        <v>476</v>
      </c>
      <c r="R607" s="21" t="s">
        <v>464</v>
      </c>
      <c r="S607" s="21" t="s">
        <v>988</v>
      </c>
      <c r="T607" s="75"/>
      <c r="U607" s="76"/>
      <c r="V607" s="21">
        <v>42926</v>
      </c>
      <c r="W607" s="77" t="s">
        <v>989</v>
      </c>
    </row>
    <row r="608" spans="1:24" ht="17.25" customHeight="1" x14ac:dyDescent="0.2">
      <c r="A608" s="21" t="s">
        <v>845</v>
      </c>
      <c r="B608" s="21" t="s">
        <v>2228</v>
      </c>
      <c r="C608" s="21" t="s">
        <v>2229</v>
      </c>
      <c r="D608" s="21">
        <v>197913</v>
      </c>
      <c r="J608" s="21" t="s">
        <v>984</v>
      </c>
      <c r="K608" s="21" t="s">
        <v>984</v>
      </c>
      <c r="L608" s="21" t="s">
        <v>984</v>
      </c>
      <c r="M608" s="21" t="s">
        <v>981</v>
      </c>
      <c r="N608" s="21">
        <v>20.987419128418001</v>
      </c>
      <c r="O608" s="74">
        <v>92.362136840820298</v>
      </c>
      <c r="P608" s="21" t="s">
        <v>985</v>
      </c>
      <c r="Q608" s="21" t="s">
        <v>476</v>
      </c>
      <c r="R608" s="21" t="s">
        <v>464</v>
      </c>
      <c r="S608" s="21" t="s">
        <v>966</v>
      </c>
      <c r="T608" s="75"/>
      <c r="U608" s="76"/>
      <c r="V608" s="21">
        <v>42745</v>
      </c>
      <c r="W608" s="77"/>
      <c r="X608" s="21" t="s">
        <v>1139</v>
      </c>
    </row>
    <row r="609" spans="1:24" ht="17.25" customHeight="1" x14ac:dyDescent="0.2">
      <c r="A609" s="21" t="s">
        <v>847</v>
      </c>
      <c r="B609" s="21" t="s">
        <v>2228</v>
      </c>
      <c r="C609" s="21" t="s">
        <v>2229</v>
      </c>
      <c r="D609" s="21" t="s">
        <v>1892</v>
      </c>
      <c r="J609" s="21" t="s">
        <v>984</v>
      </c>
      <c r="K609" s="21" t="s">
        <v>984</v>
      </c>
      <c r="L609" s="21" t="s">
        <v>984</v>
      </c>
      <c r="M609" s="21" t="s">
        <v>464</v>
      </c>
      <c r="N609" s="21">
        <v>20.991559982299801</v>
      </c>
      <c r="O609" s="74">
        <v>92.290878295898395</v>
      </c>
      <c r="P609" s="21" t="s">
        <v>985</v>
      </c>
      <c r="Q609" s="21" t="s">
        <v>476</v>
      </c>
      <c r="R609" s="21" t="s">
        <v>464</v>
      </c>
      <c r="S609" s="21" t="s">
        <v>966</v>
      </c>
      <c r="T609" s="75"/>
      <c r="U609" s="76"/>
      <c r="V609" s="21" t="s">
        <v>949</v>
      </c>
      <c r="W609" s="77"/>
      <c r="X609" s="21" t="s">
        <v>847</v>
      </c>
    </row>
    <row r="610" spans="1:24" ht="17.25" customHeight="1" x14ac:dyDescent="0.2">
      <c r="A610" s="21" t="s">
        <v>849</v>
      </c>
      <c r="B610" s="21" t="s">
        <v>2228</v>
      </c>
      <c r="C610" s="21" t="s">
        <v>2229</v>
      </c>
      <c r="D610" s="21">
        <v>197903</v>
      </c>
      <c r="J610" s="21" t="s">
        <v>984</v>
      </c>
      <c r="K610" s="21" t="s">
        <v>984</v>
      </c>
      <c r="L610" s="21" t="s">
        <v>984</v>
      </c>
      <c r="M610" s="21" t="s">
        <v>981</v>
      </c>
      <c r="N610" s="21">
        <v>21.000970840454102</v>
      </c>
      <c r="O610" s="74">
        <v>92.334213256835895</v>
      </c>
      <c r="P610" s="21" t="s">
        <v>985</v>
      </c>
      <c r="Q610" s="21" t="s">
        <v>476</v>
      </c>
      <c r="R610" s="21" t="s">
        <v>464</v>
      </c>
      <c r="S610" s="21" t="s">
        <v>988</v>
      </c>
      <c r="T610" s="75"/>
      <c r="U610" s="76"/>
      <c r="V610" s="21">
        <v>42926</v>
      </c>
      <c r="W610" s="77" t="s">
        <v>989</v>
      </c>
    </row>
    <row r="611" spans="1:24" ht="17.25" customHeight="1" x14ac:dyDescent="0.2">
      <c r="A611" s="21" t="s">
        <v>850</v>
      </c>
      <c r="B611" s="21" t="s">
        <v>2228</v>
      </c>
      <c r="C611" s="21" t="s">
        <v>2229</v>
      </c>
      <c r="D611" s="21" t="s">
        <v>1893</v>
      </c>
      <c r="J611" s="21" t="s">
        <v>984</v>
      </c>
      <c r="K611" s="21" t="s">
        <v>984</v>
      </c>
      <c r="L611" s="21" t="s">
        <v>984</v>
      </c>
      <c r="M611" s="21" t="s">
        <v>464</v>
      </c>
      <c r="N611" s="21">
        <v>21.004550933837901</v>
      </c>
      <c r="O611" s="74">
        <v>92.294601440429702</v>
      </c>
      <c r="P611" s="21" t="s">
        <v>985</v>
      </c>
      <c r="Q611" s="21" t="s">
        <v>476</v>
      </c>
      <c r="R611" s="21" t="s">
        <v>464</v>
      </c>
      <c r="S611" s="21" t="s">
        <v>966</v>
      </c>
      <c r="T611" s="75"/>
      <c r="U611" s="76"/>
      <c r="V611" s="21" t="s">
        <v>949</v>
      </c>
      <c r="W611" s="77"/>
      <c r="X611" s="21" t="s">
        <v>850</v>
      </c>
    </row>
    <row r="612" spans="1:24" ht="17.25" customHeight="1" x14ac:dyDescent="0.2">
      <c r="A612" s="21" t="s">
        <v>851</v>
      </c>
      <c r="B612" s="21" t="s">
        <v>2228</v>
      </c>
      <c r="C612" s="21" t="s">
        <v>2229</v>
      </c>
      <c r="D612" s="21">
        <v>197910</v>
      </c>
      <c r="J612" s="21" t="s">
        <v>984</v>
      </c>
      <c r="K612" s="21" t="s">
        <v>984</v>
      </c>
      <c r="L612" s="21" t="s">
        <v>984</v>
      </c>
      <c r="M612" s="21" t="s">
        <v>464</v>
      </c>
      <c r="N612" s="21">
        <v>21.007270812988299</v>
      </c>
      <c r="O612" s="74">
        <v>92.3585205078125</v>
      </c>
      <c r="P612" s="21" t="s">
        <v>985</v>
      </c>
      <c r="Q612" s="21" t="s">
        <v>476</v>
      </c>
      <c r="R612" s="21" t="s">
        <v>464</v>
      </c>
      <c r="S612" s="21" t="s">
        <v>988</v>
      </c>
      <c r="T612" s="75"/>
      <c r="U612" s="76"/>
      <c r="V612" s="21">
        <v>42926</v>
      </c>
      <c r="W612" s="77" t="s">
        <v>989</v>
      </c>
    </row>
    <row r="613" spans="1:24" ht="17.25" customHeight="1" x14ac:dyDescent="0.2">
      <c r="A613" s="21" t="s">
        <v>852</v>
      </c>
      <c r="B613" s="21" t="s">
        <v>2228</v>
      </c>
      <c r="C613" s="21" t="s">
        <v>2229</v>
      </c>
      <c r="D613" s="21">
        <v>197893</v>
      </c>
      <c r="J613" s="21" t="s">
        <v>984</v>
      </c>
      <c r="K613" s="21" t="s">
        <v>984</v>
      </c>
      <c r="L613" s="21" t="s">
        <v>984</v>
      </c>
      <c r="M613" s="21" t="s">
        <v>464</v>
      </c>
      <c r="N613" s="21">
        <v>21.0094203948975</v>
      </c>
      <c r="O613" s="74">
        <v>92.318077087402301</v>
      </c>
      <c r="P613" s="21" t="s">
        <v>985</v>
      </c>
      <c r="Q613" s="21" t="s">
        <v>476</v>
      </c>
      <c r="R613" s="21" t="s">
        <v>464</v>
      </c>
      <c r="S613" s="21" t="s">
        <v>988</v>
      </c>
      <c r="T613" s="75"/>
      <c r="U613" s="76"/>
      <c r="V613" s="21">
        <v>42926</v>
      </c>
      <c r="W613" s="77" t="s">
        <v>989</v>
      </c>
    </row>
    <row r="614" spans="1:24" ht="17.25" customHeight="1" x14ac:dyDescent="0.2">
      <c r="A614" s="21" t="s">
        <v>853</v>
      </c>
      <c r="B614" s="21" t="s">
        <v>2228</v>
      </c>
      <c r="C614" s="21" t="s">
        <v>2229</v>
      </c>
      <c r="D614" s="21" t="s">
        <v>1895</v>
      </c>
      <c r="J614" s="21" t="s">
        <v>984</v>
      </c>
      <c r="K614" s="21" t="s">
        <v>984</v>
      </c>
      <c r="L614" s="21" t="s">
        <v>984</v>
      </c>
      <c r="M614" s="21" t="s">
        <v>464</v>
      </c>
      <c r="N614" s="21">
        <v>21.0165691375732</v>
      </c>
      <c r="O614" s="74">
        <v>92.307716369628906</v>
      </c>
      <c r="P614" s="21" t="s">
        <v>985</v>
      </c>
      <c r="Q614" s="21" t="s">
        <v>476</v>
      </c>
      <c r="R614" s="21" t="s">
        <v>464</v>
      </c>
      <c r="S614" s="21" t="s">
        <v>966</v>
      </c>
      <c r="T614" s="75"/>
      <c r="U614" s="76"/>
      <c r="V614" s="21" t="s">
        <v>949</v>
      </c>
      <c r="W614" s="77"/>
      <c r="X614" s="21" t="s">
        <v>853</v>
      </c>
    </row>
    <row r="615" spans="1:24" ht="17.25" customHeight="1" x14ac:dyDescent="0.2">
      <c r="A615" s="21" t="s">
        <v>854</v>
      </c>
      <c r="B615" s="21" t="s">
        <v>2228</v>
      </c>
      <c r="C615" s="21" t="s">
        <v>2229</v>
      </c>
      <c r="D615" s="21" t="s">
        <v>1896</v>
      </c>
      <c r="J615" s="21" t="s">
        <v>984</v>
      </c>
      <c r="K615" s="21" t="s">
        <v>984</v>
      </c>
      <c r="L615" s="21" t="s">
        <v>984</v>
      </c>
      <c r="M615" s="21" t="s">
        <v>981</v>
      </c>
      <c r="N615" s="21">
        <v>21.018480300903299</v>
      </c>
      <c r="O615" s="74">
        <v>92.333999633789105</v>
      </c>
      <c r="P615" s="21" t="s">
        <v>985</v>
      </c>
      <c r="Q615" s="21" t="s">
        <v>476</v>
      </c>
      <c r="R615" s="21" t="s">
        <v>464</v>
      </c>
      <c r="S615" s="21" t="s">
        <v>966</v>
      </c>
      <c r="T615" s="75"/>
      <c r="U615" s="76"/>
      <c r="V615" s="21" t="s">
        <v>949</v>
      </c>
      <c r="W615" s="77"/>
      <c r="X615" s="21" t="s">
        <v>854</v>
      </c>
    </row>
    <row r="616" spans="1:24" ht="17.25" customHeight="1" x14ac:dyDescent="0.2">
      <c r="A616" s="21" t="s">
        <v>855</v>
      </c>
      <c r="B616" s="21" t="s">
        <v>2228</v>
      </c>
      <c r="C616" s="21" t="s">
        <v>2229</v>
      </c>
      <c r="D616" s="21" t="s">
        <v>1897</v>
      </c>
      <c r="J616" s="21" t="s">
        <v>984</v>
      </c>
      <c r="K616" s="21" t="s">
        <v>984</v>
      </c>
      <c r="L616" s="21" t="s">
        <v>984</v>
      </c>
      <c r="M616" s="21" t="s">
        <v>981</v>
      </c>
      <c r="N616" s="21">
        <v>21.0212593078613</v>
      </c>
      <c r="O616" s="74">
        <v>92.339538574218807</v>
      </c>
      <c r="P616" s="21" t="s">
        <v>985</v>
      </c>
      <c r="Q616" s="21" t="s">
        <v>476</v>
      </c>
      <c r="R616" s="21" t="s">
        <v>464</v>
      </c>
      <c r="S616" s="21" t="s">
        <v>966</v>
      </c>
      <c r="T616" s="75"/>
      <c r="U616" s="76"/>
      <c r="V616" s="21" t="s">
        <v>949</v>
      </c>
      <c r="W616" s="77"/>
      <c r="X616" s="21" t="s">
        <v>855</v>
      </c>
    </row>
    <row r="617" spans="1:24" ht="17.25" customHeight="1" x14ac:dyDescent="0.2">
      <c r="A617" s="21" t="s">
        <v>856</v>
      </c>
      <c r="B617" s="21" t="s">
        <v>2228</v>
      </c>
      <c r="C617" s="21" t="s">
        <v>2229</v>
      </c>
      <c r="D617" s="21">
        <v>197894</v>
      </c>
      <c r="J617" s="21" t="s">
        <v>984</v>
      </c>
      <c r="K617" s="21" t="s">
        <v>984</v>
      </c>
      <c r="L617" s="21" t="s">
        <v>984</v>
      </c>
      <c r="M617" s="21" t="s">
        <v>981</v>
      </c>
      <c r="N617" s="21">
        <v>21.025550842285199</v>
      </c>
      <c r="O617" s="74">
        <v>92.2952880859375</v>
      </c>
      <c r="P617" s="21" t="s">
        <v>985</v>
      </c>
      <c r="Q617" s="21" t="s">
        <v>476</v>
      </c>
      <c r="R617" s="21" t="s">
        <v>464</v>
      </c>
      <c r="S617" s="21" t="s">
        <v>966</v>
      </c>
      <c r="T617" s="75"/>
      <c r="U617" s="76"/>
      <c r="V617" s="21">
        <v>42745</v>
      </c>
      <c r="W617" s="77"/>
      <c r="X617" s="21" t="s">
        <v>1142</v>
      </c>
    </row>
    <row r="618" spans="1:24" ht="17.25" customHeight="1" x14ac:dyDescent="0.2">
      <c r="A618" s="21" t="s">
        <v>858</v>
      </c>
      <c r="B618" s="21" t="s">
        <v>2228</v>
      </c>
      <c r="C618" s="21" t="s">
        <v>2229</v>
      </c>
      <c r="D618" s="21" t="s">
        <v>949</v>
      </c>
      <c r="J618" s="21" t="s">
        <v>984</v>
      </c>
      <c r="K618" s="21" t="s">
        <v>984</v>
      </c>
      <c r="L618" s="21" t="s">
        <v>984</v>
      </c>
      <c r="M618" s="21" t="s">
        <v>858</v>
      </c>
      <c r="N618" s="21">
        <v>21.027990341186499</v>
      </c>
      <c r="O618" s="74">
        <v>92.298881530761705</v>
      </c>
      <c r="P618" s="21" t="s">
        <v>985</v>
      </c>
      <c r="Q618" s="21" t="s">
        <v>476</v>
      </c>
      <c r="R618" s="21" t="s">
        <v>464</v>
      </c>
      <c r="S618" s="21" t="s">
        <v>966</v>
      </c>
      <c r="T618" s="75"/>
      <c r="U618" s="76"/>
      <c r="V618" s="21" t="s">
        <v>949</v>
      </c>
      <c r="W618" s="77"/>
      <c r="X618" s="21" t="s">
        <v>858</v>
      </c>
    </row>
    <row r="619" spans="1:24" ht="17.25" customHeight="1" x14ac:dyDescent="0.2">
      <c r="A619" s="21" t="s">
        <v>859</v>
      </c>
      <c r="B619" s="21" t="s">
        <v>2228</v>
      </c>
      <c r="C619" s="21" t="s">
        <v>2229</v>
      </c>
      <c r="D619" s="21" t="s">
        <v>1898</v>
      </c>
      <c r="J619" s="21" t="s">
        <v>984</v>
      </c>
      <c r="K619" s="21" t="s">
        <v>984</v>
      </c>
      <c r="L619" s="21" t="s">
        <v>984</v>
      </c>
      <c r="M619" s="21" t="s">
        <v>981</v>
      </c>
      <c r="N619" s="21">
        <v>21.048660278320298</v>
      </c>
      <c r="O619" s="74">
        <v>92.293350219726605</v>
      </c>
      <c r="P619" s="21" t="s">
        <v>985</v>
      </c>
      <c r="Q619" s="21" t="s">
        <v>476</v>
      </c>
      <c r="R619" s="21" t="s">
        <v>464</v>
      </c>
      <c r="S619" s="21" t="s">
        <v>966</v>
      </c>
      <c r="T619" s="75"/>
      <c r="U619" s="76"/>
      <c r="V619" s="21" t="s">
        <v>949</v>
      </c>
      <c r="W619" s="77"/>
      <c r="X619" s="21" t="s">
        <v>859</v>
      </c>
    </row>
    <row r="620" spans="1:24" ht="17.25" customHeight="1" x14ac:dyDescent="0.2">
      <c r="A620" s="21" t="s">
        <v>860</v>
      </c>
      <c r="B620" s="21" t="s">
        <v>2228</v>
      </c>
      <c r="C620" s="21" t="s">
        <v>2229</v>
      </c>
      <c r="D620" s="21" t="s">
        <v>1899</v>
      </c>
      <c r="J620" s="21" t="s">
        <v>984</v>
      </c>
      <c r="K620" s="21" t="s">
        <v>984</v>
      </c>
      <c r="L620" s="21" t="s">
        <v>984</v>
      </c>
      <c r="M620" s="21" t="s">
        <v>981</v>
      </c>
      <c r="N620" s="21">
        <v>21.053699493</v>
      </c>
      <c r="O620" s="74">
        <v>92.324119568</v>
      </c>
      <c r="P620" s="21" t="s">
        <v>985</v>
      </c>
      <c r="Q620" s="21" t="s">
        <v>476</v>
      </c>
      <c r="R620" s="21" t="s">
        <v>464</v>
      </c>
      <c r="S620" s="21" t="s">
        <v>966</v>
      </c>
      <c r="T620" s="75"/>
      <c r="U620" s="76"/>
      <c r="V620" s="21" t="s">
        <v>949</v>
      </c>
      <c r="W620" s="77"/>
      <c r="X620" s="21" t="s">
        <v>1143</v>
      </c>
    </row>
    <row r="621" spans="1:24" ht="17.25" customHeight="1" x14ac:dyDescent="0.2">
      <c r="A621" s="21" t="s">
        <v>861</v>
      </c>
      <c r="B621" s="21" t="s">
        <v>2228</v>
      </c>
      <c r="C621" s="21" t="s">
        <v>2229</v>
      </c>
      <c r="D621" s="21" t="s">
        <v>1900</v>
      </c>
      <c r="J621" s="21" t="s">
        <v>984</v>
      </c>
      <c r="K621" s="21" t="s">
        <v>984</v>
      </c>
      <c r="L621" s="21" t="s">
        <v>984</v>
      </c>
      <c r="M621" s="21" t="s">
        <v>981</v>
      </c>
      <c r="N621" s="21">
        <v>21.057630538940401</v>
      </c>
      <c r="O621" s="74">
        <v>92.340232849121094</v>
      </c>
      <c r="P621" s="21" t="s">
        <v>985</v>
      </c>
      <c r="Q621" s="21" t="s">
        <v>476</v>
      </c>
      <c r="R621" s="21" t="s">
        <v>464</v>
      </c>
      <c r="S621" s="21" t="s">
        <v>966</v>
      </c>
      <c r="T621" s="75"/>
      <c r="U621" s="76"/>
      <c r="V621" s="21" t="s">
        <v>949</v>
      </c>
      <c r="W621" s="77"/>
      <c r="X621" s="21" t="s">
        <v>861</v>
      </c>
    </row>
    <row r="622" spans="1:24" ht="17.25" customHeight="1" x14ac:dyDescent="0.2">
      <c r="A622" s="21" t="s">
        <v>862</v>
      </c>
      <c r="B622" s="21" t="s">
        <v>2228</v>
      </c>
      <c r="C622" s="21" t="s">
        <v>2229</v>
      </c>
      <c r="D622" s="21">
        <v>197866</v>
      </c>
      <c r="J622" s="21" t="s">
        <v>984</v>
      </c>
      <c r="K622" s="21" t="s">
        <v>984</v>
      </c>
      <c r="L622" s="21" t="s">
        <v>984</v>
      </c>
      <c r="M622" s="21" t="s">
        <v>981</v>
      </c>
      <c r="N622" s="21">
        <v>21.058349609375</v>
      </c>
      <c r="O622" s="74">
        <v>92.336326599121094</v>
      </c>
      <c r="P622" s="21" t="s">
        <v>985</v>
      </c>
      <c r="Q622" s="21" t="s">
        <v>476</v>
      </c>
      <c r="R622" s="21" t="s">
        <v>464</v>
      </c>
      <c r="S622" s="21" t="s">
        <v>966</v>
      </c>
      <c r="T622" s="75"/>
      <c r="U622" s="76"/>
      <c r="V622" s="21">
        <v>42745</v>
      </c>
      <c r="W622" s="77"/>
      <c r="X622" s="21" t="s">
        <v>862</v>
      </c>
    </row>
    <row r="623" spans="1:24" ht="17.25" customHeight="1" x14ac:dyDescent="0.2">
      <c r="A623" s="21" t="s">
        <v>863</v>
      </c>
      <c r="B623" s="21" t="s">
        <v>2228</v>
      </c>
      <c r="C623" s="21" t="s">
        <v>2229</v>
      </c>
      <c r="D623" s="21" t="s">
        <v>1901</v>
      </c>
      <c r="H623" s="21" t="s">
        <v>48</v>
      </c>
      <c r="I623" s="21" t="s">
        <v>979</v>
      </c>
      <c r="J623" s="21" t="s">
        <v>984</v>
      </c>
      <c r="K623" s="21" t="s">
        <v>984</v>
      </c>
      <c r="L623" s="21" t="s">
        <v>2229</v>
      </c>
      <c r="M623" s="21" t="s">
        <v>981</v>
      </c>
      <c r="N623" s="21">
        <v>21.066663999999999</v>
      </c>
      <c r="O623" s="74">
        <v>92.338031000000001</v>
      </c>
      <c r="P623" s="21" t="s">
        <v>944</v>
      </c>
      <c r="Q623" s="21" t="s">
        <v>476</v>
      </c>
      <c r="R623" s="21" t="s">
        <v>464</v>
      </c>
      <c r="S623" s="21" t="s">
        <v>966</v>
      </c>
      <c r="T623" s="75"/>
      <c r="U623" s="76"/>
      <c r="V623" s="550">
        <v>43248</v>
      </c>
      <c r="W623" s="77" t="s">
        <v>2635</v>
      </c>
    </row>
    <row r="624" spans="1:24" ht="17.25" customHeight="1" x14ac:dyDescent="0.2">
      <c r="A624" s="21" t="s">
        <v>865</v>
      </c>
      <c r="B624" s="21" t="s">
        <v>2228</v>
      </c>
      <c r="C624" s="21" t="s">
        <v>2229</v>
      </c>
      <c r="D624" s="21" t="s">
        <v>1902</v>
      </c>
      <c r="J624" s="21" t="s">
        <v>984</v>
      </c>
      <c r="K624" s="21" t="s">
        <v>984</v>
      </c>
      <c r="L624" s="21" t="s">
        <v>984</v>
      </c>
      <c r="M624" s="21" t="s">
        <v>464</v>
      </c>
      <c r="N624" s="78">
        <v>21.153581619262699</v>
      </c>
      <c r="O624" s="78">
        <v>92.250885009765597</v>
      </c>
      <c r="P624" s="21" t="s">
        <v>985</v>
      </c>
      <c r="Q624" s="21" t="s">
        <v>476</v>
      </c>
      <c r="R624" s="21" t="s">
        <v>464</v>
      </c>
      <c r="S624" s="21" t="s">
        <v>966</v>
      </c>
      <c r="T624" s="75"/>
      <c r="U624" s="76"/>
      <c r="V624" s="21" t="s">
        <v>949</v>
      </c>
      <c r="W624" s="77"/>
      <c r="X624" s="21" t="s">
        <v>1144</v>
      </c>
    </row>
    <row r="625" spans="1:24" ht="17.25" customHeight="1" x14ac:dyDescent="0.2">
      <c r="A625" s="21" t="s">
        <v>866</v>
      </c>
      <c r="B625" s="21" t="s">
        <v>2228</v>
      </c>
      <c r="C625" s="21" t="s">
        <v>2229</v>
      </c>
      <c r="D625" s="21" t="s">
        <v>1903</v>
      </c>
      <c r="J625" s="21" t="s">
        <v>984</v>
      </c>
      <c r="K625" s="21" t="s">
        <v>984</v>
      </c>
      <c r="L625" s="21" t="s">
        <v>984</v>
      </c>
      <c r="M625" s="21" t="s">
        <v>981</v>
      </c>
      <c r="N625" s="21">
        <v>21.188909531</v>
      </c>
      <c r="O625" s="74">
        <v>92.306762695000003</v>
      </c>
      <c r="P625" s="21" t="s">
        <v>985</v>
      </c>
      <c r="Q625" s="21" t="s">
        <v>476</v>
      </c>
      <c r="R625" s="21" t="s">
        <v>464</v>
      </c>
      <c r="S625" s="21" t="s">
        <v>966</v>
      </c>
      <c r="T625" s="75"/>
      <c r="U625" s="76"/>
      <c r="V625" s="21" t="s">
        <v>949</v>
      </c>
      <c r="W625" s="77"/>
      <c r="X625" s="21" t="s">
        <v>1145</v>
      </c>
    </row>
    <row r="626" spans="1:24" ht="17.25" customHeight="1" x14ac:dyDescent="0.2">
      <c r="A626" s="21" t="s">
        <v>867</v>
      </c>
      <c r="B626" s="21" t="s">
        <v>2228</v>
      </c>
      <c r="C626" s="21" t="s">
        <v>2229</v>
      </c>
      <c r="D626" s="21" t="s">
        <v>1904</v>
      </c>
      <c r="J626" s="21" t="s">
        <v>984</v>
      </c>
      <c r="K626" s="21" t="s">
        <v>984</v>
      </c>
      <c r="L626" s="21" t="s">
        <v>984</v>
      </c>
      <c r="M626" s="21" t="s">
        <v>981</v>
      </c>
      <c r="N626" s="78">
        <v>21.200752258300799</v>
      </c>
      <c r="O626" s="78">
        <v>92.309303283691406</v>
      </c>
      <c r="P626" s="21" t="s">
        <v>985</v>
      </c>
      <c r="Q626" s="21" t="s">
        <v>476</v>
      </c>
      <c r="R626" s="21" t="s">
        <v>464</v>
      </c>
      <c r="S626" s="21" t="s">
        <v>966</v>
      </c>
      <c r="T626" s="75"/>
      <c r="U626" s="76"/>
      <c r="V626" s="21" t="s">
        <v>949</v>
      </c>
      <c r="W626" s="77"/>
      <c r="X626" s="21" t="s">
        <v>1146</v>
      </c>
    </row>
    <row r="627" spans="1:24" ht="17.25" customHeight="1" x14ac:dyDescent="0.2">
      <c r="A627" s="21" t="s">
        <v>868</v>
      </c>
      <c r="B627" s="21" t="s">
        <v>2228</v>
      </c>
      <c r="C627" s="21" t="s">
        <v>2229</v>
      </c>
      <c r="D627" s="21" t="s">
        <v>1905</v>
      </c>
      <c r="J627" s="21" t="s">
        <v>984</v>
      </c>
      <c r="K627" s="21" t="s">
        <v>984</v>
      </c>
      <c r="L627" s="21" t="s">
        <v>984</v>
      </c>
      <c r="M627" s="21" t="s">
        <v>981</v>
      </c>
      <c r="N627" s="78">
        <v>21.265539169311499</v>
      </c>
      <c r="O627" s="78">
        <v>92.271408081054702</v>
      </c>
      <c r="P627" s="21" t="s">
        <v>985</v>
      </c>
      <c r="Q627" s="21" t="s">
        <v>476</v>
      </c>
      <c r="R627" s="21" t="s">
        <v>464</v>
      </c>
      <c r="S627" s="21" t="s">
        <v>966</v>
      </c>
      <c r="T627" s="75"/>
      <c r="U627" s="76"/>
      <c r="V627" s="21" t="s">
        <v>949</v>
      </c>
      <c r="W627" s="77"/>
      <c r="X627" s="21" t="s">
        <v>1147</v>
      </c>
    </row>
    <row r="628" spans="1:24" ht="17.25" customHeight="1" x14ac:dyDescent="0.2">
      <c r="A628" s="21" t="s">
        <v>477</v>
      </c>
      <c r="B628" s="21" t="s">
        <v>2228</v>
      </c>
      <c r="C628" s="21" t="s">
        <v>2229</v>
      </c>
      <c r="D628" s="21" t="s">
        <v>949</v>
      </c>
      <c r="J628" s="21" t="s">
        <v>984</v>
      </c>
      <c r="K628" s="21" t="s">
        <v>984</v>
      </c>
      <c r="L628" s="21" t="s">
        <v>984</v>
      </c>
      <c r="M628" s="21" t="s">
        <v>981</v>
      </c>
      <c r="N628" s="319"/>
      <c r="O628" s="319"/>
      <c r="P628" s="21" t="s">
        <v>985</v>
      </c>
      <c r="Q628" s="21" t="s">
        <v>476</v>
      </c>
      <c r="R628" s="21" t="s">
        <v>464</v>
      </c>
      <c r="S628" s="21" t="s">
        <v>966</v>
      </c>
      <c r="T628" s="75"/>
      <c r="U628" s="76"/>
      <c r="V628" s="21" t="s">
        <v>949</v>
      </c>
      <c r="W628" s="77"/>
      <c r="X628" s="21" t="s">
        <v>477</v>
      </c>
    </row>
    <row r="629" spans="1:24" ht="17.25" customHeight="1" x14ac:dyDescent="0.2">
      <c r="A629" s="21" t="s">
        <v>480</v>
      </c>
      <c r="B629" s="21" t="s">
        <v>2228</v>
      </c>
      <c r="C629" s="21" t="s">
        <v>2229</v>
      </c>
      <c r="D629" s="21" t="s">
        <v>949</v>
      </c>
      <c r="J629" s="21" t="s">
        <v>984</v>
      </c>
      <c r="K629" s="21" t="s">
        <v>984</v>
      </c>
      <c r="L629" s="21" t="s">
        <v>984</v>
      </c>
      <c r="M629" s="21" t="s">
        <v>464</v>
      </c>
      <c r="N629" s="319"/>
      <c r="O629" s="319"/>
      <c r="P629" s="21" t="s">
        <v>985</v>
      </c>
      <c r="Q629" s="21" t="s">
        <v>476</v>
      </c>
      <c r="R629" s="21" t="s">
        <v>464</v>
      </c>
      <c r="S629" s="21" t="s">
        <v>966</v>
      </c>
      <c r="T629" s="75"/>
      <c r="U629" s="76"/>
      <c r="V629" s="21" t="s">
        <v>949</v>
      </c>
      <c r="W629" s="77"/>
      <c r="X629" s="21" t="s">
        <v>480</v>
      </c>
    </row>
    <row r="630" spans="1:24" ht="17.25" customHeight="1" x14ac:dyDescent="0.2">
      <c r="A630" s="21" t="s">
        <v>482</v>
      </c>
      <c r="B630" s="21" t="s">
        <v>2228</v>
      </c>
      <c r="C630" s="21" t="s">
        <v>2229</v>
      </c>
      <c r="D630" s="21" t="s">
        <v>949</v>
      </c>
      <c r="J630" s="21" t="s">
        <v>984</v>
      </c>
      <c r="K630" s="21" t="s">
        <v>984</v>
      </c>
      <c r="L630" s="21" t="s">
        <v>984</v>
      </c>
      <c r="M630" s="21" t="s">
        <v>981</v>
      </c>
      <c r="N630" s="319"/>
      <c r="O630" s="319"/>
      <c r="P630" s="21" t="s">
        <v>985</v>
      </c>
      <c r="Q630" s="21" t="s">
        <v>476</v>
      </c>
      <c r="R630" s="21" t="s">
        <v>464</v>
      </c>
      <c r="S630" s="21" t="s">
        <v>966</v>
      </c>
      <c r="T630" s="75"/>
      <c r="U630" s="76"/>
      <c r="V630" s="21" t="s">
        <v>949</v>
      </c>
      <c r="W630" s="77"/>
      <c r="X630" s="21" t="s">
        <v>1281</v>
      </c>
    </row>
    <row r="631" spans="1:24" ht="17.25" customHeight="1" x14ac:dyDescent="0.2">
      <c r="A631" s="21" t="s">
        <v>486</v>
      </c>
      <c r="B631" s="21" t="s">
        <v>2228</v>
      </c>
      <c r="C631" s="21" t="s">
        <v>2229</v>
      </c>
      <c r="D631" s="21" t="s">
        <v>949</v>
      </c>
      <c r="J631" s="21" t="s">
        <v>984</v>
      </c>
      <c r="K631" s="21" t="s">
        <v>984</v>
      </c>
      <c r="L631" s="21" t="s">
        <v>984</v>
      </c>
      <c r="M631" s="21" t="s">
        <v>464</v>
      </c>
      <c r="N631" s="319"/>
      <c r="O631" s="319"/>
      <c r="P631" s="21" t="s">
        <v>985</v>
      </c>
      <c r="Q631" s="21" t="s">
        <v>476</v>
      </c>
      <c r="R631" s="21" t="s">
        <v>464</v>
      </c>
      <c r="S631" s="21" t="s">
        <v>966</v>
      </c>
      <c r="T631" s="75"/>
      <c r="U631" s="76"/>
      <c r="V631" s="21" t="s">
        <v>949</v>
      </c>
      <c r="W631" s="77"/>
      <c r="X631" s="21" t="s">
        <v>486</v>
      </c>
    </row>
    <row r="632" spans="1:24" ht="17.25" customHeight="1" x14ac:dyDescent="0.2">
      <c r="A632" s="21" t="s">
        <v>488</v>
      </c>
      <c r="B632" s="21" t="s">
        <v>2228</v>
      </c>
      <c r="C632" s="21" t="s">
        <v>2229</v>
      </c>
      <c r="D632" s="21" t="s">
        <v>949</v>
      </c>
      <c r="J632" s="21" t="s">
        <v>984</v>
      </c>
      <c r="K632" s="21" t="s">
        <v>984</v>
      </c>
      <c r="L632" s="21" t="s">
        <v>984</v>
      </c>
      <c r="M632" s="21" t="s">
        <v>981</v>
      </c>
      <c r="N632" s="319"/>
      <c r="O632" s="319"/>
      <c r="P632" s="21" t="s">
        <v>985</v>
      </c>
      <c r="Q632" s="21" t="s">
        <v>476</v>
      </c>
      <c r="R632" s="21" t="s">
        <v>464</v>
      </c>
      <c r="S632" s="21" t="s">
        <v>966</v>
      </c>
      <c r="T632" s="75"/>
      <c r="U632" s="76"/>
      <c r="V632" s="21" t="s">
        <v>949</v>
      </c>
      <c r="W632" s="77"/>
      <c r="X632" s="21" t="s">
        <v>488</v>
      </c>
    </row>
    <row r="633" spans="1:24" ht="17.25" customHeight="1" x14ac:dyDescent="0.2">
      <c r="A633" s="21" t="s">
        <v>493</v>
      </c>
      <c r="B633" s="21" t="s">
        <v>2228</v>
      </c>
      <c r="C633" s="21" t="s">
        <v>2229</v>
      </c>
      <c r="J633" s="21" t="s">
        <v>984</v>
      </c>
      <c r="K633" s="21" t="s">
        <v>984</v>
      </c>
      <c r="L633" s="21" t="s">
        <v>984</v>
      </c>
      <c r="M633" s="21" t="s">
        <v>981</v>
      </c>
      <c r="N633" s="319"/>
      <c r="O633" s="319"/>
      <c r="P633" s="21" t="s">
        <v>985</v>
      </c>
      <c r="Q633" s="21" t="s">
        <v>476</v>
      </c>
      <c r="R633" s="21" t="s">
        <v>464</v>
      </c>
      <c r="S633" s="21" t="s">
        <v>966</v>
      </c>
      <c r="T633" s="75"/>
      <c r="U633" s="76"/>
      <c r="W633" s="77"/>
    </row>
    <row r="634" spans="1:24" ht="17.25" customHeight="1" x14ac:dyDescent="0.2">
      <c r="A634" s="21" t="s">
        <v>494</v>
      </c>
      <c r="B634" s="21" t="s">
        <v>2228</v>
      </c>
      <c r="C634" s="21" t="s">
        <v>2229</v>
      </c>
      <c r="D634" s="21" t="s">
        <v>949</v>
      </c>
      <c r="J634" s="21" t="s">
        <v>984</v>
      </c>
      <c r="K634" s="21" t="s">
        <v>984</v>
      </c>
      <c r="L634" s="21" t="s">
        <v>984</v>
      </c>
      <c r="M634" s="21" t="s">
        <v>464</v>
      </c>
      <c r="N634" s="319"/>
      <c r="O634" s="319"/>
      <c r="P634" s="21" t="s">
        <v>985</v>
      </c>
      <c r="Q634" s="21" t="s">
        <v>476</v>
      </c>
      <c r="R634" s="21" t="s">
        <v>464</v>
      </c>
      <c r="S634" s="21" t="s">
        <v>966</v>
      </c>
      <c r="T634" s="75"/>
      <c r="U634" s="76"/>
      <c r="V634" s="21" t="s">
        <v>949</v>
      </c>
      <c r="W634" s="77"/>
      <c r="X634" s="21" t="s">
        <v>494</v>
      </c>
    </row>
    <row r="635" spans="1:24" ht="17.25" customHeight="1" x14ac:dyDescent="0.2">
      <c r="A635" s="21" t="s">
        <v>499</v>
      </c>
      <c r="B635" s="21" t="s">
        <v>2228</v>
      </c>
      <c r="C635" s="21" t="s">
        <v>2229</v>
      </c>
      <c r="D635" s="21" t="s">
        <v>949</v>
      </c>
      <c r="J635" s="21" t="s">
        <v>984</v>
      </c>
      <c r="K635" s="21" t="s">
        <v>984</v>
      </c>
      <c r="L635" s="21" t="s">
        <v>984</v>
      </c>
      <c r="M635" s="21" t="s">
        <v>981</v>
      </c>
      <c r="N635" s="319"/>
      <c r="O635" s="319"/>
      <c r="P635" s="21" t="s">
        <v>985</v>
      </c>
      <c r="Q635" s="21" t="s">
        <v>476</v>
      </c>
      <c r="R635" s="21" t="s">
        <v>464</v>
      </c>
      <c r="S635" s="21" t="s">
        <v>966</v>
      </c>
      <c r="T635" s="75"/>
      <c r="U635" s="76"/>
      <c r="V635" s="21" t="s">
        <v>949</v>
      </c>
      <c r="W635" s="77"/>
      <c r="X635" s="21" t="s">
        <v>1307</v>
      </c>
    </row>
    <row r="636" spans="1:24" ht="17.25" customHeight="1" x14ac:dyDescent="0.2">
      <c r="A636" s="21" t="s">
        <v>500</v>
      </c>
      <c r="B636" s="21" t="s">
        <v>2228</v>
      </c>
      <c r="C636" s="21" t="s">
        <v>2229</v>
      </c>
      <c r="D636" s="21" t="s">
        <v>949</v>
      </c>
      <c r="J636" s="21" t="s">
        <v>984</v>
      </c>
      <c r="K636" s="21" t="s">
        <v>984</v>
      </c>
      <c r="L636" s="21" t="s">
        <v>984</v>
      </c>
      <c r="M636" s="21" t="s">
        <v>981</v>
      </c>
      <c r="N636" s="319"/>
      <c r="O636" s="319"/>
      <c r="P636" s="21" t="s">
        <v>985</v>
      </c>
      <c r="Q636" s="21" t="s">
        <v>476</v>
      </c>
      <c r="R636" s="21" t="s">
        <v>464</v>
      </c>
      <c r="S636" s="21" t="s">
        <v>966</v>
      </c>
      <c r="T636" s="75"/>
      <c r="U636" s="76"/>
      <c r="V636" s="21" t="s">
        <v>949</v>
      </c>
      <c r="W636" s="77"/>
      <c r="X636" s="21" t="s">
        <v>1308</v>
      </c>
    </row>
    <row r="637" spans="1:24" ht="17.25" customHeight="1" x14ac:dyDescent="0.2">
      <c r="A637" s="21" t="s">
        <v>501</v>
      </c>
      <c r="B637" s="21" t="s">
        <v>2228</v>
      </c>
      <c r="C637" s="21" t="s">
        <v>2229</v>
      </c>
      <c r="D637" s="21" t="s">
        <v>949</v>
      </c>
      <c r="J637" s="21" t="s">
        <v>984</v>
      </c>
      <c r="K637" s="21" t="s">
        <v>984</v>
      </c>
      <c r="L637" s="21" t="s">
        <v>984</v>
      </c>
      <c r="M637" s="21" t="s">
        <v>464</v>
      </c>
      <c r="N637" s="319"/>
      <c r="O637" s="319"/>
      <c r="P637" s="21" t="s">
        <v>985</v>
      </c>
      <c r="Q637" s="21" t="s">
        <v>476</v>
      </c>
      <c r="R637" s="21" t="s">
        <v>464</v>
      </c>
      <c r="S637" s="21" t="s">
        <v>966</v>
      </c>
      <c r="T637" s="75"/>
      <c r="U637" s="76"/>
      <c r="V637" s="21" t="s">
        <v>949</v>
      </c>
      <c r="W637" s="77"/>
      <c r="X637" s="21" t="s">
        <v>1309</v>
      </c>
    </row>
    <row r="638" spans="1:24" ht="17.25" customHeight="1" x14ac:dyDescent="0.2">
      <c r="A638" s="21" t="s">
        <v>502</v>
      </c>
      <c r="B638" s="21" t="s">
        <v>2228</v>
      </c>
      <c r="C638" s="21" t="s">
        <v>2229</v>
      </c>
      <c r="D638" s="21" t="s">
        <v>949</v>
      </c>
      <c r="J638" s="21" t="s">
        <v>984</v>
      </c>
      <c r="K638" s="21" t="s">
        <v>984</v>
      </c>
      <c r="L638" s="21" t="s">
        <v>984</v>
      </c>
      <c r="M638" s="21" t="s">
        <v>981</v>
      </c>
      <c r="N638" s="319"/>
      <c r="O638" s="319"/>
      <c r="P638" s="21" t="s">
        <v>985</v>
      </c>
      <c r="Q638" s="21" t="s">
        <v>476</v>
      </c>
      <c r="R638" s="21" t="s">
        <v>464</v>
      </c>
      <c r="S638" s="21" t="s">
        <v>966</v>
      </c>
      <c r="T638" s="75"/>
      <c r="U638" s="76"/>
      <c r="V638" s="21" t="s">
        <v>949</v>
      </c>
      <c r="W638" s="77"/>
      <c r="X638" s="21" t="s">
        <v>502</v>
      </c>
    </row>
    <row r="639" spans="1:24" ht="17.25" customHeight="1" x14ac:dyDescent="0.2">
      <c r="A639" s="21" t="s">
        <v>503</v>
      </c>
      <c r="B639" s="21" t="s">
        <v>2228</v>
      </c>
      <c r="C639" s="21" t="s">
        <v>2229</v>
      </c>
      <c r="D639" s="21" t="s">
        <v>949</v>
      </c>
      <c r="J639" s="21" t="s">
        <v>984</v>
      </c>
      <c r="K639" s="21" t="s">
        <v>984</v>
      </c>
      <c r="L639" s="21" t="s">
        <v>984</v>
      </c>
      <c r="M639" s="21" t="s">
        <v>981</v>
      </c>
      <c r="N639" s="319"/>
      <c r="O639" s="319"/>
      <c r="P639" s="21" t="s">
        <v>985</v>
      </c>
      <c r="Q639" s="21" t="s">
        <v>476</v>
      </c>
      <c r="R639" s="21" t="s">
        <v>464</v>
      </c>
      <c r="S639" s="21" t="s">
        <v>966</v>
      </c>
      <c r="T639" s="75"/>
      <c r="U639" s="76"/>
      <c r="V639" s="21" t="s">
        <v>949</v>
      </c>
      <c r="W639" s="77"/>
      <c r="X639" s="21" t="s">
        <v>503</v>
      </c>
    </row>
    <row r="640" spans="1:24" ht="17.25" customHeight="1" x14ac:dyDescent="0.2">
      <c r="A640" s="21" t="s">
        <v>506</v>
      </c>
      <c r="B640" s="21" t="s">
        <v>2228</v>
      </c>
      <c r="C640" s="21" t="s">
        <v>2229</v>
      </c>
      <c r="D640" s="21" t="s">
        <v>949</v>
      </c>
      <c r="J640" s="21" t="s">
        <v>984</v>
      </c>
      <c r="K640" s="21" t="s">
        <v>984</v>
      </c>
      <c r="L640" s="21" t="s">
        <v>984</v>
      </c>
      <c r="M640" s="21" t="s">
        <v>981</v>
      </c>
      <c r="N640" s="319"/>
      <c r="O640" s="319"/>
      <c r="P640" s="21" t="s">
        <v>985</v>
      </c>
      <c r="Q640" s="21" t="s">
        <v>476</v>
      </c>
      <c r="R640" s="21" t="s">
        <v>464</v>
      </c>
      <c r="S640" s="21" t="s">
        <v>966</v>
      </c>
      <c r="T640" s="75"/>
      <c r="U640" s="76"/>
      <c r="V640" s="21" t="s">
        <v>949</v>
      </c>
      <c r="W640" s="77"/>
      <c r="X640" s="21" t="s">
        <v>506</v>
      </c>
    </row>
    <row r="641" spans="1:24" ht="17.25" customHeight="1" x14ac:dyDescent="0.2">
      <c r="A641" s="21" t="s">
        <v>464</v>
      </c>
      <c r="B641" s="21" t="s">
        <v>2228</v>
      </c>
      <c r="C641" s="21" t="s">
        <v>2229</v>
      </c>
      <c r="D641" s="21" t="s">
        <v>949</v>
      </c>
      <c r="J641" s="21" t="s">
        <v>984</v>
      </c>
      <c r="K641" s="21" t="s">
        <v>984</v>
      </c>
      <c r="L641" s="21" t="s">
        <v>984</v>
      </c>
      <c r="M641" s="21" t="s">
        <v>464</v>
      </c>
      <c r="N641" s="319"/>
      <c r="O641" s="319"/>
      <c r="P641" s="21" t="s">
        <v>985</v>
      </c>
      <c r="Q641" s="21" t="s">
        <v>476</v>
      </c>
      <c r="R641" s="21" t="s">
        <v>464</v>
      </c>
      <c r="S641" s="21" t="s">
        <v>966</v>
      </c>
      <c r="T641" s="75"/>
      <c r="U641" s="76"/>
      <c r="V641" s="21" t="s">
        <v>949</v>
      </c>
      <c r="W641" s="77"/>
      <c r="X641" s="21" t="s">
        <v>464</v>
      </c>
    </row>
    <row r="642" spans="1:24" ht="17.25" customHeight="1" x14ac:dyDescent="0.2">
      <c r="A642" s="21" t="s">
        <v>511</v>
      </c>
      <c r="B642" s="21" t="s">
        <v>2228</v>
      </c>
      <c r="C642" s="21" t="s">
        <v>2229</v>
      </c>
      <c r="D642" s="21" t="s">
        <v>949</v>
      </c>
      <c r="J642" s="21" t="s">
        <v>984</v>
      </c>
      <c r="K642" s="21" t="s">
        <v>984</v>
      </c>
      <c r="L642" s="21" t="s">
        <v>984</v>
      </c>
      <c r="M642" s="21" t="s">
        <v>464</v>
      </c>
      <c r="N642" s="319"/>
      <c r="O642" s="319"/>
      <c r="P642" s="21" t="s">
        <v>985</v>
      </c>
      <c r="Q642" s="21" t="s">
        <v>476</v>
      </c>
      <c r="R642" s="21" t="s">
        <v>464</v>
      </c>
      <c r="S642" s="21" t="s">
        <v>966</v>
      </c>
      <c r="T642" s="75"/>
      <c r="U642" s="76"/>
      <c r="W642" s="77"/>
    </row>
    <row r="643" spans="1:24" ht="17.25" customHeight="1" x14ac:dyDescent="0.2">
      <c r="A643" s="21" t="s">
        <v>512</v>
      </c>
      <c r="B643" s="21" t="s">
        <v>2228</v>
      </c>
      <c r="C643" s="21" t="s">
        <v>2229</v>
      </c>
      <c r="D643" s="21" t="s">
        <v>949</v>
      </c>
      <c r="J643" s="21" t="s">
        <v>984</v>
      </c>
      <c r="K643" s="21" t="s">
        <v>984</v>
      </c>
      <c r="L643" s="21" t="s">
        <v>984</v>
      </c>
      <c r="M643" s="21" t="s">
        <v>464</v>
      </c>
      <c r="N643" s="319"/>
      <c r="O643" s="319"/>
      <c r="P643" s="21" t="s">
        <v>985</v>
      </c>
      <c r="Q643" s="21" t="s">
        <v>476</v>
      </c>
      <c r="R643" s="21" t="s">
        <v>464</v>
      </c>
      <c r="S643" s="21" t="s">
        <v>966</v>
      </c>
      <c r="T643" s="75"/>
      <c r="U643" s="76"/>
      <c r="V643" s="21" t="s">
        <v>949</v>
      </c>
      <c r="W643" s="77"/>
      <c r="X643" s="21" t="s">
        <v>511</v>
      </c>
    </row>
    <row r="644" spans="1:24" ht="17.25" customHeight="1" x14ac:dyDescent="0.2">
      <c r="A644" s="21" t="s">
        <v>513</v>
      </c>
      <c r="B644" s="21" t="s">
        <v>2228</v>
      </c>
      <c r="C644" s="21" t="s">
        <v>2229</v>
      </c>
      <c r="D644" s="21" t="s">
        <v>949</v>
      </c>
      <c r="J644" s="21" t="s">
        <v>984</v>
      </c>
      <c r="K644" s="21" t="s">
        <v>984</v>
      </c>
      <c r="L644" s="21" t="s">
        <v>984</v>
      </c>
      <c r="M644" s="21" t="s">
        <v>981</v>
      </c>
      <c r="N644" s="319"/>
      <c r="O644" s="319"/>
      <c r="P644" s="21" t="s">
        <v>985</v>
      </c>
      <c r="Q644" s="21" t="s">
        <v>476</v>
      </c>
      <c r="R644" s="21" t="s">
        <v>464</v>
      </c>
      <c r="S644" s="21" t="s">
        <v>966</v>
      </c>
      <c r="T644" s="75"/>
      <c r="U644" s="76"/>
      <c r="V644" s="21" t="s">
        <v>949</v>
      </c>
      <c r="W644" s="77"/>
      <c r="X644" s="21" t="s">
        <v>513</v>
      </c>
    </row>
    <row r="645" spans="1:24" ht="17.25" customHeight="1" x14ac:dyDescent="0.2">
      <c r="A645" s="21" t="s">
        <v>515</v>
      </c>
      <c r="B645" s="21" t="s">
        <v>2228</v>
      </c>
      <c r="C645" s="21" t="s">
        <v>2229</v>
      </c>
      <c r="D645" s="21" t="s">
        <v>949</v>
      </c>
      <c r="J645" s="21" t="s">
        <v>984</v>
      </c>
      <c r="K645" s="21" t="s">
        <v>984</v>
      </c>
      <c r="L645" s="21" t="s">
        <v>984</v>
      </c>
      <c r="M645" s="21" t="s">
        <v>464</v>
      </c>
      <c r="N645" s="319"/>
      <c r="O645" s="319"/>
      <c r="P645" s="21" t="s">
        <v>985</v>
      </c>
      <c r="Q645" s="21" t="s">
        <v>476</v>
      </c>
      <c r="R645" s="21" t="s">
        <v>464</v>
      </c>
      <c r="S645" s="21" t="s">
        <v>966</v>
      </c>
      <c r="T645" s="75"/>
      <c r="U645" s="76"/>
      <c r="V645" s="21" t="s">
        <v>949</v>
      </c>
      <c r="W645" s="77"/>
      <c r="X645" s="21" t="s">
        <v>515</v>
      </c>
    </row>
    <row r="646" spans="1:24" ht="17.25" customHeight="1" x14ac:dyDescent="0.2">
      <c r="A646" s="21" t="s">
        <v>516</v>
      </c>
      <c r="B646" s="21" t="s">
        <v>2228</v>
      </c>
      <c r="C646" s="21" t="s">
        <v>2229</v>
      </c>
      <c r="D646" s="21" t="s">
        <v>949</v>
      </c>
      <c r="J646" s="21" t="s">
        <v>984</v>
      </c>
      <c r="K646" s="21" t="s">
        <v>984</v>
      </c>
      <c r="L646" s="21" t="s">
        <v>984</v>
      </c>
      <c r="M646" s="21" t="s">
        <v>464</v>
      </c>
      <c r="N646" s="319"/>
      <c r="O646" s="319"/>
      <c r="P646" s="21" t="s">
        <v>985</v>
      </c>
      <c r="Q646" s="21" t="s">
        <v>476</v>
      </c>
      <c r="R646" s="21" t="s">
        <v>464</v>
      </c>
      <c r="S646" s="21" t="s">
        <v>966</v>
      </c>
      <c r="T646" s="75"/>
      <c r="U646" s="76"/>
      <c r="V646" s="21" t="s">
        <v>949</v>
      </c>
      <c r="W646" s="77"/>
      <c r="X646" s="21" t="s">
        <v>516</v>
      </c>
    </row>
    <row r="647" spans="1:24" ht="17.25" customHeight="1" x14ac:dyDescent="0.2">
      <c r="A647" s="21" t="s">
        <v>517</v>
      </c>
      <c r="B647" s="21" t="s">
        <v>2228</v>
      </c>
      <c r="C647" s="21" t="s">
        <v>2229</v>
      </c>
      <c r="D647" s="21" t="s">
        <v>949</v>
      </c>
      <c r="J647" s="21" t="s">
        <v>984</v>
      </c>
      <c r="K647" s="21" t="s">
        <v>984</v>
      </c>
      <c r="L647" s="21" t="s">
        <v>984</v>
      </c>
      <c r="M647" s="21" t="s">
        <v>981</v>
      </c>
      <c r="N647" s="319"/>
      <c r="O647" s="319"/>
      <c r="P647" s="21" t="s">
        <v>985</v>
      </c>
      <c r="Q647" s="21" t="s">
        <v>476</v>
      </c>
      <c r="R647" s="21" t="s">
        <v>464</v>
      </c>
      <c r="S647" s="21" t="s">
        <v>966</v>
      </c>
      <c r="T647" s="75"/>
      <c r="U647" s="76"/>
      <c r="V647" s="21" t="s">
        <v>949</v>
      </c>
      <c r="W647" s="77"/>
      <c r="X647" s="21" t="s">
        <v>517</v>
      </c>
    </row>
    <row r="648" spans="1:24" ht="17.25" customHeight="1" x14ac:dyDescent="0.2">
      <c r="A648" s="21" t="s">
        <v>518</v>
      </c>
      <c r="B648" s="21" t="s">
        <v>2228</v>
      </c>
      <c r="C648" s="21" t="s">
        <v>2229</v>
      </c>
      <c r="D648" s="21" t="s">
        <v>949</v>
      </c>
      <c r="J648" s="21" t="s">
        <v>984</v>
      </c>
      <c r="K648" s="21" t="s">
        <v>984</v>
      </c>
      <c r="L648" s="21" t="s">
        <v>984</v>
      </c>
      <c r="M648" s="21" t="s">
        <v>981</v>
      </c>
      <c r="N648" s="319"/>
      <c r="O648" s="319"/>
      <c r="P648" s="21" t="s">
        <v>985</v>
      </c>
      <c r="Q648" s="21" t="s">
        <v>476</v>
      </c>
      <c r="R648" s="21" t="s">
        <v>464</v>
      </c>
      <c r="S648" s="21" t="s">
        <v>966</v>
      </c>
      <c r="T648" s="75"/>
      <c r="U648" s="76"/>
      <c r="V648" s="21" t="s">
        <v>949</v>
      </c>
      <c r="W648" s="77"/>
      <c r="X648" s="21" t="s">
        <v>518</v>
      </c>
    </row>
    <row r="649" spans="1:24" ht="17.25" customHeight="1" x14ac:dyDescent="0.2">
      <c r="A649" s="21" t="s">
        <v>519</v>
      </c>
      <c r="B649" s="21" t="s">
        <v>2228</v>
      </c>
      <c r="C649" s="21" t="s">
        <v>2229</v>
      </c>
      <c r="D649" s="21" t="s">
        <v>2134</v>
      </c>
      <c r="J649" s="21" t="s">
        <v>984</v>
      </c>
      <c r="K649" s="21" t="s">
        <v>984</v>
      </c>
      <c r="L649" s="21" t="s">
        <v>984</v>
      </c>
      <c r="M649" s="21" t="s">
        <v>1119</v>
      </c>
      <c r="N649" s="319"/>
      <c r="O649" s="319"/>
      <c r="P649" s="21" t="s">
        <v>985</v>
      </c>
      <c r="Q649" s="21" t="s">
        <v>476</v>
      </c>
      <c r="R649" s="21" t="s">
        <v>464</v>
      </c>
      <c r="S649" s="21" t="s">
        <v>966</v>
      </c>
      <c r="T649" s="75"/>
      <c r="U649" s="76"/>
      <c r="V649" s="21" t="s">
        <v>949</v>
      </c>
      <c r="W649" s="77"/>
      <c r="X649" s="21" t="s">
        <v>1339</v>
      </c>
    </row>
    <row r="650" spans="1:24" ht="17.25" customHeight="1" x14ac:dyDescent="0.2">
      <c r="A650" s="21" t="s">
        <v>524</v>
      </c>
      <c r="B650" s="21" t="s">
        <v>2228</v>
      </c>
      <c r="C650" s="21" t="s">
        <v>2229</v>
      </c>
      <c r="D650" s="21" t="s">
        <v>949</v>
      </c>
      <c r="J650" s="21" t="s">
        <v>984</v>
      </c>
      <c r="K650" s="21" t="s">
        <v>984</v>
      </c>
      <c r="L650" s="21" t="s">
        <v>984</v>
      </c>
      <c r="M650" s="21" t="s">
        <v>464</v>
      </c>
      <c r="N650" s="319"/>
      <c r="O650" s="319"/>
      <c r="P650" s="21" t="s">
        <v>985</v>
      </c>
      <c r="Q650" s="21" t="s">
        <v>476</v>
      </c>
      <c r="R650" s="21" t="s">
        <v>464</v>
      </c>
      <c r="S650" s="21" t="s">
        <v>966</v>
      </c>
      <c r="T650" s="75"/>
      <c r="U650" s="76"/>
      <c r="V650" s="21" t="s">
        <v>949</v>
      </c>
      <c r="W650" s="77"/>
      <c r="X650" s="21" t="s">
        <v>524</v>
      </c>
    </row>
    <row r="651" spans="1:24" ht="17.25" customHeight="1" x14ac:dyDescent="0.2">
      <c r="A651" s="21" t="s">
        <v>525</v>
      </c>
      <c r="B651" s="21" t="s">
        <v>2228</v>
      </c>
      <c r="C651" s="21" t="s">
        <v>2229</v>
      </c>
      <c r="D651" s="21" t="s">
        <v>949</v>
      </c>
      <c r="J651" s="21" t="s">
        <v>984</v>
      </c>
      <c r="K651" s="21" t="s">
        <v>984</v>
      </c>
      <c r="L651" s="21" t="s">
        <v>984</v>
      </c>
      <c r="M651" s="21" t="s">
        <v>981</v>
      </c>
      <c r="N651" s="319"/>
      <c r="O651" s="319"/>
      <c r="P651" s="21" t="s">
        <v>985</v>
      </c>
      <c r="Q651" s="21" t="s">
        <v>476</v>
      </c>
      <c r="R651" s="21" t="s">
        <v>464</v>
      </c>
      <c r="S651" s="21" t="s">
        <v>966</v>
      </c>
      <c r="T651" s="75"/>
      <c r="U651" s="76"/>
      <c r="V651" s="21" t="s">
        <v>949</v>
      </c>
      <c r="W651" s="77"/>
      <c r="X651" s="21" t="s">
        <v>525</v>
      </c>
    </row>
    <row r="652" spans="1:24" ht="17.25" customHeight="1" x14ac:dyDescent="0.2">
      <c r="A652" s="21" t="s">
        <v>526</v>
      </c>
      <c r="B652" s="21" t="s">
        <v>2228</v>
      </c>
      <c r="C652" s="21" t="s">
        <v>2229</v>
      </c>
      <c r="D652" s="21" t="s">
        <v>949</v>
      </c>
      <c r="J652" s="21" t="s">
        <v>984</v>
      </c>
      <c r="K652" s="21" t="s">
        <v>984</v>
      </c>
      <c r="L652" s="21" t="s">
        <v>984</v>
      </c>
      <c r="M652" s="21" t="s">
        <v>464</v>
      </c>
      <c r="N652" s="319"/>
      <c r="O652" s="319"/>
      <c r="P652" s="21" t="s">
        <v>985</v>
      </c>
      <c r="Q652" s="21" t="s">
        <v>476</v>
      </c>
      <c r="R652" s="21" t="s">
        <v>464</v>
      </c>
      <c r="S652" s="21" t="s">
        <v>966</v>
      </c>
      <c r="T652" s="75"/>
      <c r="U652" s="76"/>
      <c r="V652" s="21" t="s">
        <v>949</v>
      </c>
      <c r="W652" s="77"/>
      <c r="X652" s="21" t="s">
        <v>526</v>
      </c>
    </row>
    <row r="653" spans="1:24" ht="17.25" customHeight="1" x14ac:dyDescent="0.2">
      <c r="A653" s="21" t="s">
        <v>622</v>
      </c>
      <c r="B653" s="21" t="s">
        <v>2228</v>
      </c>
      <c r="C653" s="21" t="s">
        <v>2229</v>
      </c>
      <c r="D653" s="21" t="s">
        <v>1695</v>
      </c>
      <c r="J653" s="21" t="s">
        <v>984</v>
      </c>
      <c r="K653" s="21" t="s">
        <v>984</v>
      </c>
      <c r="L653" s="21" t="s">
        <v>984</v>
      </c>
      <c r="M653" s="21" t="s">
        <v>464</v>
      </c>
      <c r="N653" s="78">
        <v>20.218471527099599</v>
      </c>
      <c r="O653" s="78">
        <v>93.424331665039105</v>
      </c>
      <c r="P653" s="21" t="s">
        <v>985</v>
      </c>
      <c r="Q653" s="21" t="s">
        <v>483</v>
      </c>
      <c r="R653" s="21" t="s">
        <v>464</v>
      </c>
      <c r="S653" s="21" t="s">
        <v>966</v>
      </c>
      <c r="T653" s="75"/>
      <c r="U653" s="76"/>
      <c r="V653" s="21" t="s">
        <v>949</v>
      </c>
      <c r="W653" s="77"/>
      <c r="X653" s="21" t="s">
        <v>1060</v>
      </c>
    </row>
    <row r="654" spans="1:24" ht="17.25" customHeight="1" x14ac:dyDescent="0.2">
      <c r="A654" s="21" t="s">
        <v>640</v>
      </c>
      <c r="B654" s="21" t="s">
        <v>2228</v>
      </c>
      <c r="C654" s="21" t="s">
        <v>2229</v>
      </c>
      <c r="D654" s="21" t="s">
        <v>1714</v>
      </c>
      <c r="J654" s="21" t="s">
        <v>984</v>
      </c>
      <c r="K654" s="21" t="s">
        <v>984</v>
      </c>
      <c r="L654" s="21" t="s">
        <v>984</v>
      </c>
      <c r="M654" s="21" t="s">
        <v>1075</v>
      </c>
      <c r="N654" s="21">
        <v>20.394809723000002</v>
      </c>
      <c r="O654" s="74">
        <v>93.251609802000004</v>
      </c>
      <c r="P654" s="21" t="s">
        <v>985</v>
      </c>
      <c r="Q654" s="21" t="s">
        <v>483</v>
      </c>
      <c r="R654" s="21" t="s">
        <v>464</v>
      </c>
      <c r="S654" s="21" t="s">
        <v>966</v>
      </c>
      <c r="T654" s="75"/>
      <c r="U654" s="76"/>
      <c r="V654" s="21" t="s">
        <v>949</v>
      </c>
      <c r="W654" s="77"/>
      <c r="X654" s="21" t="s">
        <v>1076</v>
      </c>
    </row>
    <row r="655" spans="1:24" ht="17.25" customHeight="1" x14ac:dyDescent="0.2">
      <c r="A655" s="21" t="s">
        <v>641</v>
      </c>
      <c r="B655" s="21" t="s">
        <v>2228</v>
      </c>
      <c r="C655" s="21" t="s">
        <v>2229</v>
      </c>
      <c r="D655" s="21" t="s">
        <v>1715</v>
      </c>
      <c r="J655" s="21" t="s">
        <v>984</v>
      </c>
      <c r="K655" s="21" t="s">
        <v>984</v>
      </c>
      <c r="L655" s="21" t="s">
        <v>984</v>
      </c>
      <c r="M655" s="21" t="s">
        <v>464</v>
      </c>
      <c r="N655" s="21">
        <v>20.396680832000001</v>
      </c>
      <c r="O655" s="74">
        <v>93.252868652000004</v>
      </c>
      <c r="P655" s="21" t="s">
        <v>985</v>
      </c>
      <c r="Q655" s="21" t="s">
        <v>483</v>
      </c>
      <c r="R655" s="21" t="s">
        <v>464</v>
      </c>
      <c r="S655" s="21" t="s">
        <v>966</v>
      </c>
      <c r="T655" s="75"/>
      <c r="U655" s="76"/>
      <c r="V655" s="21" t="s">
        <v>949</v>
      </c>
      <c r="W655" s="77"/>
      <c r="X655" s="21" t="s">
        <v>1077</v>
      </c>
    </row>
    <row r="656" spans="1:24" ht="17.25" customHeight="1" x14ac:dyDescent="0.2">
      <c r="A656" s="21" t="s">
        <v>642</v>
      </c>
      <c r="B656" s="21" t="s">
        <v>2228</v>
      </c>
      <c r="C656" s="21" t="s">
        <v>2229</v>
      </c>
      <c r="D656" s="21" t="s">
        <v>1716</v>
      </c>
      <c r="J656" s="21" t="s">
        <v>984</v>
      </c>
      <c r="K656" s="21" t="s">
        <v>984</v>
      </c>
      <c r="L656" s="21" t="s">
        <v>984</v>
      </c>
      <c r="M656" s="21" t="s">
        <v>464</v>
      </c>
      <c r="N656" s="21">
        <v>20.398889541999999</v>
      </c>
      <c r="O656" s="74">
        <v>93.254051208000007</v>
      </c>
      <c r="P656" s="21" t="s">
        <v>985</v>
      </c>
      <c r="Q656" s="21" t="s">
        <v>483</v>
      </c>
      <c r="R656" s="21" t="s">
        <v>464</v>
      </c>
      <c r="S656" s="21" t="s">
        <v>966</v>
      </c>
      <c r="T656" s="75"/>
      <c r="U656" s="76"/>
      <c r="V656" s="21" t="s">
        <v>949</v>
      </c>
      <c r="W656" s="77"/>
      <c r="X656" s="21" t="s">
        <v>642</v>
      </c>
    </row>
    <row r="657" spans="1:24" ht="17.25" customHeight="1" x14ac:dyDescent="0.2">
      <c r="A657" s="21" t="s">
        <v>668</v>
      </c>
      <c r="B657" s="21" t="s">
        <v>2228</v>
      </c>
      <c r="C657" s="21" t="s">
        <v>2229</v>
      </c>
      <c r="D657" s="21" t="s">
        <v>1736</v>
      </c>
      <c r="J657" s="21" t="s">
        <v>984</v>
      </c>
      <c r="K657" s="21" t="s">
        <v>984</v>
      </c>
      <c r="L657" s="21" t="s">
        <v>984</v>
      </c>
      <c r="M657" s="21" t="s">
        <v>464</v>
      </c>
      <c r="N657" s="78">
        <v>20.5199794769287</v>
      </c>
      <c r="O657" s="78">
        <v>93.277252197265597</v>
      </c>
      <c r="P657" s="21" t="s">
        <v>985</v>
      </c>
      <c r="Q657" s="21" t="s">
        <v>483</v>
      </c>
      <c r="R657" s="21" t="s">
        <v>464</v>
      </c>
      <c r="S657" s="21" t="s">
        <v>966</v>
      </c>
      <c r="T657" s="75"/>
      <c r="U657" s="76"/>
      <c r="V657" s="21" t="s">
        <v>949</v>
      </c>
      <c r="W657" s="77"/>
      <c r="X657" s="21" t="s">
        <v>949</v>
      </c>
    </row>
    <row r="658" spans="1:24" ht="17.25" customHeight="1" x14ac:dyDescent="0.2">
      <c r="A658" s="21" t="s">
        <v>484</v>
      </c>
      <c r="B658" s="21" t="s">
        <v>2228</v>
      </c>
      <c r="C658" s="21" t="s">
        <v>2229</v>
      </c>
      <c r="D658" s="21" t="s">
        <v>2123</v>
      </c>
      <c r="J658" s="21" t="s">
        <v>984</v>
      </c>
      <c r="K658" s="21" t="s">
        <v>984</v>
      </c>
      <c r="L658" s="21" t="s">
        <v>984</v>
      </c>
      <c r="M658" s="21" t="s">
        <v>464</v>
      </c>
      <c r="N658" s="319"/>
      <c r="O658" s="319"/>
      <c r="P658" s="21" t="s">
        <v>985</v>
      </c>
      <c r="Q658" s="21" t="s">
        <v>483</v>
      </c>
      <c r="R658" s="21" t="s">
        <v>464</v>
      </c>
      <c r="S658" s="21" t="s">
        <v>966</v>
      </c>
      <c r="T658" s="75"/>
      <c r="U658" s="76"/>
      <c r="V658" s="21" t="s">
        <v>991</v>
      </c>
      <c r="W658" s="77"/>
      <c r="X658" s="21" t="s">
        <v>949</v>
      </c>
    </row>
    <row r="659" spans="1:24" ht="17.25" customHeight="1" x14ac:dyDescent="0.2">
      <c r="A659" s="21" t="s">
        <v>650</v>
      </c>
      <c r="B659" s="21" t="s">
        <v>2228</v>
      </c>
      <c r="C659" s="21" t="s">
        <v>2229</v>
      </c>
      <c r="D659" s="21" t="s">
        <v>1724</v>
      </c>
      <c r="J659" s="21" t="s">
        <v>984</v>
      </c>
      <c r="K659" s="21" t="s">
        <v>984</v>
      </c>
      <c r="L659" s="21" t="s">
        <v>984</v>
      </c>
      <c r="M659" s="21" t="s">
        <v>464</v>
      </c>
      <c r="N659" s="78">
        <v>20.4625244140625</v>
      </c>
      <c r="O659" s="78">
        <v>93.257278442382798</v>
      </c>
      <c r="P659" s="21" t="s">
        <v>985</v>
      </c>
      <c r="Q659" s="21" t="s">
        <v>649</v>
      </c>
      <c r="R659" s="21" t="s">
        <v>464</v>
      </c>
      <c r="S659" s="21" t="s">
        <v>966</v>
      </c>
      <c r="T659" s="75"/>
      <c r="U659" s="76"/>
      <c r="V659" s="21" t="s">
        <v>949</v>
      </c>
      <c r="W659" s="77"/>
      <c r="X659" s="21" t="s">
        <v>1084</v>
      </c>
    </row>
    <row r="660" spans="1:24" ht="17.25" customHeight="1" x14ac:dyDescent="0.2">
      <c r="A660" s="21" t="s">
        <v>652</v>
      </c>
      <c r="B660" s="21" t="s">
        <v>2228</v>
      </c>
      <c r="C660" s="21" t="s">
        <v>2229</v>
      </c>
      <c r="D660" s="21" t="s">
        <v>1725</v>
      </c>
      <c r="J660" s="21" t="s">
        <v>984</v>
      </c>
      <c r="K660" s="21" t="s">
        <v>984</v>
      </c>
      <c r="L660" s="21" t="s">
        <v>984</v>
      </c>
      <c r="M660" s="21" t="s">
        <v>464</v>
      </c>
      <c r="N660" s="78">
        <v>20.464775085449201</v>
      </c>
      <c r="O660" s="78">
        <v>93.269363403320298</v>
      </c>
      <c r="P660" s="21" t="s">
        <v>985</v>
      </c>
      <c r="Q660" s="21" t="s">
        <v>649</v>
      </c>
      <c r="R660" s="21" t="s">
        <v>464</v>
      </c>
      <c r="S660" s="21" t="s">
        <v>966</v>
      </c>
      <c r="T660" s="75"/>
      <c r="U660" s="76"/>
      <c r="V660" s="21" t="s">
        <v>949</v>
      </c>
      <c r="W660" s="77"/>
      <c r="X660" s="21" t="s">
        <v>652</v>
      </c>
    </row>
    <row r="661" spans="1:24" ht="17.25" customHeight="1" x14ac:dyDescent="0.2">
      <c r="A661" s="21" t="s">
        <v>661</v>
      </c>
      <c r="B661" s="21" t="s">
        <v>2228</v>
      </c>
      <c r="C661" s="21" t="s">
        <v>2229</v>
      </c>
      <c r="D661" s="21" t="s">
        <v>1728</v>
      </c>
      <c r="J661" s="21" t="s">
        <v>984</v>
      </c>
      <c r="K661" s="21" t="s">
        <v>984</v>
      </c>
      <c r="L661" s="21" t="s">
        <v>984</v>
      </c>
      <c r="M661" s="21" t="s">
        <v>464</v>
      </c>
      <c r="N661" s="78">
        <v>20.489089965820298</v>
      </c>
      <c r="O661" s="78">
        <v>93.211738586425795</v>
      </c>
      <c r="P661" s="21" t="s">
        <v>985</v>
      </c>
      <c r="Q661" s="21" t="s">
        <v>649</v>
      </c>
      <c r="R661" s="21" t="s">
        <v>464</v>
      </c>
      <c r="S661" s="21" t="s">
        <v>966</v>
      </c>
      <c r="T661" s="75"/>
      <c r="U661" s="76"/>
      <c r="V661" s="21" t="s">
        <v>949</v>
      </c>
      <c r="W661" s="77"/>
      <c r="X661" s="21" t="s">
        <v>1086</v>
      </c>
    </row>
    <row r="662" spans="1:24" ht="17.25" customHeight="1" x14ac:dyDescent="0.2">
      <c r="A662" s="21" t="s">
        <v>726</v>
      </c>
      <c r="B662" s="21" t="s">
        <v>2228</v>
      </c>
      <c r="C662" s="21" t="s">
        <v>2229</v>
      </c>
      <c r="D662" s="21" t="s">
        <v>1793</v>
      </c>
      <c r="J662" s="21" t="s">
        <v>984</v>
      </c>
      <c r="K662" s="21" t="s">
        <v>984</v>
      </c>
      <c r="L662" s="21" t="s">
        <v>984</v>
      </c>
      <c r="M662" s="21" t="s">
        <v>981</v>
      </c>
      <c r="N662" s="78">
        <v>20.697229385376001</v>
      </c>
      <c r="O662" s="78">
        <v>93.044059753417997</v>
      </c>
      <c r="P662" s="21" t="s">
        <v>985</v>
      </c>
      <c r="Q662" s="21" t="s">
        <v>649</v>
      </c>
      <c r="R662" s="21" t="s">
        <v>464</v>
      </c>
      <c r="S662" s="21" t="s">
        <v>966</v>
      </c>
      <c r="T662" s="75"/>
      <c r="U662" s="76"/>
      <c r="V662" s="21" t="s">
        <v>949</v>
      </c>
      <c r="W662" s="77"/>
      <c r="X662" s="21" t="s">
        <v>1115</v>
      </c>
    </row>
    <row r="663" spans="1:24" ht="17.25" customHeight="1" x14ac:dyDescent="0.2">
      <c r="A663" s="21" t="s">
        <v>727</v>
      </c>
      <c r="B663" s="21" t="s">
        <v>2228</v>
      </c>
      <c r="C663" s="21" t="s">
        <v>2229</v>
      </c>
      <c r="D663" s="21" t="s">
        <v>1794</v>
      </c>
      <c r="J663" s="21" t="s">
        <v>984</v>
      </c>
      <c r="K663" s="21" t="s">
        <v>984</v>
      </c>
      <c r="L663" s="21" t="s">
        <v>984</v>
      </c>
      <c r="M663" s="21" t="s">
        <v>464</v>
      </c>
      <c r="N663" s="78">
        <v>20.703550338745099</v>
      </c>
      <c r="O663" s="78">
        <v>93.060462951660199</v>
      </c>
      <c r="P663" s="21" t="s">
        <v>985</v>
      </c>
      <c r="Q663" s="21" t="s">
        <v>649</v>
      </c>
      <c r="R663" s="21" t="s">
        <v>464</v>
      </c>
      <c r="S663" s="21" t="s">
        <v>966</v>
      </c>
      <c r="T663" s="75"/>
      <c r="U663" s="76"/>
      <c r="V663" s="21" t="s">
        <v>949</v>
      </c>
      <c r="W663" s="77"/>
      <c r="X663" s="21" t="s">
        <v>727</v>
      </c>
    </row>
    <row r="664" spans="1:24" ht="17.25" customHeight="1" x14ac:dyDescent="0.2">
      <c r="A664" s="396" t="s">
        <v>573</v>
      </c>
      <c r="B664" s="21" t="s">
        <v>2228</v>
      </c>
      <c r="C664" s="21" t="s">
        <v>2229</v>
      </c>
      <c r="D664" s="21" t="s">
        <v>1631</v>
      </c>
      <c r="H664" s="21" t="s">
        <v>48</v>
      </c>
      <c r="I664" s="21" t="s">
        <v>571</v>
      </c>
      <c r="J664" s="21" t="s">
        <v>50</v>
      </c>
      <c r="K664" s="21" t="s">
        <v>50</v>
      </c>
      <c r="L664" s="21" t="s">
        <v>980</v>
      </c>
      <c r="M664" s="21" t="s">
        <v>981</v>
      </c>
      <c r="N664" s="21">
        <v>20.037655000000001</v>
      </c>
      <c r="O664" s="74">
        <v>93.370037999999994</v>
      </c>
      <c r="P664" s="21" t="s">
        <v>944</v>
      </c>
      <c r="Q664" s="21" t="s">
        <v>572</v>
      </c>
      <c r="R664" s="21" t="s">
        <v>464</v>
      </c>
      <c r="S664" s="21" t="s">
        <v>966</v>
      </c>
      <c r="T664" s="75">
        <v>687</v>
      </c>
      <c r="U664" s="76">
        <v>2606</v>
      </c>
      <c r="V664" s="21" t="s">
        <v>949</v>
      </c>
      <c r="W664" s="77"/>
      <c r="X664" s="21" t="s">
        <v>573</v>
      </c>
    </row>
    <row r="665" spans="1:24" ht="17.25" customHeight="1" x14ac:dyDescent="0.2">
      <c r="A665" s="21" t="s">
        <v>576</v>
      </c>
      <c r="B665" s="21" t="s">
        <v>2228</v>
      </c>
      <c r="C665" s="21" t="s">
        <v>2229</v>
      </c>
      <c r="D665" s="21" t="s">
        <v>1634</v>
      </c>
      <c r="J665" s="21" t="s">
        <v>984</v>
      </c>
      <c r="K665" s="21" t="s">
        <v>984</v>
      </c>
      <c r="L665" s="21" t="s">
        <v>984</v>
      </c>
      <c r="M665" s="21" t="s">
        <v>464</v>
      </c>
      <c r="N665" s="21">
        <v>20.057860999999999</v>
      </c>
      <c r="O665" s="74">
        <v>92.995181000000002</v>
      </c>
      <c r="P665" s="21" t="s">
        <v>985</v>
      </c>
      <c r="Q665" s="21" t="s">
        <v>575</v>
      </c>
      <c r="R665" s="21" t="s">
        <v>464</v>
      </c>
      <c r="S665" s="21" t="s">
        <v>966</v>
      </c>
      <c r="T665" s="75"/>
      <c r="U665" s="76"/>
      <c r="V665" s="21" t="s">
        <v>949</v>
      </c>
      <c r="W665" s="77"/>
      <c r="X665" s="21" t="s">
        <v>576</v>
      </c>
    </row>
    <row r="666" spans="1:24" ht="17.25" customHeight="1" x14ac:dyDescent="0.2">
      <c r="A666" s="21" t="s">
        <v>578</v>
      </c>
      <c r="B666" s="21" t="s">
        <v>2228</v>
      </c>
      <c r="C666" s="21" t="s">
        <v>2229</v>
      </c>
      <c r="D666" s="21" t="s">
        <v>1637</v>
      </c>
      <c r="J666" s="21" t="s">
        <v>984</v>
      </c>
      <c r="K666" s="21" t="s">
        <v>984</v>
      </c>
      <c r="L666" s="21" t="s">
        <v>984</v>
      </c>
      <c r="M666" s="21" t="s">
        <v>981</v>
      </c>
      <c r="N666" s="21">
        <v>20.0641</v>
      </c>
      <c r="O666" s="74">
        <v>92.994600000000005</v>
      </c>
      <c r="P666" s="21" t="s">
        <v>985</v>
      </c>
      <c r="Q666" s="21" t="s">
        <v>575</v>
      </c>
      <c r="R666" s="21" t="s">
        <v>464</v>
      </c>
      <c r="S666" s="21" t="s">
        <v>966</v>
      </c>
      <c r="T666" s="75"/>
      <c r="U666" s="76"/>
      <c r="V666" s="21" t="s">
        <v>949</v>
      </c>
      <c r="W666" s="77"/>
      <c r="X666" s="21" t="s">
        <v>578</v>
      </c>
    </row>
    <row r="667" spans="1:24" ht="17.25" customHeight="1" x14ac:dyDescent="0.2">
      <c r="A667" s="21" t="s">
        <v>582</v>
      </c>
      <c r="B667" s="21" t="s">
        <v>2228</v>
      </c>
      <c r="C667" s="21" t="s">
        <v>2229</v>
      </c>
      <c r="D667" s="21" t="s">
        <v>1645</v>
      </c>
      <c r="J667" s="21" t="s">
        <v>984</v>
      </c>
      <c r="K667" s="21" t="s">
        <v>984</v>
      </c>
      <c r="L667" s="21" t="s">
        <v>984</v>
      </c>
      <c r="M667" s="21" t="s">
        <v>464</v>
      </c>
      <c r="N667" s="21">
        <v>20.0839</v>
      </c>
      <c r="O667" s="74">
        <v>92.993799999999993</v>
      </c>
      <c r="P667" s="21" t="s">
        <v>985</v>
      </c>
      <c r="Q667" s="21" t="s">
        <v>575</v>
      </c>
      <c r="R667" s="21" t="s">
        <v>464</v>
      </c>
      <c r="S667" s="21" t="s">
        <v>966</v>
      </c>
      <c r="T667" s="75"/>
      <c r="U667" s="76"/>
      <c r="V667" s="21" t="s">
        <v>949</v>
      </c>
      <c r="W667" s="77"/>
      <c r="X667" s="21" t="s">
        <v>582</v>
      </c>
    </row>
    <row r="668" spans="1:24" ht="17.25" customHeight="1" x14ac:dyDescent="0.2">
      <c r="A668" s="21" t="s">
        <v>585</v>
      </c>
      <c r="B668" s="21" t="s">
        <v>2228</v>
      </c>
      <c r="C668" s="21" t="s">
        <v>2229</v>
      </c>
      <c r="D668" s="21" t="s">
        <v>1648</v>
      </c>
      <c r="J668" s="21" t="s">
        <v>984</v>
      </c>
      <c r="K668" s="21" t="s">
        <v>984</v>
      </c>
      <c r="L668" s="21" t="s">
        <v>984</v>
      </c>
      <c r="M668" s="21" t="s">
        <v>981</v>
      </c>
      <c r="N668" s="21">
        <v>20.099340438842798</v>
      </c>
      <c r="O668" s="74">
        <v>92.989143371582003</v>
      </c>
      <c r="P668" s="21" t="s">
        <v>985</v>
      </c>
      <c r="Q668" s="21" t="s">
        <v>575</v>
      </c>
      <c r="R668" s="21" t="s">
        <v>464</v>
      </c>
      <c r="S668" s="21" t="s">
        <v>966</v>
      </c>
      <c r="T668" s="75"/>
      <c r="U668" s="76"/>
      <c r="V668" s="21" t="s">
        <v>949</v>
      </c>
      <c r="W668" s="77"/>
      <c r="X668" s="21" t="s">
        <v>949</v>
      </c>
    </row>
    <row r="669" spans="1:24" ht="17.25" customHeight="1" x14ac:dyDescent="0.2">
      <c r="A669" s="21" t="s">
        <v>710</v>
      </c>
      <c r="B669" s="21" t="s">
        <v>2228</v>
      </c>
      <c r="C669" s="21" t="s">
        <v>2229</v>
      </c>
      <c r="D669" s="21" t="s">
        <v>1652</v>
      </c>
      <c r="J669" s="21" t="s">
        <v>984</v>
      </c>
      <c r="K669" s="21" t="s">
        <v>984</v>
      </c>
      <c r="L669" s="21" t="s">
        <v>984</v>
      </c>
      <c r="M669" s="21" t="s">
        <v>949</v>
      </c>
      <c r="N669" s="21">
        <v>20.1092205047607</v>
      </c>
      <c r="O669" s="74">
        <v>92.9954833984375</v>
      </c>
      <c r="P669" s="21" t="s">
        <v>985</v>
      </c>
      <c r="Q669" s="21" t="s">
        <v>575</v>
      </c>
      <c r="R669" s="21" t="s">
        <v>464</v>
      </c>
      <c r="T669" s="75"/>
      <c r="U669" s="76"/>
      <c r="V669" s="21" t="s">
        <v>949</v>
      </c>
      <c r="W669" s="77"/>
      <c r="X669" s="21" t="s">
        <v>710</v>
      </c>
    </row>
    <row r="670" spans="1:24" ht="17.25" customHeight="1" x14ac:dyDescent="0.2">
      <c r="A670" s="21" t="s">
        <v>631</v>
      </c>
      <c r="B670" s="21" t="s">
        <v>2228</v>
      </c>
      <c r="C670" s="21" t="s">
        <v>2229</v>
      </c>
      <c r="D670" s="21" t="s">
        <v>1703</v>
      </c>
      <c r="J670" s="21" t="s">
        <v>984</v>
      </c>
      <c r="K670" s="21" t="s">
        <v>984</v>
      </c>
      <c r="L670" s="21" t="s">
        <v>984</v>
      </c>
      <c r="M670" s="21" t="s">
        <v>464</v>
      </c>
      <c r="N670" s="21">
        <v>20.268000000000001</v>
      </c>
      <c r="O670" s="74">
        <v>92.977999999999994</v>
      </c>
      <c r="P670" s="21" t="s">
        <v>985</v>
      </c>
      <c r="Q670" s="21" t="s">
        <v>630</v>
      </c>
      <c r="R670" s="21" t="s">
        <v>464</v>
      </c>
      <c r="S670" s="21" t="s">
        <v>966</v>
      </c>
      <c r="T670" s="75"/>
      <c r="U670" s="76"/>
      <c r="V670" s="21" t="s">
        <v>949</v>
      </c>
      <c r="W670" s="77"/>
      <c r="X670" s="21" t="s">
        <v>631</v>
      </c>
    </row>
    <row r="671" spans="1:24" ht="17.25" customHeight="1" x14ac:dyDescent="0.2">
      <c r="A671" s="21" t="s">
        <v>634</v>
      </c>
      <c r="B671" s="21" t="s">
        <v>2228</v>
      </c>
      <c r="C671" s="21" t="s">
        <v>2229</v>
      </c>
      <c r="D671" s="21" t="s">
        <v>1704</v>
      </c>
      <c r="J671" s="21" t="s">
        <v>984</v>
      </c>
      <c r="K671" s="21" t="s">
        <v>984</v>
      </c>
      <c r="L671" s="21" t="s">
        <v>984</v>
      </c>
      <c r="M671" s="21" t="s">
        <v>464</v>
      </c>
      <c r="N671" s="21">
        <v>20.292100000000001</v>
      </c>
      <c r="O671" s="74">
        <v>92.994100000000003</v>
      </c>
      <c r="P671" s="21" t="s">
        <v>985</v>
      </c>
      <c r="Q671" s="21" t="s">
        <v>630</v>
      </c>
      <c r="R671" s="21" t="s">
        <v>464</v>
      </c>
      <c r="S671" s="21" t="s">
        <v>966</v>
      </c>
      <c r="T671" s="75"/>
      <c r="U671" s="76"/>
      <c r="V671" s="21" t="s">
        <v>949</v>
      </c>
      <c r="W671" s="77"/>
      <c r="X671" s="21" t="s">
        <v>634</v>
      </c>
    </row>
    <row r="672" spans="1:24" ht="17.25" customHeight="1" x14ac:dyDescent="0.2">
      <c r="A672" s="21" t="s">
        <v>637</v>
      </c>
      <c r="B672" s="21" t="s">
        <v>2228</v>
      </c>
      <c r="C672" s="21" t="s">
        <v>2229</v>
      </c>
      <c r="D672" s="21" t="s">
        <v>1709</v>
      </c>
      <c r="J672" s="21" t="s">
        <v>984</v>
      </c>
      <c r="K672" s="21" t="s">
        <v>984</v>
      </c>
      <c r="L672" s="21" t="s">
        <v>984</v>
      </c>
      <c r="M672" s="21" t="s">
        <v>464</v>
      </c>
      <c r="N672" s="21">
        <v>20.361530303999999</v>
      </c>
      <c r="O672" s="74">
        <v>92.992073059000006</v>
      </c>
      <c r="P672" s="21" t="s">
        <v>985</v>
      </c>
      <c r="Q672" s="21" t="s">
        <v>630</v>
      </c>
      <c r="R672" s="21" t="s">
        <v>464</v>
      </c>
      <c r="S672" s="21" t="s">
        <v>966</v>
      </c>
      <c r="T672" s="75"/>
      <c r="U672" s="76"/>
      <c r="V672" s="21" t="s">
        <v>949</v>
      </c>
      <c r="W672" s="77"/>
      <c r="X672" s="21" t="s">
        <v>637</v>
      </c>
    </row>
    <row r="673" spans="1:24" ht="17.25" customHeight="1" x14ac:dyDescent="0.2">
      <c r="A673" s="21" t="s">
        <v>646</v>
      </c>
      <c r="B673" s="21" t="s">
        <v>2228</v>
      </c>
      <c r="C673" s="21" t="s">
        <v>2229</v>
      </c>
      <c r="D673" s="21" t="s">
        <v>1722</v>
      </c>
      <c r="J673" s="21" t="s">
        <v>984</v>
      </c>
      <c r="K673" s="21" t="s">
        <v>984</v>
      </c>
      <c r="L673" s="21" t="s">
        <v>984</v>
      </c>
      <c r="M673" s="21" t="s">
        <v>464</v>
      </c>
      <c r="N673" s="21">
        <v>20.424389999999999</v>
      </c>
      <c r="O673" s="74">
        <v>93.012960000000007</v>
      </c>
      <c r="P673" s="21" t="s">
        <v>985</v>
      </c>
      <c r="Q673" s="21" t="s">
        <v>630</v>
      </c>
      <c r="R673" s="21" t="s">
        <v>464</v>
      </c>
      <c r="S673" s="21" t="s">
        <v>966</v>
      </c>
      <c r="T673" s="75"/>
      <c r="U673" s="76"/>
      <c r="V673" s="21" t="s">
        <v>949</v>
      </c>
      <c r="W673" s="77"/>
      <c r="X673" s="21" t="s">
        <v>646</v>
      </c>
    </row>
    <row r="674" spans="1:24" ht="17.25" customHeight="1" x14ac:dyDescent="0.2">
      <c r="A674" s="21" t="s">
        <v>659</v>
      </c>
      <c r="B674" s="21" t="s">
        <v>2228</v>
      </c>
      <c r="C674" s="21" t="s">
        <v>2229</v>
      </c>
      <c r="D674" s="21" t="s">
        <v>1727</v>
      </c>
      <c r="J674" s="21" t="s">
        <v>984</v>
      </c>
      <c r="K674" s="21" t="s">
        <v>984</v>
      </c>
      <c r="L674" s="21" t="s">
        <v>984</v>
      </c>
      <c r="M674" s="21" t="s">
        <v>464</v>
      </c>
      <c r="N674" s="21">
        <v>20.482030868999999</v>
      </c>
      <c r="O674" s="74">
        <v>93.045410156000003</v>
      </c>
      <c r="P674" s="21" t="s">
        <v>985</v>
      </c>
      <c r="Q674" s="21" t="s">
        <v>630</v>
      </c>
      <c r="R674" s="21" t="s">
        <v>464</v>
      </c>
      <c r="S674" s="21" t="s">
        <v>966</v>
      </c>
      <c r="T674" s="75"/>
      <c r="U674" s="76"/>
      <c r="V674" s="21" t="s">
        <v>949</v>
      </c>
      <c r="W674" s="77"/>
      <c r="X674" s="21" t="s">
        <v>659</v>
      </c>
    </row>
    <row r="675" spans="1:24" ht="17.25" customHeight="1" x14ac:dyDescent="0.2">
      <c r="A675" s="21" t="s">
        <v>662</v>
      </c>
      <c r="B675" s="21" t="s">
        <v>2228</v>
      </c>
      <c r="C675" s="21" t="s">
        <v>2229</v>
      </c>
      <c r="D675" s="21" t="s">
        <v>1729</v>
      </c>
      <c r="J675" s="21" t="s">
        <v>984</v>
      </c>
      <c r="K675" s="21" t="s">
        <v>984</v>
      </c>
      <c r="L675" s="21" t="s">
        <v>984</v>
      </c>
      <c r="M675" s="21" t="s">
        <v>981</v>
      </c>
      <c r="N675" s="21">
        <v>20.494340897000001</v>
      </c>
      <c r="O675" s="74">
        <v>93.054298400999997</v>
      </c>
      <c r="P675" s="21" t="s">
        <v>985</v>
      </c>
      <c r="Q675" s="21" t="s">
        <v>630</v>
      </c>
      <c r="R675" s="21" t="s">
        <v>464</v>
      </c>
      <c r="S675" s="21" t="s">
        <v>966</v>
      </c>
      <c r="T675" s="75"/>
      <c r="U675" s="76"/>
      <c r="V675" s="21" t="s">
        <v>949</v>
      </c>
      <c r="W675" s="77"/>
      <c r="X675" s="21" t="s">
        <v>1087</v>
      </c>
    </row>
    <row r="676" spans="1:24" ht="17.25" customHeight="1" x14ac:dyDescent="0.2">
      <c r="A676" s="21" t="s">
        <v>664</v>
      </c>
      <c r="B676" s="21" t="s">
        <v>2228</v>
      </c>
      <c r="C676" s="21" t="s">
        <v>2229</v>
      </c>
      <c r="D676" s="21" t="s">
        <v>1732</v>
      </c>
      <c r="J676" s="21" t="s">
        <v>984</v>
      </c>
      <c r="K676" s="21" t="s">
        <v>984</v>
      </c>
      <c r="L676" s="21" t="s">
        <v>984</v>
      </c>
      <c r="M676" s="21" t="s">
        <v>464</v>
      </c>
      <c r="N676" s="21">
        <v>20.506580353</v>
      </c>
      <c r="O676" s="74">
        <v>93.043449401999993</v>
      </c>
      <c r="P676" s="21" t="s">
        <v>985</v>
      </c>
      <c r="Q676" s="21" t="s">
        <v>630</v>
      </c>
      <c r="R676" s="21" t="s">
        <v>464</v>
      </c>
      <c r="S676" s="21" t="s">
        <v>966</v>
      </c>
      <c r="T676" s="75"/>
      <c r="U676" s="76"/>
      <c r="V676" s="21" t="s">
        <v>949</v>
      </c>
      <c r="W676" s="77"/>
      <c r="X676" s="21" t="s">
        <v>664</v>
      </c>
    </row>
    <row r="677" spans="1:24" ht="17.25" customHeight="1" x14ac:dyDescent="0.2">
      <c r="A677" s="21" t="s">
        <v>665</v>
      </c>
      <c r="B677" s="21" t="s">
        <v>2228</v>
      </c>
      <c r="C677" s="21" t="s">
        <v>2229</v>
      </c>
      <c r="D677" s="21" t="s">
        <v>1733</v>
      </c>
      <c r="J677" s="21" t="s">
        <v>984</v>
      </c>
      <c r="K677" s="21" t="s">
        <v>984</v>
      </c>
      <c r="L677" s="21" t="s">
        <v>984</v>
      </c>
      <c r="M677" s="21" t="s">
        <v>464</v>
      </c>
      <c r="N677" s="21">
        <v>20.509660720999999</v>
      </c>
      <c r="O677" s="74">
        <v>92.997230529999996</v>
      </c>
      <c r="P677" s="21" t="s">
        <v>985</v>
      </c>
      <c r="Q677" s="21" t="s">
        <v>630</v>
      </c>
      <c r="R677" s="21" t="s">
        <v>464</v>
      </c>
      <c r="S677" s="21" t="s">
        <v>966</v>
      </c>
      <c r="T677" s="75"/>
      <c r="U677" s="76"/>
      <c r="V677" s="21" t="s">
        <v>949</v>
      </c>
      <c r="W677" s="77"/>
      <c r="X677" s="21" t="s">
        <v>665</v>
      </c>
    </row>
    <row r="678" spans="1:24" ht="17.25" customHeight="1" x14ac:dyDescent="0.2">
      <c r="A678" s="21" t="s">
        <v>678</v>
      </c>
      <c r="B678" s="21" t="s">
        <v>2228</v>
      </c>
      <c r="C678" s="21" t="s">
        <v>2229</v>
      </c>
      <c r="D678" s="21" t="s">
        <v>1747</v>
      </c>
      <c r="J678" s="21" t="s">
        <v>984</v>
      </c>
      <c r="K678" s="21" t="s">
        <v>984</v>
      </c>
      <c r="L678" s="21" t="s">
        <v>984</v>
      </c>
      <c r="M678" s="21" t="s">
        <v>464</v>
      </c>
      <c r="N678" s="21">
        <v>20.564739227</v>
      </c>
      <c r="O678" s="74">
        <v>93.064781189000001</v>
      </c>
      <c r="P678" s="21" t="s">
        <v>985</v>
      </c>
      <c r="Q678" s="21" t="s">
        <v>630</v>
      </c>
      <c r="R678" s="21" t="s">
        <v>464</v>
      </c>
      <c r="S678" s="21" t="s">
        <v>966</v>
      </c>
      <c r="T678" s="75"/>
      <c r="U678" s="76"/>
      <c r="V678" s="21" t="s">
        <v>949</v>
      </c>
      <c r="W678" s="77"/>
      <c r="X678" s="21" t="s">
        <v>678</v>
      </c>
    </row>
    <row r="679" spans="1:24" ht="17.25" customHeight="1" x14ac:dyDescent="0.2">
      <c r="A679" s="21" t="s">
        <v>685</v>
      </c>
      <c r="B679" s="21" t="s">
        <v>2228</v>
      </c>
      <c r="C679" s="21" t="s">
        <v>2229</v>
      </c>
      <c r="D679" s="21" t="s">
        <v>1759</v>
      </c>
      <c r="J679" s="21" t="s">
        <v>984</v>
      </c>
      <c r="K679" s="21" t="s">
        <v>984</v>
      </c>
      <c r="L679" s="21" t="s">
        <v>984</v>
      </c>
      <c r="M679" s="21" t="s">
        <v>464</v>
      </c>
      <c r="N679" s="21">
        <v>20.596279144</v>
      </c>
      <c r="O679" s="74">
        <v>92.987480164000004</v>
      </c>
      <c r="P679" s="21" t="s">
        <v>985</v>
      </c>
      <c r="Q679" s="21" t="s">
        <v>630</v>
      </c>
      <c r="R679" s="21" t="s">
        <v>464</v>
      </c>
      <c r="S679" s="21" t="s">
        <v>966</v>
      </c>
      <c r="T679" s="75"/>
      <c r="U679" s="76"/>
      <c r="V679" s="21" t="s">
        <v>949</v>
      </c>
      <c r="W679" s="77"/>
      <c r="X679" s="21" t="s">
        <v>685</v>
      </c>
    </row>
    <row r="680" spans="1:24" ht="17.25" customHeight="1" x14ac:dyDescent="0.2">
      <c r="A680" s="21" t="s">
        <v>686</v>
      </c>
      <c r="B680" s="21" t="s">
        <v>2228</v>
      </c>
      <c r="C680" s="21" t="s">
        <v>2229</v>
      </c>
      <c r="D680" s="21" t="s">
        <v>1761</v>
      </c>
      <c r="J680" s="21" t="s">
        <v>984</v>
      </c>
      <c r="K680" s="21" t="s">
        <v>984</v>
      </c>
      <c r="L680" s="21" t="s">
        <v>984</v>
      </c>
      <c r="M680" s="21" t="s">
        <v>981</v>
      </c>
      <c r="N680" s="21">
        <v>20.608819961999998</v>
      </c>
      <c r="O680" s="74">
        <v>93.022407532000003</v>
      </c>
      <c r="P680" s="21" t="s">
        <v>985</v>
      </c>
      <c r="Q680" s="21" t="s">
        <v>630</v>
      </c>
      <c r="R680" s="21" t="s">
        <v>464</v>
      </c>
      <c r="S680" s="21" t="s">
        <v>966</v>
      </c>
      <c r="T680" s="75"/>
      <c r="U680" s="76"/>
      <c r="V680" s="21" t="s">
        <v>949</v>
      </c>
      <c r="W680" s="77"/>
      <c r="X680" s="21" t="s">
        <v>1102</v>
      </c>
    </row>
    <row r="681" spans="1:24" ht="17.25" customHeight="1" x14ac:dyDescent="0.2">
      <c r="A681" s="21" t="s">
        <v>687</v>
      </c>
      <c r="B681" s="21" t="s">
        <v>2228</v>
      </c>
      <c r="C681" s="21" t="s">
        <v>2229</v>
      </c>
      <c r="D681" s="21" t="s">
        <v>1763</v>
      </c>
      <c r="J681" s="21" t="s">
        <v>984</v>
      </c>
      <c r="K681" s="21" t="s">
        <v>984</v>
      </c>
      <c r="L681" s="21" t="s">
        <v>984</v>
      </c>
      <c r="M681" s="21" t="s">
        <v>464</v>
      </c>
      <c r="N681" s="21">
        <v>20.630609511999999</v>
      </c>
      <c r="O681" s="74">
        <v>92.998641968000001</v>
      </c>
      <c r="P681" s="21" t="s">
        <v>985</v>
      </c>
      <c r="Q681" s="21" t="s">
        <v>630</v>
      </c>
      <c r="R681" s="21" t="s">
        <v>464</v>
      </c>
      <c r="S681" s="21" t="s">
        <v>966</v>
      </c>
      <c r="T681" s="75"/>
      <c r="U681" s="76"/>
      <c r="V681" s="21" t="s">
        <v>949</v>
      </c>
      <c r="W681" s="77"/>
      <c r="X681" s="21" t="s">
        <v>1104</v>
      </c>
    </row>
    <row r="682" spans="1:24" ht="17.25" customHeight="1" x14ac:dyDescent="0.2">
      <c r="A682" s="21" t="s">
        <v>688</v>
      </c>
      <c r="B682" s="21" t="s">
        <v>2228</v>
      </c>
      <c r="C682" s="21" t="s">
        <v>2229</v>
      </c>
      <c r="D682" s="21" t="s">
        <v>1764</v>
      </c>
      <c r="J682" s="21" t="s">
        <v>984</v>
      </c>
      <c r="K682" s="21" t="s">
        <v>984</v>
      </c>
      <c r="L682" s="21" t="s">
        <v>984</v>
      </c>
      <c r="M682" s="21" t="s">
        <v>464</v>
      </c>
      <c r="N682" s="21">
        <v>20.632720946999999</v>
      </c>
      <c r="O682" s="74">
        <v>92.940132141000007</v>
      </c>
      <c r="P682" s="21" t="s">
        <v>985</v>
      </c>
      <c r="Q682" s="21" t="s">
        <v>630</v>
      </c>
      <c r="R682" s="21" t="s">
        <v>464</v>
      </c>
      <c r="S682" s="21" t="s">
        <v>966</v>
      </c>
      <c r="T682" s="75"/>
      <c r="U682" s="76"/>
      <c r="V682" s="21" t="s">
        <v>949</v>
      </c>
      <c r="W682" s="77"/>
      <c r="X682" s="21" t="s">
        <v>1105</v>
      </c>
    </row>
    <row r="683" spans="1:24" ht="17.25" customHeight="1" x14ac:dyDescent="0.2">
      <c r="A683" s="21" t="s">
        <v>693</v>
      </c>
      <c r="B683" s="21" t="s">
        <v>2228</v>
      </c>
      <c r="C683" s="21" t="s">
        <v>2229</v>
      </c>
      <c r="D683" s="21" t="s">
        <v>1770</v>
      </c>
      <c r="J683" s="21" t="s">
        <v>984</v>
      </c>
      <c r="K683" s="21" t="s">
        <v>984</v>
      </c>
      <c r="L683" s="21" t="s">
        <v>984</v>
      </c>
      <c r="M683" s="21" t="s">
        <v>464</v>
      </c>
      <c r="N683" s="21">
        <v>20.645240783999999</v>
      </c>
      <c r="O683" s="74">
        <v>92.939758300999998</v>
      </c>
      <c r="P683" s="21" t="s">
        <v>985</v>
      </c>
      <c r="Q683" s="21" t="s">
        <v>630</v>
      </c>
      <c r="R683" s="21" t="s">
        <v>464</v>
      </c>
      <c r="S683" s="21" t="s">
        <v>966</v>
      </c>
      <c r="T683" s="75"/>
      <c r="U683" s="76"/>
      <c r="V683" s="21" t="s">
        <v>949</v>
      </c>
      <c r="W683" s="77"/>
      <c r="X683" s="21" t="s">
        <v>693</v>
      </c>
    </row>
    <row r="684" spans="1:24" ht="17.25" customHeight="1" x14ac:dyDescent="0.2">
      <c r="A684" s="21" t="s">
        <v>543</v>
      </c>
      <c r="B684" s="21" t="s">
        <v>2228</v>
      </c>
      <c r="C684" s="21" t="s">
        <v>2229</v>
      </c>
      <c r="J684" s="21" t="s">
        <v>984</v>
      </c>
      <c r="K684" s="21" t="s">
        <v>984</v>
      </c>
      <c r="L684" s="21" t="s">
        <v>984</v>
      </c>
      <c r="M684" s="21" t="s">
        <v>464</v>
      </c>
      <c r="N684" s="21">
        <v>19.434253692626999</v>
      </c>
      <c r="O684" s="74">
        <v>93.742851257324205</v>
      </c>
      <c r="P684" s="21" t="s">
        <v>985</v>
      </c>
      <c r="Q684" s="21" t="s">
        <v>508</v>
      </c>
      <c r="R684" s="21" t="s">
        <v>464</v>
      </c>
      <c r="S684" s="21" t="s">
        <v>988</v>
      </c>
      <c r="T684" s="75"/>
      <c r="U684" s="76"/>
      <c r="V684" s="21">
        <v>42926</v>
      </c>
      <c r="W684" s="77" t="s">
        <v>989</v>
      </c>
    </row>
    <row r="685" spans="1:24" ht="17.25" customHeight="1" x14ac:dyDescent="0.2">
      <c r="A685" s="21" t="s">
        <v>635</v>
      </c>
      <c r="B685" s="21" t="s">
        <v>2228</v>
      </c>
      <c r="C685" s="21" t="s">
        <v>2229</v>
      </c>
      <c r="D685" s="21" t="s">
        <v>1707</v>
      </c>
      <c r="J685" s="21" t="s">
        <v>984</v>
      </c>
      <c r="K685" s="21" t="s">
        <v>984</v>
      </c>
      <c r="L685" s="21" t="s">
        <v>1069</v>
      </c>
      <c r="M685" s="21" t="s">
        <v>981</v>
      </c>
      <c r="N685" s="21">
        <v>20.335864000000001</v>
      </c>
      <c r="O685" s="74">
        <v>92.785706000000005</v>
      </c>
      <c r="P685" s="21" t="s">
        <v>985</v>
      </c>
      <c r="Q685" s="21" t="s">
        <v>508</v>
      </c>
      <c r="R685" s="21" t="s">
        <v>464</v>
      </c>
      <c r="S685" s="21" t="s">
        <v>966</v>
      </c>
      <c r="T685" s="75">
        <v>56</v>
      </c>
      <c r="U685" s="76">
        <v>332</v>
      </c>
      <c r="V685" s="21" t="s">
        <v>949</v>
      </c>
      <c r="W685" s="77"/>
      <c r="X685" s="21" t="s">
        <v>1070</v>
      </c>
    </row>
    <row r="686" spans="1:24" ht="17.25" customHeight="1" x14ac:dyDescent="0.2">
      <c r="A686" s="21" t="s">
        <v>636</v>
      </c>
      <c r="B686" s="21" t="s">
        <v>2228</v>
      </c>
      <c r="C686" s="21" t="s">
        <v>2229</v>
      </c>
      <c r="D686" s="21" t="s">
        <v>1708</v>
      </c>
      <c r="J686" s="21" t="s">
        <v>984</v>
      </c>
      <c r="K686" s="21" t="s">
        <v>984</v>
      </c>
      <c r="L686" s="21" t="s">
        <v>984</v>
      </c>
      <c r="M686" s="21" t="s">
        <v>464</v>
      </c>
      <c r="N686" s="21">
        <v>20.339799880981399</v>
      </c>
      <c r="O686" s="74">
        <v>92.782653808593807</v>
      </c>
      <c r="P686" s="21" t="s">
        <v>985</v>
      </c>
      <c r="Q686" s="21" t="s">
        <v>508</v>
      </c>
      <c r="R686" s="21" t="s">
        <v>464</v>
      </c>
      <c r="S686" s="21" t="s">
        <v>966</v>
      </c>
      <c r="T686" s="75"/>
      <c r="U686" s="76"/>
      <c r="V686" s="21" t="s">
        <v>949</v>
      </c>
      <c r="W686" s="77"/>
      <c r="X686" s="21" t="s">
        <v>949</v>
      </c>
    </row>
    <row r="687" spans="1:24" ht="17.25" customHeight="1" x14ac:dyDescent="0.2">
      <c r="A687" s="549" t="s">
        <v>645</v>
      </c>
      <c r="B687" s="21" t="s">
        <v>2228</v>
      </c>
      <c r="C687" s="21" t="s">
        <v>2229</v>
      </c>
      <c r="D687" s="21" t="s">
        <v>1720</v>
      </c>
      <c r="H687" s="21" t="s">
        <v>48</v>
      </c>
      <c r="I687" s="21" t="s">
        <v>979</v>
      </c>
      <c r="J687" s="21" t="s">
        <v>984</v>
      </c>
      <c r="K687" s="21" t="s">
        <v>984</v>
      </c>
      <c r="L687" s="21" t="s">
        <v>2229</v>
      </c>
      <c r="M687" s="21" t="s">
        <v>981</v>
      </c>
      <c r="N687" s="21">
        <v>20.408453000000002</v>
      </c>
      <c r="O687" s="74">
        <v>92.660360999999995</v>
      </c>
      <c r="P687" s="21" t="s">
        <v>944</v>
      </c>
      <c r="Q687" s="21" t="s">
        <v>508</v>
      </c>
      <c r="R687" s="21" t="s">
        <v>464</v>
      </c>
      <c r="S687" s="21" t="s">
        <v>966</v>
      </c>
      <c r="T687" s="75"/>
      <c r="U687" s="76"/>
      <c r="V687" s="21" t="s">
        <v>949</v>
      </c>
      <c r="W687" s="77" t="s">
        <v>2635</v>
      </c>
      <c r="X687" s="21" t="s">
        <v>645</v>
      </c>
    </row>
    <row r="688" spans="1:24" ht="17.25" customHeight="1" x14ac:dyDescent="0.2">
      <c r="A688" s="549" t="s">
        <v>647</v>
      </c>
      <c r="B688" s="21" t="s">
        <v>2228</v>
      </c>
      <c r="C688" s="21" t="s">
        <v>2229</v>
      </c>
      <c r="D688" s="21" t="s">
        <v>1723</v>
      </c>
      <c r="H688" s="21" t="s">
        <v>48</v>
      </c>
      <c r="I688" s="21" t="s">
        <v>979</v>
      </c>
      <c r="J688" s="21" t="s">
        <v>984</v>
      </c>
      <c r="K688" s="21" t="s">
        <v>984</v>
      </c>
      <c r="L688" s="21" t="s">
        <v>2229</v>
      </c>
      <c r="M688" s="21" t="s">
        <v>981</v>
      </c>
      <c r="N688" s="21">
        <v>20.447261000000001</v>
      </c>
      <c r="O688" s="74">
        <v>92.639589000000001</v>
      </c>
      <c r="P688" s="21" t="s">
        <v>944</v>
      </c>
      <c r="Q688" s="21" t="s">
        <v>508</v>
      </c>
      <c r="R688" s="21" t="s">
        <v>464</v>
      </c>
      <c r="S688" s="21" t="s">
        <v>966</v>
      </c>
      <c r="T688" s="75"/>
      <c r="U688" s="76"/>
      <c r="V688" s="21" t="s">
        <v>949</v>
      </c>
      <c r="W688" s="77" t="s">
        <v>2635</v>
      </c>
      <c r="X688" s="21" t="s">
        <v>647</v>
      </c>
    </row>
    <row r="689" spans="1:24" ht="17.25" customHeight="1" x14ac:dyDescent="0.2">
      <c r="A689" s="21" t="s">
        <v>648</v>
      </c>
      <c r="B689" s="21" t="s">
        <v>2228</v>
      </c>
      <c r="C689" s="21" t="s">
        <v>2229</v>
      </c>
      <c r="D689" s="21">
        <v>197621</v>
      </c>
      <c r="J689" s="21" t="s">
        <v>984</v>
      </c>
      <c r="K689" s="21" t="s">
        <v>984</v>
      </c>
      <c r="L689" s="21" t="s">
        <v>984</v>
      </c>
      <c r="M689" s="21" t="s">
        <v>464</v>
      </c>
      <c r="N689" s="21">
        <v>20.453830718994102</v>
      </c>
      <c r="O689" s="74">
        <v>92.683090209960895</v>
      </c>
      <c r="P689" s="21" t="s">
        <v>985</v>
      </c>
      <c r="Q689" s="21" t="s">
        <v>508</v>
      </c>
      <c r="R689" s="21" t="s">
        <v>464</v>
      </c>
      <c r="S689" s="21" t="s">
        <v>988</v>
      </c>
      <c r="T689" s="75"/>
      <c r="U689" s="76"/>
      <c r="V689" s="21">
        <v>42926</v>
      </c>
      <c r="W689" s="77" t="s">
        <v>989</v>
      </c>
    </row>
    <row r="690" spans="1:24" ht="17.25" customHeight="1" x14ac:dyDescent="0.2">
      <c r="A690" s="21" t="s">
        <v>651</v>
      </c>
      <c r="B690" s="21" t="s">
        <v>2228</v>
      </c>
      <c r="C690" s="21" t="s">
        <v>2229</v>
      </c>
      <c r="D690" s="21">
        <v>197629</v>
      </c>
      <c r="J690" s="21" t="s">
        <v>984</v>
      </c>
      <c r="K690" s="21" t="s">
        <v>984</v>
      </c>
      <c r="L690" s="21" t="s">
        <v>984</v>
      </c>
      <c r="M690" s="21" t="s">
        <v>464</v>
      </c>
      <c r="N690" s="21">
        <v>20.463909149169901</v>
      </c>
      <c r="O690" s="74">
        <v>92.675468444824205</v>
      </c>
      <c r="P690" s="21" t="s">
        <v>985</v>
      </c>
      <c r="Q690" s="21" t="s">
        <v>508</v>
      </c>
      <c r="R690" s="21" t="s">
        <v>464</v>
      </c>
      <c r="S690" s="21" t="s">
        <v>988</v>
      </c>
      <c r="T690" s="75"/>
      <c r="U690" s="76"/>
      <c r="V690" s="21">
        <v>42926</v>
      </c>
      <c r="W690" s="77" t="s">
        <v>989</v>
      </c>
    </row>
    <row r="691" spans="1:24" ht="17.25" customHeight="1" x14ac:dyDescent="0.2">
      <c r="A691" s="21" t="s">
        <v>654</v>
      </c>
      <c r="B691" s="21" t="s">
        <v>2228</v>
      </c>
      <c r="C691" s="21" t="s">
        <v>2229</v>
      </c>
      <c r="D691" s="21">
        <v>197632</v>
      </c>
      <c r="J691" s="21" t="s">
        <v>984</v>
      </c>
      <c r="K691" s="21" t="s">
        <v>984</v>
      </c>
      <c r="L691" s="21" t="s">
        <v>984</v>
      </c>
      <c r="M691" s="21" t="s">
        <v>464</v>
      </c>
      <c r="N691" s="21">
        <v>20.46994972229</v>
      </c>
      <c r="O691" s="74">
        <v>92.676437377929702</v>
      </c>
      <c r="P691" s="21" t="s">
        <v>985</v>
      </c>
      <c r="Q691" s="21" t="s">
        <v>508</v>
      </c>
      <c r="R691" s="21" t="s">
        <v>464</v>
      </c>
      <c r="S691" s="21" t="s">
        <v>988</v>
      </c>
      <c r="T691" s="75"/>
      <c r="U691" s="76"/>
      <c r="V691" s="21">
        <v>42926</v>
      </c>
      <c r="W691" s="77" t="s">
        <v>989</v>
      </c>
    </row>
    <row r="692" spans="1:24" ht="17.25" customHeight="1" x14ac:dyDescent="0.2">
      <c r="A692" s="21" t="s">
        <v>655</v>
      </c>
      <c r="B692" s="21" t="s">
        <v>2228</v>
      </c>
      <c r="C692" s="21" t="s">
        <v>2229</v>
      </c>
      <c r="D692" s="21">
        <v>197630</v>
      </c>
      <c r="J692" s="21" t="s">
        <v>984</v>
      </c>
      <c r="K692" s="21" t="s">
        <v>984</v>
      </c>
      <c r="L692" s="21" t="s">
        <v>984</v>
      </c>
      <c r="M692" s="21" t="s">
        <v>464</v>
      </c>
      <c r="N692" s="21">
        <v>20.470119476318398</v>
      </c>
      <c r="O692" s="74">
        <v>92.672653198242202</v>
      </c>
      <c r="P692" s="21" t="s">
        <v>985</v>
      </c>
      <c r="Q692" s="21" t="s">
        <v>508</v>
      </c>
      <c r="R692" s="21" t="s">
        <v>464</v>
      </c>
      <c r="S692" s="21" t="s">
        <v>988</v>
      </c>
      <c r="T692" s="75"/>
      <c r="U692" s="76"/>
      <c r="V692" s="21">
        <v>42926</v>
      </c>
      <c r="W692" s="77" t="s">
        <v>989</v>
      </c>
    </row>
    <row r="693" spans="1:24" ht="17.25" customHeight="1" x14ac:dyDescent="0.2">
      <c r="A693" s="21" t="s">
        <v>656</v>
      </c>
      <c r="B693" s="21" t="s">
        <v>2228</v>
      </c>
      <c r="C693" s="21" t="s">
        <v>2229</v>
      </c>
      <c r="D693" s="21">
        <v>197631</v>
      </c>
      <c r="J693" s="21" t="s">
        <v>984</v>
      </c>
      <c r="K693" s="21" t="s">
        <v>984</v>
      </c>
      <c r="L693" s="21" t="s">
        <v>984</v>
      </c>
      <c r="M693" s="21" t="s">
        <v>464</v>
      </c>
      <c r="N693" s="21">
        <v>20.473930358886701</v>
      </c>
      <c r="O693" s="74">
        <v>92.668853759765597</v>
      </c>
      <c r="P693" s="21" t="s">
        <v>985</v>
      </c>
      <c r="Q693" s="21" t="s">
        <v>508</v>
      </c>
      <c r="R693" s="21" t="s">
        <v>464</v>
      </c>
      <c r="S693" s="21" t="s">
        <v>988</v>
      </c>
      <c r="T693" s="75"/>
      <c r="U693" s="76"/>
      <c r="V693" s="21">
        <v>42926</v>
      </c>
      <c r="W693" s="77" t="s">
        <v>989</v>
      </c>
    </row>
    <row r="694" spans="1:24" ht="17.25" customHeight="1" x14ac:dyDescent="0.2">
      <c r="A694" s="21" t="s">
        <v>657</v>
      </c>
      <c r="B694" s="21" t="s">
        <v>2228</v>
      </c>
      <c r="C694" s="21" t="s">
        <v>2229</v>
      </c>
      <c r="D694" s="21">
        <v>197617</v>
      </c>
      <c r="J694" s="21" t="s">
        <v>984</v>
      </c>
      <c r="K694" s="21" t="s">
        <v>984</v>
      </c>
      <c r="L694" s="21" t="s">
        <v>984</v>
      </c>
      <c r="M694" s="21" t="s">
        <v>464</v>
      </c>
      <c r="N694" s="21">
        <v>20.478969573974599</v>
      </c>
      <c r="O694" s="74">
        <v>92.683746337890597</v>
      </c>
      <c r="P694" s="21" t="s">
        <v>985</v>
      </c>
      <c r="Q694" s="21" t="s">
        <v>508</v>
      </c>
      <c r="R694" s="21" t="s">
        <v>464</v>
      </c>
      <c r="S694" s="21" t="s">
        <v>988</v>
      </c>
      <c r="T694" s="75"/>
      <c r="U694" s="76"/>
      <c r="V694" s="21">
        <v>42926</v>
      </c>
      <c r="W694" s="77" t="s">
        <v>989</v>
      </c>
    </row>
    <row r="695" spans="1:24" ht="17.25" customHeight="1" x14ac:dyDescent="0.2">
      <c r="A695" s="21" t="s">
        <v>658</v>
      </c>
      <c r="B695" s="21" t="s">
        <v>2228</v>
      </c>
      <c r="C695" s="21" t="s">
        <v>2229</v>
      </c>
      <c r="D695" s="21">
        <v>197618</v>
      </c>
      <c r="J695" s="21" t="s">
        <v>984</v>
      </c>
      <c r="K695" s="21" t="s">
        <v>984</v>
      </c>
      <c r="L695" s="21" t="s">
        <v>984</v>
      </c>
      <c r="M695" s="21" t="s">
        <v>464</v>
      </c>
      <c r="N695" s="21">
        <v>20.480100631713899</v>
      </c>
      <c r="O695" s="74">
        <v>92.704818725585895</v>
      </c>
      <c r="P695" s="21" t="s">
        <v>985</v>
      </c>
      <c r="Q695" s="21" t="s">
        <v>508</v>
      </c>
      <c r="R695" s="21" t="s">
        <v>464</v>
      </c>
      <c r="S695" s="21" t="s">
        <v>988</v>
      </c>
      <c r="T695" s="75"/>
      <c r="U695" s="76"/>
      <c r="V695" s="21">
        <v>42926</v>
      </c>
      <c r="W695" s="77" t="s">
        <v>989</v>
      </c>
    </row>
    <row r="696" spans="1:24" ht="17.25" customHeight="1" x14ac:dyDescent="0.2">
      <c r="A696" s="21" t="s">
        <v>660</v>
      </c>
      <c r="B696" s="21" t="s">
        <v>2228</v>
      </c>
      <c r="C696" s="21" t="s">
        <v>2229</v>
      </c>
      <c r="D696" s="21">
        <v>197614</v>
      </c>
      <c r="J696" s="21" t="s">
        <v>984</v>
      </c>
      <c r="K696" s="21" t="s">
        <v>984</v>
      </c>
      <c r="L696" s="21" t="s">
        <v>984</v>
      </c>
      <c r="M696" s="21" t="s">
        <v>464</v>
      </c>
      <c r="N696" s="21">
        <v>20.486930847168001</v>
      </c>
      <c r="O696" s="74">
        <v>92.662757873535199</v>
      </c>
      <c r="P696" s="21" t="s">
        <v>985</v>
      </c>
      <c r="Q696" s="21" t="s">
        <v>508</v>
      </c>
      <c r="R696" s="21" t="s">
        <v>464</v>
      </c>
      <c r="S696" s="21" t="s">
        <v>988</v>
      </c>
      <c r="T696" s="75"/>
      <c r="U696" s="76"/>
      <c r="V696" s="21">
        <v>42926</v>
      </c>
      <c r="W696" s="77" t="s">
        <v>989</v>
      </c>
    </row>
    <row r="697" spans="1:24" ht="17.25" customHeight="1" x14ac:dyDescent="0.2">
      <c r="A697" s="21" t="s">
        <v>756</v>
      </c>
      <c r="B697" s="21" t="s">
        <v>2228</v>
      </c>
      <c r="C697" s="21" t="s">
        <v>2229</v>
      </c>
      <c r="D697" s="21">
        <v>197616</v>
      </c>
      <c r="J697" s="21" t="s">
        <v>984</v>
      </c>
      <c r="K697" s="21" t="s">
        <v>984</v>
      </c>
      <c r="L697" s="21" t="s">
        <v>984</v>
      </c>
      <c r="M697" s="21" t="e">
        <v>#N/A</v>
      </c>
      <c r="N697" s="21">
        <v>20.495670318603501</v>
      </c>
      <c r="O697" s="74">
        <v>92.651496887207003</v>
      </c>
      <c r="P697" s="21" t="s">
        <v>985</v>
      </c>
      <c r="Q697" s="21" t="s">
        <v>508</v>
      </c>
      <c r="R697" s="21" t="s">
        <v>464</v>
      </c>
      <c r="S697" s="21" t="s">
        <v>988</v>
      </c>
      <c r="T697" s="75"/>
      <c r="U697" s="76"/>
      <c r="V697" s="21">
        <v>42926</v>
      </c>
      <c r="W697" s="77" t="s">
        <v>989</v>
      </c>
    </row>
    <row r="698" spans="1:24" ht="17.25" customHeight="1" x14ac:dyDescent="0.2">
      <c r="A698" s="21" t="s">
        <v>663</v>
      </c>
      <c r="B698" s="21" t="s">
        <v>2228</v>
      </c>
      <c r="C698" s="21" t="s">
        <v>2229</v>
      </c>
      <c r="D698" s="21">
        <v>197615</v>
      </c>
      <c r="J698" s="21" t="s">
        <v>984</v>
      </c>
      <c r="K698" s="21" t="s">
        <v>984</v>
      </c>
      <c r="L698" s="21" t="s">
        <v>984</v>
      </c>
      <c r="M698" s="21" t="s">
        <v>464</v>
      </c>
      <c r="N698" s="21">
        <v>20.502599716186499</v>
      </c>
      <c r="O698" s="74">
        <v>92.647476196289105</v>
      </c>
      <c r="P698" s="21" t="s">
        <v>985</v>
      </c>
      <c r="Q698" s="21" t="s">
        <v>508</v>
      </c>
      <c r="R698" s="21" t="s">
        <v>464</v>
      </c>
      <c r="S698" s="21" t="s">
        <v>988</v>
      </c>
      <c r="T698" s="75"/>
      <c r="U698" s="76"/>
      <c r="V698" s="21">
        <v>42926</v>
      </c>
      <c r="W698" s="77" t="s">
        <v>989</v>
      </c>
    </row>
    <row r="699" spans="1:24" ht="17.25" customHeight="1" x14ac:dyDescent="0.2">
      <c r="A699" s="21" t="s">
        <v>666</v>
      </c>
      <c r="B699" s="21" t="s">
        <v>2228</v>
      </c>
      <c r="C699" s="21" t="s">
        <v>2229</v>
      </c>
      <c r="D699" s="21" t="s">
        <v>1734</v>
      </c>
      <c r="J699" s="21" t="s">
        <v>984</v>
      </c>
      <c r="K699" s="21" t="s">
        <v>984</v>
      </c>
      <c r="L699" s="21" t="s">
        <v>984</v>
      </c>
      <c r="M699" s="21" t="s">
        <v>464</v>
      </c>
      <c r="N699" s="21">
        <v>20.511900000000001</v>
      </c>
      <c r="O699" s="74">
        <v>92.645300000000006</v>
      </c>
      <c r="P699" s="21" t="s">
        <v>985</v>
      </c>
      <c r="Q699" s="21" t="s">
        <v>508</v>
      </c>
      <c r="R699" s="21" t="s">
        <v>464</v>
      </c>
      <c r="S699" s="21" t="s">
        <v>966</v>
      </c>
      <c r="T699" s="75"/>
      <c r="U699" s="76"/>
      <c r="V699" s="21" t="s">
        <v>949</v>
      </c>
      <c r="W699" s="77"/>
      <c r="X699" s="21" t="s">
        <v>666</v>
      </c>
    </row>
    <row r="700" spans="1:24" ht="17.25" customHeight="1" x14ac:dyDescent="0.2">
      <c r="A700" s="21" t="s">
        <v>667</v>
      </c>
      <c r="B700" s="21" t="s">
        <v>2228</v>
      </c>
      <c r="C700" s="21" t="s">
        <v>2229</v>
      </c>
      <c r="D700" s="21" t="s">
        <v>1735</v>
      </c>
      <c r="J700" s="21" t="s">
        <v>984</v>
      </c>
      <c r="K700" s="21" t="s">
        <v>984</v>
      </c>
      <c r="L700" s="21" t="s">
        <v>984</v>
      </c>
      <c r="M700" s="21" t="s">
        <v>464</v>
      </c>
      <c r="N700" s="21">
        <v>20.517700195</v>
      </c>
      <c r="O700" s="74">
        <v>92.660263061999999</v>
      </c>
      <c r="P700" s="21" t="s">
        <v>985</v>
      </c>
      <c r="Q700" s="21" t="s">
        <v>508</v>
      </c>
      <c r="R700" s="21" t="s">
        <v>464</v>
      </c>
      <c r="S700" s="21" t="s">
        <v>966</v>
      </c>
      <c r="T700" s="75"/>
      <c r="U700" s="76"/>
      <c r="V700" s="21" t="s">
        <v>949</v>
      </c>
      <c r="W700" s="77"/>
      <c r="X700" s="21" t="s">
        <v>667</v>
      </c>
    </row>
    <row r="701" spans="1:24" ht="17.25" customHeight="1" x14ac:dyDescent="0.2">
      <c r="A701" s="21" t="s">
        <v>669</v>
      </c>
      <c r="B701" s="21" t="s">
        <v>2228</v>
      </c>
      <c r="C701" s="21" t="s">
        <v>2229</v>
      </c>
      <c r="D701" s="21" t="s">
        <v>1738</v>
      </c>
      <c r="J701" s="21" t="s">
        <v>984</v>
      </c>
      <c r="K701" s="21" t="s">
        <v>984</v>
      </c>
      <c r="L701" s="21" t="s">
        <v>984</v>
      </c>
      <c r="M701" s="21" t="s">
        <v>464</v>
      </c>
      <c r="N701" s="21">
        <v>20.5230903625488</v>
      </c>
      <c r="O701" s="74">
        <v>92.637947082519503</v>
      </c>
      <c r="P701" s="21" t="s">
        <v>985</v>
      </c>
      <c r="Q701" s="21" t="s">
        <v>508</v>
      </c>
      <c r="R701" s="21" t="s">
        <v>464</v>
      </c>
      <c r="S701" s="21" t="s">
        <v>966</v>
      </c>
      <c r="T701" s="75"/>
      <c r="U701" s="76"/>
      <c r="V701" s="21" t="s">
        <v>949</v>
      </c>
      <c r="W701" s="77"/>
      <c r="X701" s="21" t="s">
        <v>669</v>
      </c>
    </row>
    <row r="702" spans="1:24" ht="17.25" customHeight="1" x14ac:dyDescent="0.2">
      <c r="A702" s="21" t="s">
        <v>671</v>
      </c>
      <c r="B702" s="21" t="s">
        <v>2228</v>
      </c>
      <c r="C702" s="21" t="s">
        <v>2229</v>
      </c>
      <c r="D702" s="21" t="s">
        <v>1740</v>
      </c>
      <c r="J702" s="21" t="s">
        <v>984</v>
      </c>
      <c r="K702" s="21" t="s">
        <v>984</v>
      </c>
      <c r="L702" s="21" t="s">
        <v>984</v>
      </c>
      <c r="M702" s="21" t="s">
        <v>464</v>
      </c>
      <c r="N702" s="21">
        <v>20.543479919433601</v>
      </c>
      <c r="O702" s="74">
        <v>92.676979064941406</v>
      </c>
      <c r="P702" s="21" t="s">
        <v>985</v>
      </c>
      <c r="Q702" s="21" t="s">
        <v>508</v>
      </c>
      <c r="R702" s="21" t="s">
        <v>464</v>
      </c>
      <c r="S702" s="21" t="s">
        <v>966</v>
      </c>
      <c r="T702" s="75"/>
      <c r="U702" s="76"/>
      <c r="V702" s="21" t="s">
        <v>949</v>
      </c>
      <c r="W702" s="77"/>
      <c r="X702" s="21" t="s">
        <v>671</v>
      </c>
    </row>
    <row r="703" spans="1:24" ht="17.25" customHeight="1" x14ac:dyDescent="0.2">
      <c r="A703" s="21" t="s">
        <v>672</v>
      </c>
      <c r="B703" s="21" t="s">
        <v>2228</v>
      </c>
      <c r="C703" s="21" t="s">
        <v>2229</v>
      </c>
      <c r="D703" s="21" t="s">
        <v>1741</v>
      </c>
      <c r="J703" s="21" t="s">
        <v>984</v>
      </c>
      <c r="K703" s="21" t="s">
        <v>984</v>
      </c>
      <c r="L703" s="21" t="s">
        <v>984</v>
      </c>
      <c r="M703" s="21" t="s">
        <v>981</v>
      </c>
      <c r="N703" s="21">
        <v>20.546440124511701</v>
      </c>
      <c r="O703" s="74">
        <v>92.648399353027301</v>
      </c>
      <c r="P703" s="21" t="s">
        <v>985</v>
      </c>
      <c r="Q703" s="21" t="s">
        <v>508</v>
      </c>
      <c r="R703" s="21" t="s">
        <v>464</v>
      </c>
      <c r="S703" s="21" t="s">
        <v>966</v>
      </c>
      <c r="T703" s="75"/>
      <c r="U703" s="76"/>
      <c r="V703" s="21" t="s">
        <v>949</v>
      </c>
      <c r="W703" s="77"/>
      <c r="X703" s="21" t="s">
        <v>672</v>
      </c>
    </row>
    <row r="704" spans="1:24" ht="17.25" customHeight="1" x14ac:dyDescent="0.2">
      <c r="A704" s="21" t="s">
        <v>673</v>
      </c>
      <c r="B704" s="21" t="s">
        <v>2228</v>
      </c>
      <c r="C704" s="21" t="s">
        <v>2229</v>
      </c>
      <c r="D704" s="21" t="s">
        <v>1742</v>
      </c>
      <c r="J704" s="21" t="s">
        <v>984</v>
      </c>
      <c r="K704" s="21" t="s">
        <v>984</v>
      </c>
      <c r="L704" s="21" t="s">
        <v>984</v>
      </c>
      <c r="M704" s="21" t="s">
        <v>981</v>
      </c>
      <c r="N704" s="21">
        <v>20.547620773315401</v>
      </c>
      <c r="O704" s="74">
        <v>92.671058654785199</v>
      </c>
      <c r="P704" s="21" t="s">
        <v>985</v>
      </c>
      <c r="Q704" s="21" t="s">
        <v>508</v>
      </c>
      <c r="R704" s="21" t="s">
        <v>464</v>
      </c>
      <c r="S704" s="21" t="s">
        <v>966</v>
      </c>
      <c r="T704" s="75"/>
      <c r="U704" s="76"/>
      <c r="V704" s="21" t="s">
        <v>949</v>
      </c>
      <c r="W704" s="77"/>
      <c r="X704" s="21" t="s">
        <v>673</v>
      </c>
    </row>
    <row r="705" spans="1:24" ht="17.25" customHeight="1" x14ac:dyDescent="0.2">
      <c r="A705" s="21" t="s">
        <v>674</v>
      </c>
      <c r="B705" s="21" t="s">
        <v>2228</v>
      </c>
      <c r="C705" s="21" t="s">
        <v>2229</v>
      </c>
      <c r="D705" s="21" t="s">
        <v>1743</v>
      </c>
      <c r="J705" s="21" t="s">
        <v>984</v>
      </c>
      <c r="K705" s="21" t="s">
        <v>984</v>
      </c>
      <c r="L705" s="21" t="s">
        <v>984</v>
      </c>
      <c r="M705" s="21" t="s">
        <v>981</v>
      </c>
      <c r="N705" s="21">
        <v>20.5501308441162</v>
      </c>
      <c r="O705" s="74">
        <v>92.656723022460895</v>
      </c>
      <c r="P705" s="21" t="s">
        <v>985</v>
      </c>
      <c r="Q705" s="21" t="s">
        <v>508</v>
      </c>
      <c r="R705" s="21" t="s">
        <v>464</v>
      </c>
      <c r="S705" s="21" t="s">
        <v>966</v>
      </c>
      <c r="T705" s="75"/>
      <c r="U705" s="76"/>
      <c r="V705" s="21" t="s">
        <v>949</v>
      </c>
      <c r="W705" s="77"/>
      <c r="X705" s="21" t="s">
        <v>674</v>
      </c>
    </row>
    <row r="706" spans="1:24" ht="17.25" customHeight="1" x14ac:dyDescent="0.2">
      <c r="A706" s="21" t="s">
        <v>675</v>
      </c>
      <c r="B706" s="21" t="s">
        <v>2228</v>
      </c>
      <c r="C706" s="21" t="s">
        <v>2229</v>
      </c>
      <c r="D706" s="21" t="s">
        <v>1744</v>
      </c>
      <c r="J706" s="21" t="s">
        <v>984</v>
      </c>
      <c r="K706" s="21" t="s">
        <v>984</v>
      </c>
      <c r="L706" s="21" t="s">
        <v>984</v>
      </c>
      <c r="M706" s="21" t="s">
        <v>981</v>
      </c>
      <c r="N706" s="21">
        <v>20.5507698059082</v>
      </c>
      <c r="O706" s="74">
        <v>92.6505126953125</v>
      </c>
      <c r="P706" s="21" t="s">
        <v>985</v>
      </c>
      <c r="Q706" s="21" t="s">
        <v>508</v>
      </c>
      <c r="R706" s="21" t="s">
        <v>464</v>
      </c>
      <c r="S706" s="21" t="s">
        <v>966</v>
      </c>
      <c r="T706" s="75"/>
      <c r="U706" s="76"/>
      <c r="V706" s="21" t="s">
        <v>949</v>
      </c>
      <c r="W706" s="77"/>
      <c r="X706" s="21" t="s">
        <v>675</v>
      </c>
    </row>
    <row r="707" spans="1:24" ht="17.25" customHeight="1" x14ac:dyDescent="0.2">
      <c r="A707" s="21" t="s">
        <v>676</v>
      </c>
      <c r="B707" s="21" t="s">
        <v>2228</v>
      </c>
      <c r="C707" s="21" t="s">
        <v>2229</v>
      </c>
      <c r="D707" s="245">
        <v>197593</v>
      </c>
      <c r="J707" s="21" t="s">
        <v>984</v>
      </c>
      <c r="K707" s="21" t="s">
        <v>984</v>
      </c>
      <c r="L707" s="21" t="s">
        <v>984</v>
      </c>
      <c r="M707" s="21" t="s">
        <v>981</v>
      </c>
      <c r="N707" s="73">
        <v>20.555610656738299</v>
      </c>
      <c r="O707" s="79">
        <v>92.643516540527301</v>
      </c>
      <c r="P707" s="21" t="s">
        <v>985</v>
      </c>
      <c r="Q707" s="21" t="s">
        <v>508</v>
      </c>
      <c r="R707" s="21" t="s">
        <v>464</v>
      </c>
      <c r="S707" s="21" t="s">
        <v>988</v>
      </c>
      <c r="T707" s="75"/>
      <c r="U707" s="76"/>
      <c r="V707" s="21">
        <v>42926</v>
      </c>
      <c r="W707" s="77" t="s">
        <v>989</v>
      </c>
    </row>
    <row r="708" spans="1:24" ht="17.25" customHeight="1" x14ac:dyDescent="0.2">
      <c r="A708" s="21" t="s">
        <v>677</v>
      </c>
      <c r="B708" s="21" t="s">
        <v>2228</v>
      </c>
      <c r="C708" s="21" t="s">
        <v>2229</v>
      </c>
      <c r="D708" s="21" t="s">
        <v>1746</v>
      </c>
      <c r="J708" s="21" t="s">
        <v>984</v>
      </c>
      <c r="K708" s="21" t="s">
        <v>984</v>
      </c>
      <c r="L708" s="21" t="s">
        <v>984</v>
      </c>
      <c r="M708" s="21" t="s">
        <v>464</v>
      </c>
      <c r="N708" s="21">
        <v>20.555610656738299</v>
      </c>
      <c r="O708" s="74">
        <v>92.643516540527301</v>
      </c>
      <c r="P708" s="21" t="s">
        <v>985</v>
      </c>
      <c r="Q708" s="21" t="s">
        <v>508</v>
      </c>
      <c r="R708" s="21" t="s">
        <v>464</v>
      </c>
      <c r="S708" s="21" t="s">
        <v>966</v>
      </c>
      <c r="T708" s="75"/>
      <c r="U708" s="76"/>
      <c r="V708" s="21" t="s">
        <v>991</v>
      </c>
      <c r="W708" s="77"/>
      <c r="X708" s="21" t="s">
        <v>949</v>
      </c>
    </row>
    <row r="709" spans="1:24" ht="17.25" customHeight="1" x14ac:dyDescent="0.2">
      <c r="A709" s="21" t="s">
        <v>679</v>
      </c>
      <c r="B709" s="21" t="s">
        <v>2228</v>
      </c>
      <c r="C709" s="21" t="s">
        <v>2229</v>
      </c>
      <c r="D709" s="21" t="s">
        <v>1748</v>
      </c>
      <c r="H709" s="21" t="s">
        <v>48</v>
      </c>
      <c r="I709" s="21" t="s">
        <v>979</v>
      </c>
      <c r="J709" s="21" t="s">
        <v>984</v>
      </c>
      <c r="K709" s="21" t="s">
        <v>984</v>
      </c>
      <c r="L709" s="21" t="s">
        <v>2229</v>
      </c>
      <c r="M709" s="21" t="s">
        <v>981</v>
      </c>
      <c r="N709" s="21">
        <v>20.569219</v>
      </c>
      <c r="O709" s="74">
        <v>92.640022000000002</v>
      </c>
      <c r="P709" s="21" t="s">
        <v>944</v>
      </c>
      <c r="Q709" s="21" t="s">
        <v>508</v>
      </c>
      <c r="R709" s="21" t="s">
        <v>464</v>
      </c>
      <c r="S709" s="21" t="s">
        <v>966</v>
      </c>
      <c r="T709" s="75"/>
      <c r="U709" s="76"/>
      <c r="V709" s="21" t="s">
        <v>949</v>
      </c>
      <c r="W709" s="77"/>
      <c r="X709" s="21" t="s">
        <v>679</v>
      </c>
    </row>
    <row r="710" spans="1:24" ht="17.25" customHeight="1" x14ac:dyDescent="0.2">
      <c r="A710" s="21" t="s">
        <v>680</v>
      </c>
      <c r="B710" s="21" t="s">
        <v>2228</v>
      </c>
      <c r="C710" s="21" t="s">
        <v>2229</v>
      </c>
      <c r="D710" s="21" t="s">
        <v>1749</v>
      </c>
      <c r="J710" s="21" t="s">
        <v>984</v>
      </c>
      <c r="K710" s="21" t="s">
        <v>984</v>
      </c>
      <c r="L710" s="21" t="s">
        <v>984</v>
      </c>
      <c r="M710" s="21" t="s">
        <v>464</v>
      </c>
      <c r="N710" s="21">
        <v>20.569759368896499</v>
      </c>
      <c r="O710" s="74">
        <v>92.641799926757798</v>
      </c>
      <c r="P710" s="21" t="s">
        <v>985</v>
      </c>
      <c r="Q710" s="21" t="s">
        <v>508</v>
      </c>
      <c r="R710" s="21" t="s">
        <v>464</v>
      </c>
      <c r="S710" s="21" t="s">
        <v>966</v>
      </c>
      <c r="T710" s="75"/>
      <c r="U710" s="76"/>
      <c r="V710" s="21" t="s">
        <v>949</v>
      </c>
      <c r="W710" s="77" t="s">
        <v>989</v>
      </c>
      <c r="X710" s="21" t="s">
        <v>680</v>
      </c>
    </row>
    <row r="711" spans="1:24" ht="17.25" customHeight="1" x14ac:dyDescent="0.2">
      <c r="A711" s="21" t="s">
        <v>681</v>
      </c>
      <c r="B711" s="21" t="s">
        <v>2228</v>
      </c>
      <c r="C711" s="21" t="s">
        <v>2229</v>
      </c>
      <c r="D711" s="21" t="s">
        <v>1752</v>
      </c>
      <c r="J711" s="21" t="s">
        <v>984</v>
      </c>
      <c r="K711" s="21" t="s">
        <v>984</v>
      </c>
      <c r="L711" s="21" t="s">
        <v>984</v>
      </c>
      <c r="M711" s="21" t="s">
        <v>981</v>
      </c>
      <c r="N711" s="21">
        <v>20.581470489501999</v>
      </c>
      <c r="O711" s="74">
        <v>92.643272399902301</v>
      </c>
      <c r="P711" s="21" t="s">
        <v>985</v>
      </c>
      <c r="Q711" s="21" t="s">
        <v>508</v>
      </c>
      <c r="R711" s="21" t="s">
        <v>464</v>
      </c>
      <c r="S711" s="21" t="s">
        <v>966</v>
      </c>
      <c r="T711" s="75"/>
      <c r="U711" s="76"/>
      <c r="V711" s="21" t="s">
        <v>949</v>
      </c>
      <c r="W711" s="77" t="s">
        <v>989</v>
      </c>
      <c r="X711" s="21" t="s">
        <v>681</v>
      </c>
    </row>
    <row r="712" spans="1:24" ht="17.25" customHeight="1" x14ac:dyDescent="0.2">
      <c r="A712" s="21" t="s">
        <v>682</v>
      </c>
      <c r="B712" s="21" t="s">
        <v>2228</v>
      </c>
      <c r="C712" s="21" t="s">
        <v>2229</v>
      </c>
      <c r="D712" s="21" t="s">
        <v>1755</v>
      </c>
      <c r="J712" s="21" t="s">
        <v>984</v>
      </c>
      <c r="K712" s="21" t="s">
        <v>984</v>
      </c>
      <c r="L712" s="21" t="s">
        <v>984</v>
      </c>
      <c r="M712" s="21" t="s">
        <v>464</v>
      </c>
      <c r="N712" s="21">
        <v>20.582699999999999</v>
      </c>
      <c r="O712" s="74">
        <v>92.664699999999996</v>
      </c>
      <c r="P712" s="21" t="s">
        <v>985</v>
      </c>
      <c r="Q712" s="21" t="s">
        <v>508</v>
      </c>
      <c r="R712" s="21" t="s">
        <v>464</v>
      </c>
      <c r="S712" s="21" t="s">
        <v>966</v>
      </c>
      <c r="T712" s="75"/>
      <c r="U712" s="76"/>
      <c r="V712" s="21" t="s">
        <v>949</v>
      </c>
      <c r="W712" s="77"/>
      <c r="X712" s="21" t="s">
        <v>682</v>
      </c>
    </row>
    <row r="713" spans="1:24" ht="17.25" customHeight="1" x14ac:dyDescent="0.2">
      <c r="A713" s="21" t="s">
        <v>684</v>
      </c>
      <c r="B713" s="21" t="s">
        <v>2228</v>
      </c>
      <c r="C713" s="21" t="s">
        <v>2229</v>
      </c>
      <c r="D713" s="21" t="s">
        <v>1758</v>
      </c>
      <c r="J713" s="21" t="s">
        <v>984</v>
      </c>
      <c r="K713" s="21" t="s">
        <v>984</v>
      </c>
      <c r="L713" s="21" t="s">
        <v>984</v>
      </c>
      <c r="M713" s="21" t="s">
        <v>464</v>
      </c>
      <c r="N713" s="21">
        <v>20.589969635009801</v>
      </c>
      <c r="O713" s="74">
        <v>92.691757202148395</v>
      </c>
      <c r="P713" s="21" t="s">
        <v>985</v>
      </c>
      <c r="Q713" s="21" t="s">
        <v>508</v>
      </c>
      <c r="R713" s="21" t="s">
        <v>464</v>
      </c>
      <c r="S713" s="21" t="s">
        <v>966</v>
      </c>
      <c r="T713" s="75"/>
      <c r="U713" s="76"/>
      <c r="V713" s="21" t="s">
        <v>949</v>
      </c>
      <c r="W713" s="77"/>
      <c r="X713" s="21" t="s">
        <v>684</v>
      </c>
    </row>
    <row r="714" spans="1:24" ht="17.25" customHeight="1" x14ac:dyDescent="0.2">
      <c r="A714" s="21" t="s">
        <v>689</v>
      </c>
      <c r="B714" s="21" t="s">
        <v>2228</v>
      </c>
      <c r="C714" s="21" t="s">
        <v>2229</v>
      </c>
      <c r="D714" s="21" t="s">
        <v>1765</v>
      </c>
      <c r="J714" s="21" t="s">
        <v>984</v>
      </c>
      <c r="K714" s="21" t="s">
        <v>984</v>
      </c>
      <c r="L714" s="21" t="s">
        <v>984</v>
      </c>
      <c r="M714" s="21" t="s">
        <v>464</v>
      </c>
      <c r="N714" s="21">
        <v>20.636510848998999</v>
      </c>
      <c r="O714" s="74">
        <v>92.71337890625</v>
      </c>
      <c r="P714" s="21" t="s">
        <v>985</v>
      </c>
      <c r="Q714" s="21" t="s">
        <v>508</v>
      </c>
      <c r="R714" s="21" t="s">
        <v>464</v>
      </c>
      <c r="S714" s="21" t="s">
        <v>966</v>
      </c>
      <c r="T714" s="75"/>
      <c r="U714" s="76"/>
      <c r="V714" s="21" t="s">
        <v>991</v>
      </c>
      <c r="W714" s="77"/>
      <c r="X714" s="21" t="s">
        <v>949</v>
      </c>
    </row>
    <row r="715" spans="1:24" ht="17.25" customHeight="1" x14ac:dyDescent="0.2">
      <c r="A715" s="21" t="s">
        <v>690</v>
      </c>
      <c r="B715" s="21" t="s">
        <v>2228</v>
      </c>
      <c r="C715" s="21" t="s">
        <v>2229</v>
      </c>
      <c r="D715" s="21" t="s">
        <v>1766</v>
      </c>
      <c r="J715" s="21" t="s">
        <v>984</v>
      </c>
      <c r="K715" s="21" t="s">
        <v>984</v>
      </c>
      <c r="L715" s="21" t="s">
        <v>984</v>
      </c>
      <c r="M715" s="21" t="s">
        <v>464</v>
      </c>
      <c r="N715" s="21">
        <v>20.639530181884801</v>
      </c>
      <c r="O715" s="74">
        <v>92.721908569335895</v>
      </c>
      <c r="P715" s="21" t="s">
        <v>985</v>
      </c>
      <c r="Q715" s="21" t="s">
        <v>508</v>
      </c>
      <c r="R715" s="21" t="s">
        <v>464</v>
      </c>
      <c r="S715" s="21" t="s">
        <v>966</v>
      </c>
      <c r="T715" s="75"/>
      <c r="U715" s="76"/>
      <c r="V715" s="21" t="s">
        <v>991</v>
      </c>
      <c r="W715" s="77"/>
      <c r="X715" s="21" t="s">
        <v>949</v>
      </c>
    </row>
    <row r="716" spans="1:24" ht="17.25" customHeight="1" x14ac:dyDescent="0.2">
      <c r="A716" s="21" t="s">
        <v>691</v>
      </c>
      <c r="B716" s="21" t="s">
        <v>2228</v>
      </c>
      <c r="C716" s="21" t="s">
        <v>2229</v>
      </c>
      <c r="D716" s="21" t="s">
        <v>1767</v>
      </c>
      <c r="J716" s="21" t="s">
        <v>984</v>
      </c>
      <c r="K716" s="21" t="s">
        <v>984</v>
      </c>
      <c r="L716" s="21" t="s">
        <v>984</v>
      </c>
      <c r="M716" s="21" t="s">
        <v>464</v>
      </c>
      <c r="N716" s="21">
        <v>20.643590927123999</v>
      </c>
      <c r="O716" s="74">
        <v>92.722618103027301</v>
      </c>
      <c r="P716" s="21" t="s">
        <v>985</v>
      </c>
      <c r="Q716" s="21" t="s">
        <v>508</v>
      </c>
      <c r="R716" s="21" t="s">
        <v>464</v>
      </c>
      <c r="S716" s="21" t="s">
        <v>966</v>
      </c>
      <c r="T716" s="75"/>
      <c r="U716" s="76"/>
      <c r="V716" s="21" t="s">
        <v>991</v>
      </c>
      <c r="W716" s="77"/>
      <c r="X716" s="21" t="s">
        <v>949</v>
      </c>
    </row>
    <row r="717" spans="1:24" ht="17.25" customHeight="1" x14ac:dyDescent="0.2">
      <c r="A717" s="21" t="s">
        <v>696</v>
      </c>
      <c r="B717" s="21" t="s">
        <v>2228</v>
      </c>
      <c r="C717" s="21" t="s">
        <v>2229</v>
      </c>
      <c r="D717" s="21">
        <v>197695</v>
      </c>
      <c r="J717" s="21" t="s">
        <v>984</v>
      </c>
      <c r="K717" s="21" t="s">
        <v>984</v>
      </c>
      <c r="L717" s="21" t="s">
        <v>984</v>
      </c>
      <c r="M717" s="21" t="s">
        <v>464</v>
      </c>
      <c r="N717" s="21">
        <v>20.651939392089801</v>
      </c>
      <c r="O717" s="74">
        <v>92.684577941894503</v>
      </c>
      <c r="P717" s="21" t="s">
        <v>985</v>
      </c>
      <c r="Q717" s="21" t="s">
        <v>508</v>
      </c>
      <c r="R717" s="21" t="s">
        <v>464</v>
      </c>
      <c r="S717" s="21" t="s">
        <v>988</v>
      </c>
      <c r="T717" s="75"/>
      <c r="U717" s="76"/>
      <c r="V717" s="21">
        <v>42926</v>
      </c>
      <c r="W717" s="77" t="s">
        <v>989</v>
      </c>
    </row>
    <row r="718" spans="1:24" ht="17.25" customHeight="1" x14ac:dyDescent="0.2">
      <c r="A718" s="21" t="s">
        <v>698</v>
      </c>
      <c r="B718" s="21" t="s">
        <v>2228</v>
      </c>
      <c r="C718" s="21" t="s">
        <v>2229</v>
      </c>
      <c r="D718" s="21" t="s">
        <v>1773</v>
      </c>
      <c r="J718" s="21" t="s">
        <v>984</v>
      </c>
      <c r="K718" s="21" t="s">
        <v>984</v>
      </c>
      <c r="L718" s="21" t="s">
        <v>984</v>
      </c>
      <c r="M718" s="21" t="s">
        <v>464</v>
      </c>
      <c r="N718" s="21">
        <v>20.655179977416999</v>
      </c>
      <c r="O718" s="74">
        <v>92.720321655273395</v>
      </c>
      <c r="P718" s="21" t="s">
        <v>985</v>
      </c>
      <c r="Q718" s="21" t="s">
        <v>508</v>
      </c>
      <c r="R718" s="21" t="s">
        <v>464</v>
      </c>
      <c r="S718" s="21" t="s">
        <v>966</v>
      </c>
      <c r="T718" s="75"/>
      <c r="U718" s="76"/>
      <c r="V718" s="21" t="s">
        <v>991</v>
      </c>
      <c r="W718" s="77"/>
      <c r="X718" s="21" t="s">
        <v>949</v>
      </c>
    </row>
    <row r="719" spans="1:24" ht="17.25" customHeight="1" x14ac:dyDescent="0.2">
      <c r="A719" s="21" t="s">
        <v>701</v>
      </c>
      <c r="B719" s="21" t="s">
        <v>2228</v>
      </c>
      <c r="C719" s="21" t="s">
        <v>2229</v>
      </c>
      <c r="D719" s="21">
        <v>197673</v>
      </c>
      <c r="J719" s="21" t="s">
        <v>984</v>
      </c>
      <c r="K719" s="21" t="s">
        <v>984</v>
      </c>
      <c r="L719" s="21" t="s">
        <v>984</v>
      </c>
      <c r="M719" s="21" t="s">
        <v>464</v>
      </c>
      <c r="N719" s="21">
        <v>20.665929794311499</v>
      </c>
      <c r="O719" s="74">
        <v>92.672691345214801</v>
      </c>
      <c r="P719" s="21" t="s">
        <v>985</v>
      </c>
      <c r="Q719" s="21" t="s">
        <v>508</v>
      </c>
      <c r="R719" s="21" t="s">
        <v>464</v>
      </c>
      <c r="S719" s="21" t="s">
        <v>966</v>
      </c>
      <c r="T719" s="75"/>
      <c r="U719" s="76"/>
      <c r="V719" s="21" t="s">
        <v>966</v>
      </c>
      <c r="W719" s="77"/>
    </row>
    <row r="720" spans="1:24" ht="17.25" customHeight="1" x14ac:dyDescent="0.2">
      <c r="A720" s="21" t="s">
        <v>705</v>
      </c>
      <c r="B720" s="21" t="s">
        <v>2228</v>
      </c>
      <c r="C720" s="21" t="s">
        <v>2229</v>
      </c>
      <c r="D720" s="21">
        <v>197675</v>
      </c>
      <c r="J720" s="21" t="s">
        <v>984</v>
      </c>
      <c r="K720" s="21" t="s">
        <v>984</v>
      </c>
      <c r="L720" s="21" t="s">
        <v>984</v>
      </c>
      <c r="M720" s="21" t="s">
        <v>464</v>
      </c>
      <c r="N720" s="21">
        <v>20.670539855956999</v>
      </c>
      <c r="O720" s="74">
        <v>92.703033447265597</v>
      </c>
      <c r="P720" s="21" t="s">
        <v>985</v>
      </c>
      <c r="Q720" s="21" t="s">
        <v>508</v>
      </c>
      <c r="R720" s="21" t="s">
        <v>464</v>
      </c>
      <c r="S720" s="21" t="s">
        <v>966</v>
      </c>
      <c r="T720" s="75"/>
      <c r="U720" s="76"/>
      <c r="V720" s="21" t="s">
        <v>966</v>
      </c>
      <c r="W720" s="77"/>
    </row>
    <row r="721" spans="1:24" ht="17.25" customHeight="1" x14ac:dyDescent="0.2">
      <c r="A721" s="21" t="s">
        <v>712</v>
      </c>
      <c r="B721" s="21" t="s">
        <v>2228</v>
      </c>
      <c r="C721" s="21" t="s">
        <v>2229</v>
      </c>
      <c r="D721" s="21">
        <v>197683</v>
      </c>
      <c r="J721" s="21" t="s">
        <v>984</v>
      </c>
      <c r="K721" s="21" t="s">
        <v>984</v>
      </c>
      <c r="L721" s="21" t="s">
        <v>984</v>
      </c>
      <c r="M721" s="21" t="s">
        <v>464</v>
      </c>
      <c r="N721" s="21">
        <v>20.678159713745099</v>
      </c>
      <c r="O721" s="74">
        <v>92.713821411132798</v>
      </c>
      <c r="P721" s="21" t="s">
        <v>985</v>
      </c>
      <c r="Q721" s="21" t="s">
        <v>508</v>
      </c>
      <c r="R721" s="21" t="s">
        <v>464</v>
      </c>
      <c r="S721" s="21" t="s">
        <v>966</v>
      </c>
      <c r="T721" s="75"/>
      <c r="U721" s="76"/>
      <c r="V721" s="21" t="s">
        <v>966</v>
      </c>
      <c r="W721" s="77"/>
    </row>
    <row r="722" spans="1:24" ht="17.25" customHeight="1" x14ac:dyDescent="0.2">
      <c r="A722" s="21" t="s">
        <v>713</v>
      </c>
      <c r="B722" s="21" t="s">
        <v>2228</v>
      </c>
      <c r="C722" s="21" t="s">
        <v>2229</v>
      </c>
      <c r="D722" s="21" t="s">
        <v>1783</v>
      </c>
      <c r="J722" s="21" t="s">
        <v>984</v>
      </c>
      <c r="K722" s="21" t="s">
        <v>984</v>
      </c>
      <c r="L722" s="21" t="s">
        <v>984</v>
      </c>
      <c r="M722" s="21" t="s">
        <v>981</v>
      </c>
      <c r="N722" s="21">
        <v>20.678459167480501</v>
      </c>
      <c r="O722" s="74">
        <v>92.663757324218807</v>
      </c>
      <c r="P722" s="21" t="s">
        <v>985</v>
      </c>
      <c r="Q722" s="21" t="s">
        <v>508</v>
      </c>
      <c r="R722" s="21" t="s">
        <v>464</v>
      </c>
      <c r="S722" s="21" t="s">
        <v>966</v>
      </c>
      <c r="T722" s="75"/>
      <c r="U722" s="76"/>
      <c r="V722" s="21" t="s">
        <v>991</v>
      </c>
      <c r="W722" s="77"/>
      <c r="X722" s="21" t="s">
        <v>949</v>
      </c>
    </row>
    <row r="723" spans="1:24" ht="17.25" customHeight="1" x14ac:dyDescent="0.2">
      <c r="A723" s="21" t="s">
        <v>715</v>
      </c>
      <c r="B723" s="21" t="s">
        <v>2228</v>
      </c>
      <c r="C723" s="21" t="s">
        <v>2229</v>
      </c>
      <c r="D723" s="21" t="s">
        <v>1784</v>
      </c>
      <c r="J723" s="21" t="s">
        <v>984</v>
      </c>
      <c r="K723" s="21" t="s">
        <v>984</v>
      </c>
      <c r="L723" s="21" t="s">
        <v>984</v>
      </c>
      <c r="M723" s="21" t="s">
        <v>981</v>
      </c>
      <c r="N723" s="21">
        <v>20.683399200439499</v>
      </c>
      <c r="O723" s="74">
        <v>92.656608581542997</v>
      </c>
      <c r="P723" s="21" t="s">
        <v>985</v>
      </c>
      <c r="Q723" s="21" t="s">
        <v>508</v>
      </c>
      <c r="R723" s="21" t="s">
        <v>464</v>
      </c>
      <c r="S723" s="21" t="s">
        <v>966</v>
      </c>
      <c r="T723" s="75"/>
      <c r="U723" s="76"/>
      <c r="V723" s="21" t="s">
        <v>991</v>
      </c>
      <c r="W723" s="77"/>
      <c r="X723" s="21" t="s">
        <v>949</v>
      </c>
    </row>
    <row r="724" spans="1:24" ht="17.25" customHeight="1" x14ac:dyDescent="0.2">
      <c r="A724" s="21" t="s">
        <v>717</v>
      </c>
      <c r="B724" s="21" t="s">
        <v>2228</v>
      </c>
      <c r="C724" s="21" t="s">
        <v>2229</v>
      </c>
      <c r="D724" s="21">
        <v>197672</v>
      </c>
      <c r="J724" s="21" t="s">
        <v>984</v>
      </c>
      <c r="K724" s="21" t="s">
        <v>984</v>
      </c>
      <c r="L724" s="21" t="s">
        <v>984</v>
      </c>
      <c r="M724" s="21" t="s">
        <v>464</v>
      </c>
      <c r="N724" s="21">
        <v>20.686460494995099</v>
      </c>
      <c r="O724" s="74">
        <v>92.682327270507798</v>
      </c>
      <c r="P724" s="21" t="s">
        <v>985</v>
      </c>
      <c r="Q724" s="21" t="s">
        <v>508</v>
      </c>
      <c r="R724" s="21" t="s">
        <v>464</v>
      </c>
      <c r="S724" s="21" t="s">
        <v>966</v>
      </c>
      <c r="T724" s="75"/>
      <c r="U724" s="76"/>
      <c r="V724" s="21" t="s">
        <v>966</v>
      </c>
      <c r="W724" s="77"/>
    </row>
    <row r="725" spans="1:24" ht="17.25" customHeight="1" x14ac:dyDescent="0.2">
      <c r="A725" s="21" t="s">
        <v>721</v>
      </c>
      <c r="B725" s="21" t="s">
        <v>2228</v>
      </c>
      <c r="C725" s="21" t="s">
        <v>2229</v>
      </c>
      <c r="D725" s="21" t="s">
        <v>1789</v>
      </c>
      <c r="J725" s="21" t="s">
        <v>984</v>
      </c>
      <c r="K725" s="21" t="s">
        <v>984</v>
      </c>
      <c r="L725" s="21" t="s">
        <v>984</v>
      </c>
      <c r="M725" s="21" t="s">
        <v>464</v>
      </c>
      <c r="N725" s="21">
        <v>20.6886291503906</v>
      </c>
      <c r="O725" s="74">
        <v>92.652481079101605</v>
      </c>
      <c r="P725" s="21" t="s">
        <v>985</v>
      </c>
      <c r="Q725" s="21" t="s">
        <v>508</v>
      </c>
      <c r="R725" s="21" t="s">
        <v>464</v>
      </c>
      <c r="S725" s="21" t="s">
        <v>966</v>
      </c>
      <c r="T725" s="75"/>
      <c r="U725" s="76"/>
      <c r="V725" s="21" t="s">
        <v>991</v>
      </c>
      <c r="W725" s="77"/>
      <c r="X725" s="21" t="s">
        <v>949</v>
      </c>
    </row>
    <row r="726" spans="1:24" ht="17.25" customHeight="1" x14ac:dyDescent="0.2">
      <c r="A726" s="21" t="s">
        <v>724</v>
      </c>
      <c r="B726" s="21" t="s">
        <v>2228</v>
      </c>
      <c r="C726" s="21" t="s">
        <v>2229</v>
      </c>
      <c r="D726" s="21">
        <v>197671</v>
      </c>
      <c r="J726" s="21" t="s">
        <v>984</v>
      </c>
      <c r="K726" s="21" t="s">
        <v>984</v>
      </c>
      <c r="L726" s="21" t="s">
        <v>984</v>
      </c>
      <c r="M726" s="21" t="s">
        <v>464</v>
      </c>
      <c r="N726" s="21">
        <v>20.694499969482401</v>
      </c>
      <c r="O726" s="74">
        <v>92.647750854492202</v>
      </c>
      <c r="P726" s="21" t="s">
        <v>985</v>
      </c>
      <c r="Q726" s="21" t="s">
        <v>508</v>
      </c>
      <c r="R726" s="21" t="s">
        <v>464</v>
      </c>
      <c r="S726" s="21" t="s">
        <v>966</v>
      </c>
      <c r="T726" s="75"/>
      <c r="U726" s="76"/>
      <c r="V726" s="21" t="s">
        <v>966</v>
      </c>
      <c r="W726" s="77"/>
    </row>
    <row r="727" spans="1:24" ht="17.25" customHeight="1" x14ac:dyDescent="0.2">
      <c r="A727" s="21" t="s">
        <v>739</v>
      </c>
      <c r="B727" s="21" t="s">
        <v>2228</v>
      </c>
      <c r="C727" s="21" t="s">
        <v>2229</v>
      </c>
      <c r="D727" s="21" t="s">
        <v>1805</v>
      </c>
      <c r="J727" s="21" t="s">
        <v>984</v>
      </c>
      <c r="K727" s="21" t="s">
        <v>984</v>
      </c>
      <c r="L727" s="21" t="s">
        <v>984</v>
      </c>
      <c r="M727" s="21" t="s">
        <v>981</v>
      </c>
      <c r="N727" s="21">
        <v>20.716560363769499</v>
      </c>
      <c r="O727" s="74">
        <v>92.645408630371094</v>
      </c>
      <c r="P727" s="21" t="s">
        <v>985</v>
      </c>
      <c r="Q727" s="21" t="s">
        <v>508</v>
      </c>
      <c r="R727" s="21" t="s">
        <v>464</v>
      </c>
      <c r="S727" s="21" t="s">
        <v>966</v>
      </c>
      <c r="T727" s="75"/>
      <c r="U727" s="76"/>
      <c r="V727" s="21" t="s">
        <v>991</v>
      </c>
      <c r="W727" s="77"/>
      <c r="X727" s="21" t="s">
        <v>949</v>
      </c>
    </row>
    <row r="728" spans="1:24" ht="17.25" customHeight="1" x14ac:dyDescent="0.2">
      <c r="A728" s="21" t="s">
        <v>749</v>
      </c>
      <c r="B728" s="21" t="s">
        <v>2228</v>
      </c>
      <c r="C728" s="21" t="s">
        <v>2229</v>
      </c>
      <c r="D728" s="21" t="s">
        <v>1817</v>
      </c>
      <c r="J728" s="21" t="s">
        <v>984</v>
      </c>
      <c r="K728" s="21" t="s">
        <v>984</v>
      </c>
      <c r="L728" s="21" t="s">
        <v>984</v>
      </c>
      <c r="M728" s="21" t="s">
        <v>464</v>
      </c>
      <c r="N728" s="21">
        <v>20.7253303527832</v>
      </c>
      <c r="O728" s="74">
        <v>92.647956848144503</v>
      </c>
      <c r="P728" s="21" t="s">
        <v>985</v>
      </c>
      <c r="Q728" s="21" t="s">
        <v>508</v>
      </c>
      <c r="R728" s="21" t="s">
        <v>464</v>
      </c>
      <c r="S728" s="21" t="s">
        <v>966</v>
      </c>
      <c r="T728" s="75"/>
      <c r="U728" s="76"/>
      <c r="V728" s="21" t="s">
        <v>991</v>
      </c>
      <c r="W728" s="77"/>
      <c r="X728" s="21" t="s">
        <v>949</v>
      </c>
    </row>
    <row r="729" spans="1:24" ht="17.25" customHeight="1" x14ac:dyDescent="0.2">
      <c r="A729" s="21" t="s">
        <v>509</v>
      </c>
      <c r="B729" s="21" t="s">
        <v>2228</v>
      </c>
      <c r="C729" s="21" t="s">
        <v>2229</v>
      </c>
      <c r="D729" s="21" t="s">
        <v>949</v>
      </c>
      <c r="J729" s="21" t="s">
        <v>984</v>
      </c>
      <c r="K729" s="21" t="s">
        <v>984</v>
      </c>
      <c r="L729" s="21" t="s">
        <v>984</v>
      </c>
      <c r="M729" s="21" t="s">
        <v>464</v>
      </c>
      <c r="N729" s="319"/>
      <c r="O729" s="319"/>
      <c r="P729" s="21" t="s">
        <v>985</v>
      </c>
      <c r="Q729" s="21" t="s">
        <v>508</v>
      </c>
      <c r="R729" s="21" t="s">
        <v>464</v>
      </c>
      <c r="S729" s="21" t="s">
        <v>966</v>
      </c>
      <c r="T729" s="75"/>
      <c r="U729" s="76"/>
      <c r="V729" s="21" t="s">
        <v>991</v>
      </c>
      <c r="W729" s="77"/>
      <c r="X729" s="21" t="s">
        <v>949</v>
      </c>
    </row>
    <row r="730" spans="1:24" ht="17.25" customHeight="1" x14ac:dyDescent="0.2">
      <c r="A730" s="21" t="s">
        <v>587</v>
      </c>
      <c r="B730" s="21" t="s">
        <v>2228</v>
      </c>
      <c r="C730" s="21" t="s">
        <v>2229</v>
      </c>
      <c r="D730" s="21" t="s">
        <v>1655</v>
      </c>
      <c r="J730" s="21" t="s">
        <v>984</v>
      </c>
      <c r="K730" s="21" t="s">
        <v>984</v>
      </c>
      <c r="L730" s="21" t="s">
        <v>984</v>
      </c>
      <c r="M730" s="21" t="s">
        <v>981</v>
      </c>
      <c r="N730" s="21">
        <v>20.127127999999999</v>
      </c>
      <c r="O730" s="74">
        <v>92.875450000000001</v>
      </c>
      <c r="P730" s="21" t="s">
        <v>985</v>
      </c>
      <c r="Q730" s="21" t="s">
        <v>465</v>
      </c>
      <c r="R730" s="21" t="s">
        <v>464</v>
      </c>
      <c r="S730" s="21" t="s">
        <v>966</v>
      </c>
      <c r="T730" s="75"/>
      <c r="U730" s="76"/>
      <c r="V730" s="21" t="s">
        <v>949</v>
      </c>
      <c r="W730" s="77"/>
      <c r="X730" s="21" t="s">
        <v>587</v>
      </c>
    </row>
    <row r="731" spans="1:24" ht="17.25" customHeight="1" x14ac:dyDescent="0.2">
      <c r="A731" s="21" t="s">
        <v>589</v>
      </c>
      <c r="B731" s="21" t="s">
        <v>2228</v>
      </c>
      <c r="C731" s="21" t="s">
        <v>2229</v>
      </c>
      <c r="D731" s="21">
        <v>196200</v>
      </c>
      <c r="J731" s="21" t="s">
        <v>990</v>
      </c>
      <c r="K731" s="21" t="s">
        <v>984</v>
      </c>
      <c r="L731" s="21" t="s">
        <v>990</v>
      </c>
      <c r="M731" s="21" t="s">
        <v>981</v>
      </c>
      <c r="N731" s="21">
        <v>20.1438598632813</v>
      </c>
      <c r="O731" s="74">
        <v>92.867576599121094</v>
      </c>
      <c r="Q731" s="21" t="s">
        <v>465</v>
      </c>
      <c r="R731" s="21" t="s">
        <v>464</v>
      </c>
      <c r="S731" s="21" t="s">
        <v>945</v>
      </c>
      <c r="T731" s="75"/>
      <c r="U731" s="76"/>
      <c r="V731" s="21">
        <v>42811</v>
      </c>
      <c r="W731" s="77"/>
    </row>
    <row r="732" spans="1:24" ht="17.25" customHeight="1" x14ac:dyDescent="0.2">
      <c r="A732" s="21" t="s">
        <v>590</v>
      </c>
      <c r="B732" s="21" t="s">
        <v>2228</v>
      </c>
      <c r="C732" s="21" t="s">
        <v>2320</v>
      </c>
      <c r="D732" s="21" t="s">
        <v>1660</v>
      </c>
      <c r="E732" s="21" t="s">
        <v>2503</v>
      </c>
      <c r="F732" s="21" t="s">
        <v>2503</v>
      </c>
      <c r="G732" s="21" t="s">
        <v>2504</v>
      </c>
      <c r="J732" s="21" t="s">
        <v>984</v>
      </c>
      <c r="K732" s="21" t="s">
        <v>984</v>
      </c>
      <c r="L732" s="21" t="s">
        <v>1007</v>
      </c>
      <c r="M732" s="21" t="s">
        <v>1032</v>
      </c>
      <c r="N732" s="21">
        <v>20.148584</v>
      </c>
      <c r="O732" s="74">
        <v>92.880319999999998</v>
      </c>
      <c r="P732" s="21" t="s">
        <v>985</v>
      </c>
      <c r="Q732" s="21" t="s">
        <v>465</v>
      </c>
      <c r="R732" s="21" t="s">
        <v>464</v>
      </c>
      <c r="S732" s="21" t="s">
        <v>966</v>
      </c>
      <c r="T732" s="75">
        <v>72</v>
      </c>
      <c r="U732" s="76">
        <v>462</v>
      </c>
      <c r="V732" s="21" t="s">
        <v>949</v>
      </c>
      <c r="W732" s="77"/>
      <c r="X732" s="21" t="s">
        <v>590</v>
      </c>
    </row>
    <row r="733" spans="1:24" ht="17.25" customHeight="1" x14ac:dyDescent="0.2">
      <c r="A733" s="21" t="s">
        <v>591</v>
      </c>
      <c r="B733" s="21" t="s">
        <v>2228</v>
      </c>
      <c r="C733" s="21" t="s">
        <v>2229</v>
      </c>
      <c r="D733" s="21" t="s">
        <v>1661</v>
      </c>
      <c r="J733" s="21" t="s">
        <v>984</v>
      </c>
      <c r="K733" s="21" t="s">
        <v>984</v>
      </c>
      <c r="L733" s="21" t="s">
        <v>984</v>
      </c>
      <c r="M733" s="21" t="s">
        <v>981</v>
      </c>
      <c r="N733" s="21">
        <v>20.148910522460898</v>
      </c>
      <c r="O733" s="74">
        <v>92.846160888671903</v>
      </c>
      <c r="P733" s="21" t="s">
        <v>985</v>
      </c>
      <c r="Q733" s="21" t="s">
        <v>465</v>
      </c>
      <c r="R733" s="21" t="s">
        <v>464</v>
      </c>
      <c r="S733" s="21" t="s">
        <v>945</v>
      </c>
      <c r="T733" s="75"/>
      <c r="U733" s="76"/>
      <c r="V733" s="21" t="s">
        <v>949</v>
      </c>
      <c r="W733" s="77"/>
      <c r="X733" s="21" t="s">
        <v>1033</v>
      </c>
    </row>
    <row r="734" spans="1:24" ht="17.25" customHeight="1" x14ac:dyDescent="0.2">
      <c r="A734" s="21" t="s">
        <v>2636</v>
      </c>
      <c r="B734" s="21" t="s">
        <v>2228</v>
      </c>
      <c r="C734" s="21" t="s">
        <v>2229</v>
      </c>
      <c r="D734" s="21" t="s">
        <v>1667</v>
      </c>
      <c r="E734" s="21" t="s">
        <v>2503</v>
      </c>
      <c r="F734" s="21" t="s">
        <v>2503</v>
      </c>
      <c r="G734" s="21" t="s">
        <v>2504</v>
      </c>
      <c r="J734" s="21" t="s">
        <v>984</v>
      </c>
      <c r="K734" s="21" t="s">
        <v>984</v>
      </c>
      <c r="L734" s="21" t="s">
        <v>1007</v>
      </c>
      <c r="M734" s="21" t="s">
        <v>464</v>
      </c>
      <c r="N734" s="21">
        <v>20.155805999999998</v>
      </c>
      <c r="O734" s="74">
        <v>92.879138999999995</v>
      </c>
      <c r="P734" s="21" t="s">
        <v>985</v>
      </c>
      <c r="Q734" s="21" t="s">
        <v>465</v>
      </c>
      <c r="R734" s="21" t="s">
        <v>464</v>
      </c>
      <c r="S734" s="21" t="s">
        <v>966</v>
      </c>
      <c r="T734" s="75">
        <v>151</v>
      </c>
      <c r="U734" s="76">
        <v>654</v>
      </c>
      <c r="V734" s="21" t="s">
        <v>949</v>
      </c>
      <c r="W734" s="77"/>
      <c r="X734" s="21" t="s">
        <v>594</v>
      </c>
    </row>
    <row r="735" spans="1:24" ht="17.25" customHeight="1" x14ac:dyDescent="0.2">
      <c r="A735" s="21" t="s">
        <v>595</v>
      </c>
      <c r="B735" s="21" t="s">
        <v>2228</v>
      </c>
      <c r="C735" s="21" t="s">
        <v>2229</v>
      </c>
      <c r="D735" s="21">
        <v>196211</v>
      </c>
      <c r="J735" s="21" t="s">
        <v>984</v>
      </c>
      <c r="K735" s="21" t="s">
        <v>984</v>
      </c>
      <c r="L735" s="21" t="s">
        <v>984</v>
      </c>
      <c r="M735" s="21" t="s">
        <v>981</v>
      </c>
      <c r="N735" s="21">
        <v>20.1573600769043</v>
      </c>
      <c r="O735" s="74">
        <v>92.838653564453097</v>
      </c>
      <c r="P735" s="21" t="s">
        <v>985</v>
      </c>
      <c r="Q735" s="21" t="s">
        <v>465</v>
      </c>
      <c r="R735" s="21" t="s">
        <v>464</v>
      </c>
      <c r="S735" s="21" t="s">
        <v>966</v>
      </c>
      <c r="T735" s="75"/>
      <c r="U735" s="76"/>
      <c r="V735" s="21" t="s">
        <v>949</v>
      </c>
      <c r="W735" s="77"/>
      <c r="X735" s="21" t="s">
        <v>1040</v>
      </c>
    </row>
    <row r="736" spans="1:24" ht="17.25" customHeight="1" x14ac:dyDescent="0.2">
      <c r="A736" s="396" t="s">
        <v>603</v>
      </c>
      <c r="B736" s="21" t="s">
        <v>2228</v>
      </c>
      <c r="C736" s="21" t="s">
        <v>2229</v>
      </c>
      <c r="D736" s="21" t="s">
        <v>1680</v>
      </c>
      <c r="H736" s="21" t="s">
        <v>48</v>
      </c>
      <c r="I736" s="21" t="s">
        <v>979</v>
      </c>
      <c r="J736" s="21" t="s">
        <v>50</v>
      </c>
      <c r="K736" s="21" t="s">
        <v>50</v>
      </c>
      <c r="L736" s="21" t="s">
        <v>956</v>
      </c>
      <c r="M736" s="21" t="s">
        <v>981</v>
      </c>
      <c r="N736" s="21">
        <v>20.181742</v>
      </c>
      <c r="O736" s="74">
        <v>92.842230000000001</v>
      </c>
      <c r="P736" s="21" t="s">
        <v>957</v>
      </c>
      <c r="Q736" s="21" t="s">
        <v>465</v>
      </c>
      <c r="R736" s="21" t="s">
        <v>464</v>
      </c>
      <c r="T736" s="75">
        <v>496</v>
      </c>
      <c r="U736" s="76">
        <v>2942</v>
      </c>
      <c r="V736" s="21">
        <v>42745</v>
      </c>
      <c r="W736" s="77" t="s">
        <v>1043</v>
      </c>
    </row>
    <row r="737" spans="1:24" ht="17.25" customHeight="1" x14ac:dyDescent="0.2">
      <c r="A737" s="396" t="s">
        <v>604</v>
      </c>
      <c r="B737" s="21" t="s">
        <v>2228</v>
      </c>
      <c r="C737" s="21" t="s">
        <v>2229</v>
      </c>
      <c r="D737" s="21" t="s">
        <v>1681</v>
      </c>
      <c r="E737" s="21" t="s">
        <v>2238</v>
      </c>
      <c r="F737" s="21" t="s">
        <v>2238</v>
      </c>
      <c r="G737" s="21">
        <v>196191</v>
      </c>
      <c r="H737" s="21" t="s">
        <v>48</v>
      </c>
      <c r="I737" s="21" t="s">
        <v>1643</v>
      </c>
      <c r="J737" s="21" t="s">
        <v>50</v>
      </c>
      <c r="K737" s="21" t="s">
        <v>50</v>
      </c>
      <c r="L737" s="21" t="s">
        <v>980</v>
      </c>
      <c r="M737" s="21" t="s">
        <v>981</v>
      </c>
      <c r="N737" s="21">
        <v>20.181778000000001</v>
      </c>
      <c r="O737" s="74">
        <v>92.823166999999998</v>
      </c>
      <c r="P737" s="21" t="s">
        <v>944</v>
      </c>
      <c r="Q737" s="21" t="s">
        <v>465</v>
      </c>
      <c r="R737" s="21" t="s">
        <v>464</v>
      </c>
      <c r="S737" s="21" t="s">
        <v>966</v>
      </c>
      <c r="T737" s="75">
        <v>799</v>
      </c>
      <c r="U737" s="76">
        <v>4481</v>
      </c>
      <c r="V737" s="21" t="s">
        <v>949</v>
      </c>
      <c r="W737" s="77"/>
      <c r="X737" s="21" t="s">
        <v>1052</v>
      </c>
    </row>
    <row r="738" spans="1:24" ht="17.25" customHeight="1" x14ac:dyDescent="0.2">
      <c r="A738" s="21" t="s">
        <v>606</v>
      </c>
      <c r="B738" s="21" t="s">
        <v>2228</v>
      </c>
      <c r="C738" s="21" t="s">
        <v>2229</v>
      </c>
      <c r="D738" s="21">
        <v>196197</v>
      </c>
      <c r="J738" s="21" t="s">
        <v>990</v>
      </c>
      <c r="K738" s="21" t="s">
        <v>984</v>
      </c>
      <c r="L738" s="21" t="s">
        <v>990</v>
      </c>
      <c r="M738" s="21" t="s">
        <v>981</v>
      </c>
      <c r="N738" s="21">
        <v>20.183790206909201</v>
      </c>
      <c r="O738" s="74">
        <v>92.864143371582003</v>
      </c>
      <c r="Q738" s="21" t="s">
        <v>465</v>
      </c>
      <c r="R738" s="21" t="s">
        <v>464</v>
      </c>
      <c r="S738" s="21" t="s">
        <v>945</v>
      </c>
      <c r="T738" s="75"/>
      <c r="U738" s="76"/>
      <c r="V738" s="21">
        <v>42811</v>
      </c>
      <c r="W738" s="77"/>
    </row>
    <row r="739" spans="1:24" ht="17.25" customHeight="1" x14ac:dyDescent="0.2">
      <c r="A739" s="21" t="s">
        <v>610</v>
      </c>
      <c r="B739" s="21" t="s">
        <v>2228</v>
      </c>
      <c r="C739" s="21" t="s">
        <v>2229</v>
      </c>
      <c r="D739" s="21" t="s">
        <v>1686</v>
      </c>
      <c r="J739" s="21" t="s">
        <v>984</v>
      </c>
      <c r="K739" s="21" t="s">
        <v>984</v>
      </c>
      <c r="L739" s="21" t="s">
        <v>984</v>
      </c>
      <c r="M739" s="21" t="s">
        <v>981</v>
      </c>
      <c r="N739" s="21">
        <v>20.191719055175799</v>
      </c>
      <c r="O739" s="74">
        <v>92.808166503906307</v>
      </c>
      <c r="P739" s="21" t="s">
        <v>985</v>
      </c>
      <c r="Q739" s="21" t="s">
        <v>465</v>
      </c>
      <c r="R739" s="21" t="s">
        <v>464</v>
      </c>
      <c r="S739" s="21" t="s">
        <v>966</v>
      </c>
      <c r="T739" s="75"/>
      <c r="U739" s="76"/>
      <c r="V739" s="21" t="s">
        <v>949</v>
      </c>
      <c r="W739" s="77"/>
      <c r="X739" s="21" t="s">
        <v>610</v>
      </c>
    </row>
    <row r="740" spans="1:24" s="244" customFormat="1" ht="17.25" customHeight="1" x14ac:dyDescent="0.2">
      <c r="A740" s="21" t="s">
        <v>611</v>
      </c>
      <c r="B740" s="21" t="s">
        <v>2228</v>
      </c>
      <c r="C740" s="21" t="s">
        <v>2229</v>
      </c>
      <c r="D740" s="21">
        <v>196147</v>
      </c>
      <c r="E740" s="21"/>
      <c r="F740" s="21"/>
      <c r="G740" s="21"/>
      <c r="H740" s="21"/>
      <c r="I740" s="21"/>
      <c r="J740" s="21" t="s">
        <v>990</v>
      </c>
      <c r="K740" s="21" t="s">
        <v>984</v>
      </c>
      <c r="L740" s="21" t="s">
        <v>990</v>
      </c>
      <c r="M740" s="21" t="s">
        <v>981</v>
      </c>
      <c r="N740" s="21">
        <v>20.1934604644775</v>
      </c>
      <c r="O740" s="74">
        <v>92.867782592773395</v>
      </c>
      <c r="P740" s="21"/>
      <c r="Q740" s="21" t="s">
        <v>465</v>
      </c>
      <c r="R740" s="21" t="s">
        <v>464</v>
      </c>
      <c r="S740" s="21" t="s">
        <v>945</v>
      </c>
      <c r="T740" s="75"/>
      <c r="U740" s="76"/>
      <c r="V740" s="21">
        <v>42811</v>
      </c>
      <c r="W740" s="77"/>
      <c r="X740" s="21"/>
    </row>
    <row r="741" spans="1:24" x14ac:dyDescent="0.2">
      <c r="A741" s="21" t="s">
        <v>612</v>
      </c>
      <c r="B741" s="21" t="s">
        <v>2228</v>
      </c>
      <c r="C741" s="21" t="s">
        <v>2229</v>
      </c>
      <c r="D741" s="21">
        <v>196128</v>
      </c>
      <c r="J741" s="21" t="s">
        <v>990</v>
      </c>
      <c r="K741" s="21" t="s">
        <v>984</v>
      </c>
      <c r="L741" s="21" t="s">
        <v>990</v>
      </c>
      <c r="M741" s="21" t="s">
        <v>981</v>
      </c>
      <c r="N741" s="21">
        <v>20.194370269775401</v>
      </c>
      <c r="O741" s="74">
        <v>92.834007263183594</v>
      </c>
      <c r="Q741" s="21" t="s">
        <v>465</v>
      </c>
      <c r="R741" s="21" t="s">
        <v>464</v>
      </c>
      <c r="S741" s="21" t="s">
        <v>945</v>
      </c>
      <c r="T741" s="75"/>
      <c r="U741" s="76"/>
      <c r="V741" s="21">
        <v>42811</v>
      </c>
      <c r="W741" s="77"/>
    </row>
    <row r="742" spans="1:24" x14ac:dyDescent="0.2">
      <c r="A742" s="21" t="s">
        <v>613</v>
      </c>
      <c r="B742" s="21" t="s">
        <v>2228</v>
      </c>
      <c r="C742" s="21" t="s">
        <v>2229</v>
      </c>
      <c r="D742" s="21" t="s">
        <v>1687</v>
      </c>
      <c r="J742" s="21" t="s">
        <v>984</v>
      </c>
      <c r="K742" s="21" t="s">
        <v>984</v>
      </c>
      <c r="L742" s="21" t="s">
        <v>984</v>
      </c>
      <c r="M742" s="21" t="s">
        <v>981</v>
      </c>
      <c r="N742" s="21">
        <v>20.1975498199463</v>
      </c>
      <c r="O742" s="74">
        <v>92.785682678222699</v>
      </c>
      <c r="P742" s="21" t="s">
        <v>985</v>
      </c>
      <c r="Q742" s="21" t="s">
        <v>465</v>
      </c>
      <c r="R742" s="21" t="s">
        <v>464</v>
      </c>
      <c r="S742" s="21" t="s">
        <v>966</v>
      </c>
      <c r="T742" s="75"/>
      <c r="U742" s="76"/>
      <c r="V742" s="21" t="s">
        <v>949</v>
      </c>
      <c r="W742" s="77"/>
      <c r="X742" s="21" t="s">
        <v>613</v>
      </c>
    </row>
    <row r="743" spans="1:24" x14ac:dyDescent="0.2">
      <c r="A743" s="21" t="s">
        <v>614</v>
      </c>
      <c r="B743" s="21" t="s">
        <v>2228</v>
      </c>
      <c r="C743" s="21" t="s">
        <v>2229</v>
      </c>
      <c r="D743" s="21">
        <v>196154</v>
      </c>
      <c r="J743" s="21" t="s">
        <v>984</v>
      </c>
      <c r="K743" s="21" t="s">
        <v>984</v>
      </c>
      <c r="L743" s="21" t="s">
        <v>984</v>
      </c>
      <c r="M743" s="21" t="s">
        <v>981</v>
      </c>
      <c r="N743" s="21">
        <v>20.201499999999999</v>
      </c>
      <c r="O743" s="74">
        <v>92.796599999999998</v>
      </c>
      <c r="P743" s="21" t="s">
        <v>985</v>
      </c>
      <c r="Q743" s="21" t="s">
        <v>465</v>
      </c>
      <c r="R743" s="21" t="s">
        <v>464</v>
      </c>
      <c r="S743" s="21" t="s">
        <v>966</v>
      </c>
      <c r="T743" s="75"/>
      <c r="U743" s="76"/>
      <c r="V743" s="21">
        <v>42745</v>
      </c>
      <c r="W743" s="77"/>
    </row>
    <row r="744" spans="1:24" x14ac:dyDescent="0.2">
      <c r="A744" s="21" t="s">
        <v>615</v>
      </c>
      <c r="B744" s="21" t="s">
        <v>2228</v>
      </c>
      <c r="C744" s="21" t="s">
        <v>2229</v>
      </c>
      <c r="D744" s="21" t="s">
        <v>1688</v>
      </c>
      <c r="J744" s="21" t="s">
        <v>984</v>
      </c>
      <c r="K744" s="21" t="s">
        <v>984</v>
      </c>
      <c r="L744" s="21" t="s">
        <v>984</v>
      </c>
      <c r="M744" s="21" t="s">
        <v>464</v>
      </c>
      <c r="N744" s="21">
        <v>20.202400000000001</v>
      </c>
      <c r="O744" s="74">
        <v>92.812799999999996</v>
      </c>
      <c r="P744" s="21" t="s">
        <v>985</v>
      </c>
      <c r="Q744" s="21" t="s">
        <v>465</v>
      </c>
      <c r="R744" s="21" t="s">
        <v>464</v>
      </c>
      <c r="S744" s="21" t="s">
        <v>966</v>
      </c>
      <c r="T744" s="75"/>
      <c r="U744" s="76"/>
      <c r="V744" s="21" t="s">
        <v>949</v>
      </c>
      <c r="W744" s="77"/>
      <c r="X744" s="21" t="s">
        <v>615</v>
      </c>
    </row>
    <row r="745" spans="1:24" x14ac:dyDescent="0.2">
      <c r="A745" s="21" t="s">
        <v>617</v>
      </c>
      <c r="B745" s="21" t="s">
        <v>2228</v>
      </c>
      <c r="C745" s="21" t="s">
        <v>2229</v>
      </c>
      <c r="D745" s="21">
        <v>196158</v>
      </c>
      <c r="J745" s="21" t="s">
        <v>990</v>
      </c>
      <c r="K745" s="21" t="s">
        <v>984</v>
      </c>
      <c r="L745" s="21" t="s">
        <v>990</v>
      </c>
      <c r="M745" s="21" t="s">
        <v>981</v>
      </c>
      <c r="N745" s="21">
        <v>20.204370498657202</v>
      </c>
      <c r="O745" s="74">
        <v>92.780357360839801</v>
      </c>
      <c r="Q745" s="21" t="s">
        <v>465</v>
      </c>
      <c r="R745" s="21" t="s">
        <v>464</v>
      </c>
      <c r="S745" s="21" t="s">
        <v>945</v>
      </c>
      <c r="T745" s="75"/>
      <c r="U745" s="76"/>
      <c r="V745" s="21">
        <v>42811</v>
      </c>
      <c r="W745" s="77"/>
    </row>
    <row r="746" spans="1:24" ht="13.5" customHeight="1" x14ac:dyDescent="0.2">
      <c r="A746" s="21" t="s">
        <v>620</v>
      </c>
      <c r="B746" s="21" t="s">
        <v>2228</v>
      </c>
      <c r="C746" s="21" t="s">
        <v>2229</v>
      </c>
      <c r="D746" s="21" t="s">
        <v>1693</v>
      </c>
      <c r="J746" s="21" t="s">
        <v>984</v>
      </c>
      <c r="K746" s="21" t="s">
        <v>984</v>
      </c>
      <c r="L746" s="21" t="s">
        <v>984</v>
      </c>
      <c r="M746" s="21" t="s">
        <v>981</v>
      </c>
      <c r="N746" s="21">
        <v>20.212700000000002</v>
      </c>
      <c r="O746" s="74">
        <v>92.820800000000006</v>
      </c>
      <c r="P746" s="21" t="s">
        <v>985</v>
      </c>
      <c r="Q746" s="21" t="s">
        <v>465</v>
      </c>
      <c r="R746" s="21" t="s">
        <v>464</v>
      </c>
      <c r="S746" s="21" t="s">
        <v>966</v>
      </c>
      <c r="T746" s="75"/>
      <c r="U746" s="76"/>
      <c r="V746" s="21" t="s">
        <v>949</v>
      </c>
      <c r="W746" s="77"/>
      <c r="X746" s="21" t="s">
        <v>620</v>
      </c>
    </row>
    <row r="747" spans="1:24" x14ac:dyDescent="0.2">
      <c r="A747" s="21" t="s">
        <v>621</v>
      </c>
      <c r="B747" s="21" t="s">
        <v>2228</v>
      </c>
      <c r="C747" s="21" t="s">
        <v>2229</v>
      </c>
      <c r="D747" s="21" t="s">
        <v>1694</v>
      </c>
      <c r="J747" s="21" t="s">
        <v>984</v>
      </c>
      <c r="K747" s="21" t="s">
        <v>984</v>
      </c>
      <c r="L747" s="21" t="s">
        <v>984</v>
      </c>
      <c r="M747" s="21" t="s">
        <v>464</v>
      </c>
      <c r="N747" s="21">
        <v>20.218299999999999</v>
      </c>
      <c r="O747" s="74">
        <v>92.805999999999997</v>
      </c>
      <c r="P747" s="21" t="s">
        <v>985</v>
      </c>
      <c r="Q747" s="21" t="s">
        <v>465</v>
      </c>
      <c r="R747" s="21" t="s">
        <v>464</v>
      </c>
      <c r="S747" s="21" t="s">
        <v>966</v>
      </c>
      <c r="T747" s="75"/>
      <c r="U747" s="76"/>
      <c r="V747" s="21" t="s">
        <v>949</v>
      </c>
      <c r="W747" s="77"/>
      <c r="X747" s="21" t="s">
        <v>621</v>
      </c>
    </row>
    <row r="748" spans="1:24" x14ac:dyDescent="0.2">
      <c r="A748" s="21" t="s">
        <v>623</v>
      </c>
      <c r="B748" s="21" t="s">
        <v>2228</v>
      </c>
      <c r="C748" s="21" t="s">
        <v>2229</v>
      </c>
      <c r="D748" s="21" t="s">
        <v>1696</v>
      </c>
      <c r="J748" s="21" t="s">
        <v>984</v>
      </c>
      <c r="K748" s="21" t="s">
        <v>984</v>
      </c>
      <c r="L748" s="21" t="s">
        <v>984</v>
      </c>
      <c r="M748" s="21" t="s">
        <v>981</v>
      </c>
      <c r="N748" s="21">
        <v>20.2195</v>
      </c>
      <c r="O748" s="74">
        <v>92.811300000000003</v>
      </c>
      <c r="P748" s="21" t="s">
        <v>985</v>
      </c>
      <c r="Q748" s="21" t="s">
        <v>465</v>
      </c>
      <c r="R748" s="21" t="s">
        <v>464</v>
      </c>
      <c r="S748" s="21" t="s">
        <v>966</v>
      </c>
      <c r="T748" s="75"/>
      <c r="U748" s="76"/>
      <c r="V748" s="21" t="s">
        <v>949</v>
      </c>
      <c r="W748" s="77"/>
      <c r="X748" s="21" t="s">
        <v>623</v>
      </c>
    </row>
    <row r="749" spans="1:24" x14ac:dyDescent="0.2">
      <c r="A749" s="21" t="s">
        <v>624</v>
      </c>
      <c r="B749" s="21" t="s">
        <v>2228</v>
      </c>
      <c r="C749" s="21" t="s">
        <v>2229</v>
      </c>
      <c r="D749" s="21">
        <v>196167</v>
      </c>
      <c r="J749" s="21" t="s">
        <v>984</v>
      </c>
      <c r="K749" s="21" t="s">
        <v>984</v>
      </c>
      <c r="L749" s="21" t="s">
        <v>990</v>
      </c>
      <c r="M749" s="21" t="s">
        <v>464</v>
      </c>
      <c r="N749" s="21">
        <v>20.229290008544901</v>
      </c>
      <c r="O749" s="74">
        <v>92.864669799804702</v>
      </c>
      <c r="Q749" s="21" t="s">
        <v>465</v>
      </c>
      <c r="R749" s="21" t="s">
        <v>464</v>
      </c>
      <c r="S749" s="21" t="s">
        <v>945</v>
      </c>
      <c r="T749" s="75"/>
      <c r="U749" s="76"/>
      <c r="V749" s="21">
        <v>42811</v>
      </c>
      <c r="W749" s="77"/>
    </row>
    <row r="750" spans="1:24" x14ac:dyDescent="0.2">
      <c r="A750" s="21" t="s">
        <v>625</v>
      </c>
      <c r="B750" s="21" t="s">
        <v>2228</v>
      </c>
      <c r="C750" s="21" t="s">
        <v>2229</v>
      </c>
      <c r="D750" s="21" t="s">
        <v>1698</v>
      </c>
      <c r="J750" s="21" t="s">
        <v>984</v>
      </c>
      <c r="K750" s="21" t="s">
        <v>984</v>
      </c>
      <c r="L750" s="21" t="s">
        <v>984</v>
      </c>
      <c r="M750" s="21" t="s">
        <v>981</v>
      </c>
      <c r="N750" s="21">
        <v>20.2302</v>
      </c>
      <c r="O750" s="74">
        <v>92.817999999999998</v>
      </c>
      <c r="P750" s="21" t="s">
        <v>985</v>
      </c>
      <c r="Q750" s="21" t="s">
        <v>465</v>
      </c>
      <c r="R750" s="21" t="s">
        <v>464</v>
      </c>
      <c r="S750" s="21" t="s">
        <v>966</v>
      </c>
      <c r="T750" s="75"/>
      <c r="U750" s="76"/>
      <c r="V750" s="21" t="s">
        <v>949</v>
      </c>
      <c r="W750" s="77"/>
      <c r="X750" s="21" t="s">
        <v>625</v>
      </c>
    </row>
    <row r="751" spans="1:24" x14ac:dyDescent="0.2">
      <c r="A751" s="21" t="s">
        <v>626</v>
      </c>
      <c r="B751" s="21" t="s">
        <v>2228</v>
      </c>
      <c r="C751" s="21" t="s">
        <v>2229</v>
      </c>
      <c r="D751" s="21" t="s">
        <v>1699</v>
      </c>
      <c r="J751" s="21" t="s">
        <v>984</v>
      </c>
      <c r="K751" s="21" t="s">
        <v>984</v>
      </c>
      <c r="L751" s="21" t="s">
        <v>984</v>
      </c>
      <c r="M751" s="21" t="s">
        <v>981</v>
      </c>
      <c r="N751" s="21">
        <v>20.235199999999999</v>
      </c>
      <c r="O751" s="74">
        <v>92.805000000000007</v>
      </c>
      <c r="P751" s="21" t="s">
        <v>985</v>
      </c>
      <c r="Q751" s="21" t="s">
        <v>465</v>
      </c>
      <c r="R751" s="21" t="s">
        <v>464</v>
      </c>
      <c r="S751" s="21" t="s">
        <v>966</v>
      </c>
      <c r="T751" s="75"/>
      <c r="U751" s="76"/>
      <c r="V751" s="21" t="s">
        <v>949</v>
      </c>
      <c r="W751" s="77"/>
      <c r="X751" s="21" t="s">
        <v>626</v>
      </c>
    </row>
    <row r="752" spans="1:24" ht="13.5" thickBot="1" x14ac:dyDescent="0.25">
      <c r="A752" s="21" t="s">
        <v>627</v>
      </c>
      <c r="B752" s="21" t="s">
        <v>2228</v>
      </c>
      <c r="C752" s="21" t="s">
        <v>2229</v>
      </c>
      <c r="D752" s="21" t="s">
        <v>1700</v>
      </c>
      <c r="J752" s="21" t="s">
        <v>984</v>
      </c>
      <c r="K752" s="21" t="s">
        <v>984</v>
      </c>
      <c r="L752" s="21" t="s">
        <v>984</v>
      </c>
      <c r="M752" s="21" t="s">
        <v>464</v>
      </c>
      <c r="N752" s="21">
        <v>20.235199999999999</v>
      </c>
      <c r="O752" s="74">
        <v>92.790199999999999</v>
      </c>
      <c r="P752" s="21" t="s">
        <v>985</v>
      </c>
      <c r="Q752" s="21" t="s">
        <v>465</v>
      </c>
      <c r="R752" s="21" t="s">
        <v>464</v>
      </c>
      <c r="S752" s="21" t="s">
        <v>966</v>
      </c>
      <c r="T752" s="75"/>
      <c r="U752" s="76"/>
      <c r="V752" s="21" t="s">
        <v>949</v>
      </c>
      <c r="W752" s="77"/>
      <c r="X752" s="21" t="s">
        <v>627</v>
      </c>
    </row>
    <row r="753" spans="1:24" ht="15" customHeight="1" thickBot="1" x14ac:dyDescent="0.25">
      <c r="A753" s="333" t="s">
        <v>628</v>
      </c>
      <c r="B753" s="21" t="s">
        <v>2228</v>
      </c>
      <c r="C753" s="21" t="s">
        <v>2229</v>
      </c>
      <c r="D753" s="21" t="s">
        <v>1702</v>
      </c>
      <c r="E753" s="318"/>
      <c r="J753" s="21" t="s">
        <v>984</v>
      </c>
      <c r="K753" s="21" t="s">
        <v>984</v>
      </c>
      <c r="L753" s="21" t="s">
        <v>984</v>
      </c>
      <c r="M753" s="21" t="s">
        <v>464</v>
      </c>
      <c r="N753" s="21">
        <v>20.245159149169901</v>
      </c>
      <c r="O753" s="74">
        <v>92.807418823242202</v>
      </c>
      <c r="P753" s="21" t="s">
        <v>985</v>
      </c>
      <c r="Q753" s="318" t="s">
        <v>465</v>
      </c>
      <c r="R753" s="345" t="s">
        <v>464</v>
      </c>
      <c r="S753" s="21" t="s">
        <v>966</v>
      </c>
      <c r="T753" s="335"/>
      <c r="U753" s="336"/>
      <c r="V753" s="21" t="s">
        <v>949</v>
      </c>
      <c r="W753" s="77"/>
      <c r="X753" s="21" t="s">
        <v>628</v>
      </c>
    </row>
    <row r="754" spans="1:24" ht="13.5" thickBot="1" x14ac:dyDescent="0.25">
      <c r="A754" s="333" t="s">
        <v>629</v>
      </c>
      <c r="B754" s="21" t="s">
        <v>2228</v>
      </c>
      <c r="C754" s="21" t="s">
        <v>2229</v>
      </c>
      <c r="D754" s="21">
        <v>196178</v>
      </c>
      <c r="J754" s="21" t="s">
        <v>990</v>
      </c>
      <c r="K754" s="21" t="s">
        <v>984</v>
      </c>
      <c r="L754" s="21" t="s">
        <v>990</v>
      </c>
      <c r="M754" s="21" t="s">
        <v>464</v>
      </c>
      <c r="N754" s="21">
        <v>20.260789871215799</v>
      </c>
      <c r="O754" s="74">
        <v>92.878593444824205</v>
      </c>
      <c r="Q754" s="318" t="s">
        <v>465</v>
      </c>
      <c r="R754" s="345" t="s">
        <v>464</v>
      </c>
      <c r="S754" s="21" t="s">
        <v>945</v>
      </c>
      <c r="T754" s="335"/>
      <c r="U754" s="336"/>
      <c r="V754" s="21">
        <v>42811</v>
      </c>
      <c r="W754" s="77"/>
    </row>
    <row r="755" spans="1:24" ht="12.75" customHeight="1" x14ac:dyDescent="0.2">
      <c r="A755" s="333" t="s">
        <v>632</v>
      </c>
      <c r="B755" s="21" t="s">
        <v>2228</v>
      </c>
      <c r="C755" s="21" t="s">
        <v>2229</v>
      </c>
      <c r="D755" s="21">
        <v>196163</v>
      </c>
      <c r="J755" s="21" t="s">
        <v>990</v>
      </c>
      <c r="K755" s="21" t="s">
        <v>984</v>
      </c>
      <c r="L755" s="21" t="s">
        <v>990</v>
      </c>
      <c r="M755" s="21" t="s">
        <v>464</v>
      </c>
      <c r="N755" s="21">
        <v>20.272630691528299</v>
      </c>
      <c r="O755" s="74">
        <v>92.84326171875</v>
      </c>
      <c r="Q755" s="318" t="s">
        <v>465</v>
      </c>
      <c r="R755" s="318" t="s">
        <v>464</v>
      </c>
      <c r="S755" s="21" t="s">
        <v>945</v>
      </c>
      <c r="T755" s="335"/>
      <c r="U755" s="336"/>
      <c r="V755" s="21">
        <v>42811</v>
      </c>
      <c r="W755" s="77"/>
    </row>
    <row r="756" spans="1:24" x14ac:dyDescent="0.2">
      <c r="A756" s="333" t="s">
        <v>633</v>
      </c>
      <c r="B756" s="21" t="s">
        <v>2228</v>
      </c>
      <c r="C756" s="21" t="s">
        <v>2229</v>
      </c>
      <c r="D756" s="21">
        <v>196172</v>
      </c>
      <c r="J756" s="21" t="s">
        <v>990</v>
      </c>
      <c r="K756" s="21" t="s">
        <v>984</v>
      </c>
      <c r="L756" s="21" t="s">
        <v>990</v>
      </c>
      <c r="M756" s="21" t="s">
        <v>464</v>
      </c>
      <c r="N756" s="21">
        <v>20.286720275878899</v>
      </c>
      <c r="O756" s="74">
        <v>92.882843017578097</v>
      </c>
      <c r="Q756" s="318" t="s">
        <v>465</v>
      </c>
      <c r="R756" s="318" t="s">
        <v>464</v>
      </c>
      <c r="S756" s="21" t="s">
        <v>945</v>
      </c>
      <c r="T756" s="335"/>
      <c r="U756" s="336"/>
      <c r="V756" s="21">
        <v>42811</v>
      </c>
      <c r="W756" s="77"/>
    </row>
    <row r="757" spans="1:24" x14ac:dyDescent="0.2">
      <c r="A757" s="333" t="s">
        <v>869</v>
      </c>
      <c r="B757" s="21" t="s">
        <v>2228</v>
      </c>
      <c r="C757" s="21" t="s">
        <v>2229</v>
      </c>
      <c r="D757" s="21" t="s">
        <v>2111</v>
      </c>
      <c r="J757" s="21" t="s">
        <v>984</v>
      </c>
      <c r="K757" s="21" t="s">
        <v>984</v>
      </c>
      <c r="L757" s="21" t="s">
        <v>984</v>
      </c>
      <c r="M757" s="21" t="s">
        <v>464</v>
      </c>
      <c r="N757" s="74">
        <v>20.162599563598601</v>
      </c>
      <c r="O757" s="21">
        <v>92.834457397460895</v>
      </c>
      <c r="P757" s="21" t="s">
        <v>985</v>
      </c>
      <c r="Q757" s="318" t="s">
        <v>465</v>
      </c>
      <c r="R757" s="318" t="s">
        <v>464</v>
      </c>
      <c r="S757" s="21" t="s">
        <v>966</v>
      </c>
      <c r="T757" s="335"/>
      <c r="U757" s="336"/>
      <c r="V757" s="21" t="s">
        <v>949</v>
      </c>
      <c r="W757" s="77"/>
      <c r="X757" s="21" t="s">
        <v>949</v>
      </c>
    </row>
    <row r="758" spans="1:24" x14ac:dyDescent="0.2">
      <c r="A758" s="382" t="s">
        <v>466</v>
      </c>
      <c r="B758" s="246" t="s">
        <v>2228</v>
      </c>
      <c r="C758" s="21" t="s">
        <v>2229</v>
      </c>
      <c r="J758" s="21" t="s">
        <v>990</v>
      </c>
      <c r="K758" s="21" t="s">
        <v>984</v>
      </c>
      <c r="L758" s="21" t="s">
        <v>990</v>
      </c>
      <c r="M758" s="21" t="s">
        <v>981</v>
      </c>
      <c r="N758" s="319"/>
      <c r="O758" s="319"/>
      <c r="Q758" s="318" t="s">
        <v>465</v>
      </c>
      <c r="R758" s="318" t="s">
        <v>464</v>
      </c>
      <c r="S758" s="21" t="s">
        <v>945</v>
      </c>
      <c r="T758" s="335"/>
      <c r="U758" s="336"/>
      <c r="V758" s="21">
        <v>42811</v>
      </c>
      <c r="W758" s="77"/>
    </row>
    <row r="759" spans="1:24" x14ac:dyDescent="0.2">
      <c r="A759" s="333" t="s">
        <v>1283</v>
      </c>
      <c r="B759" s="21" t="s">
        <v>2228</v>
      </c>
      <c r="C759" s="21" t="s">
        <v>2229</v>
      </c>
      <c r="D759" s="21" t="s">
        <v>949</v>
      </c>
      <c r="J759" s="21" t="s">
        <v>984</v>
      </c>
      <c r="K759" s="21" t="s">
        <v>984</v>
      </c>
      <c r="L759" s="21" t="s">
        <v>984</v>
      </c>
      <c r="M759" s="21" t="s">
        <v>981</v>
      </c>
      <c r="N759" s="319"/>
      <c r="O759" s="319"/>
      <c r="P759" s="21" t="s">
        <v>985</v>
      </c>
      <c r="Q759" s="318" t="s">
        <v>465</v>
      </c>
      <c r="R759" s="318" t="s">
        <v>464</v>
      </c>
      <c r="S759" s="21" t="s">
        <v>945</v>
      </c>
      <c r="T759" s="335"/>
      <c r="U759" s="336"/>
      <c r="V759" s="21">
        <v>42804</v>
      </c>
      <c r="W759" s="77"/>
      <c r="X759" s="21" t="s">
        <v>1283</v>
      </c>
    </row>
    <row r="760" spans="1:24" x14ac:dyDescent="0.2">
      <c r="A760" s="333" t="s">
        <v>469</v>
      </c>
      <c r="B760" s="21" t="s">
        <v>2228</v>
      </c>
      <c r="C760" s="21" t="s">
        <v>2229</v>
      </c>
      <c r="D760" s="21" t="s">
        <v>949</v>
      </c>
      <c r="J760" s="21" t="s">
        <v>984</v>
      </c>
      <c r="K760" s="21" t="s">
        <v>984</v>
      </c>
      <c r="L760" s="21" t="s">
        <v>984</v>
      </c>
      <c r="M760" s="21" t="s">
        <v>981</v>
      </c>
      <c r="N760" s="319"/>
      <c r="O760" s="319"/>
      <c r="P760" s="21" t="s">
        <v>985</v>
      </c>
      <c r="Q760" s="318" t="s">
        <v>465</v>
      </c>
      <c r="R760" s="318" t="s">
        <v>464</v>
      </c>
      <c r="S760" s="21" t="s">
        <v>966</v>
      </c>
      <c r="T760" s="335"/>
      <c r="U760" s="336"/>
      <c r="V760" s="21" t="s">
        <v>949</v>
      </c>
      <c r="W760" s="77"/>
      <c r="X760" s="21" t="s">
        <v>469</v>
      </c>
    </row>
    <row r="761" spans="1:24" x14ac:dyDescent="0.2">
      <c r="A761" s="333" t="s">
        <v>471</v>
      </c>
      <c r="B761" s="21" t="s">
        <v>2228</v>
      </c>
      <c r="C761" s="21" t="s">
        <v>2229</v>
      </c>
      <c r="D761" s="21" t="s">
        <v>949</v>
      </c>
      <c r="J761" s="21" t="s">
        <v>984</v>
      </c>
      <c r="K761" s="21" t="s">
        <v>984</v>
      </c>
      <c r="L761" s="21" t="s">
        <v>984</v>
      </c>
      <c r="M761" s="21" t="s">
        <v>981</v>
      </c>
      <c r="N761" s="319"/>
      <c r="O761" s="319"/>
      <c r="P761" s="21" t="s">
        <v>985</v>
      </c>
      <c r="Q761" s="318" t="s">
        <v>465</v>
      </c>
      <c r="R761" s="318" t="s">
        <v>464</v>
      </c>
      <c r="S761" s="21" t="s">
        <v>966</v>
      </c>
      <c r="T761" s="335"/>
      <c r="U761" s="336"/>
      <c r="V761" s="21" t="s">
        <v>949</v>
      </c>
      <c r="W761" s="77"/>
      <c r="X761" s="21" t="s">
        <v>1059</v>
      </c>
    </row>
    <row r="762" spans="1:24" ht="12" customHeight="1" x14ac:dyDescent="0.2">
      <c r="A762" s="333" t="s">
        <v>472</v>
      </c>
      <c r="B762" s="21" t="s">
        <v>2228</v>
      </c>
      <c r="C762" s="21" t="s">
        <v>2229</v>
      </c>
      <c r="J762" s="21" t="s">
        <v>990</v>
      </c>
      <c r="K762" s="21" t="s">
        <v>984</v>
      </c>
      <c r="L762" s="21" t="s">
        <v>990</v>
      </c>
      <c r="M762" s="21" t="s">
        <v>981</v>
      </c>
      <c r="N762" s="319"/>
      <c r="O762" s="319"/>
      <c r="Q762" s="318" t="s">
        <v>465</v>
      </c>
      <c r="R762" s="318" t="s">
        <v>464</v>
      </c>
      <c r="S762" s="21" t="s">
        <v>945</v>
      </c>
      <c r="T762" s="335"/>
      <c r="U762" s="336"/>
      <c r="V762" s="21">
        <v>42811</v>
      </c>
      <c r="W762" s="77"/>
    </row>
    <row r="763" spans="1:24" x14ac:dyDescent="0.2">
      <c r="A763" s="333" t="s">
        <v>892</v>
      </c>
      <c r="B763" s="21" t="s">
        <v>2228</v>
      </c>
      <c r="C763" s="21" t="s">
        <v>2229</v>
      </c>
      <c r="D763" s="21" t="s">
        <v>1919</v>
      </c>
      <c r="H763" s="21" t="s">
        <v>48</v>
      </c>
      <c r="I763" s="21" t="s">
        <v>297</v>
      </c>
      <c r="J763" s="21" t="s">
        <v>50</v>
      </c>
      <c r="K763" s="21" t="s">
        <v>1155</v>
      </c>
      <c r="L763" s="21" t="s">
        <v>50</v>
      </c>
      <c r="M763" s="21" t="s">
        <v>51</v>
      </c>
      <c r="N763" s="21">
        <v>23.400155999999999</v>
      </c>
      <c r="O763" s="74">
        <v>98.220614999999995</v>
      </c>
      <c r="P763" s="21" t="s">
        <v>944</v>
      </c>
      <c r="Q763" s="318" t="s">
        <v>882</v>
      </c>
      <c r="R763" s="318" t="s">
        <v>878</v>
      </c>
      <c r="S763" s="21" t="s">
        <v>966</v>
      </c>
      <c r="T763" s="75">
        <v>46</v>
      </c>
      <c r="U763" s="76">
        <v>254</v>
      </c>
      <c r="V763" s="21" t="s">
        <v>949</v>
      </c>
      <c r="W763" s="77"/>
      <c r="X763" s="21" t="s">
        <v>1156</v>
      </c>
    </row>
    <row r="764" spans="1:24" x14ac:dyDescent="0.2">
      <c r="A764" s="333" t="s">
        <v>898</v>
      </c>
      <c r="B764" s="21" t="s">
        <v>2228</v>
      </c>
      <c r="C764" s="21" t="s">
        <v>2229</v>
      </c>
      <c r="D764" s="21" t="s">
        <v>1930</v>
      </c>
      <c r="J764" s="21" t="s">
        <v>50</v>
      </c>
      <c r="K764" s="21" t="s">
        <v>50</v>
      </c>
      <c r="L764" s="21" t="s">
        <v>961</v>
      </c>
      <c r="M764" s="21" t="s">
        <v>51</v>
      </c>
      <c r="N764" s="21">
        <v>23.682887999999998</v>
      </c>
      <c r="O764" s="74">
        <v>97.810101000000003</v>
      </c>
      <c r="P764" s="21" t="s">
        <v>944</v>
      </c>
      <c r="Q764" s="318" t="s">
        <v>882</v>
      </c>
      <c r="R764" s="318" t="s">
        <v>878</v>
      </c>
      <c r="S764" s="21" t="s">
        <v>966</v>
      </c>
      <c r="T764" s="75">
        <v>37</v>
      </c>
      <c r="U764" s="76">
        <v>130</v>
      </c>
      <c r="V764" s="21" t="s">
        <v>991</v>
      </c>
      <c r="W764" s="77"/>
    </row>
    <row r="765" spans="1:24" x14ac:dyDescent="0.2">
      <c r="A765" s="383" t="s">
        <v>935</v>
      </c>
      <c r="B765" s="21" t="s">
        <v>2228</v>
      </c>
      <c r="C765" s="21" t="s">
        <v>2229</v>
      </c>
      <c r="J765" s="21" t="s">
        <v>1951</v>
      </c>
      <c r="K765" s="21" t="s">
        <v>50</v>
      </c>
      <c r="L765" s="21" t="s">
        <v>50</v>
      </c>
      <c r="M765" s="21" t="s">
        <v>51</v>
      </c>
      <c r="N765" s="319"/>
      <c r="O765" s="319"/>
      <c r="P765" s="21" t="s">
        <v>944</v>
      </c>
      <c r="Q765" s="384" t="s">
        <v>882</v>
      </c>
      <c r="R765" s="384" t="s">
        <v>878</v>
      </c>
      <c r="S765" s="21" t="s">
        <v>966</v>
      </c>
      <c r="T765" s="75"/>
      <c r="U765" s="76"/>
      <c r="V765" s="21">
        <v>42747</v>
      </c>
      <c r="W765" s="77"/>
    </row>
    <row r="766" spans="1:24" x14ac:dyDescent="0.2">
      <c r="A766" s="546" t="s">
        <v>2200</v>
      </c>
      <c r="B766" s="542"/>
      <c r="C766" s="21" t="s">
        <v>2229</v>
      </c>
      <c r="D766" s="244"/>
      <c r="E766" s="244"/>
      <c r="F766" s="244"/>
      <c r="G766" s="244"/>
      <c r="H766" s="244" t="s">
        <v>292</v>
      </c>
      <c r="I766" s="244"/>
      <c r="J766" s="244" t="s">
        <v>1951</v>
      </c>
      <c r="K766" s="21" t="s">
        <v>50</v>
      </c>
      <c r="L766" s="21" t="s">
        <v>50</v>
      </c>
      <c r="M766" s="21" t="s">
        <v>51</v>
      </c>
      <c r="N766" s="331"/>
      <c r="O766" s="331"/>
      <c r="P766" s="244"/>
      <c r="Q766" s="543" t="s">
        <v>351</v>
      </c>
      <c r="R766" s="544" t="s">
        <v>44</v>
      </c>
      <c r="S766" s="244"/>
      <c r="T766" s="332"/>
      <c r="U766" s="321">
        <v>1409</v>
      </c>
      <c r="V766" s="545">
        <v>43245</v>
      </c>
      <c r="W766" s="322"/>
      <c r="X766" s="244"/>
    </row>
    <row r="767" spans="1:24" x14ac:dyDescent="0.2">
      <c r="A767" s="580" t="s">
        <v>2637</v>
      </c>
      <c r="B767" s="581"/>
      <c r="C767" s="581"/>
      <c r="D767" s="582">
        <v>198177</v>
      </c>
      <c r="E767" s="582"/>
      <c r="F767" s="582"/>
      <c r="G767" s="582"/>
      <c r="H767" s="587"/>
      <c r="I767" s="582"/>
      <c r="J767" s="21" t="s">
        <v>984</v>
      </c>
      <c r="K767" s="21" t="s">
        <v>984</v>
      </c>
      <c r="L767" s="21" t="s">
        <v>984</v>
      </c>
      <c r="M767" s="582" t="s">
        <v>1138</v>
      </c>
      <c r="N767" s="583">
        <v>20.936040878295898</v>
      </c>
      <c r="O767" s="583">
        <v>92.475830078125</v>
      </c>
      <c r="P767" s="582"/>
      <c r="Q767" s="591" t="s">
        <v>490</v>
      </c>
      <c r="R767" s="585" t="s">
        <v>464</v>
      </c>
      <c r="S767" s="582" t="s">
        <v>2642</v>
      </c>
      <c r="T767" s="592"/>
      <c r="U767" s="587"/>
      <c r="V767" s="545">
        <v>43245</v>
      </c>
      <c r="W767" s="588"/>
      <c r="X767" s="582"/>
    </row>
    <row r="768" spans="1:24" x14ac:dyDescent="0.2">
      <c r="A768" s="572" t="s">
        <v>2643</v>
      </c>
      <c r="B768" s="573"/>
      <c r="C768" s="573"/>
      <c r="D768" s="574">
        <v>198016</v>
      </c>
      <c r="E768" s="574"/>
      <c r="F768" s="574"/>
      <c r="G768" s="574"/>
      <c r="H768" s="578"/>
      <c r="I768" s="574"/>
      <c r="J768" s="21" t="s">
        <v>984</v>
      </c>
      <c r="K768" s="21" t="s">
        <v>984</v>
      </c>
      <c r="L768" s="21" t="s">
        <v>984</v>
      </c>
      <c r="M768" s="574"/>
      <c r="N768" s="575">
        <v>20.731571197509801</v>
      </c>
      <c r="O768" s="575">
        <v>92.428176879882798</v>
      </c>
      <c r="P768" s="574"/>
      <c r="Q768" s="589" t="s">
        <v>476</v>
      </c>
      <c r="R768" s="585" t="s">
        <v>464</v>
      </c>
      <c r="S768" s="582" t="s">
        <v>2642</v>
      </c>
      <c r="T768" s="590"/>
      <c r="U768" s="578"/>
      <c r="V768" s="545">
        <v>43245</v>
      </c>
      <c r="W768" s="579"/>
      <c r="X768" s="574"/>
    </row>
    <row r="769" spans="1:24" x14ac:dyDescent="0.2">
      <c r="A769" s="572" t="s">
        <v>2638</v>
      </c>
      <c r="B769" s="573"/>
      <c r="C769" s="573"/>
      <c r="D769" s="574">
        <v>197969</v>
      </c>
      <c r="E769" s="574"/>
      <c r="F769" s="574"/>
      <c r="G769" s="574"/>
      <c r="H769" s="574"/>
      <c r="I769" s="574"/>
      <c r="J769" s="574" t="s">
        <v>984</v>
      </c>
      <c r="K769" s="574" t="s">
        <v>984</v>
      </c>
      <c r="L769" s="574" t="s">
        <v>984</v>
      </c>
      <c r="M769" s="574"/>
      <c r="N769" s="575">
        <v>20.866529464721701</v>
      </c>
      <c r="O769" s="575">
        <v>92.364883422851605</v>
      </c>
      <c r="P769" s="574"/>
      <c r="Q769" s="576" t="s">
        <v>476</v>
      </c>
      <c r="R769" s="585" t="s">
        <v>464</v>
      </c>
      <c r="S769" s="582" t="s">
        <v>2642</v>
      </c>
      <c r="T769" s="577"/>
      <c r="U769" s="578"/>
      <c r="V769" s="545">
        <v>43245</v>
      </c>
      <c r="W769" s="579"/>
      <c r="X769" s="574"/>
    </row>
    <row r="770" spans="1:24" x14ac:dyDescent="0.2">
      <c r="A770" s="572" t="s">
        <v>2639</v>
      </c>
      <c r="B770" s="573"/>
      <c r="C770" s="573"/>
      <c r="D770" s="574">
        <v>197961</v>
      </c>
      <c r="E770" s="574"/>
      <c r="F770" s="574"/>
      <c r="G770" s="574"/>
      <c r="H770" s="574"/>
      <c r="I770" s="574"/>
      <c r="J770" s="574" t="s">
        <v>984</v>
      </c>
      <c r="K770" s="574" t="s">
        <v>984</v>
      </c>
      <c r="L770" s="574" t="s">
        <v>984</v>
      </c>
      <c r="M770" s="574"/>
      <c r="N770" s="575">
        <v>20.903369903564499</v>
      </c>
      <c r="O770" s="575">
        <v>92.332237243652301</v>
      </c>
      <c r="P770" s="574"/>
      <c r="Q770" s="576" t="s">
        <v>476</v>
      </c>
      <c r="R770" s="585" t="s">
        <v>464</v>
      </c>
      <c r="S770" s="582" t="s">
        <v>2642</v>
      </c>
      <c r="T770" s="577"/>
      <c r="U770" s="578"/>
      <c r="V770" s="545">
        <v>43245</v>
      </c>
      <c r="W770" s="579"/>
      <c r="X770" s="574"/>
    </row>
    <row r="771" spans="1:24" x14ac:dyDescent="0.2">
      <c r="A771" s="572" t="s">
        <v>2640</v>
      </c>
      <c r="B771" s="573"/>
      <c r="C771" s="573"/>
      <c r="D771" s="574">
        <v>197971</v>
      </c>
      <c r="E771" s="574" t="s">
        <v>2640</v>
      </c>
      <c r="F771" s="574"/>
      <c r="G771" s="574"/>
      <c r="H771" s="574"/>
      <c r="I771" s="574"/>
      <c r="J771" s="574" t="s">
        <v>984</v>
      </c>
      <c r="K771" s="574" t="s">
        <v>984</v>
      </c>
      <c r="L771" s="574" t="s">
        <v>984</v>
      </c>
      <c r="M771" s="574"/>
      <c r="N771" s="575">
        <v>20.872400283813501</v>
      </c>
      <c r="O771" s="575">
        <v>92.337608337402301</v>
      </c>
      <c r="P771" s="574"/>
      <c r="Q771" s="576" t="s">
        <v>476</v>
      </c>
      <c r="R771" s="585" t="s">
        <v>464</v>
      </c>
      <c r="S771" s="582" t="s">
        <v>2642</v>
      </c>
      <c r="T771" s="577"/>
      <c r="U771" s="578"/>
      <c r="V771" s="545">
        <v>43245</v>
      </c>
      <c r="W771" s="579"/>
      <c r="X771" s="574"/>
    </row>
    <row r="772" spans="1:24" x14ac:dyDescent="0.2">
      <c r="A772" s="580" t="s">
        <v>2641</v>
      </c>
      <c r="B772" s="581"/>
      <c r="C772" s="581"/>
      <c r="D772" s="582">
        <v>197899</v>
      </c>
      <c r="E772" s="582"/>
      <c r="F772" s="582"/>
      <c r="G772" s="582"/>
      <c r="H772" s="582"/>
      <c r="I772" s="582"/>
      <c r="J772" s="582" t="s">
        <v>984</v>
      </c>
      <c r="K772" s="582" t="s">
        <v>984</v>
      </c>
      <c r="L772" s="582" t="s">
        <v>984</v>
      </c>
      <c r="M772" s="582" t="s">
        <v>2644</v>
      </c>
      <c r="N772" s="583">
        <v>20.946010589599599</v>
      </c>
      <c r="O772" s="583">
        <v>92.301872253417997</v>
      </c>
      <c r="P772" s="582"/>
      <c r="Q772" s="584" t="s">
        <v>476</v>
      </c>
      <c r="R772" s="585" t="s">
        <v>464</v>
      </c>
      <c r="S772" s="582" t="s">
        <v>2642</v>
      </c>
      <c r="T772" s="586"/>
      <c r="U772" s="587"/>
      <c r="V772" s="545">
        <v>43245</v>
      </c>
      <c r="W772" s="588"/>
      <c r="X772" s="582"/>
    </row>
    <row r="773" spans="1:24" x14ac:dyDescent="0.2">
      <c r="A773" s="572" t="s">
        <v>2645</v>
      </c>
      <c r="B773" s="573"/>
      <c r="C773" s="573"/>
      <c r="D773" s="574">
        <v>197611</v>
      </c>
      <c r="E773" s="574" t="s">
        <v>2645</v>
      </c>
      <c r="F773" s="574"/>
      <c r="G773" s="574"/>
      <c r="H773" s="574"/>
      <c r="I773" s="574"/>
      <c r="J773" s="574" t="s">
        <v>984</v>
      </c>
      <c r="K773" s="574" t="s">
        <v>984</v>
      </c>
      <c r="L773" s="574" t="s">
        <v>984</v>
      </c>
      <c r="M773" s="574"/>
      <c r="N773" s="575">
        <v>20.5047302246094</v>
      </c>
      <c r="O773" s="575">
        <v>92.683113098144503</v>
      </c>
      <c r="P773" s="574"/>
      <c r="Q773" s="576" t="s">
        <v>508</v>
      </c>
      <c r="R773" s="585" t="s">
        <v>464</v>
      </c>
      <c r="S773" s="582" t="s">
        <v>2642</v>
      </c>
      <c r="T773" s="577"/>
      <c r="U773" s="578"/>
      <c r="V773" s="545">
        <v>43245</v>
      </c>
      <c r="W773" s="579"/>
      <c r="X773" s="574"/>
    </row>
    <row r="774" spans="1:24" x14ac:dyDescent="0.2">
      <c r="A774" s="580" t="s">
        <v>2646</v>
      </c>
      <c r="B774" s="581"/>
      <c r="C774" s="581"/>
      <c r="D774" s="582">
        <v>197613</v>
      </c>
      <c r="E774" s="582"/>
      <c r="F774" s="582"/>
      <c r="G774" s="582"/>
      <c r="H774" s="582"/>
      <c r="I774" s="582"/>
      <c r="J774" s="21" t="s">
        <v>984</v>
      </c>
      <c r="K774" s="21" t="s">
        <v>984</v>
      </c>
      <c r="L774" s="21" t="s">
        <v>984</v>
      </c>
      <c r="M774" s="582"/>
      <c r="N774" s="583">
        <v>20.497299194335898</v>
      </c>
      <c r="O774" s="583">
        <v>92.683097839355497</v>
      </c>
      <c r="P774" s="582"/>
      <c r="Q774" s="584" t="s">
        <v>508</v>
      </c>
      <c r="R774" s="585" t="s">
        <v>464</v>
      </c>
      <c r="S774" s="582" t="s">
        <v>2642</v>
      </c>
      <c r="T774" s="586"/>
      <c r="U774" s="587"/>
      <c r="V774" s="545">
        <v>43245</v>
      </c>
      <c r="W774" s="588"/>
      <c r="X774" s="582"/>
    </row>
  </sheetData>
  <conditionalFormatting sqref="A2:A774">
    <cfRule type="duplicateValues" dxfId="642" priority="6734"/>
  </conditionalFormatting>
  <dataValidations count="1">
    <dataValidation type="list" allowBlank="1" showInputMessage="1" showErrorMessage="1" sqref="A766">
      <formula1>#REF!</formula1>
    </dataValidation>
  </dataValidations>
  <pageMargins left="0.7" right="0.7" top="0.75" bottom="0.75" header="0.3" footer="0.3"/>
  <pageSetup paperSize="9" orientation="portrait" r:id="rId1"/>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H50"/>
  <sheetViews>
    <sheetView workbookViewId="0">
      <selection activeCell="D14" sqref="D14"/>
    </sheetView>
  </sheetViews>
  <sheetFormatPr defaultColWidth="0" defaultRowHeight="15" x14ac:dyDescent="0.25"/>
  <cols>
    <col min="1" max="1" width="4.75" style="22" customWidth="1"/>
    <col min="2" max="2" width="37.875" style="95" customWidth="1"/>
    <col min="3" max="3" width="8.5" style="95" customWidth="1"/>
    <col min="4" max="4" width="44.5" style="95" customWidth="1"/>
    <col min="5" max="5" width="24.625" style="91" customWidth="1"/>
    <col min="6" max="6" width="34.25" style="91" customWidth="1"/>
    <col min="7" max="7" width="36.125" style="22" customWidth="1"/>
    <col min="8" max="8" width="9" style="91" customWidth="1"/>
    <col min="9" max="9" width="0" style="91" hidden="1" customWidth="1"/>
    <col min="10" max="16384" width="0" style="91" hidden="1"/>
  </cols>
  <sheetData>
    <row r="1" spans="1:7" ht="23.25" x14ac:dyDescent="0.35">
      <c r="A1" s="884" t="s">
        <v>52</v>
      </c>
      <c r="B1" s="884"/>
      <c r="C1" s="884"/>
      <c r="D1" s="884"/>
      <c r="E1" s="184" t="s">
        <v>53</v>
      </c>
      <c r="F1" s="184" t="s">
        <v>53</v>
      </c>
    </row>
    <row r="2" spans="1:7" ht="51" x14ac:dyDescent="0.25">
      <c r="A2" s="40" t="s">
        <v>54</v>
      </c>
      <c r="B2" s="92" t="s">
        <v>55</v>
      </c>
      <c r="C2" s="92"/>
      <c r="D2" s="92" t="s">
        <v>56</v>
      </c>
      <c r="E2" s="116" t="s">
        <v>57</v>
      </c>
      <c r="F2" s="117" t="s">
        <v>58</v>
      </c>
      <c r="G2" s="148"/>
    </row>
    <row r="3" spans="1:7" x14ac:dyDescent="0.25">
      <c r="A3" s="118" t="s">
        <v>1</v>
      </c>
      <c r="B3" s="119" t="s">
        <v>24</v>
      </c>
      <c r="C3" s="119"/>
      <c r="D3" s="120"/>
      <c r="E3" s="93"/>
      <c r="F3" s="94"/>
    </row>
    <row r="4" spans="1:7" x14ac:dyDescent="0.25">
      <c r="A4" s="121" t="s">
        <v>2</v>
      </c>
      <c r="B4" s="119" t="s">
        <v>59</v>
      </c>
      <c r="C4" s="119" t="s">
        <v>20</v>
      </c>
      <c r="D4" s="120"/>
      <c r="E4" s="93"/>
      <c r="F4" s="94"/>
    </row>
    <row r="5" spans="1:7" x14ac:dyDescent="0.25">
      <c r="A5" s="121" t="s">
        <v>3</v>
      </c>
      <c r="B5" s="119" t="s">
        <v>26</v>
      </c>
      <c r="C5" s="119" t="s">
        <v>20</v>
      </c>
      <c r="D5" s="120"/>
      <c r="E5" s="93"/>
      <c r="F5" s="94"/>
    </row>
    <row r="6" spans="1:7" x14ac:dyDescent="0.25">
      <c r="A6" s="121" t="s">
        <v>4</v>
      </c>
      <c r="B6" s="119" t="s">
        <v>27</v>
      </c>
      <c r="C6" s="119" t="s">
        <v>20</v>
      </c>
      <c r="D6" s="120"/>
      <c r="E6" s="93"/>
      <c r="F6" s="94"/>
    </row>
    <row r="7" spans="1:7" ht="19.5" x14ac:dyDescent="0.3">
      <c r="A7" s="121" t="s">
        <v>5</v>
      </c>
      <c r="B7" s="119" t="s">
        <v>60</v>
      </c>
      <c r="C7" s="119" t="s">
        <v>20</v>
      </c>
      <c r="D7" s="120"/>
      <c r="E7" s="93"/>
      <c r="F7" s="94"/>
      <c r="G7" s="149" t="s">
        <v>61</v>
      </c>
    </row>
    <row r="8" spans="1:7" x14ac:dyDescent="0.25">
      <c r="A8" s="121" t="s">
        <v>6</v>
      </c>
      <c r="B8" s="119" t="s">
        <v>29</v>
      </c>
      <c r="C8" s="119" t="s">
        <v>21</v>
      </c>
      <c r="D8" s="120"/>
      <c r="E8" s="93"/>
      <c r="F8" s="94"/>
    </row>
    <row r="9" spans="1:7" ht="15.75" customHeight="1" x14ac:dyDescent="0.25">
      <c r="A9" s="121" t="s">
        <v>7</v>
      </c>
      <c r="B9" s="119" t="s">
        <v>30</v>
      </c>
      <c r="C9" s="119" t="s">
        <v>21</v>
      </c>
      <c r="D9" s="120"/>
      <c r="E9" s="93"/>
      <c r="F9" s="94"/>
    </row>
    <row r="10" spans="1:7" x14ac:dyDescent="0.25">
      <c r="A10" s="121" t="s">
        <v>8</v>
      </c>
      <c r="B10" s="175" t="s">
        <v>62</v>
      </c>
      <c r="C10" s="119" t="s">
        <v>21</v>
      </c>
      <c r="D10" s="120"/>
      <c r="E10" s="93"/>
      <c r="F10" s="94"/>
    </row>
    <row r="11" spans="1:7" ht="20.25" customHeight="1" x14ac:dyDescent="0.25">
      <c r="A11" s="122" t="s">
        <v>9</v>
      </c>
      <c r="B11" s="119" t="s">
        <v>31</v>
      </c>
      <c r="C11" s="119" t="s">
        <v>22</v>
      </c>
      <c r="D11" s="120"/>
      <c r="E11" s="93"/>
      <c r="F11" s="94"/>
    </row>
    <row r="12" spans="1:7" ht="25.5" x14ac:dyDescent="0.25">
      <c r="A12" s="121" t="s">
        <v>63</v>
      </c>
      <c r="B12" s="119" t="s">
        <v>32</v>
      </c>
      <c r="C12" s="119" t="s">
        <v>23</v>
      </c>
      <c r="D12" s="120"/>
      <c r="E12" s="93"/>
      <c r="F12" s="94"/>
    </row>
    <row r="13" spans="1:7" ht="27" customHeight="1" x14ac:dyDescent="0.25">
      <c r="A13" s="121" t="s">
        <v>64</v>
      </c>
      <c r="B13" s="119" t="s">
        <v>65</v>
      </c>
      <c r="C13" s="119" t="s">
        <v>21</v>
      </c>
      <c r="D13" s="120"/>
      <c r="E13" s="93"/>
      <c r="F13" s="94"/>
    </row>
    <row r="14" spans="1:7" ht="25.5" x14ac:dyDescent="0.25">
      <c r="A14" s="123" t="s">
        <v>67</v>
      </c>
      <c r="B14" s="119" t="s">
        <v>68</v>
      </c>
      <c r="C14" s="119" t="s">
        <v>20</v>
      </c>
      <c r="D14" s="120"/>
      <c r="E14" s="93"/>
      <c r="F14" s="94"/>
    </row>
    <row r="15" spans="1:7" ht="25.5" x14ac:dyDescent="0.25">
      <c r="A15" s="123" t="s">
        <v>70</v>
      </c>
      <c r="B15" s="119" t="s">
        <v>71</v>
      </c>
      <c r="C15" s="119" t="s">
        <v>69</v>
      </c>
      <c r="D15" s="120"/>
      <c r="E15" s="93"/>
      <c r="F15" s="94"/>
    </row>
    <row r="16" spans="1:7" ht="25.5" x14ac:dyDescent="0.25">
      <c r="A16" s="123" t="s">
        <v>1542</v>
      </c>
      <c r="B16" s="119" t="s">
        <v>72</v>
      </c>
      <c r="C16" s="119" t="s">
        <v>69</v>
      </c>
      <c r="D16" s="120"/>
      <c r="E16" s="93"/>
      <c r="F16" s="94"/>
    </row>
    <row r="17" spans="1:8" ht="26.25" x14ac:dyDescent="0.25">
      <c r="A17" s="124" t="s">
        <v>73</v>
      </c>
      <c r="B17" s="125" t="s">
        <v>74</v>
      </c>
      <c r="C17" s="125" t="s">
        <v>21</v>
      </c>
      <c r="D17" s="215" t="s">
        <v>75</v>
      </c>
      <c r="E17" s="176" t="s">
        <v>76</v>
      </c>
      <c r="F17" s="276" t="s">
        <v>76</v>
      </c>
      <c r="G17" s="277" t="s">
        <v>77</v>
      </c>
      <c r="H17" s="272" t="s">
        <v>1523</v>
      </c>
    </row>
    <row r="18" spans="1:8" ht="38.25" x14ac:dyDescent="0.25">
      <c r="A18" s="126" t="s">
        <v>78</v>
      </c>
      <c r="B18" s="127" t="s">
        <v>79</v>
      </c>
      <c r="C18" s="127" t="s">
        <v>21</v>
      </c>
      <c r="D18" s="215" t="s">
        <v>80</v>
      </c>
      <c r="E18" s="176"/>
      <c r="F18" s="276" t="s">
        <v>76</v>
      </c>
      <c r="G18" s="278"/>
      <c r="H18" s="272" t="s">
        <v>1523</v>
      </c>
    </row>
    <row r="19" spans="1:8" ht="51" x14ac:dyDescent="0.25">
      <c r="A19" s="126" t="s">
        <v>81</v>
      </c>
      <c r="B19" s="128" t="s">
        <v>82</v>
      </c>
      <c r="C19" s="127" t="s">
        <v>21</v>
      </c>
      <c r="D19" s="216" t="s">
        <v>83</v>
      </c>
      <c r="E19" s="176" t="s">
        <v>76</v>
      </c>
      <c r="F19" s="276" t="s">
        <v>76</v>
      </c>
      <c r="G19" s="278"/>
      <c r="H19" s="272" t="s">
        <v>1523</v>
      </c>
    </row>
    <row r="20" spans="1:8" ht="46.5" customHeight="1" x14ac:dyDescent="0.25">
      <c r="A20" s="126" t="s">
        <v>84</v>
      </c>
      <c r="B20" s="129" t="s">
        <v>1505</v>
      </c>
      <c r="C20" s="130" t="s">
        <v>21</v>
      </c>
      <c r="D20" s="215" t="s">
        <v>85</v>
      </c>
      <c r="E20" s="176" t="s">
        <v>86</v>
      </c>
      <c r="F20" s="276" t="s">
        <v>86</v>
      </c>
      <c r="G20" s="279" t="s">
        <v>87</v>
      </c>
      <c r="H20" s="272" t="s">
        <v>1524</v>
      </c>
    </row>
    <row r="21" spans="1:8" ht="38.25" x14ac:dyDescent="0.25">
      <c r="A21" s="132" t="s">
        <v>88</v>
      </c>
      <c r="B21" s="129" t="s">
        <v>89</v>
      </c>
      <c r="C21" s="133" t="s">
        <v>21</v>
      </c>
      <c r="D21" s="215" t="s">
        <v>90</v>
      </c>
      <c r="E21" s="93"/>
      <c r="F21" s="94"/>
    </row>
    <row r="22" spans="1:8" ht="42.75" customHeight="1" x14ac:dyDescent="0.25">
      <c r="A22" s="132" t="s">
        <v>98</v>
      </c>
      <c r="B22" s="134" t="s">
        <v>91</v>
      </c>
      <c r="C22" s="135" t="s">
        <v>21</v>
      </c>
      <c r="D22" s="216" t="s">
        <v>92</v>
      </c>
      <c r="E22" s="178"/>
      <c r="F22" s="96"/>
    </row>
    <row r="23" spans="1:8" ht="42.75" customHeight="1" x14ac:dyDescent="0.25">
      <c r="A23" s="131" t="s">
        <v>1347</v>
      </c>
      <c r="B23" s="134" t="s">
        <v>93</v>
      </c>
      <c r="C23" s="135" t="s">
        <v>21</v>
      </c>
      <c r="D23" s="216" t="s">
        <v>92</v>
      </c>
      <c r="E23" s="178"/>
      <c r="F23" s="96"/>
    </row>
    <row r="24" spans="1:8" ht="38.25" x14ac:dyDescent="0.25">
      <c r="A24" s="131" t="s">
        <v>108</v>
      </c>
      <c r="B24" s="134" t="s">
        <v>95</v>
      </c>
      <c r="C24" s="136" t="s">
        <v>21</v>
      </c>
      <c r="D24" s="216" t="s">
        <v>92</v>
      </c>
      <c r="E24" s="93"/>
      <c r="F24" s="94"/>
    </row>
    <row r="25" spans="1:8" ht="38.25" x14ac:dyDescent="0.25">
      <c r="A25" s="126" t="s">
        <v>111</v>
      </c>
      <c r="B25" s="134" t="s">
        <v>96</v>
      </c>
      <c r="C25" s="136" t="s">
        <v>21</v>
      </c>
      <c r="D25" s="216" t="s">
        <v>92</v>
      </c>
      <c r="E25" s="93"/>
      <c r="F25" s="94"/>
    </row>
    <row r="26" spans="1:8" x14ac:dyDescent="0.25">
      <c r="A26" s="132" t="s">
        <v>114</v>
      </c>
      <c r="B26" s="137" t="s">
        <v>1506</v>
      </c>
      <c r="C26" s="133" t="s">
        <v>21</v>
      </c>
      <c r="D26" s="215"/>
      <c r="E26" s="93"/>
      <c r="F26" s="94"/>
    </row>
    <row r="27" spans="1:8" ht="38.25" x14ac:dyDescent="0.25">
      <c r="A27" s="126"/>
      <c r="B27" s="129" t="s">
        <v>97</v>
      </c>
      <c r="C27" s="129" t="s">
        <v>22</v>
      </c>
      <c r="D27" s="215"/>
      <c r="E27" s="257"/>
      <c r="F27" s="258"/>
    </row>
    <row r="28" spans="1:8" ht="89.25" x14ac:dyDescent="0.25">
      <c r="A28" s="106" t="s">
        <v>119</v>
      </c>
      <c r="B28" s="100" t="s">
        <v>99</v>
      </c>
      <c r="C28" s="101" t="s">
        <v>21</v>
      </c>
      <c r="D28" s="266" t="s">
        <v>1508</v>
      </c>
      <c r="E28" s="269" t="s">
        <v>100</v>
      </c>
      <c r="F28" s="270" t="s">
        <v>100</v>
      </c>
      <c r="G28" s="271" t="s">
        <v>101</v>
      </c>
      <c r="H28" s="272" t="s">
        <v>188</v>
      </c>
    </row>
    <row r="29" spans="1:8" ht="63.75" x14ac:dyDescent="0.25">
      <c r="A29" s="106" t="s">
        <v>1348</v>
      </c>
      <c r="B29" s="100" t="s">
        <v>102</v>
      </c>
      <c r="C29" s="101" t="s">
        <v>21</v>
      </c>
      <c r="D29" s="195" t="s">
        <v>103</v>
      </c>
      <c r="E29" s="273"/>
      <c r="F29" s="274"/>
    </row>
    <row r="30" spans="1:8" ht="39" x14ac:dyDescent="0.25">
      <c r="A30" s="107" t="s">
        <v>125</v>
      </c>
      <c r="B30" s="102" t="s">
        <v>104</v>
      </c>
      <c r="C30" s="103" t="s">
        <v>21</v>
      </c>
      <c r="D30" s="266" t="s">
        <v>1509</v>
      </c>
      <c r="E30" s="269" t="s">
        <v>105</v>
      </c>
      <c r="F30" s="270" t="s">
        <v>106</v>
      </c>
      <c r="G30" s="275" t="s">
        <v>107</v>
      </c>
      <c r="H30" s="272" t="s">
        <v>191</v>
      </c>
    </row>
    <row r="31" spans="1:8" ht="38.25" x14ac:dyDescent="0.25">
      <c r="A31" s="106" t="s">
        <v>130</v>
      </c>
      <c r="B31" s="101" t="s">
        <v>109</v>
      </c>
      <c r="C31" s="101" t="s">
        <v>21</v>
      </c>
      <c r="D31" s="196" t="s">
        <v>110</v>
      </c>
      <c r="E31" s="267"/>
      <c r="F31" s="268"/>
    </row>
    <row r="32" spans="1:8" ht="38.25" x14ac:dyDescent="0.25">
      <c r="A32" s="106" t="s">
        <v>134</v>
      </c>
      <c r="B32" s="104" t="s">
        <v>112</v>
      </c>
      <c r="C32" s="104" t="s">
        <v>20</v>
      </c>
      <c r="D32" s="197" t="s">
        <v>113</v>
      </c>
      <c r="E32" s="180"/>
      <c r="F32" s="98"/>
    </row>
    <row r="33" spans="1:7" ht="63.75" x14ac:dyDescent="0.25">
      <c r="A33" s="108" t="s">
        <v>136</v>
      </c>
      <c r="B33" s="105" t="s">
        <v>115</v>
      </c>
      <c r="C33" s="105" t="s">
        <v>20</v>
      </c>
      <c r="D33" s="197" t="s">
        <v>116</v>
      </c>
      <c r="E33" s="180"/>
      <c r="F33" s="98"/>
    </row>
    <row r="34" spans="1:7" x14ac:dyDescent="0.25">
      <c r="A34" s="108" t="s">
        <v>1511</v>
      </c>
      <c r="B34" s="99" t="s">
        <v>1510</v>
      </c>
      <c r="C34" s="105" t="s">
        <v>21</v>
      </c>
      <c r="D34" s="197" t="s">
        <v>1507</v>
      </c>
      <c r="E34" s="180"/>
      <c r="F34" s="98"/>
    </row>
    <row r="35" spans="1:7" x14ac:dyDescent="0.25">
      <c r="A35" s="108" t="s">
        <v>1512</v>
      </c>
      <c r="B35" s="99" t="s">
        <v>1526</v>
      </c>
      <c r="C35" s="105" t="s">
        <v>21</v>
      </c>
      <c r="D35" s="197" t="s">
        <v>1507</v>
      </c>
      <c r="E35" s="180"/>
      <c r="F35" s="98"/>
    </row>
    <row r="36" spans="1:7" ht="38.25" x14ac:dyDescent="0.25">
      <c r="A36" s="108"/>
      <c r="B36" s="105" t="s">
        <v>118</v>
      </c>
      <c r="C36" s="105" t="s">
        <v>22</v>
      </c>
      <c r="D36" s="196"/>
      <c r="E36" s="180"/>
      <c r="F36" s="98"/>
    </row>
    <row r="37" spans="1:7" ht="38.25" x14ac:dyDescent="0.25">
      <c r="A37" s="110" t="s">
        <v>1513</v>
      </c>
      <c r="B37" s="109" t="s">
        <v>120</v>
      </c>
      <c r="C37" s="109" t="s">
        <v>21</v>
      </c>
      <c r="D37" s="213" t="s">
        <v>1554</v>
      </c>
      <c r="E37" s="93"/>
      <c r="F37" s="94"/>
    </row>
    <row r="38" spans="1:7" ht="25.5" x14ac:dyDescent="0.25">
      <c r="A38" s="110" t="s">
        <v>1514</v>
      </c>
      <c r="B38" s="109" t="s">
        <v>121</v>
      </c>
      <c r="C38" s="109" t="s">
        <v>20</v>
      </c>
      <c r="D38" s="214"/>
      <c r="E38" s="93"/>
      <c r="F38" s="94"/>
    </row>
    <row r="39" spans="1:7" x14ac:dyDescent="0.25">
      <c r="A39" s="110" t="s">
        <v>1515</v>
      </c>
      <c r="B39" s="111" t="s">
        <v>122</v>
      </c>
      <c r="C39" s="111" t="s">
        <v>21</v>
      </c>
      <c r="D39" s="883" t="s">
        <v>123</v>
      </c>
      <c r="E39" s="93"/>
      <c r="F39" s="94"/>
    </row>
    <row r="40" spans="1:7" x14ac:dyDescent="0.25">
      <c r="A40" s="110" t="s">
        <v>1516</v>
      </c>
      <c r="B40" s="111" t="s">
        <v>124</v>
      </c>
      <c r="C40" s="111" t="s">
        <v>21</v>
      </c>
      <c r="D40" s="883"/>
      <c r="E40" s="257"/>
      <c r="F40" s="258"/>
    </row>
    <row r="41" spans="1:7" ht="51.75" x14ac:dyDescent="0.25">
      <c r="A41" s="110" t="s">
        <v>1517</v>
      </c>
      <c r="B41" s="112" t="s">
        <v>126</v>
      </c>
      <c r="C41" s="111" t="s">
        <v>21</v>
      </c>
      <c r="D41" s="256" t="s">
        <v>127</v>
      </c>
      <c r="E41" s="259" t="s">
        <v>128</v>
      </c>
      <c r="F41" s="260" t="s">
        <v>128</v>
      </c>
      <c r="G41" s="261" t="s">
        <v>129</v>
      </c>
    </row>
    <row r="42" spans="1:7" ht="42" customHeight="1" x14ac:dyDescent="0.25">
      <c r="A42" s="110" t="s">
        <v>1518</v>
      </c>
      <c r="B42" s="111" t="s">
        <v>131</v>
      </c>
      <c r="C42" s="113" t="s">
        <v>21</v>
      </c>
      <c r="D42" s="256" t="s">
        <v>1522</v>
      </c>
      <c r="E42" s="262" t="s">
        <v>2765</v>
      </c>
      <c r="F42" s="260" t="s">
        <v>106</v>
      </c>
      <c r="G42" s="263" t="s">
        <v>133</v>
      </c>
    </row>
    <row r="43" spans="1:7" ht="42" customHeight="1" x14ac:dyDescent="0.25">
      <c r="A43" s="110" t="s">
        <v>1519</v>
      </c>
      <c r="B43" s="111" t="s">
        <v>135</v>
      </c>
      <c r="C43" s="113" t="s">
        <v>21</v>
      </c>
      <c r="D43" s="256" t="s">
        <v>1521</v>
      </c>
      <c r="E43" s="262" t="s">
        <v>2765</v>
      </c>
      <c r="F43" s="260" t="s">
        <v>106</v>
      </c>
    </row>
    <row r="44" spans="1:7" x14ac:dyDescent="0.25">
      <c r="A44" s="110" t="s">
        <v>1520</v>
      </c>
      <c r="B44" s="115" t="s">
        <v>137</v>
      </c>
      <c r="C44" s="114" t="s">
        <v>20</v>
      </c>
      <c r="D44" s="256"/>
      <c r="E44" s="262"/>
      <c r="F44" s="260"/>
    </row>
    <row r="45" spans="1:7" ht="38.25" x14ac:dyDescent="0.25">
      <c r="A45" s="110"/>
      <c r="B45" s="114" t="s">
        <v>138</v>
      </c>
      <c r="C45" s="114" t="s">
        <v>22</v>
      </c>
      <c r="D45" s="214"/>
      <c r="E45" s="264"/>
      <c r="F45" s="265"/>
    </row>
    <row r="50" spans="2:2" x14ac:dyDescent="0.25">
      <c r="B50" s="166" t="s">
        <v>2170</v>
      </c>
    </row>
  </sheetData>
  <mergeCells count="2">
    <mergeCell ref="D39:D40"/>
    <mergeCell ref="A1:D1"/>
  </mergeCell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[7]SiteDatabase!#REF!</xm:f>
          </x14:formula1>
          <xm:sqref>A7</xm:sqref>
        </x14:dataValidation>
        <x14:dataValidation type="list" allowBlank="1" showInputMessage="1" showErrorMessage="1">
          <x14:formula1>
            <xm:f>[7]Lookup!#REF!</xm:f>
          </x14:formula1>
          <xm:sqref>A4:A6</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G48"/>
  <sheetViews>
    <sheetView zoomScaleNormal="100" workbookViewId="0">
      <selection activeCell="H44" sqref="H1:K1048576"/>
    </sheetView>
  </sheetViews>
  <sheetFormatPr defaultColWidth="0" defaultRowHeight="15" x14ac:dyDescent="0.25"/>
  <cols>
    <col min="1" max="1" width="4.75" style="22" customWidth="1"/>
    <col min="2" max="2" width="55.375" style="166" customWidth="1"/>
    <col min="3" max="3" width="8.5" style="95" customWidth="1"/>
    <col min="4" max="4" width="44.5" style="166" customWidth="1"/>
    <col min="5" max="5" width="23" style="91" hidden="1" customWidth="1"/>
    <col min="6" max="6" width="26.5" style="91" hidden="1" customWidth="1"/>
    <col min="7" max="7" width="56.875" style="22" hidden="1" customWidth="1"/>
    <col min="8" max="16384" width="0" style="91" hidden="1"/>
  </cols>
  <sheetData>
    <row r="1" spans="1:7" ht="32.25" customHeight="1" x14ac:dyDescent="0.25">
      <c r="B1" s="885" t="s">
        <v>139</v>
      </c>
      <c r="C1" s="885"/>
      <c r="D1" s="885"/>
      <c r="E1" s="184" t="s">
        <v>53</v>
      </c>
      <c r="F1" s="184" t="s">
        <v>53</v>
      </c>
    </row>
    <row r="2" spans="1:7" ht="51" x14ac:dyDescent="0.3">
      <c r="A2" s="191" t="s">
        <v>54</v>
      </c>
      <c r="B2" s="192" t="s">
        <v>55</v>
      </c>
      <c r="C2" s="92"/>
      <c r="D2" s="192" t="s">
        <v>56</v>
      </c>
      <c r="E2" s="193" t="s">
        <v>57</v>
      </c>
      <c r="F2" s="194" t="s">
        <v>58</v>
      </c>
      <c r="G2" s="149" t="s">
        <v>61</v>
      </c>
    </row>
    <row r="3" spans="1:7" x14ac:dyDescent="0.25">
      <c r="A3" s="118" t="s">
        <v>1</v>
      </c>
      <c r="B3" s="153" t="s">
        <v>24</v>
      </c>
      <c r="C3" s="119"/>
      <c r="D3" s="154"/>
      <c r="E3" s="217"/>
      <c r="F3" s="218"/>
      <c r="G3" s="219"/>
    </row>
    <row r="4" spans="1:7" x14ac:dyDescent="0.25">
      <c r="A4" s="121" t="s">
        <v>2</v>
      </c>
      <c r="B4" s="153" t="s">
        <v>59</v>
      </c>
      <c r="C4" s="119" t="s">
        <v>20</v>
      </c>
      <c r="D4" s="154"/>
      <c r="E4" s="217"/>
      <c r="F4" s="218"/>
      <c r="G4" s="219"/>
    </row>
    <row r="5" spans="1:7" x14ac:dyDescent="0.25">
      <c r="A5" s="121" t="s">
        <v>3</v>
      </c>
      <c r="B5" s="153" t="s">
        <v>26</v>
      </c>
      <c r="C5" s="119" t="s">
        <v>20</v>
      </c>
      <c r="D5" s="154"/>
      <c r="E5" s="217"/>
      <c r="F5" s="218"/>
      <c r="G5" s="219"/>
    </row>
    <row r="6" spans="1:7" x14ac:dyDescent="0.25">
      <c r="A6" s="121" t="s">
        <v>4</v>
      </c>
      <c r="B6" s="153" t="s">
        <v>27</v>
      </c>
      <c r="C6" s="119" t="s">
        <v>20</v>
      </c>
      <c r="D6" s="154"/>
      <c r="E6" s="217"/>
      <c r="F6" s="218"/>
      <c r="G6" s="219"/>
    </row>
    <row r="7" spans="1:7" x14ac:dyDescent="0.25">
      <c r="A7" s="121" t="s">
        <v>5</v>
      </c>
      <c r="B7" s="153" t="s">
        <v>60</v>
      </c>
      <c r="C7" s="119" t="s">
        <v>20</v>
      </c>
      <c r="D7" s="154"/>
      <c r="E7" s="217"/>
      <c r="F7" s="218"/>
    </row>
    <row r="8" spans="1:7" x14ac:dyDescent="0.25">
      <c r="A8" s="121" t="s">
        <v>6</v>
      </c>
      <c r="B8" s="153" t="s">
        <v>29</v>
      </c>
      <c r="C8" s="119" t="s">
        <v>21</v>
      </c>
      <c r="D8" s="154"/>
      <c r="E8" s="217"/>
      <c r="F8" s="218"/>
      <c r="G8" s="219"/>
    </row>
    <row r="9" spans="1:7" ht="15.75" customHeight="1" x14ac:dyDescent="0.25">
      <c r="A9" s="121" t="s">
        <v>7</v>
      </c>
      <c r="B9" s="153" t="s">
        <v>30</v>
      </c>
      <c r="C9" s="119" t="s">
        <v>21</v>
      </c>
      <c r="D9" s="154"/>
      <c r="E9" s="217"/>
      <c r="F9" s="218"/>
      <c r="G9" s="219"/>
    </row>
    <row r="10" spans="1:7" x14ac:dyDescent="0.25">
      <c r="A10" s="121" t="s">
        <v>8</v>
      </c>
      <c r="B10" s="175" t="s">
        <v>1537</v>
      </c>
      <c r="C10" s="119" t="s">
        <v>22</v>
      </c>
      <c r="D10" s="154"/>
      <c r="E10" s="217"/>
      <c r="F10" s="218"/>
      <c r="G10" s="219"/>
    </row>
    <row r="11" spans="1:7" ht="20.25" customHeight="1" x14ac:dyDescent="0.25">
      <c r="A11" s="122" t="s">
        <v>9</v>
      </c>
      <c r="B11" s="155" t="s">
        <v>140</v>
      </c>
      <c r="C11" s="119" t="s">
        <v>23</v>
      </c>
      <c r="D11" s="154"/>
      <c r="E11" s="217"/>
      <c r="F11" s="218"/>
      <c r="G11" s="219"/>
    </row>
    <row r="12" spans="1:7" x14ac:dyDescent="0.25">
      <c r="A12" s="121" t="s">
        <v>63</v>
      </c>
      <c r="B12" s="155" t="s">
        <v>141</v>
      </c>
      <c r="C12" s="119" t="s">
        <v>21</v>
      </c>
      <c r="D12" s="154"/>
      <c r="E12" s="217"/>
      <c r="F12" s="218"/>
      <c r="G12" s="219"/>
    </row>
    <row r="13" spans="1:7" ht="27" customHeight="1" x14ac:dyDescent="0.25">
      <c r="A13" s="121" t="s">
        <v>64</v>
      </c>
      <c r="B13" s="155" t="s">
        <v>142</v>
      </c>
      <c r="C13" s="119" t="s">
        <v>21</v>
      </c>
      <c r="D13" s="154"/>
      <c r="E13" s="217"/>
      <c r="F13" s="218"/>
      <c r="G13" s="219"/>
    </row>
    <row r="14" spans="1:7" x14ac:dyDescent="0.25">
      <c r="A14" s="123" t="s">
        <v>67</v>
      </c>
      <c r="B14" s="155" t="s">
        <v>143</v>
      </c>
      <c r="C14" s="119" t="s">
        <v>20</v>
      </c>
      <c r="D14" s="154"/>
      <c r="E14" s="217"/>
      <c r="F14" s="218"/>
      <c r="G14" s="219"/>
    </row>
    <row r="15" spans="1:7" x14ac:dyDescent="0.25">
      <c r="A15" s="123" t="s">
        <v>70</v>
      </c>
      <c r="B15" s="155" t="s">
        <v>144</v>
      </c>
      <c r="C15" s="119" t="s">
        <v>69</v>
      </c>
      <c r="D15" s="154"/>
      <c r="E15" s="217"/>
      <c r="F15" s="218"/>
      <c r="G15" s="219"/>
    </row>
    <row r="16" spans="1:7" x14ac:dyDescent="0.25">
      <c r="A16" s="123" t="s">
        <v>1542</v>
      </c>
      <c r="B16" s="155" t="s">
        <v>145</v>
      </c>
      <c r="C16" s="119" t="s">
        <v>69</v>
      </c>
      <c r="D16" s="154"/>
      <c r="E16" s="217"/>
      <c r="F16" s="218"/>
      <c r="G16" s="219"/>
    </row>
    <row r="17" spans="1:7" ht="26.25" x14ac:dyDescent="0.25">
      <c r="A17" s="124" t="s">
        <v>73</v>
      </c>
      <c r="B17" s="156" t="s">
        <v>146</v>
      </c>
      <c r="C17" s="125" t="s">
        <v>21</v>
      </c>
      <c r="D17" s="199" t="s">
        <v>1530</v>
      </c>
      <c r="E17" s="176" t="s">
        <v>76</v>
      </c>
      <c r="F17" s="177" t="s">
        <v>76</v>
      </c>
      <c r="G17" s="172" t="s">
        <v>77</v>
      </c>
    </row>
    <row r="18" spans="1:7" ht="36" x14ac:dyDescent="0.25">
      <c r="A18" s="126" t="s">
        <v>78</v>
      </c>
      <c r="B18" s="157" t="s">
        <v>147</v>
      </c>
      <c r="C18" s="127" t="s">
        <v>21</v>
      </c>
      <c r="D18" s="199" t="s">
        <v>1531</v>
      </c>
      <c r="E18" s="176"/>
      <c r="F18" s="177" t="s">
        <v>76</v>
      </c>
    </row>
    <row r="19" spans="1:7" ht="24" x14ac:dyDescent="0.25">
      <c r="A19" s="126" t="s">
        <v>81</v>
      </c>
      <c r="B19" s="186" t="s">
        <v>148</v>
      </c>
      <c r="C19" s="127" t="s">
        <v>21</v>
      </c>
      <c r="D19" s="200" t="s">
        <v>149</v>
      </c>
      <c r="E19" s="176" t="s">
        <v>76</v>
      </c>
      <c r="F19" s="177" t="s">
        <v>76</v>
      </c>
    </row>
    <row r="20" spans="1:7" ht="46.5" customHeight="1" x14ac:dyDescent="0.25">
      <c r="A20" s="126" t="s">
        <v>84</v>
      </c>
      <c r="B20" s="158" t="s">
        <v>150</v>
      </c>
      <c r="C20" s="130" t="s">
        <v>21</v>
      </c>
      <c r="D20" s="199" t="s">
        <v>151</v>
      </c>
      <c r="E20" s="176" t="s">
        <v>86</v>
      </c>
      <c r="F20" s="177" t="s">
        <v>86</v>
      </c>
      <c r="G20" s="150" t="s">
        <v>87</v>
      </c>
    </row>
    <row r="21" spans="1:7" ht="24" x14ac:dyDescent="0.25">
      <c r="A21" s="132" t="s">
        <v>88</v>
      </c>
      <c r="B21" s="159" t="s">
        <v>152</v>
      </c>
      <c r="C21" s="133" t="s">
        <v>21</v>
      </c>
      <c r="D21" s="201" t="s">
        <v>152</v>
      </c>
      <c r="E21" s="217"/>
      <c r="F21" s="218"/>
      <c r="G21" s="219"/>
    </row>
    <row r="22" spans="1:7" ht="42.75" customHeight="1" x14ac:dyDescent="0.25">
      <c r="A22" s="132" t="s">
        <v>98</v>
      </c>
      <c r="B22" s="187" t="s">
        <v>153</v>
      </c>
      <c r="C22" s="135" t="s">
        <v>21</v>
      </c>
      <c r="D22" s="200" t="s">
        <v>154</v>
      </c>
      <c r="E22" s="220"/>
      <c r="F22" s="221"/>
      <c r="G22" s="219"/>
    </row>
    <row r="23" spans="1:7" ht="42.75" customHeight="1" x14ac:dyDescent="0.25">
      <c r="A23" s="131" t="s">
        <v>1347</v>
      </c>
      <c r="B23" s="187" t="s">
        <v>155</v>
      </c>
      <c r="C23" s="135" t="s">
        <v>21</v>
      </c>
      <c r="D23" s="200" t="s">
        <v>154</v>
      </c>
      <c r="E23" s="220"/>
      <c r="F23" s="221"/>
      <c r="G23" s="219"/>
    </row>
    <row r="24" spans="1:7" ht="48" x14ac:dyDescent="0.25">
      <c r="A24" s="131" t="s">
        <v>108</v>
      </c>
      <c r="B24" s="187" t="s">
        <v>156</v>
      </c>
      <c r="C24" s="135" t="s">
        <v>21</v>
      </c>
      <c r="D24" s="200" t="s">
        <v>2538</v>
      </c>
      <c r="E24" s="217"/>
      <c r="F24" s="218"/>
      <c r="G24" s="219"/>
    </row>
    <row r="25" spans="1:7" ht="48" x14ac:dyDescent="0.25">
      <c r="A25" s="126" t="s">
        <v>111</v>
      </c>
      <c r="B25" s="188" t="s">
        <v>157</v>
      </c>
      <c r="C25" s="135" t="s">
        <v>21</v>
      </c>
      <c r="D25" s="200" t="s">
        <v>2538</v>
      </c>
      <c r="E25" s="217"/>
      <c r="F25" s="218"/>
      <c r="G25" s="219"/>
    </row>
    <row r="26" spans="1:7" x14ac:dyDescent="0.25">
      <c r="A26" s="132" t="s">
        <v>114</v>
      </c>
      <c r="B26" s="229" t="s">
        <v>1538</v>
      </c>
      <c r="C26" s="133" t="s">
        <v>21</v>
      </c>
      <c r="D26" s="200"/>
      <c r="E26" s="217"/>
      <c r="F26" s="218"/>
      <c r="G26" s="219"/>
    </row>
    <row r="27" spans="1:7" ht="24" x14ac:dyDescent="0.25">
      <c r="A27" s="126"/>
      <c r="B27" s="160" t="s">
        <v>158</v>
      </c>
      <c r="C27" s="129" t="s">
        <v>22</v>
      </c>
      <c r="D27" s="199"/>
      <c r="E27" s="217"/>
      <c r="F27" s="218"/>
      <c r="G27" s="219"/>
    </row>
    <row r="28" spans="1:7" ht="72" x14ac:dyDescent="0.25">
      <c r="A28" s="106" t="s">
        <v>119</v>
      </c>
      <c r="B28" s="223" t="s">
        <v>159</v>
      </c>
      <c r="C28" s="101" t="s">
        <v>21</v>
      </c>
      <c r="D28" s="202" t="s">
        <v>160</v>
      </c>
      <c r="E28" s="179" t="s">
        <v>100</v>
      </c>
      <c r="F28" s="147" t="s">
        <v>100</v>
      </c>
      <c r="G28" s="173" t="s">
        <v>101</v>
      </c>
    </row>
    <row r="29" spans="1:7" ht="36" x14ac:dyDescent="0.25">
      <c r="A29" s="106" t="s">
        <v>1348</v>
      </c>
      <c r="B29" s="223" t="s">
        <v>161</v>
      </c>
      <c r="C29" s="101" t="s">
        <v>21</v>
      </c>
      <c r="D29" s="202" t="s">
        <v>162</v>
      </c>
      <c r="E29" s="217"/>
      <c r="F29" s="218"/>
      <c r="G29" s="219"/>
    </row>
    <row r="30" spans="1:7" ht="26.25" x14ac:dyDescent="0.25">
      <c r="A30" s="107" t="s">
        <v>125</v>
      </c>
      <c r="B30" s="224" t="s">
        <v>1539</v>
      </c>
      <c r="C30" s="103" t="s">
        <v>21</v>
      </c>
      <c r="D30" s="203" t="s">
        <v>1532</v>
      </c>
      <c r="E30" s="179" t="s">
        <v>105</v>
      </c>
      <c r="F30" s="147" t="s">
        <v>106</v>
      </c>
      <c r="G30" s="151" t="s">
        <v>107</v>
      </c>
    </row>
    <row r="31" spans="1:7" ht="24" x14ac:dyDescent="0.25">
      <c r="A31" s="106" t="s">
        <v>130</v>
      </c>
      <c r="B31" s="225" t="s">
        <v>163</v>
      </c>
      <c r="C31" s="101" t="s">
        <v>21</v>
      </c>
      <c r="D31" s="204" t="s">
        <v>1533</v>
      </c>
      <c r="E31" s="217"/>
      <c r="F31" s="218"/>
      <c r="G31" s="219"/>
    </row>
    <row r="32" spans="1:7" ht="24" x14ac:dyDescent="0.25">
      <c r="A32" s="106" t="s">
        <v>134</v>
      </c>
      <c r="B32" s="226" t="s">
        <v>164</v>
      </c>
      <c r="C32" s="104" t="s">
        <v>20</v>
      </c>
      <c r="D32" s="205" t="s">
        <v>165</v>
      </c>
      <c r="E32" s="217"/>
      <c r="F32" s="218"/>
      <c r="G32" s="219"/>
    </row>
    <row r="33" spans="1:7" ht="24" x14ac:dyDescent="0.25">
      <c r="A33" s="108" t="s">
        <v>136</v>
      </c>
      <c r="B33" s="227" t="s">
        <v>166</v>
      </c>
      <c r="C33" s="105" t="s">
        <v>20</v>
      </c>
      <c r="D33" s="206" t="s">
        <v>167</v>
      </c>
      <c r="E33" s="217"/>
      <c r="F33" s="218"/>
      <c r="G33" s="219"/>
    </row>
    <row r="34" spans="1:7" x14ac:dyDescent="0.25">
      <c r="A34" s="108" t="s">
        <v>1511</v>
      </c>
      <c r="B34" s="228" t="s">
        <v>1540</v>
      </c>
      <c r="C34" s="105"/>
      <c r="D34" s="197" t="s">
        <v>1507</v>
      </c>
      <c r="E34" s="198"/>
      <c r="F34" s="218"/>
      <c r="G34" s="219"/>
    </row>
    <row r="35" spans="1:7" x14ac:dyDescent="0.25">
      <c r="A35" s="108" t="s">
        <v>1512</v>
      </c>
      <c r="B35" s="228" t="s">
        <v>1541</v>
      </c>
      <c r="C35" s="105"/>
      <c r="D35" s="197" t="s">
        <v>1507</v>
      </c>
      <c r="E35" s="198"/>
      <c r="F35" s="218"/>
      <c r="G35" s="219"/>
    </row>
    <row r="36" spans="1:7" ht="24" customHeight="1" x14ac:dyDescent="0.25">
      <c r="A36" s="108"/>
      <c r="B36" s="161" t="s">
        <v>168</v>
      </c>
      <c r="C36" s="105" t="s">
        <v>22</v>
      </c>
      <c r="D36" s="207"/>
      <c r="E36" s="217"/>
      <c r="F36" s="218"/>
      <c r="G36" s="219"/>
    </row>
    <row r="37" spans="1:7" ht="36" x14ac:dyDescent="0.25">
      <c r="A37" s="110" t="s">
        <v>1513</v>
      </c>
      <c r="B37" s="189" t="s">
        <v>1551</v>
      </c>
      <c r="C37" s="109" t="s">
        <v>21</v>
      </c>
      <c r="D37" s="208" t="s">
        <v>169</v>
      </c>
      <c r="E37" s="217"/>
      <c r="F37" s="218"/>
      <c r="G37" s="219"/>
    </row>
    <row r="38" spans="1:7" x14ac:dyDescent="0.25">
      <c r="A38" s="110" t="s">
        <v>1514</v>
      </c>
      <c r="B38" s="162" t="s">
        <v>170</v>
      </c>
      <c r="C38" s="109" t="s">
        <v>20</v>
      </c>
      <c r="D38" s="209"/>
      <c r="E38" s="217"/>
      <c r="F38" s="218"/>
      <c r="G38" s="219"/>
    </row>
    <row r="39" spans="1:7" ht="34.5" customHeight="1" x14ac:dyDescent="0.25">
      <c r="A39" s="110" t="s">
        <v>1515</v>
      </c>
      <c r="B39" s="163" t="s">
        <v>171</v>
      </c>
      <c r="C39" s="111" t="s">
        <v>21</v>
      </c>
      <c r="D39" s="210" t="s">
        <v>172</v>
      </c>
      <c r="E39" s="217"/>
      <c r="F39" s="218"/>
      <c r="G39" s="219"/>
    </row>
    <row r="40" spans="1:7" ht="29.25" customHeight="1" x14ac:dyDescent="0.25">
      <c r="A40" s="110" t="s">
        <v>1516</v>
      </c>
      <c r="B40" s="163" t="s">
        <v>173</v>
      </c>
      <c r="C40" s="111" t="s">
        <v>21</v>
      </c>
      <c r="D40" s="210" t="s">
        <v>172</v>
      </c>
      <c r="E40" s="217"/>
      <c r="F40" s="218"/>
      <c r="G40" s="219"/>
    </row>
    <row r="41" spans="1:7" ht="39" x14ac:dyDescent="0.25">
      <c r="A41" s="110" t="s">
        <v>1517</v>
      </c>
      <c r="B41" s="190" t="s">
        <v>174</v>
      </c>
      <c r="C41" s="111" t="s">
        <v>21</v>
      </c>
      <c r="D41" s="211" t="s">
        <v>1534</v>
      </c>
      <c r="E41" s="181" t="s">
        <v>128</v>
      </c>
      <c r="F41" s="182" t="s">
        <v>128</v>
      </c>
      <c r="G41" s="174" t="s">
        <v>129</v>
      </c>
    </row>
    <row r="42" spans="1:7" ht="30" x14ac:dyDescent="0.25">
      <c r="A42" s="110" t="s">
        <v>1518</v>
      </c>
      <c r="B42" s="164" t="s">
        <v>1552</v>
      </c>
      <c r="C42" s="113" t="s">
        <v>21</v>
      </c>
      <c r="D42" s="212" t="s">
        <v>1535</v>
      </c>
      <c r="E42" s="183" t="s">
        <v>132</v>
      </c>
      <c r="F42" s="182" t="s">
        <v>106</v>
      </c>
      <c r="G42" s="152" t="s">
        <v>133</v>
      </c>
    </row>
    <row r="43" spans="1:7" ht="48" x14ac:dyDescent="0.25">
      <c r="A43" s="110" t="s">
        <v>1519</v>
      </c>
      <c r="B43" s="165" t="s">
        <v>1553</v>
      </c>
      <c r="C43" s="113" t="s">
        <v>21</v>
      </c>
      <c r="D43" s="212" t="s">
        <v>1536</v>
      </c>
      <c r="E43" s="183" t="s">
        <v>132</v>
      </c>
      <c r="F43" s="182" t="s">
        <v>106</v>
      </c>
    </row>
    <row r="44" spans="1:7" x14ac:dyDescent="0.25">
      <c r="A44" s="110" t="s">
        <v>1520</v>
      </c>
      <c r="B44" s="222" t="s">
        <v>1529</v>
      </c>
      <c r="C44" s="114" t="s">
        <v>1527</v>
      </c>
      <c r="D44" s="211"/>
      <c r="E44" s="183"/>
      <c r="F44" s="182"/>
    </row>
    <row r="45" spans="1:7" x14ac:dyDescent="0.25">
      <c r="A45" s="110"/>
      <c r="B45" s="165" t="s">
        <v>175</v>
      </c>
      <c r="C45" s="114" t="s">
        <v>22</v>
      </c>
      <c r="D45" s="209"/>
      <c r="E45" s="217"/>
      <c r="F45" s="218"/>
      <c r="G45" s="219"/>
    </row>
    <row r="46" spans="1:7" x14ac:dyDescent="0.25">
      <c r="B46" s="166" t="s">
        <v>1528</v>
      </c>
    </row>
    <row r="48" spans="1:7" x14ac:dyDescent="0.25">
      <c r="B48" s="166" t="s">
        <v>2170</v>
      </c>
    </row>
  </sheetData>
  <mergeCells count="1">
    <mergeCell ref="B1:D1"/>
  </mergeCell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[7]Lookup!#REF!</xm:f>
          </x14:formula1>
          <xm:sqref>A4:A6</xm:sqref>
        </x14:dataValidation>
        <x14:dataValidation type="list" allowBlank="1" showInputMessage="1" showErrorMessage="1">
          <x14:formula1>
            <xm:f>[7]SiteDatabase!#REF!</xm:f>
          </x14:formula1>
          <xm:sqref>A7</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G8"/>
  <sheetViews>
    <sheetView topLeftCell="A4" zoomScale="80" zoomScaleNormal="80" zoomScaleSheetLayoutView="89" workbookViewId="0">
      <selection activeCell="C8" sqref="C8"/>
    </sheetView>
  </sheetViews>
  <sheetFormatPr defaultColWidth="6.875" defaultRowHeight="15.75" x14ac:dyDescent="0.25"/>
  <cols>
    <col min="1" max="1" width="11" style="30" customWidth="1"/>
    <col min="2" max="2" width="40.5" style="30" customWidth="1"/>
    <col min="3" max="3" width="19.625" style="30" customWidth="1"/>
    <col min="4" max="4" width="48.875" style="30" customWidth="1"/>
    <col min="5" max="5" width="35.25" style="20" customWidth="1"/>
    <col min="6" max="6" width="26.125" style="20" customWidth="1"/>
    <col min="7" max="16384" width="6.875" style="20"/>
  </cols>
  <sheetData>
    <row r="1" spans="1:7" ht="23.25" customHeight="1" x14ac:dyDescent="0.25">
      <c r="B1" s="65" t="s">
        <v>176</v>
      </c>
      <c r="C1" s="65"/>
      <c r="D1" s="65"/>
    </row>
    <row r="2" spans="1:7" ht="19.5" x14ac:dyDescent="0.4">
      <c r="A2" s="25" t="s">
        <v>177</v>
      </c>
      <c r="B2" s="25" t="s">
        <v>1501</v>
      </c>
      <c r="C2" s="25" t="s">
        <v>178</v>
      </c>
      <c r="D2" s="25" t="s">
        <v>179</v>
      </c>
      <c r="E2" s="18" t="s">
        <v>1502</v>
      </c>
      <c r="F2" s="18" t="s">
        <v>180</v>
      </c>
    </row>
    <row r="3" spans="1:7" ht="103.5" customHeight="1" x14ac:dyDescent="0.25">
      <c r="A3" s="26" t="s">
        <v>181</v>
      </c>
      <c r="B3" s="26" t="s">
        <v>1499</v>
      </c>
      <c r="C3" s="26" t="s">
        <v>182</v>
      </c>
      <c r="D3" s="26" t="s">
        <v>183</v>
      </c>
      <c r="E3" s="185" t="s">
        <v>184</v>
      </c>
      <c r="F3" s="26" t="s">
        <v>185</v>
      </c>
    </row>
    <row r="4" spans="1:7" ht="80.25" customHeight="1" x14ac:dyDescent="0.25">
      <c r="A4" s="26" t="s">
        <v>186</v>
      </c>
      <c r="B4" s="26" t="s">
        <v>1500</v>
      </c>
      <c r="C4" s="26" t="s">
        <v>84</v>
      </c>
      <c r="D4" s="26" t="s">
        <v>1505</v>
      </c>
      <c r="E4" s="185" t="s">
        <v>187</v>
      </c>
      <c r="F4" s="26" t="s">
        <v>1503</v>
      </c>
    </row>
    <row r="5" spans="1:7" s="30" customFormat="1" ht="58.5" x14ac:dyDescent="0.25">
      <c r="A5" s="27" t="s">
        <v>188</v>
      </c>
      <c r="B5" s="27" t="s">
        <v>189</v>
      </c>
      <c r="C5" s="27" t="s">
        <v>119</v>
      </c>
      <c r="D5" s="27" t="s">
        <v>99</v>
      </c>
      <c r="E5" s="27" t="s">
        <v>1504</v>
      </c>
      <c r="F5" s="27" t="s">
        <v>190</v>
      </c>
      <c r="G5" s="29"/>
    </row>
    <row r="6" spans="1:7" s="30" customFormat="1" ht="78" x14ac:dyDescent="0.25">
      <c r="A6" s="27" t="s">
        <v>191</v>
      </c>
      <c r="B6" s="27" t="s">
        <v>192</v>
      </c>
      <c r="C6" s="27" t="s">
        <v>125</v>
      </c>
      <c r="D6" s="27" t="s">
        <v>104</v>
      </c>
      <c r="E6" s="27" t="s">
        <v>193</v>
      </c>
      <c r="F6" s="27" t="s">
        <v>190</v>
      </c>
    </row>
    <row r="7" spans="1:7" ht="45" customHeight="1" x14ac:dyDescent="0.25">
      <c r="A7" s="28" t="s">
        <v>194</v>
      </c>
      <c r="B7" s="28" t="s">
        <v>195</v>
      </c>
      <c r="C7" s="28" t="s">
        <v>1517</v>
      </c>
      <c r="D7" s="28" t="s">
        <v>126</v>
      </c>
      <c r="E7" s="28" t="s">
        <v>196</v>
      </c>
      <c r="F7" s="28" t="s">
        <v>197</v>
      </c>
    </row>
    <row r="8" spans="1:7" ht="63" customHeight="1" x14ac:dyDescent="0.4">
      <c r="A8" s="28" t="s">
        <v>198</v>
      </c>
      <c r="B8" s="28" t="s">
        <v>199</v>
      </c>
      <c r="C8" s="28" t="s">
        <v>1525</v>
      </c>
      <c r="D8" s="28" t="s">
        <v>200</v>
      </c>
      <c r="E8" s="17" t="s">
        <v>201</v>
      </c>
      <c r="F8" s="16" t="s">
        <v>202</v>
      </c>
    </row>
  </sheetData>
  <pageMargins left="0" right="0" top="0.5" bottom="0.5" header="0.3" footer="0.3"/>
  <pageSetup scale="74"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AE2537"/>
  <sheetViews>
    <sheetView showGridLines="0" topLeftCell="A275" zoomScaleNormal="100" workbookViewId="0">
      <selection activeCell="K54" sqref="K54:K55"/>
    </sheetView>
  </sheetViews>
  <sheetFormatPr defaultRowHeight="12.75" x14ac:dyDescent="0.2"/>
  <cols>
    <col min="1" max="2" width="9.625" style="21" customWidth="1"/>
    <col min="3" max="3" width="15.75" style="21" customWidth="1"/>
    <col min="4" max="4" width="9.625" style="21" customWidth="1"/>
    <col min="5" max="5" width="9.125" style="21" customWidth="1"/>
    <col min="6" max="6" width="11.375" style="21" customWidth="1"/>
    <col min="7" max="33" width="9.625" style="21" customWidth="1"/>
    <col min="34" max="16384" width="9" style="21"/>
  </cols>
  <sheetData>
    <row r="3" spans="2:22" x14ac:dyDescent="0.2">
      <c r="C3" s="351" t="s">
        <v>2526</v>
      </c>
      <c r="K3" s="351" t="s">
        <v>2526</v>
      </c>
      <c r="R3" s="351" t="s">
        <v>2526</v>
      </c>
    </row>
    <row r="4" spans="2:22" ht="21" x14ac:dyDescent="0.35">
      <c r="B4" s="356" t="s">
        <v>44</v>
      </c>
      <c r="C4" s="347"/>
      <c r="D4" s="348"/>
      <c r="E4" s="348"/>
      <c r="F4" s="348"/>
      <c r="G4" s="75"/>
      <c r="J4" s="356" t="s">
        <v>464</v>
      </c>
      <c r="P4" s="356" t="s">
        <v>2531</v>
      </c>
    </row>
    <row r="5" spans="2:22" x14ac:dyDescent="0.2">
      <c r="C5" s="779" t="s">
        <v>24</v>
      </c>
      <c r="D5" s="780" t="s">
        <v>1409</v>
      </c>
      <c r="K5" s="779" t="s">
        <v>24</v>
      </c>
      <c r="L5" s="780" t="s">
        <v>1409</v>
      </c>
      <c r="R5" s="779" t="s">
        <v>24</v>
      </c>
      <c r="S5" s="780" t="s">
        <v>1409</v>
      </c>
    </row>
    <row r="6" spans="2:22" x14ac:dyDescent="0.2">
      <c r="C6" s="779" t="s">
        <v>40</v>
      </c>
      <c r="D6" s="780" t="s">
        <v>40</v>
      </c>
      <c r="K6" s="779" t="s">
        <v>40</v>
      </c>
      <c r="L6" s="780" t="s">
        <v>40</v>
      </c>
      <c r="R6" s="779" t="s">
        <v>40</v>
      </c>
      <c r="S6" s="780" t="s">
        <v>40</v>
      </c>
    </row>
    <row r="7" spans="2:22" x14ac:dyDescent="0.2">
      <c r="C7" s="779" t="s">
        <v>290</v>
      </c>
      <c r="D7" s="780" t="s">
        <v>2180</v>
      </c>
      <c r="K7" s="779" t="s">
        <v>290</v>
      </c>
      <c r="L7" s="780" t="s">
        <v>2525</v>
      </c>
      <c r="R7" s="779" t="s">
        <v>290</v>
      </c>
      <c r="S7" s="780" t="s">
        <v>2525</v>
      </c>
    </row>
    <row r="8" spans="2:22" x14ac:dyDescent="0.2">
      <c r="C8" s="779" t="s">
        <v>26</v>
      </c>
      <c r="D8" s="780" t="s">
        <v>44</v>
      </c>
      <c r="K8" s="779" t="s">
        <v>26</v>
      </c>
      <c r="L8" s="780" t="s">
        <v>464</v>
      </c>
      <c r="R8" s="779" t="s">
        <v>26</v>
      </c>
      <c r="S8" s="780" t="s">
        <v>878</v>
      </c>
    </row>
    <row r="9" spans="2:22" s="349" customFormat="1" ht="16.5" customHeight="1" x14ac:dyDescent="0.2">
      <c r="C9" s="21"/>
      <c r="D9" s="21"/>
      <c r="E9" s="21"/>
      <c r="F9" s="21"/>
      <c r="G9" s="21"/>
      <c r="K9" s="21"/>
      <c r="L9" s="21"/>
      <c r="M9" s="21"/>
      <c r="N9" s="21"/>
      <c r="O9" s="21"/>
      <c r="R9" s="21"/>
      <c r="S9" s="21"/>
      <c r="T9" s="21"/>
      <c r="U9" s="21"/>
      <c r="V9" s="21"/>
    </row>
    <row r="10" spans="2:22" s="349" customFormat="1" ht="25.5" x14ac:dyDescent="0.2">
      <c r="C10" s="781" t="s">
        <v>27</v>
      </c>
      <c r="D10" s="821" t="s">
        <v>2547</v>
      </c>
      <c r="E10" s="821" t="s">
        <v>2548</v>
      </c>
      <c r="F10" s="821" t="s">
        <v>2549</v>
      </c>
      <c r="G10" s="821" t="s">
        <v>2552</v>
      </c>
      <c r="K10" s="781" t="s">
        <v>27</v>
      </c>
      <c r="L10" s="821" t="s">
        <v>2550</v>
      </c>
      <c r="M10" s="821" t="s">
        <v>2551</v>
      </c>
      <c r="N10" s="821" t="s">
        <v>2549</v>
      </c>
      <c r="O10" s="821" t="s">
        <v>2552</v>
      </c>
      <c r="R10" s="781" t="s">
        <v>2173</v>
      </c>
      <c r="S10" s="821" t="s">
        <v>2553</v>
      </c>
      <c r="T10" s="821" t="s">
        <v>2554</v>
      </c>
      <c r="U10" s="821" t="s">
        <v>2549</v>
      </c>
      <c r="V10" s="821" t="s">
        <v>2552</v>
      </c>
    </row>
    <row r="11" spans="2:22" x14ac:dyDescent="0.2">
      <c r="C11" s="782" t="s">
        <v>351</v>
      </c>
      <c r="D11" s="824">
        <v>0.18181818181818182</v>
      </c>
      <c r="E11" s="824">
        <v>0.29787572234066695</v>
      </c>
      <c r="F11" s="824">
        <v>0.45454545454545453</v>
      </c>
      <c r="G11" s="832">
        <v>8716</v>
      </c>
      <c r="K11" s="782" t="s">
        <v>496</v>
      </c>
      <c r="L11" s="824">
        <v>1</v>
      </c>
      <c r="M11" s="824">
        <v>1.0027027155338704</v>
      </c>
      <c r="N11" s="824">
        <v>1</v>
      </c>
      <c r="O11" s="783">
        <v>14817</v>
      </c>
      <c r="R11" s="782" t="s">
        <v>901</v>
      </c>
      <c r="S11" s="824">
        <v>0</v>
      </c>
      <c r="T11" s="824">
        <v>0.1020408163265306</v>
      </c>
      <c r="U11" s="824">
        <v>1</v>
      </c>
      <c r="V11" s="783">
        <v>369</v>
      </c>
    </row>
    <row r="12" spans="2:22" x14ac:dyDescent="0.2">
      <c r="C12" s="782" t="s">
        <v>302</v>
      </c>
      <c r="D12" s="824">
        <v>0.44610710600189069</v>
      </c>
      <c r="E12" s="824">
        <v>8.3025015814072026E-2</v>
      </c>
      <c r="F12" s="824">
        <v>1</v>
      </c>
      <c r="G12" s="832">
        <v>2422</v>
      </c>
      <c r="K12" s="782" t="s">
        <v>490</v>
      </c>
      <c r="L12" s="824">
        <v>0.53771941193624495</v>
      </c>
      <c r="M12" s="824">
        <v>0.97788149591669538</v>
      </c>
      <c r="N12" s="824">
        <v>1</v>
      </c>
      <c r="O12" s="783">
        <v>7969</v>
      </c>
      <c r="R12" s="782" t="s">
        <v>882</v>
      </c>
      <c r="S12" s="824">
        <v>6.6666666666666666E-2</v>
      </c>
      <c r="T12" s="824">
        <v>7.0684424853862282E-2</v>
      </c>
      <c r="U12" s="824">
        <v>0.8666666666666667</v>
      </c>
      <c r="V12" s="783">
        <v>4866</v>
      </c>
    </row>
    <row r="13" spans="2:22" x14ac:dyDescent="0.2">
      <c r="C13" s="782" t="s">
        <v>304</v>
      </c>
      <c r="D13" s="824">
        <v>0.12205746837563877</v>
      </c>
      <c r="E13" s="824">
        <v>0.22289627965086983</v>
      </c>
      <c r="F13" s="824">
        <v>1</v>
      </c>
      <c r="G13" s="832">
        <v>3617</v>
      </c>
      <c r="K13" s="782" t="s">
        <v>530</v>
      </c>
      <c r="L13" s="824">
        <v>0</v>
      </c>
      <c r="M13" s="824">
        <v>0</v>
      </c>
      <c r="N13" s="824">
        <v>1</v>
      </c>
      <c r="O13" s="783">
        <v>992</v>
      </c>
      <c r="R13" s="782" t="s">
        <v>885</v>
      </c>
      <c r="S13" s="824">
        <v>0</v>
      </c>
      <c r="T13" s="824">
        <v>5.8479532163742687E-2</v>
      </c>
      <c r="U13" s="824">
        <v>0.5</v>
      </c>
      <c r="V13" s="783">
        <v>314</v>
      </c>
    </row>
    <row r="14" spans="2:22" x14ac:dyDescent="0.2">
      <c r="C14" s="782" t="s">
        <v>45</v>
      </c>
      <c r="D14" s="824">
        <v>0</v>
      </c>
      <c r="E14" s="824">
        <v>8.98876404494382E-2</v>
      </c>
      <c r="F14" s="824">
        <v>0.7</v>
      </c>
      <c r="G14" s="832">
        <v>11851</v>
      </c>
      <c r="K14" s="782" t="s">
        <v>473</v>
      </c>
      <c r="L14" s="824">
        <v>0.96</v>
      </c>
      <c r="M14" s="824">
        <v>0.98312611013600504</v>
      </c>
      <c r="N14" s="824">
        <v>1</v>
      </c>
      <c r="O14" s="783">
        <v>19012</v>
      </c>
      <c r="R14" s="782" t="s">
        <v>888</v>
      </c>
      <c r="S14" s="824">
        <v>0.4</v>
      </c>
      <c r="T14" s="824">
        <v>0.20895522388059701</v>
      </c>
      <c r="U14" s="824">
        <v>0.8</v>
      </c>
      <c r="V14" s="783">
        <v>1244</v>
      </c>
    </row>
    <row r="15" spans="2:22" x14ac:dyDescent="0.2">
      <c r="C15" s="782" t="s">
        <v>308</v>
      </c>
      <c r="D15" s="824">
        <v>0</v>
      </c>
      <c r="E15" s="824">
        <v>0.12244897959183672</v>
      </c>
      <c r="F15" s="824">
        <v>1</v>
      </c>
      <c r="G15" s="832">
        <v>431</v>
      </c>
      <c r="K15" s="782" t="s">
        <v>476</v>
      </c>
      <c r="L15" s="824">
        <v>0.59274123189670214</v>
      </c>
      <c r="M15" s="824">
        <v>0.97834837954468523</v>
      </c>
      <c r="N15" s="824">
        <v>1</v>
      </c>
      <c r="O15" s="783">
        <v>10023</v>
      </c>
      <c r="R15" s="782" t="s">
        <v>879</v>
      </c>
      <c r="S15" s="824">
        <v>0.16666666666666666</v>
      </c>
      <c r="T15" s="824">
        <v>0.18917520366960025</v>
      </c>
      <c r="U15" s="824">
        <v>0.33333333333333331</v>
      </c>
      <c r="V15" s="783">
        <v>1948</v>
      </c>
    </row>
    <row r="16" spans="2:22" x14ac:dyDescent="0.2">
      <c r="C16" s="782" t="s">
        <v>313</v>
      </c>
      <c r="D16" s="824">
        <v>0</v>
      </c>
      <c r="E16" s="824">
        <v>0.28695652173913044</v>
      </c>
      <c r="F16" s="824">
        <v>1</v>
      </c>
      <c r="G16" s="832">
        <v>165</v>
      </c>
      <c r="K16" s="782" t="s">
        <v>572</v>
      </c>
      <c r="L16" s="824">
        <v>0.27954144620811289</v>
      </c>
      <c r="M16" s="824">
        <v>0</v>
      </c>
      <c r="N16" s="824">
        <v>1</v>
      </c>
      <c r="O16" s="783">
        <v>3052</v>
      </c>
      <c r="R16" s="782" t="s">
        <v>903</v>
      </c>
      <c r="S16" s="824">
        <v>0</v>
      </c>
      <c r="T16" s="824">
        <v>4.6692607003891051E-2</v>
      </c>
      <c r="U16" s="824">
        <v>0.8</v>
      </c>
      <c r="V16" s="783">
        <v>1012</v>
      </c>
    </row>
    <row r="17" spans="1:22" x14ac:dyDescent="0.2">
      <c r="C17" s="782" t="s">
        <v>361</v>
      </c>
      <c r="D17" s="824">
        <v>0.10526315789473684</v>
      </c>
      <c r="E17" s="824">
        <v>0.20074451460885515</v>
      </c>
      <c r="F17" s="824">
        <v>0.68421052631578949</v>
      </c>
      <c r="G17" s="832">
        <v>27450</v>
      </c>
      <c r="K17" s="782" t="s">
        <v>575</v>
      </c>
      <c r="L17" s="824">
        <v>0.12926371849693558</v>
      </c>
      <c r="M17" s="824">
        <v>0.31187402693785427</v>
      </c>
      <c r="N17" s="824">
        <v>0.88888888888888884</v>
      </c>
      <c r="O17" s="783">
        <v>30391</v>
      </c>
      <c r="R17" s="782" t="s">
        <v>2181</v>
      </c>
      <c r="S17" s="824">
        <v>0.11428571428571428</v>
      </c>
      <c r="T17" s="824">
        <v>0.10841706989224351</v>
      </c>
      <c r="U17" s="824">
        <v>0.74285714285714288</v>
      </c>
      <c r="V17" s="783">
        <v>9753</v>
      </c>
    </row>
    <row r="18" spans="1:22" x14ac:dyDescent="0.2">
      <c r="C18" s="782" t="s">
        <v>315</v>
      </c>
      <c r="D18" s="824">
        <v>0</v>
      </c>
      <c r="E18" s="824">
        <v>0.21601556490546367</v>
      </c>
      <c r="F18" s="824">
        <v>1</v>
      </c>
      <c r="G18" s="832">
        <v>7412</v>
      </c>
      <c r="K18" s="782" t="s">
        <v>508</v>
      </c>
      <c r="L18" s="824">
        <v>0.30925322714652581</v>
      </c>
      <c r="M18" s="824">
        <v>0.79521969255896185</v>
      </c>
      <c r="N18" s="824">
        <v>1</v>
      </c>
      <c r="O18" s="783">
        <v>13182</v>
      </c>
    </row>
    <row r="19" spans="1:22" x14ac:dyDescent="0.2">
      <c r="C19" s="782" t="s">
        <v>329</v>
      </c>
      <c r="D19" s="824">
        <v>0</v>
      </c>
      <c r="E19" s="824">
        <v>0.42704626334519569</v>
      </c>
      <c r="F19" s="824">
        <v>1</v>
      </c>
      <c r="G19" s="832">
        <v>281</v>
      </c>
      <c r="K19" s="782" t="s">
        <v>465</v>
      </c>
      <c r="L19" s="824">
        <v>7.9222198655934856E-2</v>
      </c>
      <c r="M19" s="824">
        <v>0.49993813834772133</v>
      </c>
      <c r="N19" s="824">
        <v>0.65116279069767447</v>
      </c>
      <c r="O19" s="783">
        <v>115814</v>
      </c>
    </row>
    <row r="20" spans="1:22" x14ac:dyDescent="0.2">
      <c r="C20" s="782" t="s">
        <v>370</v>
      </c>
      <c r="D20" s="824">
        <v>0</v>
      </c>
      <c r="E20" s="824">
        <v>0</v>
      </c>
      <c r="F20" s="824">
        <v>0</v>
      </c>
      <c r="G20" s="832">
        <v>428</v>
      </c>
      <c r="K20" s="782" t="s">
        <v>2181</v>
      </c>
      <c r="L20" s="824">
        <v>0.50680387794547732</v>
      </c>
      <c r="M20" s="824">
        <v>0.75610411175146464</v>
      </c>
      <c r="N20" s="824">
        <v>0.88888888888888884</v>
      </c>
      <c r="O20" s="783">
        <v>215252</v>
      </c>
    </row>
    <row r="21" spans="1:22" ht="15.75" x14ac:dyDescent="0.25">
      <c r="C21" s="782" t="s">
        <v>340</v>
      </c>
      <c r="D21" s="824">
        <v>1</v>
      </c>
      <c r="E21" s="824">
        <v>0</v>
      </c>
      <c r="F21" s="824">
        <v>1</v>
      </c>
      <c r="G21" s="832">
        <v>815</v>
      </c>
      <c r="K21"/>
      <c r="L21"/>
      <c r="M21"/>
      <c r="N21"/>
      <c r="O21"/>
    </row>
    <row r="22" spans="1:22" ht="15.75" x14ac:dyDescent="0.25">
      <c r="C22" s="782" t="s">
        <v>1330</v>
      </c>
      <c r="D22" s="824">
        <v>0.51332429990966577</v>
      </c>
      <c r="E22" s="824">
        <v>0.63125006219462432</v>
      </c>
      <c r="F22" s="824">
        <v>1</v>
      </c>
      <c r="G22" s="832">
        <v>936</v>
      </c>
      <c r="K22"/>
      <c r="L22"/>
      <c r="M22"/>
      <c r="N22"/>
      <c r="O22"/>
    </row>
    <row r="23" spans="1:22" x14ac:dyDescent="0.2">
      <c r="C23" s="782" t="s">
        <v>298</v>
      </c>
      <c r="D23" s="824">
        <v>2.4999999999999998E-2</v>
      </c>
      <c r="E23" s="824">
        <v>0.19944259084498514</v>
      </c>
      <c r="F23" s="824">
        <v>1</v>
      </c>
      <c r="G23" s="832">
        <v>23194</v>
      </c>
    </row>
    <row r="24" spans="1:22" x14ac:dyDescent="0.2">
      <c r="C24" s="782" t="s">
        <v>2181</v>
      </c>
      <c r="D24" s="824">
        <v>0.10613298063788999</v>
      </c>
      <c r="E24" s="824">
        <v>0.20924455919151824</v>
      </c>
      <c r="F24" s="824">
        <v>0.86821705426356588</v>
      </c>
      <c r="G24" s="832">
        <v>87718</v>
      </c>
    </row>
    <row r="25" spans="1:22" ht="6.75" customHeight="1" x14ac:dyDescent="0.25">
      <c r="C25"/>
      <c r="D25"/>
      <c r="E25"/>
      <c r="F25"/>
      <c r="G25"/>
    </row>
    <row r="26" spans="1:22" ht="6" customHeight="1" x14ac:dyDescent="0.25">
      <c r="C26"/>
      <c r="D26"/>
      <c r="E26"/>
      <c r="F26"/>
      <c r="G26"/>
    </row>
    <row r="27" spans="1:22" ht="6" customHeight="1" x14ac:dyDescent="0.25">
      <c r="C27"/>
      <c r="D27"/>
      <c r="E27"/>
      <c r="F27"/>
      <c r="G27"/>
    </row>
    <row r="28" spans="1:22" ht="6" customHeight="1" x14ac:dyDescent="0.25">
      <c r="C28"/>
      <c r="D28"/>
      <c r="E28"/>
      <c r="F28"/>
      <c r="G28"/>
    </row>
    <row r="29" spans="1:22" ht="6" customHeight="1" x14ac:dyDescent="0.25">
      <c r="C29"/>
      <c r="D29"/>
      <c r="E29"/>
      <c r="F29"/>
      <c r="G29"/>
    </row>
    <row r="30" spans="1:22" ht="5.25" customHeight="1" x14ac:dyDescent="0.2"/>
    <row r="31" spans="1:22" ht="18.75" x14ac:dyDescent="0.3">
      <c r="A31" s="360" t="s">
        <v>2535</v>
      </c>
      <c r="B31" s="359"/>
      <c r="C31" s="359"/>
      <c r="D31" s="359"/>
      <c r="E31" s="359"/>
      <c r="F31" s="359"/>
      <c r="G31" s="359"/>
      <c r="H31" s="359"/>
      <c r="I31" s="359"/>
      <c r="J31" s="359"/>
      <c r="K31" s="359"/>
      <c r="L31" s="359"/>
      <c r="M31" s="359"/>
      <c r="N31" s="359"/>
      <c r="O31" s="359"/>
      <c r="P31" s="359"/>
      <c r="Q31" s="359"/>
      <c r="R31" s="359"/>
      <c r="S31" s="359"/>
      <c r="T31" s="359"/>
      <c r="U31" s="359"/>
    </row>
    <row r="35" spans="2:13" x14ac:dyDescent="0.2">
      <c r="B35" s="779" t="s">
        <v>24</v>
      </c>
      <c r="C35" s="780" t="s">
        <v>1409</v>
      </c>
      <c r="K35" s="779" t="s">
        <v>24</v>
      </c>
      <c r="L35" s="780" t="s">
        <v>1409</v>
      </c>
    </row>
    <row r="36" spans="2:13" x14ac:dyDescent="0.2">
      <c r="B36" s="779" t="s">
        <v>290</v>
      </c>
      <c r="C36" s="780" t="s">
        <v>2180</v>
      </c>
      <c r="G36" s="779" t="s">
        <v>24</v>
      </c>
      <c r="H36" s="780" t="s">
        <v>1409</v>
      </c>
      <c r="K36" s="779" t="s">
        <v>290</v>
      </c>
      <c r="L36" s="780" t="s">
        <v>2180</v>
      </c>
    </row>
    <row r="37" spans="2:13" x14ac:dyDescent="0.2">
      <c r="B37" s="779" t="s">
        <v>26</v>
      </c>
      <c r="C37" s="780" t="s">
        <v>44</v>
      </c>
      <c r="G37" s="779" t="s">
        <v>26</v>
      </c>
      <c r="H37" s="780" t="s">
        <v>464</v>
      </c>
      <c r="K37" s="779" t="s">
        <v>26</v>
      </c>
      <c r="L37" s="780" t="s">
        <v>878</v>
      </c>
    </row>
    <row r="38" spans="2:13" x14ac:dyDescent="0.2">
      <c r="B38" s="779" t="s">
        <v>40</v>
      </c>
      <c r="C38" s="780" t="s">
        <v>40</v>
      </c>
      <c r="G38" s="779" t="s">
        <v>40</v>
      </c>
      <c r="H38" s="780" t="s">
        <v>40</v>
      </c>
      <c r="K38" s="779" t="s">
        <v>40</v>
      </c>
      <c r="L38" s="780" t="s">
        <v>40</v>
      </c>
    </row>
    <row r="40" spans="2:13" ht="15.75" x14ac:dyDescent="0.25">
      <c r="B40" s="781" t="s">
        <v>2173</v>
      </c>
      <c r="C40" s="821" t="s">
        <v>2191</v>
      </c>
      <c r="D40" s="821" t="s">
        <v>2192</v>
      </c>
      <c r="E40"/>
      <c r="G40" s="781" t="s">
        <v>2173</v>
      </c>
      <c r="H40" s="821" t="s">
        <v>2191</v>
      </c>
      <c r="I40" s="821" t="s">
        <v>2192</v>
      </c>
      <c r="J40" s="349"/>
      <c r="K40" s="781" t="s">
        <v>2173</v>
      </c>
      <c r="L40" s="821" t="s">
        <v>2191</v>
      </c>
      <c r="M40" s="821" t="s">
        <v>2192</v>
      </c>
    </row>
    <row r="41" spans="2:13" ht="15.75" x14ac:dyDescent="0.25">
      <c r="B41" s="782" t="s">
        <v>2704</v>
      </c>
      <c r="C41" s="823">
        <v>90.831999999999951</v>
      </c>
      <c r="D41" s="823">
        <v>58.073999999999984</v>
      </c>
      <c r="E41"/>
      <c r="G41" s="782" t="s">
        <v>2706</v>
      </c>
      <c r="H41" s="823">
        <v>237.46799999999999</v>
      </c>
      <c r="I41" s="823">
        <v>7.7539999999999987</v>
      </c>
      <c r="K41" s="782" t="s">
        <v>2704</v>
      </c>
      <c r="L41" s="823">
        <v>17.937999999999995</v>
      </c>
      <c r="M41" s="823">
        <v>18.802000000000003</v>
      </c>
    </row>
    <row r="42" spans="2:13" ht="15.75" x14ac:dyDescent="0.25">
      <c r="B42" s="782" t="s">
        <v>2705</v>
      </c>
      <c r="C42" s="823">
        <v>66.072000000000003</v>
      </c>
      <c r="D42" s="823">
        <v>14.552000000000001</v>
      </c>
      <c r="E42"/>
      <c r="G42" s="782" t="s">
        <v>2707</v>
      </c>
      <c r="H42" s="823">
        <v>74.329999999999984</v>
      </c>
      <c r="I42" s="823">
        <v>58.012</v>
      </c>
      <c r="K42" s="782" t="s">
        <v>2705</v>
      </c>
      <c r="L42" s="823">
        <v>0</v>
      </c>
      <c r="M42" s="823">
        <v>1</v>
      </c>
    </row>
    <row r="43" spans="2:13" ht="15.75" x14ac:dyDescent="0.25">
      <c r="B43"/>
      <c r="C43"/>
      <c r="D43"/>
      <c r="E43"/>
      <c r="F43"/>
      <c r="G43"/>
      <c r="H43"/>
      <c r="I43"/>
    </row>
    <row r="44" spans="2:13" ht="15.75" x14ac:dyDescent="0.25">
      <c r="F44"/>
      <c r="G44"/>
      <c r="H44"/>
      <c r="I44"/>
    </row>
    <row r="48" spans="2:13" ht="15.75" x14ac:dyDescent="0.25">
      <c r="B48"/>
      <c r="C48"/>
      <c r="D48"/>
      <c r="F48"/>
      <c r="G48"/>
      <c r="H48"/>
      <c r="J48"/>
      <c r="K48"/>
      <c r="L48"/>
    </row>
    <row r="49" spans="2:16" ht="15.75" x14ac:dyDescent="0.25">
      <c r="B49"/>
      <c r="C49"/>
      <c r="D49"/>
      <c r="F49"/>
      <c r="G49"/>
      <c r="H49"/>
      <c r="J49"/>
      <c r="K49"/>
      <c r="L49"/>
    </row>
    <row r="50" spans="2:16" ht="15.75" x14ac:dyDescent="0.25">
      <c r="B50" s="825" t="s">
        <v>24</v>
      </c>
      <c r="C50" s="826" t="s">
        <v>1409</v>
      </c>
      <c r="D50"/>
      <c r="F50"/>
      <c r="G50"/>
      <c r="H50"/>
      <c r="J50"/>
      <c r="K50"/>
      <c r="L50"/>
    </row>
    <row r="51" spans="2:16" ht="15.75" x14ac:dyDescent="0.25">
      <c r="B51" s="825" t="s">
        <v>40</v>
      </c>
      <c r="C51" s="826" t="s">
        <v>40</v>
      </c>
      <c r="D51"/>
      <c r="F51"/>
      <c r="G51"/>
      <c r="H51"/>
      <c r="J51"/>
      <c r="K51"/>
      <c r="L51"/>
    </row>
    <row r="52" spans="2:16" ht="15.75" x14ac:dyDescent="0.25">
      <c r="B52" s="825" t="s">
        <v>290</v>
      </c>
      <c r="C52" s="826" t="s">
        <v>2180</v>
      </c>
      <c r="D52"/>
      <c r="F52"/>
      <c r="G52"/>
      <c r="H52"/>
      <c r="J52"/>
      <c r="K52"/>
      <c r="L52"/>
    </row>
    <row r="53" spans="2:16" ht="15.75" x14ac:dyDescent="0.25">
      <c r="B53"/>
      <c r="C53"/>
      <c r="D53"/>
      <c r="F53"/>
      <c r="G53"/>
      <c r="H53"/>
      <c r="J53"/>
      <c r="K53"/>
      <c r="L53"/>
    </row>
    <row r="54" spans="2:16" ht="48.75" x14ac:dyDescent="0.25">
      <c r="B54" s="827" t="s">
        <v>2173</v>
      </c>
      <c r="C54" s="830" t="s">
        <v>2537</v>
      </c>
      <c r="D54" s="826" t="s">
        <v>2725</v>
      </c>
      <c r="E54" s="830" t="s">
        <v>2536</v>
      </c>
      <c r="F54"/>
      <c r="H54" s="758" t="s">
        <v>2173</v>
      </c>
      <c r="I54" s="758" t="s">
        <v>2761</v>
      </c>
      <c r="J54" s="758" t="s">
        <v>2762</v>
      </c>
      <c r="K54"/>
      <c r="L54"/>
    </row>
    <row r="55" spans="2:16" ht="15.75" x14ac:dyDescent="0.25">
      <c r="B55" s="828" t="s">
        <v>44</v>
      </c>
      <c r="C55" s="831">
        <v>0.61299182299182298</v>
      </c>
      <c r="D55" s="831">
        <v>0.32222222222222224</v>
      </c>
      <c r="E55" s="829">
        <v>129</v>
      </c>
      <c r="F55"/>
      <c r="H55" s="759" t="s">
        <v>44</v>
      </c>
      <c r="I55" s="373">
        <f>1-GETPIVOTDATA("Average of %Water samples which passed at HH",$B$54,"State","Kachin")</f>
        <v>0.38700817700817702</v>
      </c>
      <c r="J55" s="761">
        <f>1-GETPIVOTDATA("Average of %of Water samples which passed at water source",$B$54,"State","Kachin")</f>
        <v>0.67777777777777781</v>
      </c>
      <c r="K55"/>
      <c r="P55" s="371"/>
    </row>
    <row r="56" spans="2:16" ht="15.75" x14ac:dyDescent="0.25">
      <c r="B56" s="828" t="s">
        <v>464</v>
      </c>
      <c r="C56" s="831">
        <v>0.71959832145209113</v>
      </c>
      <c r="D56" s="831">
        <v>0.85335470101206845</v>
      </c>
      <c r="E56" s="829">
        <v>24</v>
      </c>
      <c r="F56"/>
      <c r="H56" s="759" t="s">
        <v>464</v>
      </c>
      <c r="I56" s="373">
        <f>1-GETPIVOTDATA("Average of %Water samples which passed at HH",$B$54,"State","Rakhine")</f>
        <v>0.28040167854790887</v>
      </c>
      <c r="J56" s="761">
        <f>1-GETPIVOTDATA("Average of %of Water samples which passed at water source",$B$54,"State","Rakhine")</f>
        <v>0.14664529898793155</v>
      </c>
      <c r="L56" s="370"/>
      <c r="O56" s="370"/>
      <c r="P56" s="371"/>
    </row>
    <row r="57" spans="2:16" ht="15.75" x14ac:dyDescent="0.25">
      <c r="B57" s="828" t="s">
        <v>878</v>
      </c>
      <c r="C57" s="831">
        <v>1</v>
      </c>
      <c r="D57" s="829">
        <v>0</v>
      </c>
      <c r="E57" s="829">
        <v>35</v>
      </c>
      <c r="F57"/>
      <c r="H57" s="759" t="s">
        <v>878</v>
      </c>
      <c r="I57" s="373">
        <f>1-GETPIVOTDATA("Average of %Water samples which passed at HH",$B$54,"State","Shan (North)")</f>
        <v>0</v>
      </c>
      <c r="J57" s="761">
        <f>1-GETPIVOTDATA("Average of %of Water samples which passed at water source",$B$54,"State","Shan (North)")</f>
        <v>1</v>
      </c>
    </row>
    <row r="58" spans="2:16" ht="15.75" x14ac:dyDescent="0.25">
      <c r="B58"/>
      <c r="C58"/>
      <c r="D58"/>
      <c r="E58"/>
      <c r="F58"/>
      <c r="I58" s="372"/>
    </row>
    <row r="59" spans="2:16" ht="15.75" x14ac:dyDescent="0.25">
      <c r="B59"/>
      <c r="C59"/>
      <c r="D59"/>
    </row>
    <row r="60" spans="2:16" ht="15.75" x14ac:dyDescent="0.25">
      <c r="B60" s="825" t="s">
        <v>24</v>
      </c>
      <c r="C60" s="826" t="s">
        <v>1409</v>
      </c>
      <c r="D60"/>
    </row>
    <row r="61" spans="2:16" ht="15.75" x14ac:dyDescent="0.25">
      <c r="B61" s="825" t="s">
        <v>40</v>
      </c>
      <c r="C61" s="826" t="s">
        <v>40</v>
      </c>
      <c r="D61"/>
    </row>
    <row r="62" spans="2:16" ht="15.75" x14ac:dyDescent="0.25">
      <c r="B62" s="825" t="s">
        <v>290</v>
      </c>
      <c r="C62" s="826" t="s">
        <v>2180</v>
      </c>
      <c r="D62"/>
    </row>
    <row r="63" spans="2:16" ht="15.75" x14ac:dyDescent="0.25">
      <c r="B63"/>
      <c r="C63"/>
      <c r="D63"/>
    </row>
    <row r="64" spans="2:16" x14ac:dyDescent="0.2">
      <c r="B64" s="825" t="s">
        <v>2726</v>
      </c>
      <c r="C64" s="825" t="s">
        <v>2528</v>
      </c>
      <c r="D64" s="826"/>
    </row>
    <row r="65" spans="1:30" x14ac:dyDescent="0.2">
      <c r="B65" s="827" t="s">
        <v>2173</v>
      </c>
      <c r="C65" s="826" t="s">
        <v>2727</v>
      </c>
      <c r="D65" s="826" t="s">
        <v>2728</v>
      </c>
    </row>
    <row r="66" spans="1:30" x14ac:dyDescent="0.2">
      <c r="B66" s="828" t="s">
        <v>44</v>
      </c>
      <c r="C66" s="829">
        <v>114</v>
      </c>
      <c r="D66" s="829">
        <v>15</v>
      </c>
    </row>
    <row r="67" spans="1:30" x14ac:dyDescent="0.2">
      <c r="B67" s="828" t="s">
        <v>464</v>
      </c>
      <c r="C67" s="829">
        <v>15</v>
      </c>
      <c r="D67" s="829">
        <v>9</v>
      </c>
    </row>
    <row r="68" spans="1:30" x14ac:dyDescent="0.2">
      <c r="B68" s="828" t="s">
        <v>878</v>
      </c>
      <c r="C68" s="829">
        <v>29</v>
      </c>
      <c r="D68" s="829">
        <v>6</v>
      </c>
    </row>
    <row r="69" spans="1:30" ht="15.75" x14ac:dyDescent="0.25">
      <c r="B69"/>
      <c r="C69"/>
      <c r="D69"/>
    </row>
    <row r="70" spans="1:30" ht="15.75" x14ac:dyDescent="0.25">
      <c r="C70" s="760" t="s">
        <v>2727</v>
      </c>
      <c r="D70" s="760" t="s">
        <v>2728</v>
      </c>
      <c r="E70"/>
      <c r="F70"/>
      <c r="G70"/>
    </row>
    <row r="71" spans="1:30" ht="15.75" x14ac:dyDescent="0.25">
      <c r="B71" s="759" t="s">
        <v>44</v>
      </c>
      <c r="C71" s="374">
        <f>GETPIVOTDATA("Warter quality test made",$B$64,"State","Kachin","Warter quality test made","No Test")</f>
        <v>114</v>
      </c>
      <c r="D71" s="374">
        <f>GETPIVOTDATA("Warter quality test made",$B$64,"State","Kachin","Warter quality test made","Tested")</f>
        <v>15</v>
      </c>
      <c r="E71"/>
      <c r="F71"/>
      <c r="G71"/>
    </row>
    <row r="72" spans="1:30" ht="15.75" x14ac:dyDescent="0.25">
      <c r="B72" s="759" t="s">
        <v>464</v>
      </c>
      <c r="C72" s="374">
        <f>GETPIVOTDATA("Warter quality test made",$B$64,"State","Rakhine","Warter quality test made","No Test")</f>
        <v>15</v>
      </c>
      <c r="D72" s="374">
        <f>GETPIVOTDATA("Warter quality test made",$B$64,"State","Rakhine","Warter quality test made","Tested")</f>
        <v>9</v>
      </c>
      <c r="E72"/>
      <c r="F72"/>
      <c r="G72"/>
    </row>
    <row r="73" spans="1:30" x14ac:dyDescent="0.2">
      <c r="B73" s="759" t="s">
        <v>878</v>
      </c>
      <c r="C73" s="374">
        <f>GETPIVOTDATA("Warter quality test made",$B$64,"State","Shan (North)","Warter quality test made","No Test")</f>
        <v>29</v>
      </c>
      <c r="D73" s="374">
        <f>GETPIVOTDATA("Warter quality test made",$B$64,"State","Shan (North)","Warter quality test made","Tested")</f>
        <v>6</v>
      </c>
      <c r="E73" s="348"/>
      <c r="F73" s="348"/>
      <c r="G73" s="75"/>
    </row>
    <row r="74" spans="1:30" ht="18.75" x14ac:dyDescent="0.3">
      <c r="A74" s="361" t="s">
        <v>240</v>
      </c>
      <c r="B74" s="246"/>
      <c r="C74" s="352"/>
      <c r="D74" s="353"/>
      <c r="E74" s="353"/>
      <c r="F74" s="353"/>
      <c r="G74" s="354"/>
      <c r="H74" s="246"/>
      <c r="I74" s="246"/>
      <c r="J74" s="246"/>
      <c r="K74" s="246"/>
      <c r="L74" s="246"/>
      <c r="M74" s="246"/>
      <c r="N74" s="246"/>
      <c r="O74" s="246"/>
      <c r="P74" s="246"/>
      <c r="Q74" s="246"/>
      <c r="R74" s="246"/>
      <c r="S74" s="246"/>
      <c r="T74" s="246"/>
    </row>
    <row r="75" spans="1:30" x14ac:dyDescent="0.2">
      <c r="C75" s="347"/>
      <c r="D75" s="348"/>
      <c r="E75" s="348"/>
      <c r="F75" s="348"/>
      <c r="G75" s="75"/>
    </row>
    <row r="76" spans="1:30" ht="21" x14ac:dyDescent="0.35">
      <c r="B76" s="355" t="s">
        <v>44</v>
      </c>
      <c r="C76" s="779" t="s">
        <v>24</v>
      </c>
      <c r="D76" s="780" t="s">
        <v>1409</v>
      </c>
      <c r="E76" s="348"/>
      <c r="F76" s="348"/>
      <c r="G76" s="75"/>
      <c r="M76" s="246" t="s">
        <v>464</v>
      </c>
    </row>
    <row r="77" spans="1:30" ht="21" x14ac:dyDescent="0.35">
      <c r="C77" s="781" t="s">
        <v>26</v>
      </c>
      <c r="D77" s="780" t="s">
        <v>44</v>
      </c>
      <c r="N77" s="781" t="s">
        <v>26</v>
      </c>
      <c r="O77" s="780" t="s">
        <v>464</v>
      </c>
      <c r="Y77" s="355" t="s">
        <v>2531</v>
      </c>
    </row>
    <row r="78" spans="1:30" x14ac:dyDescent="0.2">
      <c r="C78" s="779" t="s">
        <v>40</v>
      </c>
      <c r="D78" s="780" t="s">
        <v>40</v>
      </c>
      <c r="N78" s="779" t="s">
        <v>24</v>
      </c>
      <c r="O78" s="780" t="s">
        <v>1409</v>
      </c>
      <c r="Z78" s="781" t="s">
        <v>26</v>
      </c>
      <c r="AA78" s="780" t="s">
        <v>878</v>
      </c>
    </row>
    <row r="79" spans="1:30" x14ac:dyDescent="0.2">
      <c r="N79" s="779" t="s">
        <v>40</v>
      </c>
      <c r="O79" s="780" t="s">
        <v>40</v>
      </c>
      <c r="Z79" s="779" t="s">
        <v>24</v>
      </c>
      <c r="AA79" s="780" t="s">
        <v>1409</v>
      </c>
    </row>
    <row r="80" spans="1:30" s="349" customFormat="1" ht="15.75" x14ac:dyDescent="0.25">
      <c r="C80" s="780"/>
      <c r="D80" s="779" t="s">
        <v>2528</v>
      </c>
      <c r="E80" s="780"/>
      <c r="F80"/>
      <c r="G80"/>
      <c r="H80" s="21"/>
      <c r="I80" s="21"/>
      <c r="N80" s="21"/>
      <c r="O80" s="21"/>
      <c r="P80" s="21"/>
      <c r="V80" s="21"/>
      <c r="W80" s="21"/>
      <c r="Y80" s="21"/>
      <c r="Z80" s="21"/>
      <c r="AA80" s="21"/>
      <c r="AB80" s="21"/>
      <c r="AC80" s="21"/>
      <c r="AD80" s="21"/>
    </row>
    <row r="81" spans="2:31" ht="25.5" x14ac:dyDescent="0.2">
      <c r="C81" s="779" t="s">
        <v>2529</v>
      </c>
      <c r="D81" s="780" t="s">
        <v>2713</v>
      </c>
      <c r="E81" s="780" t="s">
        <v>2714</v>
      </c>
      <c r="N81" s="780"/>
      <c r="O81" s="781" t="s">
        <v>2528</v>
      </c>
      <c r="P81" s="780"/>
      <c r="Z81" s="780"/>
      <c r="AA81" s="779" t="s">
        <v>2528</v>
      </c>
      <c r="AB81" s="780"/>
    </row>
    <row r="82" spans="2:31" x14ac:dyDescent="0.2">
      <c r="C82" s="782" t="s">
        <v>2708</v>
      </c>
      <c r="D82" s="783">
        <v>2441</v>
      </c>
      <c r="E82" s="783">
        <v>2254</v>
      </c>
      <c r="N82" s="779" t="s">
        <v>2529</v>
      </c>
      <c r="O82" s="780" t="s">
        <v>2715</v>
      </c>
      <c r="P82" s="780" t="s">
        <v>2716</v>
      </c>
      <c r="Z82" s="779" t="s">
        <v>2529</v>
      </c>
      <c r="AA82" s="780" t="s">
        <v>2713</v>
      </c>
      <c r="AB82" s="780" t="s">
        <v>2714</v>
      </c>
    </row>
    <row r="83" spans="2:31" x14ac:dyDescent="0.2">
      <c r="C83" s="784" t="s">
        <v>2709</v>
      </c>
      <c r="D83" s="783">
        <v>582</v>
      </c>
      <c r="E83" s="783">
        <v>190</v>
      </c>
      <c r="N83" s="782" t="s">
        <v>2708</v>
      </c>
      <c r="O83" s="783">
        <v>6076</v>
      </c>
      <c r="P83" s="783">
        <v>10160</v>
      </c>
      <c r="Z83" s="782" t="s">
        <v>2708</v>
      </c>
      <c r="AA83" s="783">
        <v>858</v>
      </c>
      <c r="AB83" s="783">
        <v>67</v>
      </c>
    </row>
    <row r="84" spans="2:31" ht="25.5" x14ac:dyDescent="0.2">
      <c r="C84" s="784" t="s">
        <v>2740</v>
      </c>
      <c r="D84" s="783">
        <v>189</v>
      </c>
      <c r="E84" s="783">
        <v>113</v>
      </c>
      <c r="N84" s="784" t="s">
        <v>2709</v>
      </c>
      <c r="O84" s="783">
        <v>894</v>
      </c>
      <c r="P84" s="783">
        <v>7803</v>
      </c>
      <c r="Z84" s="784" t="s">
        <v>2709</v>
      </c>
      <c r="AA84" s="783">
        <v>122</v>
      </c>
      <c r="AB84" s="783">
        <v>65</v>
      </c>
    </row>
    <row r="85" spans="2:31" ht="38.25" x14ac:dyDescent="0.2">
      <c r="C85" s="784" t="s">
        <v>2711</v>
      </c>
      <c r="D85" s="783">
        <v>327</v>
      </c>
      <c r="E85" s="783">
        <v>118</v>
      </c>
      <c r="N85" s="784" t="s">
        <v>2712</v>
      </c>
      <c r="O85" s="783">
        <v>1345</v>
      </c>
      <c r="P85" s="783">
        <v>538</v>
      </c>
      <c r="Z85" s="784" t="s">
        <v>2717</v>
      </c>
      <c r="AA85" s="783">
        <v>114</v>
      </c>
      <c r="AB85" s="783"/>
    </row>
    <row r="86" spans="2:31" ht="25.5" x14ac:dyDescent="0.2">
      <c r="C86" s="784" t="s">
        <v>2710</v>
      </c>
      <c r="D86" s="783">
        <v>640</v>
      </c>
      <c r="E86" s="783">
        <v>55</v>
      </c>
      <c r="N86" s="784" t="s">
        <v>2711</v>
      </c>
      <c r="O86" s="783">
        <v>777</v>
      </c>
      <c r="P86" s="783">
        <v>0</v>
      </c>
      <c r="Z86" s="784" t="s">
        <v>2530</v>
      </c>
      <c r="AA86" s="783">
        <v>7</v>
      </c>
      <c r="AB86" s="783">
        <v>0</v>
      </c>
    </row>
    <row r="87" spans="2:31" ht="26.25" x14ac:dyDescent="0.25">
      <c r="B87"/>
      <c r="C87" s="782" t="s">
        <v>2739</v>
      </c>
      <c r="D87" s="783">
        <v>2261</v>
      </c>
      <c r="E87" s="783">
        <v>3529</v>
      </c>
      <c r="F87"/>
      <c r="G87"/>
      <c r="N87" s="784" t="s">
        <v>2710</v>
      </c>
      <c r="O87" s="783">
        <v>4192</v>
      </c>
      <c r="P87" s="783">
        <v>1651</v>
      </c>
      <c r="Z87" s="784" t="s">
        <v>2710</v>
      </c>
      <c r="AA87" s="783">
        <v>824</v>
      </c>
      <c r="AB87" s="783">
        <v>9</v>
      </c>
    </row>
    <row r="88" spans="2:31" ht="15.75" x14ac:dyDescent="0.25">
      <c r="B88"/>
      <c r="C88" s="782" t="s">
        <v>2751</v>
      </c>
      <c r="D88" s="783">
        <v>2072</v>
      </c>
      <c r="E88" s="783">
        <v>3416</v>
      </c>
      <c r="F88"/>
      <c r="G88"/>
      <c r="N88" s="782" t="s">
        <v>2750</v>
      </c>
      <c r="O88" s="783">
        <v>6447</v>
      </c>
      <c r="P88" s="783">
        <v>2910</v>
      </c>
      <c r="Z88" s="782" t="s">
        <v>2750</v>
      </c>
      <c r="AA88" s="783">
        <v>968</v>
      </c>
      <c r="AB88" s="783">
        <v>9</v>
      </c>
    </row>
    <row r="89" spans="2:31" ht="15.75" x14ac:dyDescent="0.25">
      <c r="B89"/>
      <c r="C89" s="782"/>
      <c r="D89" s="783"/>
      <c r="E89" s="783"/>
      <c r="F89"/>
      <c r="G89"/>
      <c r="J89" s="782"/>
      <c r="K89" s="783"/>
      <c r="L89" s="783"/>
      <c r="N89" s="782" t="s">
        <v>2751</v>
      </c>
      <c r="O89" s="783">
        <v>5102</v>
      </c>
      <c r="P89" s="783">
        <v>2372</v>
      </c>
      <c r="Q89"/>
      <c r="R89"/>
      <c r="S89"/>
      <c r="Z89" s="782" t="s">
        <v>2751</v>
      </c>
      <c r="AA89" s="783">
        <v>854</v>
      </c>
      <c r="AB89" s="783">
        <v>9</v>
      </c>
    </row>
    <row r="90" spans="2:31" ht="15.75" x14ac:dyDescent="0.25">
      <c r="B90"/>
      <c r="C90" s="782"/>
      <c r="D90" s="783"/>
      <c r="E90" s="783"/>
      <c r="F90"/>
      <c r="G90"/>
      <c r="S90"/>
    </row>
    <row r="91" spans="2:31" ht="16.5" thickBot="1" x14ac:dyDescent="0.3">
      <c r="B91"/>
      <c r="C91" s="785"/>
      <c r="D91" s="786" t="s">
        <v>2713</v>
      </c>
      <c r="E91" s="787" t="s">
        <v>2714</v>
      </c>
      <c r="F91"/>
      <c r="G91"/>
      <c r="N91" s="785"/>
      <c r="O91" s="789" t="s">
        <v>2715</v>
      </c>
      <c r="P91" s="789" t="s">
        <v>2716</v>
      </c>
      <c r="Z91" s="785"/>
      <c r="AA91" s="786" t="s">
        <v>2713</v>
      </c>
      <c r="AB91" s="787" t="s">
        <v>2714</v>
      </c>
    </row>
    <row r="92" spans="2:31" ht="15.75" x14ac:dyDescent="0.25">
      <c r="B92"/>
      <c r="C92" s="788" t="s">
        <v>2191</v>
      </c>
      <c r="D92" s="788">
        <f>GETPIVOTDATA("Sum of # Existing functional latrines",$C$80,"Ethnic or GCA/NGCA","# in GCA (20:1)")</f>
        <v>2072</v>
      </c>
      <c r="E92" s="788">
        <f>GETPIVOTDATA("Sum of # Existing functional latrines",$C$80,"Ethnic or GCA/NGCA","# in NGCA (20:1)")</f>
        <v>3416</v>
      </c>
      <c r="G92" t="s">
        <v>2755</v>
      </c>
      <c r="H92">
        <f>SUM(D92:E92)</f>
        <v>5488</v>
      </c>
      <c r="N92" s="788" t="s">
        <v>2191</v>
      </c>
      <c r="O92" s="788">
        <f>GETPIVOTDATA("Sum of # Existing functional latrines",$N$81,"Location Type","# in active camps (20:1)")</f>
        <v>5102</v>
      </c>
      <c r="P92" s="788">
        <f>GETPIVOTDATA("Sum of # Existing functional latrines",$N$81,"Location Type","# in villages (6:1)")</f>
        <v>2372</v>
      </c>
      <c r="R92" t="s">
        <v>2755</v>
      </c>
      <c r="S92" s="838">
        <f>O92</f>
        <v>5102</v>
      </c>
      <c r="Z92" s="788" t="s">
        <v>2191</v>
      </c>
      <c r="AA92" s="788">
        <f>GETPIVOTDATA("Sum of # Existing functional latrines",$Z$81,"Ethnic or GCA/NGCA","# in GCA (20:1)")</f>
        <v>854</v>
      </c>
      <c r="AB92" s="788">
        <f>GETPIVOTDATA("Sum of # Existing functional latrines",$Z$81,"Ethnic or GCA/NGCA","# in NGCA (20:1)")</f>
        <v>9</v>
      </c>
      <c r="AD92" t="s">
        <v>2755</v>
      </c>
      <c r="AE92" s="838">
        <f>AA92+AB92</f>
        <v>863</v>
      </c>
    </row>
    <row r="93" spans="2:31" ht="15.75" x14ac:dyDescent="0.25">
      <c r="B93"/>
      <c r="C93" s="788" t="s">
        <v>2741</v>
      </c>
      <c r="D93" s="788">
        <f>GETPIVOTDATA("# latrines (target)",$C$80,"Ethnic or GCA/NGCA","# in GCA (20:1)")-GETPIVOTDATA("Sum of # Existing functional latrines",$C$80,"Ethnic or GCA/NGCA","# in GCA (20:1)")</f>
        <v>369</v>
      </c>
      <c r="E93" s="788">
        <f>IF(GETPIVOTDATA("# latrines (target)",$C$80,"Ethnic or GCA/NGCA","# in NGCA (20:1)")-GETPIVOTDATA("Sum of # Existing functional latrines",$C$80,"Ethnic or GCA/NGCA","# in NGCA (20:1)")&lt;0,0,GETPIVOTDATA("# latrines (target)",$C$80,"Ethnic or GCA/NGCA","# in NGCA (20:1)")-GETPIVOTDATA("Sum of # Existing functional latrines",$C$80,"Ethnic or GCA/NGCA","# in NGCA (20:1)"))</f>
        <v>0</v>
      </c>
      <c r="G93" t="s">
        <v>2756</v>
      </c>
      <c r="H93" s="837">
        <f>SUM(D96:E96)</f>
        <v>302</v>
      </c>
      <c r="N93" s="788" t="s">
        <v>2741</v>
      </c>
      <c r="O93" s="788">
        <f>GETPIVOTDATA("# latrines (target)",$N$81,"Location Type","# in active camps (20:1)")-GETPIVOTDATA("Sum of # Existing functional latrines",$N$81,"Location Type","# in active camps (20:1)")</f>
        <v>974</v>
      </c>
      <c r="P93" s="788">
        <f>GETPIVOTDATA("# latrines (target)",$N$81,"Location Type","# in villages (6:1)")-GETPIVOTDATA("Sum of # Existing functional latrines",$N$81,"Location Type","# in villages (6:1)")</f>
        <v>7788</v>
      </c>
      <c r="R93" t="s">
        <v>2756</v>
      </c>
      <c r="S93" s="838">
        <f>O96</f>
        <v>1345</v>
      </c>
      <c r="Z93" s="788" t="s">
        <v>2741</v>
      </c>
      <c r="AA93" s="788">
        <f>GETPIVOTDATA("# latrines (target)",$Z$81,"Ethnic or GCA/NGCA","# in GCA (20:1)")-GETPIVOTDATA("Sum of # Existing functional latrines",$Z$81,"Ethnic or GCA/NGCA","# in GCA (20:1)")</f>
        <v>4</v>
      </c>
      <c r="AB93" s="788">
        <f>GETPIVOTDATA("# latrines (target)",$Z$81,"Ethnic or GCA/NGCA","# in NGCA (20:1)")-GETPIVOTDATA("Sum of # Existing functional latrines",$Z$81,"Ethnic or GCA/NGCA","# in NGCA (20:1)")</f>
        <v>58</v>
      </c>
      <c r="AD93" t="s">
        <v>2756</v>
      </c>
      <c r="AE93" s="838">
        <f>AA96+AB96</f>
        <v>114</v>
      </c>
    </row>
    <row r="94" spans="2:31" ht="26.25" x14ac:dyDescent="0.25">
      <c r="B94"/>
      <c r="C94" s="788" t="s">
        <v>2742</v>
      </c>
      <c r="D94" s="788">
        <f>GETPIVOTDATA("# handed over",$C$80,"Ethnic or GCA/NGCA","# in GCA (20:1)")</f>
        <v>640</v>
      </c>
      <c r="E94" s="788">
        <f>GETPIVOTDATA("# handed over",$C$80,"Ethnic or GCA/NGCA","# in NGCA (20:1)")</f>
        <v>55</v>
      </c>
      <c r="G94" t="s">
        <v>2757</v>
      </c>
      <c r="H94">
        <f>SUM(D97:E97)</f>
        <v>445</v>
      </c>
      <c r="N94" s="788" t="s">
        <v>2742</v>
      </c>
      <c r="O94" s="788">
        <f>GETPIVOTDATA("# handed over",$N$81,"Location Type","# in active camps (20:1)")</f>
        <v>4192</v>
      </c>
      <c r="P94" s="788">
        <f>GETPIVOTDATA("# handed over",$N$81,"Location Type","# in villages (6:1)")</f>
        <v>1651</v>
      </c>
      <c r="R94" t="s">
        <v>2757</v>
      </c>
      <c r="S94" s="838">
        <f>O97</f>
        <v>777</v>
      </c>
      <c r="Z94" s="788" t="s">
        <v>2742</v>
      </c>
      <c r="AA94" s="788">
        <f>GETPIVOTDATA("# handed over",$Z$81,"Ethnic or GCA/NGCA","# in GCA (20:1)")</f>
        <v>824</v>
      </c>
      <c r="AB94" s="788">
        <f>GETPIVOTDATA("# handed over",$Z$81,"Ethnic or GCA/NGCA","# in NGCA (20:1)")</f>
        <v>9</v>
      </c>
      <c r="AD94" t="s">
        <v>2757</v>
      </c>
      <c r="AE94" s="838">
        <f>AA97+AB97</f>
        <v>7</v>
      </c>
    </row>
    <row r="95" spans="2:31" ht="39" x14ac:dyDescent="0.25">
      <c r="B95"/>
      <c r="C95" s="788" t="s">
        <v>2743</v>
      </c>
      <c r="D95" s="788">
        <f>GETPIVOTDATA("# latrines (target)",$C$80,"Ethnic or GCA/NGCA","# in GCA (20:1)")-GETPIVOTDATA("# handed over",$C$80,"Ethnic or GCA/NGCA","# in GCA (20:1)")</f>
        <v>1801</v>
      </c>
      <c r="E95" s="788">
        <f>E92-E94</f>
        <v>3361</v>
      </c>
      <c r="G95"/>
      <c r="H95"/>
      <c r="N95" s="788" t="s">
        <v>2743</v>
      </c>
      <c r="O95" s="788">
        <f>GETPIVOTDATA("# latrines (target)",$N$81,"Location Type","# in active camps (20:1)")-GETPIVOTDATA("# handed over",$N$81,"Location Type","# in active camps (20:1)")</f>
        <v>1884</v>
      </c>
      <c r="P95" s="788">
        <f>GETPIVOTDATA("# latrines (target)",$N$81,"Location Type","# in villages (6:1)")-GETPIVOTDATA("# handed over",$N$81,"Location Type","# in villages (6:1)")</f>
        <v>8509</v>
      </c>
      <c r="Z95" s="788" t="s">
        <v>2743</v>
      </c>
      <c r="AA95" s="788">
        <f>GETPIVOTDATA("# latrines (target)",$Z$81,"Ethnic or GCA/NGCA","# in GCA (20:1)")-GETPIVOTDATA("# handed over",$Z$81,"Ethnic or GCA/NGCA","# in GCA (20:1)")</f>
        <v>34</v>
      </c>
      <c r="AB95" s="788">
        <f>GETPIVOTDATA("# latrines (target)",$Z$81,"Ethnic or GCA/NGCA","# in NGCA (20:1)")-GETPIVOTDATA("# handed over",$Z$81,"Ethnic or GCA/NGCA","# in NGCA (20:1)")</f>
        <v>58</v>
      </c>
    </row>
    <row r="96" spans="2:31" ht="26.25" x14ac:dyDescent="0.25">
      <c r="B96"/>
      <c r="C96" s="788" t="s">
        <v>2740</v>
      </c>
      <c r="D96" s="788">
        <f>GETPIVOTDATA("# latrines repairs",$C$80,"Ethnic or GCA/NGCA","# in GCA (20:1)")</f>
        <v>189</v>
      </c>
      <c r="E96" s="788">
        <f>GETPIVOTDATA("# latrines repairs",$C$80,"Ethnic or GCA/NGCA","# in NGCA (20:1)")</f>
        <v>113</v>
      </c>
      <c r="G96"/>
      <c r="N96" s="788" t="s">
        <v>2740</v>
      </c>
      <c r="O96" s="788">
        <f>GETPIVOTDATA("# latrines dysfunctional",$N$81,"Location Type","# in active camps (20:1)")</f>
        <v>1345</v>
      </c>
      <c r="P96" s="788">
        <f>GETPIVOTDATA("# latrines dysfunctional",$N$81,"Location Type","# in villages (6:1)")</f>
        <v>538</v>
      </c>
      <c r="Z96" s="788" t="s">
        <v>2740</v>
      </c>
      <c r="AA96" s="788">
        <f>GETPIVOTDATA("#latrines dysfunctional",$Z$81,"Ethnic or GCA/NGCA","# in GCA (20:1)")</f>
        <v>114</v>
      </c>
      <c r="AB96" s="788">
        <f>GETPIVOTDATA("#latrines dysfunctional",$Z$81,"Ethnic or GCA/NGCA","# in NGCA (20:1)")</f>
        <v>0</v>
      </c>
    </row>
    <row r="97" spans="2:28" ht="26.25" x14ac:dyDescent="0.25">
      <c r="B97"/>
      <c r="C97" s="788" t="s">
        <v>2711</v>
      </c>
      <c r="D97" s="788">
        <f>GETPIVOTDATA("# latrines desludged",$C$80,"Ethnic or GCA/NGCA","# in GCA (20:1)")</f>
        <v>327</v>
      </c>
      <c r="E97" s="788">
        <f>GETPIVOTDATA("# latrines desludged",$C$80,"Ethnic or GCA/NGCA","# in NGCA (20:1)")</f>
        <v>118</v>
      </c>
      <c r="G97"/>
      <c r="N97" s="788" t="s">
        <v>2711</v>
      </c>
      <c r="O97" s="788">
        <f>GETPIVOTDATA("# latrines desludged",$N$81,"Location Type","# in active camps (20:1)")</f>
        <v>777</v>
      </c>
      <c r="P97" s="788">
        <f>GETPIVOTDATA("# latrines desludged",$N$81,"Location Type","# in villages (6:1)")</f>
        <v>0</v>
      </c>
      <c r="Z97" s="788" t="s">
        <v>2711</v>
      </c>
      <c r="AA97" s="788">
        <f>GETPIVOTDATA("# latrines desludged.",$Z$81,"Ethnic or GCA/NGCA","# in GCA (20:1)")</f>
        <v>7</v>
      </c>
      <c r="AB97" s="788">
        <f>GETPIVOTDATA("# latrines desludged.",$Z$81,"Ethnic or GCA/NGCA","# in NGCA (20:1)")</f>
        <v>0</v>
      </c>
    </row>
    <row r="98" spans="2:28" ht="15.75" x14ac:dyDescent="0.25">
      <c r="B98"/>
      <c r="C98" s="834" t="s">
        <v>2708</v>
      </c>
      <c r="D98" s="835">
        <f>GETPIVOTDATA("# latrines (target)",$C$80,"Ethnic or GCA/NGCA","# in GCA (20:1)")</f>
        <v>2441</v>
      </c>
      <c r="E98" s="836">
        <f>GETPIVOTDATA("# latrines (target)",$C$80,"Ethnic or GCA/NGCA","# in NGCA (20:1)")</f>
        <v>2254</v>
      </c>
      <c r="G98"/>
      <c r="Q98"/>
      <c r="R98"/>
      <c r="S98"/>
    </row>
    <row r="99" spans="2:28" ht="15.75" x14ac:dyDescent="0.25">
      <c r="B99"/>
      <c r="C99" s="782"/>
      <c r="D99" s="783"/>
      <c r="E99" s="783"/>
      <c r="F99"/>
      <c r="G99"/>
      <c r="J99"/>
      <c r="K99"/>
      <c r="L99"/>
      <c r="Q99"/>
      <c r="R99"/>
      <c r="S99"/>
    </row>
    <row r="100" spans="2:28" ht="15.75" x14ac:dyDescent="0.25">
      <c r="B100"/>
      <c r="C100" s="782"/>
      <c r="D100" s="783"/>
      <c r="E100" s="783"/>
      <c r="F100"/>
      <c r="G100"/>
      <c r="J100"/>
      <c r="K100"/>
      <c r="L100"/>
      <c r="Q100"/>
      <c r="R100"/>
      <c r="S100"/>
    </row>
    <row r="101" spans="2:28" ht="15.75" x14ac:dyDescent="0.25">
      <c r="B101"/>
      <c r="C101" s="782"/>
      <c r="D101" s="783"/>
      <c r="E101" s="783"/>
      <c r="F101"/>
      <c r="G101"/>
      <c r="J101"/>
      <c r="K101"/>
      <c r="L101"/>
      <c r="Q101"/>
      <c r="R101"/>
      <c r="S101"/>
    </row>
    <row r="102" spans="2:28" ht="15.75" x14ac:dyDescent="0.25">
      <c r="B102"/>
      <c r="C102" s="782"/>
      <c r="D102" s="783"/>
      <c r="E102" s="783"/>
      <c r="F102"/>
      <c r="G102"/>
      <c r="J102"/>
      <c r="K102"/>
      <c r="L102"/>
      <c r="Q102"/>
      <c r="R102"/>
      <c r="S102"/>
    </row>
    <row r="103" spans="2:28" ht="15.75" x14ac:dyDescent="0.25">
      <c r="B103"/>
      <c r="C103" s="782"/>
      <c r="D103" s="783"/>
      <c r="E103" s="783"/>
      <c r="F103"/>
      <c r="G103"/>
      <c r="J103"/>
      <c r="K103"/>
      <c r="L103"/>
      <c r="Q103"/>
      <c r="R103"/>
      <c r="S103"/>
    </row>
    <row r="104" spans="2:28" ht="15.75" x14ac:dyDescent="0.25">
      <c r="B104"/>
      <c r="C104" s="782"/>
      <c r="D104" s="783"/>
      <c r="E104" s="783"/>
      <c r="F104"/>
      <c r="G104"/>
      <c r="J104"/>
      <c r="K104"/>
      <c r="L104"/>
      <c r="Q104"/>
      <c r="R104"/>
      <c r="S104"/>
    </row>
    <row r="105" spans="2:28" ht="15.75" x14ac:dyDescent="0.25">
      <c r="B105"/>
      <c r="C105" s="782"/>
      <c r="D105" s="783"/>
      <c r="E105" s="783"/>
      <c r="F105"/>
      <c r="G105"/>
      <c r="J105"/>
      <c r="K105"/>
      <c r="L105"/>
      <c r="Q105"/>
      <c r="R105"/>
      <c r="S105"/>
    </row>
    <row r="106" spans="2:28" ht="15.75" x14ac:dyDescent="0.25">
      <c r="B106"/>
      <c r="C106" s="782"/>
      <c r="D106" s="783"/>
      <c r="E106" s="783"/>
      <c r="F106"/>
      <c r="G106"/>
      <c r="J106"/>
      <c r="K106"/>
      <c r="L106"/>
      <c r="Q106"/>
      <c r="R106"/>
      <c r="S106"/>
    </row>
    <row r="107" spans="2:28" ht="15.75" x14ac:dyDescent="0.25">
      <c r="B107"/>
      <c r="C107" s="782"/>
      <c r="D107" s="783"/>
      <c r="E107" s="783"/>
      <c r="F107"/>
      <c r="G107"/>
      <c r="J107"/>
      <c r="K107"/>
      <c r="L107"/>
      <c r="Q107"/>
      <c r="R107"/>
      <c r="S107"/>
    </row>
    <row r="108" spans="2:28" ht="15.75" x14ac:dyDescent="0.25">
      <c r="B108"/>
      <c r="C108" s="782"/>
      <c r="D108" s="783"/>
      <c r="E108" s="783"/>
      <c r="F108"/>
      <c r="G108"/>
      <c r="J108"/>
      <c r="K108"/>
      <c r="L108"/>
      <c r="Q108"/>
      <c r="R108"/>
      <c r="S108"/>
    </row>
    <row r="109" spans="2:28" ht="15.75" x14ac:dyDescent="0.25">
      <c r="B109"/>
      <c r="C109" s="782"/>
      <c r="D109" s="783"/>
      <c r="E109" s="783"/>
      <c r="F109"/>
      <c r="G109"/>
      <c r="J109"/>
      <c r="K109"/>
      <c r="L109"/>
      <c r="Q109"/>
      <c r="R109"/>
      <c r="S109"/>
    </row>
    <row r="110" spans="2:28" ht="15.75" x14ac:dyDescent="0.25">
      <c r="B110"/>
      <c r="C110" s="782"/>
      <c r="D110" s="783"/>
      <c r="E110" s="783"/>
      <c r="F110"/>
      <c r="G110"/>
      <c r="J110"/>
      <c r="K110"/>
      <c r="L110"/>
      <c r="Q110"/>
      <c r="R110"/>
      <c r="S110"/>
    </row>
    <row r="111" spans="2:28" ht="15.75" x14ac:dyDescent="0.25">
      <c r="B111"/>
      <c r="C111" s="782"/>
      <c r="D111" s="783"/>
      <c r="E111" s="783"/>
      <c r="F111"/>
      <c r="G111"/>
      <c r="J111"/>
      <c r="K111"/>
      <c r="L111"/>
      <c r="Q111"/>
      <c r="R111"/>
      <c r="S111"/>
    </row>
    <row r="112" spans="2:28" ht="15.75" x14ac:dyDescent="0.25">
      <c r="B112"/>
      <c r="C112" s="782"/>
      <c r="D112" s="783"/>
      <c r="E112" s="783"/>
      <c r="F112"/>
      <c r="G112"/>
      <c r="J112"/>
      <c r="K112"/>
      <c r="L112"/>
      <c r="Q112"/>
      <c r="R112"/>
      <c r="S112"/>
    </row>
    <row r="113" spans="2:19" ht="15.75" x14ac:dyDescent="0.25">
      <c r="B113"/>
      <c r="C113" s="782"/>
      <c r="D113" s="783"/>
      <c r="E113" s="783"/>
      <c r="F113"/>
      <c r="G113"/>
      <c r="J113"/>
      <c r="K113"/>
      <c r="L113"/>
      <c r="Q113"/>
      <c r="R113"/>
      <c r="S113"/>
    </row>
    <row r="114" spans="2:19" x14ac:dyDescent="0.2">
      <c r="B114" s="779" t="s">
        <v>24</v>
      </c>
      <c r="C114" s="780" t="s">
        <v>1409</v>
      </c>
    </row>
    <row r="116" spans="2:19" ht="15.75" x14ac:dyDescent="0.25">
      <c r="B116" s="779" t="s">
        <v>2559</v>
      </c>
      <c r="C116" s="779" t="s">
        <v>2528</v>
      </c>
      <c r="D116" s="780"/>
      <c r="E116" s="780"/>
      <c r="F116" s="780"/>
      <c r="G116"/>
    </row>
    <row r="117" spans="2:19" ht="15.75" x14ac:dyDescent="0.25">
      <c r="B117" s="779" t="s">
        <v>2173</v>
      </c>
      <c r="C117" s="780" t="s">
        <v>293</v>
      </c>
      <c r="D117" s="780" t="s">
        <v>296</v>
      </c>
      <c r="E117" s="780" t="s">
        <v>1379</v>
      </c>
      <c r="F117" s="780" t="s">
        <v>342</v>
      </c>
      <c r="G117"/>
    </row>
    <row r="118" spans="2:19" ht="15.75" x14ac:dyDescent="0.25">
      <c r="B118" s="782" t="s">
        <v>44</v>
      </c>
      <c r="C118" s="783">
        <v>70</v>
      </c>
      <c r="D118" s="783">
        <v>15</v>
      </c>
      <c r="E118" s="783">
        <v>51</v>
      </c>
      <c r="F118" s="783">
        <v>7</v>
      </c>
      <c r="G118"/>
    </row>
    <row r="119" spans="2:19" ht="15.75" x14ac:dyDescent="0.25">
      <c r="B119" s="782" t="s">
        <v>464</v>
      </c>
      <c r="C119" s="783">
        <v>17</v>
      </c>
      <c r="D119" s="783">
        <v>98</v>
      </c>
      <c r="E119" s="783">
        <v>38</v>
      </c>
      <c r="F119" s="783">
        <v>47</v>
      </c>
      <c r="G119"/>
    </row>
    <row r="120" spans="2:19" ht="15.75" x14ac:dyDescent="0.25">
      <c r="B120" s="782" t="s">
        <v>878</v>
      </c>
      <c r="C120" s="783">
        <v>20</v>
      </c>
      <c r="D120" s="783">
        <v>8</v>
      </c>
      <c r="E120" s="783">
        <v>3</v>
      </c>
      <c r="F120" s="783">
        <v>9</v>
      </c>
      <c r="G120"/>
    </row>
    <row r="121" spans="2:19" ht="15.75" x14ac:dyDescent="0.25">
      <c r="B121"/>
      <c r="C121"/>
      <c r="D121"/>
      <c r="E121"/>
      <c r="F121"/>
      <c r="G121"/>
      <c r="Q121"/>
      <c r="R121"/>
      <c r="S121"/>
    </row>
    <row r="122" spans="2:19" x14ac:dyDescent="0.2">
      <c r="C122" s="21" t="s">
        <v>293</v>
      </c>
      <c r="D122" s="21" t="s">
        <v>296</v>
      </c>
      <c r="E122" s="21" t="s">
        <v>1379</v>
      </c>
      <c r="F122" s="21" t="s">
        <v>342</v>
      </c>
    </row>
    <row r="123" spans="2:19" x14ac:dyDescent="0.2">
      <c r="B123" s="21" t="s">
        <v>44</v>
      </c>
      <c r="C123" s="21">
        <f>GETPIVOTDATA("Does the camp have surface water drainage",$B$116,"State","Kachin","Does the camp have surface water drainage","Functional")</f>
        <v>70</v>
      </c>
      <c r="D123" s="21">
        <f>GETPIVOTDATA("Does the camp have surface water drainage",$B$116,"State","Kachin","Does the camp have surface water drainage","NA")</f>
        <v>15</v>
      </c>
      <c r="E123" s="21">
        <f>GETPIVOTDATA("Does the camp have surface water drainage",$B$116,"State","Kachin","Does the camp have surface water drainage","Not_Functional")</f>
        <v>51</v>
      </c>
      <c r="F123" s="21">
        <f>GETPIVOTDATA("Does the camp have surface water drainage",$B$116,"State","Kachin","Does the camp have surface water drainage","Not_inPlace")</f>
        <v>7</v>
      </c>
    </row>
    <row r="124" spans="2:19" x14ac:dyDescent="0.2">
      <c r="B124" s="21" t="s">
        <v>464</v>
      </c>
      <c r="C124" s="21">
        <f>GETPIVOTDATA("Does the camp have surface water drainage",$B$116,"State","Rakhine","Does the camp have surface water drainage","Functional")</f>
        <v>17</v>
      </c>
      <c r="D124" s="21">
        <f>GETPIVOTDATA("Does the camp have surface water drainage",$B$116,"State","Rakhine","Does the camp have surface water drainage","NA")</f>
        <v>98</v>
      </c>
      <c r="E124" s="21">
        <f>GETPIVOTDATA("Does the camp have surface water drainage",$B$116,"State","Rakhine","Does the camp have surface water drainage","Not_Functional")</f>
        <v>38</v>
      </c>
      <c r="F124" s="21">
        <f>GETPIVOTDATA("Does the camp have surface water drainage",$B$116,"State","Rakhine","Does the camp have surface water drainage","Not_inPlace")</f>
        <v>47</v>
      </c>
    </row>
    <row r="125" spans="2:19" x14ac:dyDescent="0.2">
      <c r="B125" s="21" t="s">
        <v>878</v>
      </c>
      <c r="C125" s="21">
        <f>GETPIVOTDATA("Does the camp have surface water drainage",$B$116,"State","Shan (North)","Does the camp have surface water drainage","Functional")</f>
        <v>20</v>
      </c>
      <c r="D125" s="21">
        <f>GETPIVOTDATA("Does the camp have surface water drainage",$B$116,"State","Shan (North)","Does the camp have surface water drainage","NA")</f>
        <v>8</v>
      </c>
      <c r="E125" s="21">
        <f>GETPIVOTDATA("Does the camp have surface water drainage",$B$116,"State","Shan (North)","Does the camp have surface water drainage","Not_Functional")</f>
        <v>3</v>
      </c>
      <c r="F125" s="21">
        <f>GETPIVOTDATA("Does the camp have surface water drainage",$B$116,"State","Shan (North)","Does the camp have surface water drainage","Not_inPlace")</f>
        <v>9</v>
      </c>
    </row>
    <row r="128" spans="2:19" x14ac:dyDescent="0.2">
      <c r="B128" s="779" t="s">
        <v>24</v>
      </c>
      <c r="C128" s="780" t="s">
        <v>1409</v>
      </c>
    </row>
    <row r="130" spans="2:11" ht="15.75" x14ac:dyDescent="0.25">
      <c r="B130" s="779" t="s">
        <v>2561</v>
      </c>
      <c r="C130" s="779" t="s">
        <v>2528</v>
      </c>
      <c r="D130" s="780"/>
      <c r="E130" s="780"/>
      <c r="F130" s="780"/>
      <c r="G130"/>
      <c r="H130"/>
      <c r="I130"/>
      <c r="J130"/>
      <c r="K130"/>
    </row>
    <row r="131" spans="2:11" ht="15.75" x14ac:dyDescent="0.25">
      <c r="B131" s="779" t="s">
        <v>2173</v>
      </c>
      <c r="C131" s="780" t="s">
        <v>293</v>
      </c>
      <c r="D131" s="780" t="s">
        <v>296</v>
      </c>
      <c r="E131" s="780" t="s">
        <v>1379</v>
      </c>
      <c r="F131" s="780" t="s">
        <v>342</v>
      </c>
      <c r="G131"/>
      <c r="H131"/>
      <c r="I131"/>
      <c r="J131"/>
      <c r="K131"/>
    </row>
    <row r="132" spans="2:11" ht="15.75" x14ac:dyDescent="0.25">
      <c r="B132" s="782" t="s">
        <v>44</v>
      </c>
      <c r="C132" s="783">
        <v>112</v>
      </c>
      <c r="D132" s="783">
        <v>15</v>
      </c>
      <c r="E132" s="783">
        <v>6</v>
      </c>
      <c r="F132" s="783">
        <v>10</v>
      </c>
      <c r="G132"/>
      <c r="H132"/>
      <c r="I132"/>
      <c r="J132"/>
      <c r="K132"/>
    </row>
    <row r="133" spans="2:11" ht="15.75" x14ac:dyDescent="0.25">
      <c r="B133" s="782" t="s">
        <v>464</v>
      </c>
      <c r="C133" s="783">
        <v>25</v>
      </c>
      <c r="D133" s="783">
        <v>98</v>
      </c>
      <c r="E133" s="783">
        <v>26</v>
      </c>
      <c r="F133" s="783">
        <v>51</v>
      </c>
      <c r="G133"/>
      <c r="H133"/>
      <c r="I133"/>
      <c r="J133"/>
      <c r="K133"/>
    </row>
    <row r="134" spans="2:11" ht="15.75" x14ac:dyDescent="0.25">
      <c r="B134" s="782" t="s">
        <v>878</v>
      </c>
      <c r="C134" s="783">
        <v>26</v>
      </c>
      <c r="D134" s="783">
        <v>8</v>
      </c>
      <c r="E134" s="783">
        <v>2</v>
      </c>
      <c r="F134" s="783">
        <v>4</v>
      </c>
      <c r="G134"/>
      <c r="H134"/>
      <c r="I134"/>
      <c r="J134"/>
      <c r="K134"/>
    </row>
    <row r="135" spans="2:11" ht="15.75" x14ac:dyDescent="0.25">
      <c r="B135"/>
      <c r="C135"/>
      <c r="D135"/>
      <c r="E135"/>
      <c r="F135"/>
      <c r="G135"/>
      <c r="H135"/>
      <c r="I135"/>
    </row>
    <row r="136" spans="2:11" x14ac:dyDescent="0.2">
      <c r="B136" s="21" t="s">
        <v>2173</v>
      </c>
      <c r="C136" s="375" t="s">
        <v>293</v>
      </c>
      <c r="D136" s="375" t="s">
        <v>296</v>
      </c>
      <c r="E136" s="375" t="s">
        <v>1379</v>
      </c>
      <c r="F136" s="375" t="s">
        <v>342</v>
      </c>
    </row>
    <row r="137" spans="2:11" x14ac:dyDescent="0.2">
      <c r="B137" s="21" t="s">
        <v>44</v>
      </c>
      <c r="C137" s="21">
        <f>GETPIVOTDATA("effective solid waste management system",$B$130,"State","Kachin","effective solid waste management system","Functional")</f>
        <v>112</v>
      </c>
      <c r="D137" s="21">
        <f>GETPIVOTDATA("effective solid waste management system",$B$130,"State","Kachin","effective solid waste management system","NA")</f>
        <v>15</v>
      </c>
      <c r="E137" s="21">
        <f>GETPIVOTDATA("effective solid waste management system",$B$130,"State","Kachin","effective solid waste management system","Not_Functional")</f>
        <v>6</v>
      </c>
      <c r="F137" s="21">
        <f>GETPIVOTDATA("effective solid waste management system",$B$130,"State","Kachin","effective solid waste management system","Not_inPlace")</f>
        <v>10</v>
      </c>
    </row>
    <row r="138" spans="2:11" x14ac:dyDescent="0.2">
      <c r="B138" s="21" t="s">
        <v>464</v>
      </c>
      <c r="C138" s="21">
        <f>GETPIVOTDATA("effective solid waste management system",$B$130,"State","Rakhine","effective solid waste management system","Functional")</f>
        <v>25</v>
      </c>
      <c r="D138" s="21">
        <f>GETPIVOTDATA("effective solid waste management system",$B$130,"State","Rakhine","effective solid waste management system","NA")</f>
        <v>98</v>
      </c>
      <c r="E138" s="21">
        <f>GETPIVOTDATA("effective solid waste management system",$B$130,"State","Rakhine","effective solid waste management system","Not_Functional")</f>
        <v>26</v>
      </c>
      <c r="F138" s="21">
        <f>GETPIVOTDATA("effective solid waste management system",$B$130,"State","Rakhine","effective solid waste management system","Not_inPlace")</f>
        <v>51</v>
      </c>
    </row>
    <row r="139" spans="2:11" x14ac:dyDescent="0.2">
      <c r="B139" s="21" t="s">
        <v>878</v>
      </c>
      <c r="C139" s="21">
        <f>GETPIVOTDATA("effective solid waste management system",$B$130,"State","Shan (North)","effective solid waste management system","Functional")</f>
        <v>26</v>
      </c>
      <c r="D139" s="21">
        <f>GETPIVOTDATA("effective solid waste management system",$B$130,"State","Shan (North)","effective solid waste management system","NA")</f>
        <v>8</v>
      </c>
      <c r="E139" s="21">
        <f>GETPIVOTDATA("effective solid waste management system",$B$130,"State","Shan (North)","effective solid waste management system","Not_Functional")</f>
        <v>2</v>
      </c>
      <c r="F139" s="21">
        <f>GETPIVOTDATA("effective solid waste management system",$B$130,"State","Shan (North)","effective solid waste management system","Not_inPlace")</f>
        <v>4</v>
      </c>
    </row>
    <row r="148" spans="1:25" ht="15.75" x14ac:dyDescent="0.25">
      <c r="B148"/>
      <c r="C148"/>
      <c r="D148"/>
    </row>
    <row r="149" spans="1:25" ht="18.75" x14ac:dyDescent="0.3">
      <c r="A149" s="377" t="s">
        <v>241</v>
      </c>
      <c r="B149" s="378"/>
      <c r="C149" s="378"/>
      <c r="D149" s="378"/>
      <c r="E149" s="378"/>
      <c r="F149" s="378"/>
      <c r="G149" s="378"/>
      <c r="H149" s="378"/>
      <c r="I149" s="378"/>
      <c r="J149" s="378"/>
      <c r="K149" s="378"/>
      <c r="L149" s="378"/>
      <c r="M149" s="378"/>
      <c r="N149" s="378"/>
      <c r="O149" s="378"/>
      <c r="P149" s="378"/>
      <c r="Q149" s="378"/>
      <c r="R149" s="378"/>
      <c r="S149" s="378"/>
      <c r="T149" s="378"/>
    </row>
    <row r="152" spans="1:25" ht="15.75" x14ac:dyDescent="0.25">
      <c r="B152" s="779" t="s">
        <v>24</v>
      </c>
      <c r="C152" s="780" t="s">
        <v>1409</v>
      </c>
      <c r="D152"/>
    </row>
    <row r="153" spans="1:25" ht="21" x14ac:dyDescent="0.35">
      <c r="B153" s="779" t="s">
        <v>40</v>
      </c>
      <c r="C153" s="780" t="s">
        <v>40</v>
      </c>
      <c r="J153" s="379" t="s">
        <v>44</v>
      </c>
      <c r="K153" s="348"/>
      <c r="L153" s="348"/>
      <c r="M153" s="75"/>
      <c r="Q153" s="379" t="s">
        <v>464</v>
      </c>
      <c r="X153" s="379" t="s">
        <v>2531</v>
      </c>
    </row>
    <row r="154" spans="1:25" x14ac:dyDescent="0.2">
      <c r="B154" s="779" t="s">
        <v>290</v>
      </c>
      <c r="C154" s="780" t="s">
        <v>2180</v>
      </c>
      <c r="D154" s="376"/>
      <c r="I154" s="375" t="s">
        <v>29</v>
      </c>
      <c r="K154" s="21">
        <f>GETPIVOTDATA("Sum of Total HH",$B$156,"State","Kachin")</f>
        <v>17456</v>
      </c>
      <c r="P154" s="375" t="s">
        <v>29</v>
      </c>
      <c r="R154" s="21">
        <f>GETPIVOTDATA("Sum of Total HH",$B$156,"State","Rakhine")</f>
        <v>23071</v>
      </c>
      <c r="W154" s="375" t="s">
        <v>29</v>
      </c>
      <c r="Y154" s="21">
        <f>GETPIVOTDATA("Sum of Total HH",$B$156,"State","Shan (North)")</f>
        <v>2019</v>
      </c>
    </row>
    <row r="156" spans="1:25" x14ac:dyDescent="0.2">
      <c r="B156" s="779" t="s">
        <v>2173</v>
      </c>
      <c r="C156" s="780" t="s">
        <v>2542</v>
      </c>
      <c r="D156" s="780" t="s">
        <v>2678</v>
      </c>
      <c r="E156" s="780" t="s">
        <v>2543</v>
      </c>
      <c r="F156" s="780" t="s">
        <v>2544</v>
      </c>
      <c r="G156" s="780" t="s">
        <v>2545</v>
      </c>
      <c r="J156" s="378" t="s">
        <v>40</v>
      </c>
      <c r="K156" s="378" t="s">
        <v>2192</v>
      </c>
      <c r="Q156" s="378" t="s">
        <v>40</v>
      </c>
      <c r="R156" s="378" t="s">
        <v>2192</v>
      </c>
      <c r="X156" s="378" t="s">
        <v>40</v>
      </c>
      <c r="Y156" s="378" t="s">
        <v>2192</v>
      </c>
    </row>
    <row r="157" spans="1:25" x14ac:dyDescent="0.2">
      <c r="B157" s="782" t="s">
        <v>44</v>
      </c>
      <c r="C157" s="833">
        <v>17456</v>
      </c>
      <c r="D157" s="783">
        <v>55466</v>
      </c>
      <c r="E157" s="833">
        <v>11287.399999999998</v>
      </c>
      <c r="F157" s="833">
        <v>3868</v>
      </c>
      <c r="G157" s="833">
        <v>995</v>
      </c>
      <c r="I157" s="375" t="s">
        <v>2546</v>
      </c>
      <c r="J157" s="718">
        <f>GETPIVOTDATA("Sum of # people reached by regular dedicated hygiene promotion_5",$B$156,"State","Kachin")/5</f>
        <v>11093.2</v>
      </c>
      <c r="K157" s="718">
        <f>$K$154-J157</f>
        <v>6362.7999999999993</v>
      </c>
      <c r="P157" s="375" t="s">
        <v>2546</v>
      </c>
      <c r="Q157" s="757">
        <f>GETPIVOTDATA("Sum of # people reached by regular dedicated hygiene promotion_5",$B$156,"State","Rakhine")/5</f>
        <v>18518.599999999999</v>
      </c>
      <c r="R157" s="757">
        <f>$R$154-Q157</f>
        <v>4552.4000000000015</v>
      </c>
      <c r="W157" s="375" t="s">
        <v>2546</v>
      </c>
      <c r="X157" s="76">
        <f>GETPIVOTDATA("Sum of # people reached by regular dedicated hygiene promotion_5",$B$156,"State","Shan (North)")/5</f>
        <v>1622.6</v>
      </c>
      <c r="Y157" s="76">
        <f>$Y$154-X157</f>
        <v>396.40000000000009</v>
      </c>
    </row>
    <row r="158" spans="1:25" x14ac:dyDescent="0.2">
      <c r="B158" s="782" t="s">
        <v>464</v>
      </c>
      <c r="C158" s="833">
        <v>23071</v>
      </c>
      <c r="D158" s="783">
        <v>92593</v>
      </c>
      <c r="E158" s="833">
        <v>8164.2</v>
      </c>
      <c r="F158" s="833">
        <v>18379</v>
      </c>
      <c r="G158" s="833">
        <v>19055</v>
      </c>
      <c r="I158" s="375" t="s">
        <v>2168</v>
      </c>
      <c r="J158" s="718">
        <f>GETPIVOTDATA("Sum of #HH with access to Hand Washing Station",$B$156,"State","Kachin")</f>
        <v>11287.399999999998</v>
      </c>
      <c r="K158" s="718">
        <f>$K$154-J158</f>
        <v>6168.6000000000022</v>
      </c>
      <c r="P158" s="375" t="s">
        <v>2168</v>
      </c>
      <c r="Q158" s="757">
        <f>GETPIVOTDATA("Sum of #HH with access to Hand Washing Station",$B$156,"State","Rakhine")</f>
        <v>8164.2</v>
      </c>
      <c r="R158" s="757">
        <f>$R$154-Q158</f>
        <v>14906.8</v>
      </c>
      <c r="W158" s="375" t="s">
        <v>2168</v>
      </c>
      <c r="X158" s="76">
        <f>GETPIVOTDATA("Sum of #HH with access to Hand Washing Station",$B$156,"State","Shan (North)")</f>
        <v>1172.7000000000003</v>
      </c>
      <c r="Y158" s="76">
        <f>$Y$154-X158</f>
        <v>846.29999999999973</v>
      </c>
    </row>
    <row r="159" spans="1:25" x14ac:dyDescent="0.2">
      <c r="B159" s="782" t="s">
        <v>878</v>
      </c>
      <c r="C159" s="833">
        <v>2019</v>
      </c>
      <c r="D159" s="783">
        <v>8113</v>
      </c>
      <c r="E159" s="833">
        <v>1172.7000000000003</v>
      </c>
      <c r="F159" s="833">
        <v>1110</v>
      </c>
      <c r="G159" s="833">
        <v>100</v>
      </c>
      <c r="I159" s="375" t="s">
        <v>2150</v>
      </c>
      <c r="J159" s="718">
        <f>GETPIVOTDATA("Sum of # HH received soaps",$B$156,"State","Kachin")</f>
        <v>3868</v>
      </c>
      <c r="K159" s="718">
        <f>$K$154-J159</f>
        <v>13588</v>
      </c>
      <c r="P159" s="375" t="s">
        <v>2150</v>
      </c>
      <c r="Q159" s="757">
        <f>GETPIVOTDATA("Sum of # HH received soaps",$B$156,"State","Rakhine")</f>
        <v>18379</v>
      </c>
      <c r="R159" s="757">
        <f>$R$154-Q159</f>
        <v>4692</v>
      </c>
      <c r="W159" s="375" t="s">
        <v>2150</v>
      </c>
      <c r="X159" s="76">
        <f>GETPIVOTDATA("Sum of # HH received soaps",$B$156,"State","Shan (North)")</f>
        <v>1110</v>
      </c>
      <c r="Y159" s="76">
        <f>$Y$154-X159</f>
        <v>909</v>
      </c>
    </row>
    <row r="160" spans="1:25" x14ac:dyDescent="0.2">
      <c r="B160" s="782" t="s">
        <v>2181</v>
      </c>
      <c r="C160" s="833">
        <v>42546</v>
      </c>
      <c r="D160" s="783">
        <v>156172</v>
      </c>
      <c r="E160" s="833">
        <v>20624.3</v>
      </c>
      <c r="F160" s="833">
        <v>23357</v>
      </c>
      <c r="G160" s="833">
        <v>20150</v>
      </c>
      <c r="I160" s="375" t="s">
        <v>2149</v>
      </c>
      <c r="J160" s="718">
        <f>GETPIVOTDATA("Sum of # HH received Sanitary Pads",$B$156,"State","Kachin")</f>
        <v>995</v>
      </c>
      <c r="K160" s="718">
        <f>$K$154-J160</f>
        <v>16461</v>
      </c>
      <c r="P160" s="375" t="s">
        <v>2149</v>
      </c>
      <c r="Q160" s="757">
        <f>GETPIVOTDATA("Sum of # HH received Sanitary Pads",$B$156,"State","Rakhine")</f>
        <v>19055</v>
      </c>
      <c r="R160" s="757">
        <f>$R$154-Q160</f>
        <v>4016</v>
      </c>
      <c r="W160" s="375" t="s">
        <v>2149</v>
      </c>
      <c r="X160" s="76">
        <f>GETPIVOTDATA("Sum of # HH received Sanitary Pads",$B$156,"State","Shan (North)")</f>
        <v>100</v>
      </c>
      <c r="Y160" s="76">
        <f>$Y$154-X160</f>
        <v>1919</v>
      </c>
    </row>
    <row r="161" spans="1:21" ht="15.75" x14ac:dyDescent="0.25">
      <c r="B161"/>
      <c r="C161"/>
      <c r="D161"/>
      <c r="Q161" s="76"/>
      <c r="R161" s="76"/>
    </row>
    <row r="162" spans="1:21" ht="15.75" x14ac:dyDescent="0.25">
      <c r="B162"/>
      <c r="C162"/>
      <c r="D162"/>
    </row>
    <row r="163" spans="1:21" ht="15.75" x14ac:dyDescent="0.25">
      <c r="B163"/>
      <c r="C163"/>
      <c r="D163"/>
    </row>
    <row r="164" spans="1:21" ht="15.75" x14ac:dyDescent="0.25">
      <c r="B164"/>
      <c r="C164"/>
      <c r="D164"/>
    </row>
    <row r="165" spans="1:21" ht="15.75" x14ac:dyDescent="0.25">
      <c r="B165"/>
      <c r="C165"/>
      <c r="D165"/>
    </row>
    <row r="166" spans="1:21" ht="15.75" x14ac:dyDescent="0.25">
      <c r="B166"/>
      <c r="C166"/>
      <c r="D166"/>
    </row>
    <row r="167" spans="1:21" ht="15.75" x14ac:dyDescent="0.25">
      <c r="B167"/>
      <c r="C167"/>
      <c r="D167"/>
    </row>
    <row r="168" spans="1:21" ht="15.75" x14ac:dyDescent="0.25">
      <c r="B168"/>
      <c r="C168"/>
      <c r="D168"/>
    </row>
    <row r="169" spans="1:21" ht="15.75" x14ac:dyDescent="0.25">
      <c r="B169"/>
      <c r="C169"/>
      <c r="D169"/>
    </row>
    <row r="170" spans="1:21" ht="15.75" x14ac:dyDescent="0.25">
      <c r="B170"/>
      <c r="C170"/>
      <c r="D170"/>
    </row>
    <row r="171" spans="1:21" ht="18.75" x14ac:dyDescent="0.3">
      <c r="A171" s="381" t="s">
        <v>2191</v>
      </c>
      <c r="B171" s="380"/>
      <c r="C171" s="380"/>
      <c r="D171" s="380"/>
      <c r="E171" s="380"/>
      <c r="F171" s="380"/>
      <c r="G171" s="381"/>
      <c r="H171" s="381"/>
      <c r="I171" s="381"/>
      <c r="J171" s="381"/>
      <c r="K171" s="381"/>
      <c r="L171" s="381"/>
      <c r="M171" s="381"/>
      <c r="N171" s="381"/>
      <c r="O171" s="381"/>
      <c r="P171" s="381"/>
      <c r="Q171" s="381"/>
      <c r="R171" s="381"/>
      <c r="S171" s="381"/>
      <c r="T171" s="381"/>
      <c r="U171" s="381"/>
    </row>
    <row r="172" spans="1:21" ht="15.75" x14ac:dyDescent="0.25">
      <c r="B172"/>
      <c r="C172"/>
      <c r="D172"/>
    </row>
    <row r="173" spans="1:21" ht="15.75" x14ac:dyDescent="0.25">
      <c r="B173"/>
      <c r="C173"/>
      <c r="D173"/>
    </row>
    <row r="174" spans="1:21" x14ac:dyDescent="0.2">
      <c r="C174" s="779" t="s">
        <v>24</v>
      </c>
      <c r="D174" s="780" t="s">
        <v>1409</v>
      </c>
      <c r="H174" s="779" t="s">
        <v>24</v>
      </c>
      <c r="I174" s="780" t="s">
        <v>1409</v>
      </c>
      <c r="N174" s="779" t="s">
        <v>24</v>
      </c>
      <c r="O174" s="780" t="s">
        <v>2525</v>
      </c>
    </row>
    <row r="175" spans="1:21" x14ac:dyDescent="0.2">
      <c r="C175" s="779" t="s">
        <v>26</v>
      </c>
      <c r="D175" s="780" t="s">
        <v>44</v>
      </c>
      <c r="H175" s="779" t="s">
        <v>26</v>
      </c>
      <c r="I175" s="780" t="s">
        <v>464</v>
      </c>
      <c r="N175" s="779" t="s">
        <v>26</v>
      </c>
      <c r="O175" s="780" t="s">
        <v>878</v>
      </c>
    </row>
    <row r="177" spans="1:21" x14ac:dyDescent="0.2">
      <c r="C177" s="779" t="s">
        <v>2536</v>
      </c>
      <c r="D177" s="779" t="s">
        <v>2528</v>
      </c>
      <c r="E177" s="780"/>
      <c r="H177" s="779" t="s">
        <v>2536</v>
      </c>
      <c r="I177" s="779" t="s">
        <v>2528</v>
      </c>
      <c r="J177" s="780"/>
      <c r="N177" s="779" t="s">
        <v>2536</v>
      </c>
      <c r="O177" s="779" t="s">
        <v>2528</v>
      </c>
      <c r="P177" s="780"/>
    </row>
    <row r="178" spans="1:21" x14ac:dyDescent="0.2">
      <c r="C178" s="779" t="s">
        <v>2173</v>
      </c>
      <c r="D178" s="780" t="s">
        <v>40</v>
      </c>
      <c r="E178" s="780" t="s">
        <v>2192</v>
      </c>
      <c r="H178" s="779" t="s">
        <v>2173</v>
      </c>
      <c r="I178" s="780" t="s">
        <v>40</v>
      </c>
      <c r="J178" s="780" t="s">
        <v>2192</v>
      </c>
      <c r="N178" s="779" t="s">
        <v>2173</v>
      </c>
      <c r="O178" s="780" t="s">
        <v>40</v>
      </c>
      <c r="P178" s="780" t="s">
        <v>2192</v>
      </c>
    </row>
    <row r="179" spans="1:21" x14ac:dyDescent="0.2">
      <c r="C179" s="782" t="s">
        <v>50</v>
      </c>
      <c r="D179" s="783">
        <v>117</v>
      </c>
      <c r="E179" s="783">
        <v>14</v>
      </c>
      <c r="H179" s="782" t="s">
        <v>50</v>
      </c>
      <c r="I179" s="783">
        <v>24</v>
      </c>
      <c r="J179" s="783">
        <v>1</v>
      </c>
      <c r="N179" s="782" t="s">
        <v>50</v>
      </c>
      <c r="O179" s="783">
        <v>33</v>
      </c>
      <c r="P179" s="783">
        <v>5</v>
      </c>
    </row>
    <row r="180" spans="1:21" x14ac:dyDescent="0.2">
      <c r="C180" s="782" t="s">
        <v>1951</v>
      </c>
      <c r="D180" s="783">
        <v>12</v>
      </c>
      <c r="E180" s="783"/>
      <c r="H180" s="782" t="s">
        <v>984</v>
      </c>
      <c r="I180" s="783">
        <v>59</v>
      </c>
      <c r="J180" s="783">
        <v>55</v>
      </c>
      <c r="N180" s="782" t="s">
        <v>1951</v>
      </c>
      <c r="O180" s="783">
        <v>2</v>
      </c>
      <c r="P180" s="783"/>
    </row>
    <row r="181" spans="1:21" ht="15.75" x14ac:dyDescent="0.25">
      <c r="C181"/>
      <c r="D181"/>
      <c r="E181"/>
      <c r="H181" s="782" t="s">
        <v>990</v>
      </c>
      <c r="I181" s="783">
        <v>61</v>
      </c>
      <c r="J181" s="783"/>
    </row>
    <row r="182" spans="1:21" ht="15.75" x14ac:dyDescent="0.25">
      <c r="H182"/>
      <c r="I182"/>
      <c r="J182"/>
    </row>
    <row r="187" spans="1:21" ht="18.75" x14ac:dyDescent="0.3">
      <c r="A187" s="774" t="s">
        <v>2734</v>
      </c>
      <c r="B187" s="775"/>
      <c r="C187" s="775"/>
      <c r="D187" s="775"/>
      <c r="E187" s="775"/>
      <c r="F187" s="775"/>
      <c r="G187" s="774"/>
      <c r="H187" s="774"/>
      <c r="I187" s="774"/>
      <c r="J187" s="774"/>
      <c r="K187" s="774"/>
      <c r="L187" s="774"/>
      <c r="M187" s="774"/>
      <c r="N187" s="774"/>
      <c r="O187" s="774"/>
      <c r="P187" s="774"/>
      <c r="Q187" s="774"/>
      <c r="R187" s="774"/>
      <c r="S187" s="774"/>
      <c r="T187" s="774"/>
      <c r="U187" s="774"/>
    </row>
    <row r="190" spans="1:21" x14ac:dyDescent="0.2">
      <c r="C190" s="779" t="s">
        <v>24</v>
      </c>
      <c r="D190" s="780" t="s">
        <v>1409</v>
      </c>
    </row>
    <row r="191" spans="1:21" x14ac:dyDescent="0.2">
      <c r="C191" s="779" t="s">
        <v>40</v>
      </c>
      <c r="D191" s="780" t="s">
        <v>2192</v>
      </c>
    </row>
    <row r="193" spans="3:11" x14ac:dyDescent="0.2">
      <c r="C193" s="779" t="s">
        <v>26</v>
      </c>
      <c r="D193" s="779" t="s">
        <v>27</v>
      </c>
      <c r="E193" s="779" t="s">
        <v>28</v>
      </c>
      <c r="F193" s="779" t="s">
        <v>35</v>
      </c>
      <c r="G193" s="780" t="s">
        <v>2729</v>
      </c>
      <c r="H193" s="780" t="s">
        <v>2730</v>
      </c>
      <c r="I193" s="780" t="s">
        <v>2731</v>
      </c>
      <c r="J193" s="780" t="s">
        <v>2732</v>
      </c>
      <c r="K193" s="780" t="s">
        <v>2733</v>
      </c>
    </row>
    <row r="194" spans="3:11" x14ac:dyDescent="0.2">
      <c r="C194" s="780" t="s">
        <v>44</v>
      </c>
      <c r="D194" s="780" t="s">
        <v>351</v>
      </c>
      <c r="E194" s="780" t="s">
        <v>1197</v>
      </c>
      <c r="F194" s="780" t="s">
        <v>956</v>
      </c>
      <c r="G194" s="832">
        <v>76</v>
      </c>
      <c r="H194" s="832">
        <v>256</v>
      </c>
      <c r="I194" s="824">
        <v>1</v>
      </c>
      <c r="J194" s="824">
        <v>1.015625</v>
      </c>
      <c r="K194" s="824">
        <v>1</v>
      </c>
    </row>
    <row r="195" spans="3:11" x14ac:dyDescent="0.2">
      <c r="C195" s="780"/>
      <c r="D195" s="780"/>
      <c r="E195" s="780" t="s">
        <v>1199</v>
      </c>
      <c r="F195" s="780" t="s">
        <v>50</v>
      </c>
      <c r="G195" s="832">
        <v>21</v>
      </c>
      <c r="H195" s="832">
        <v>95</v>
      </c>
      <c r="I195" s="824">
        <v>1</v>
      </c>
      <c r="J195" s="824">
        <v>1.0526315789473684</v>
      </c>
      <c r="K195" s="824">
        <v>1</v>
      </c>
    </row>
    <row r="196" spans="3:11" x14ac:dyDescent="0.2">
      <c r="C196" s="780"/>
      <c r="D196" s="780" t="s">
        <v>45</v>
      </c>
      <c r="E196" s="780" t="s">
        <v>1164</v>
      </c>
      <c r="F196" s="780" t="s">
        <v>956</v>
      </c>
      <c r="G196" s="832">
        <v>175</v>
      </c>
      <c r="H196" s="832">
        <v>834</v>
      </c>
      <c r="I196" s="824">
        <v>1</v>
      </c>
      <c r="J196" s="824">
        <v>1.0071942446043165</v>
      </c>
      <c r="K196" s="824">
        <v>1</v>
      </c>
    </row>
    <row r="197" spans="3:11" x14ac:dyDescent="0.2">
      <c r="C197" s="780"/>
      <c r="D197" s="780"/>
      <c r="E197" s="780" t="s">
        <v>1183</v>
      </c>
      <c r="F197" s="780" t="s">
        <v>956</v>
      </c>
      <c r="G197" s="832">
        <v>80</v>
      </c>
      <c r="H197" s="832">
        <v>290</v>
      </c>
      <c r="I197" s="824">
        <v>1</v>
      </c>
      <c r="J197" s="824">
        <v>1.0344827586206897</v>
      </c>
      <c r="K197" s="824">
        <v>1</v>
      </c>
    </row>
    <row r="198" spans="3:11" x14ac:dyDescent="0.2">
      <c r="C198" s="780"/>
      <c r="D198" s="780" t="s">
        <v>313</v>
      </c>
      <c r="E198" s="780" t="s">
        <v>1223</v>
      </c>
      <c r="F198" s="780" t="s">
        <v>956</v>
      </c>
      <c r="G198" s="832">
        <v>27</v>
      </c>
      <c r="H198" s="832">
        <v>121</v>
      </c>
      <c r="I198" s="824">
        <v>1</v>
      </c>
      <c r="J198" s="824">
        <v>0.99173553719008267</v>
      </c>
      <c r="K198" s="824">
        <v>1</v>
      </c>
    </row>
    <row r="199" spans="3:11" x14ac:dyDescent="0.2">
      <c r="C199" s="780"/>
      <c r="D199" s="780"/>
      <c r="E199" s="780" t="s">
        <v>1219</v>
      </c>
      <c r="F199" s="780" t="s">
        <v>956</v>
      </c>
      <c r="G199" s="832">
        <v>14</v>
      </c>
      <c r="H199" s="832">
        <v>63</v>
      </c>
      <c r="I199" s="824">
        <v>1</v>
      </c>
      <c r="J199" s="824">
        <v>0.95238095238095244</v>
      </c>
      <c r="K199" s="824">
        <v>1</v>
      </c>
    </row>
    <row r="200" spans="3:11" x14ac:dyDescent="0.2">
      <c r="C200" s="780"/>
      <c r="D200" s="780" t="s">
        <v>361</v>
      </c>
      <c r="E200" s="780" t="s">
        <v>1201</v>
      </c>
      <c r="F200" s="780" t="s">
        <v>956</v>
      </c>
      <c r="G200" s="832">
        <v>3</v>
      </c>
      <c r="H200" s="832">
        <v>18</v>
      </c>
      <c r="I200" s="824">
        <v>1</v>
      </c>
      <c r="J200" s="824">
        <v>1.1111111111111112</v>
      </c>
      <c r="K200" s="824">
        <v>1</v>
      </c>
    </row>
    <row r="201" spans="3:11" x14ac:dyDescent="0.2">
      <c r="C201" s="780"/>
      <c r="D201" s="780"/>
      <c r="E201" s="780" t="s">
        <v>1192</v>
      </c>
      <c r="F201" s="780" t="s">
        <v>956</v>
      </c>
      <c r="G201" s="832">
        <v>223</v>
      </c>
      <c r="H201" s="832">
        <v>1067</v>
      </c>
      <c r="I201" s="824">
        <v>1</v>
      </c>
      <c r="J201" s="824">
        <v>0.99343955014058105</v>
      </c>
      <c r="K201" s="824">
        <v>1</v>
      </c>
    </row>
    <row r="202" spans="3:11" x14ac:dyDescent="0.2">
      <c r="C202" s="780"/>
      <c r="D202" s="780"/>
      <c r="E202" s="780" t="s">
        <v>1203</v>
      </c>
      <c r="F202" s="780" t="s">
        <v>956</v>
      </c>
      <c r="G202" s="832">
        <v>47</v>
      </c>
      <c r="H202" s="832">
        <v>153</v>
      </c>
      <c r="I202" s="824">
        <v>1</v>
      </c>
      <c r="J202" s="824">
        <v>1.0457516339869282</v>
      </c>
      <c r="K202" s="824">
        <v>1</v>
      </c>
    </row>
    <row r="203" spans="3:11" x14ac:dyDescent="0.2">
      <c r="C203" s="780"/>
      <c r="D203" s="780" t="s">
        <v>329</v>
      </c>
      <c r="E203" s="780" t="s">
        <v>1264</v>
      </c>
      <c r="F203" s="780" t="s">
        <v>956</v>
      </c>
      <c r="G203" s="832">
        <v>10</v>
      </c>
      <c r="H203" s="832">
        <v>56</v>
      </c>
      <c r="I203" s="824">
        <v>1</v>
      </c>
      <c r="J203" s="824">
        <v>1.0714285714285714</v>
      </c>
      <c r="K203" s="824">
        <v>1</v>
      </c>
    </row>
    <row r="204" spans="3:11" x14ac:dyDescent="0.2">
      <c r="C204" s="780"/>
      <c r="D204" s="780"/>
      <c r="E204" s="780" t="s">
        <v>1270</v>
      </c>
      <c r="F204" s="780" t="s">
        <v>956</v>
      </c>
      <c r="G204" s="832">
        <v>14</v>
      </c>
      <c r="H204" s="832">
        <v>75</v>
      </c>
      <c r="I204" s="824">
        <v>1</v>
      </c>
      <c r="J204" s="824">
        <v>1.0666666666666667</v>
      </c>
      <c r="K204" s="824">
        <v>1</v>
      </c>
    </row>
    <row r="205" spans="3:11" x14ac:dyDescent="0.2">
      <c r="C205" s="780"/>
      <c r="D205" s="780" t="s">
        <v>370</v>
      </c>
      <c r="E205" s="780" t="s">
        <v>955</v>
      </c>
      <c r="F205" s="780" t="s">
        <v>956</v>
      </c>
      <c r="G205" s="832">
        <v>375</v>
      </c>
      <c r="H205" s="832">
        <v>1691</v>
      </c>
      <c r="I205" s="824">
        <v>1</v>
      </c>
      <c r="J205" s="824">
        <v>1.0053222945002958</v>
      </c>
      <c r="K205" s="824">
        <v>1</v>
      </c>
    </row>
    <row r="206" spans="3:11" x14ac:dyDescent="0.2">
      <c r="C206" s="780"/>
      <c r="D206" s="780" t="s">
        <v>340</v>
      </c>
      <c r="E206" s="780" t="s">
        <v>340</v>
      </c>
      <c r="F206" s="780" t="s">
        <v>961</v>
      </c>
      <c r="G206" s="832">
        <v>5</v>
      </c>
      <c r="H206" s="832">
        <v>32</v>
      </c>
      <c r="I206" s="824">
        <v>1</v>
      </c>
      <c r="J206" s="824">
        <v>1.25</v>
      </c>
      <c r="K206" s="824">
        <v>1</v>
      </c>
    </row>
    <row r="207" spans="3:11" x14ac:dyDescent="0.2">
      <c r="C207" s="780"/>
      <c r="D207" s="780" t="s">
        <v>298</v>
      </c>
      <c r="E207" s="780" t="s">
        <v>1233</v>
      </c>
      <c r="F207" s="780" t="s">
        <v>961</v>
      </c>
      <c r="G207" s="832">
        <v>62</v>
      </c>
      <c r="H207" s="832">
        <v>410</v>
      </c>
      <c r="I207" s="824">
        <v>0</v>
      </c>
      <c r="J207" s="824">
        <v>0.53658536585365857</v>
      </c>
      <c r="K207" s="824">
        <v>1</v>
      </c>
    </row>
    <row r="208" spans="3:11" x14ac:dyDescent="0.2">
      <c r="C208" s="780" t="s">
        <v>2568</v>
      </c>
      <c r="D208" s="780"/>
      <c r="E208" s="780"/>
      <c r="F208" s="780"/>
      <c r="G208" s="832">
        <v>1132</v>
      </c>
      <c r="H208" s="832">
        <v>5161</v>
      </c>
      <c r="I208" s="824">
        <v>0.9285714285714286</v>
      </c>
      <c r="J208" s="824">
        <v>1.0095968046736588</v>
      </c>
      <c r="K208" s="824">
        <v>1</v>
      </c>
    </row>
    <row r="209" spans="3:11" x14ac:dyDescent="0.2">
      <c r="C209" s="780" t="s">
        <v>464</v>
      </c>
      <c r="D209" s="780" t="s">
        <v>530</v>
      </c>
      <c r="E209" s="780" t="s">
        <v>540</v>
      </c>
      <c r="F209" s="780" t="s">
        <v>1007</v>
      </c>
      <c r="G209" s="832">
        <v>65</v>
      </c>
      <c r="H209" s="832">
        <v>211</v>
      </c>
      <c r="I209" s="824">
        <v>0</v>
      </c>
      <c r="J209" s="824">
        <v>0</v>
      </c>
      <c r="K209" s="824">
        <v>1</v>
      </c>
    </row>
    <row r="210" spans="3:11" x14ac:dyDescent="0.2">
      <c r="C210" s="780"/>
      <c r="D210" s="780" t="s">
        <v>473</v>
      </c>
      <c r="E210" s="780" t="s">
        <v>474</v>
      </c>
      <c r="F210" s="780" t="s">
        <v>984</v>
      </c>
      <c r="G210" s="832">
        <v>167</v>
      </c>
      <c r="H210" s="832">
        <v>836</v>
      </c>
      <c r="I210" s="824">
        <v>1</v>
      </c>
      <c r="J210" s="824">
        <v>0.61722488038277512</v>
      </c>
      <c r="K210" s="824">
        <v>1</v>
      </c>
    </row>
    <row r="211" spans="3:11" x14ac:dyDescent="0.2">
      <c r="C211" s="780"/>
      <c r="D211" s="780"/>
      <c r="E211" s="780" t="s">
        <v>744</v>
      </c>
      <c r="F211" s="780" t="s">
        <v>1069</v>
      </c>
      <c r="G211" s="832">
        <v>92</v>
      </c>
      <c r="H211" s="832">
        <v>559</v>
      </c>
      <c r="I211" s="824">
        <v>1</v>
      </c>
      <c r="J211" s="824">
        <v>0</v>
      </c>
      <c r="K211" s="824">
        <v>1</v>
      </c>
    </row>
    <row r="212" spans="3:11" x14ac:dyDescent="0.2">
      <c r="C212" s="780"/>
      <c r="D212" s="780"/>
      <c r="E212" s="780" t="s">
        <v>876</v>
      </c>
      <c r="F212" s="780" t="s">
        <v>984</v>
      </c>
      <c r="G212" s="832">
        <v>175</v>
      </c>
      <c r="H212" s="832">
        <v>855</v>
      </c>
      <c r="I212" s="824">
        <v>1</v>
      </c>
      <c r="J212" s="824">
        <v>1.0035087719298246</v>
      </c>
      <c r="K212" s="824">
        <v>1</v>
      </c>
    </row>
    <row r="213" spans="3:11" x14ac:dyDescent="0.2">
      <c r="C213" s="780"/>
      <c r="D213" s="780"/>
      <c r="E213" s="780" t="s">
        <v>692</v>
      </c>
      <c r="F213" s="780" t="s">
        <v>984</v>
      </c>
      <c r="G213" s="832">
        <v>165</v>
      </c>
      <c r="H213" s="832">
        <v>786</v>
      </c>
      <c r="I213" s="824">
        <v>1</v>
      </c>
      <c r="J213" s="824">
        <v>1</v>
      </c>
      <c r="K213" s="824">
        <v>1</v>
      </c>
    </row>
    <row r="214" spans="3:11" x14ac:dyDescent="0.2">
      <c r="C214" s="780"/>
      <c r="D214" s="780"/>
      <c r="E214" s="780" t="s">
        <v>734</v>
      </c>
      <c r="F214" s="780" t="s">
        <v>1069</v>
      </c>
      <c r="G214" s="832">
        <v>116</v>
      </c>
      <c r="H214" s="832">
        <v>802</v>
      </c>
      <c r="I214" s="824">
        <v>1</v>
      </c>
      <c r="J214" s="824">
        <v>0.70324189526184544</v>
      </c>
      <c r="K214" s="824">
        <v>1</v>
      </c>
    </row>
    <row r="215" spans="3:11" x14ac:dyDescent="0.2">
      <c r="C215" s="780"/>
      <c r="D215" s="780"/>
      <c r="E215" s="780" t="s">
        <v>732</v>
      </c>
      <c r="F215" s="780" t="s">
        <v>984</v>
      </c>
      <c r="G215" s="832">
        <v>314</v>
      </c>
      <c r="H215" s="832">
        <v>1569</v>
      </c>
      <c r="I215" s="824">
        <v>1</v>
      </c>
      <c r="J215" s="824">
        <v>0.39005736137667302</v>
      </c>
      <c r="K215" s="824">
        <v>1</v>
      </c>
    </row>
    <row r="216" spans="3:11" x14ac:dyDescent="0.2">
      <c r="C216" s="780"/>
      <c r="D216" s="780"/>
      <c r="E216" s="780" t="s">
        <v>823</v>
      </c>
      <c r="F216" s="780" t="s">
        <v>1007</v>
      </c>
      <c r="G216" s="832">
        <v>97</v>
      </c>
      <c r="H216" s="832">
        <v>557</v>
      </c>
      <c r="I216" s="824">
        <v>1</v>
      </c>
      <c r="J216" s="824">
        <v>0</v>
      </c>
      <c r="K216" s="824">
        <v>1</v>
      </c>
    </row>
    <row r="217" spans="3:11" x14ac:dyDescent="0.2">
      <c r="C217" s="780"/>
      <c r="D217" s="780"/>
      <c r="E217" s="780" t="s">
        <v>877</v>
      </c>
      <c r="F217" s="780" t="s">
        <v>984</v>
      </c>
      <c r="G217" s="832">
        <v>130</v>
      </c>
      <c r="H217" s="832">
        <v>664</v>
      </c>
      <c r="I217" s="824">
        <v>1</v>
      </c>
      <c r="J217" s="824">
        <v>1.0030120481927711</v>
      </c>
      <c r="K217" s="824">
        <v>1</v>
      </c>
    </row>
    <row r="218" spans="3:11" x14ac:dyDescent="0.2">
      <c r="C218" s="780"/>
      <c r="D218" s="780"/>
      <c r="E218" s="780" t="s">
        <v>875</v>
      </c>
      <c r="F218" s="780" t="s">
        <v>984</v>
      </c>
      <c r="G218" s="832">
        <v>289</v>
      </c>
      <c r="H218" s="832">
        <v>1419</v>
      </c>
      <c r="I218" s="824">
        <v>1</v>
      </c>
      <c r="J218" s="824">
        <v>1.0021141649048626</v>
      </c>
      <c r="K218" s="824">
        <v>1</v>
      </c>
    </row>
    <row r="219" spans="3:11" x14ac:dyDescent="0.2">
      <c r="C219" s="780"/>
      <c r="D219" s="780"/>
      <c r="E219" s="780" t="s">
        <v>788</v>
      </c>
      <c r="F219" s="780" t="s">
        <v>1069</v>
      </c>
      <c r="G219" s="832">
        <v>18</v>
      </c>
      <c r="H219" s="832">
        <v>157</v>
      </c>
      <c r="I219" s="824">
        <v>1</v>
      </c>
      <c r="J219" s="824">
        <v>0</v>
      </c>
      <c r="K219" s="824">
        <v>1</v>
      </c>
    </row>
    <row r="220" spans="3:11" x14ac:dyDescent="0.2">
      <c r="C220" s="780"/>
      <c r="D220" s="780"/>
      <c r="E220" s="780" t="s">
        <v>835</v>
      </c>
      <c r="F220" s="780" t="s">
        <v>984</v>
      </c>
      <c r="G220" s="832">
        <v>167</v>
      </c>
      <c r="H220" s="832">
        <v>833</v>
      </c>
      <c r="I220" s="824">
        <v>0.69987995198079234</v>
      </c>
      <c r="J220" s="824">
        <v>1.0012004801920769</v>
      </c>
      <c r="K220" s="824">
        <v>1</v>
      </c>
    </row>
    <row r="221" spans="3:11" x14ac:dyDescent="0.2">
      <c r="C221" s="780"/>
      <c r="D221" s="780"/>
      <c r="E221" s="780" t="s">
        <v>873</v>
      </c>
      <c r="F221" s="780" t="s">
        <v>984</v>
      </c>
      <c r="G221" s="832">
        <v>118</v>
      </c>
      <c r="H221" s="832">
        <v>665</v>
      </c>
      <c r="I221" s="824">
        <v>1</v>
      </c>
      <c r="J221" s="824">
        <v>1.0015037593984963</v>
      </c>
      <c r="K221" s="824">
        <v>1</v>
      </c>
    </row>
    <row r="222" spans="3:11" x14ac:dyDescent="0.2">
      <c r="C222" s="780"/>
      <c r="D222" s="780"/>
      <c r="E222" s="780" t="s">
        <v>514</v>
      </c>
      <c r="F222" s="780" t="s">
        <v>984</v>
      </c>
      <c r="G222" s="832">
        <v>395</v>
      </c>
      <c r="H222" s="832">
        <v>1687</v>
      </c>
      <c r="I222" s="824">
        <v>1</v>
      </c>
      <c r="J222" s="824">
        <v>0.99940723177237689</v>
      </c>
      <c r="K222" s="824">
        <v>1</v>
      </c>
    </row>
    <row r="223" spans="3:11" x14ac:dyDescent="0.2">
      <c r="C223" s="780"/>
      <c r="D223" s="780"/>
      <c r="E223" s="780" t="s">
        <v>771</v>
      </c>
      <c r="F223" s="780" t="s">
        <v>1069</v>
      </c>
      <c r="G223" s="832">
        <v>144</v>
      </c>
      <c r="H223" s="832">
        <v>1006</v>
      </c>
      <c r="I223" s="824">
        <v>1</v>
      </c>
      <c r="J223" s="824">
        <v>0.80516898608349907</v>
      </c>
      <c r="K223" s="824">
        <v>1</v>
      </c>
    </row>
    <row r="224" spans="3:11" x14ac:dyDescent="0.2">
      <c r="C224" s="780"/>
      <c r="D224" s="780"/>
      <c r="E224" s="780" t="s">
        <v>773</v>
      </c>
      <c r="F224" s="780" t="s">
        <v>984</v>
      </c>
      <c r="G224" s="832">
        <v>233</v>
      </c>
      <c r="H224" s="832">
        <v>1163</v>
      </c>
      <c r="I224" s="824">
        <v>1</v>
      </c>
      <c r="J224" s="824">
        <v>0.79965606190885641</v>
      </c>
      <c r="K224" s="824">
        <v>1</v>
      </c>
    </row>
    <row r="225" spans="3:11" x14ac:dyDescent="0.2">
      <c r="C225" s="780"/>
      <c r="D225" s="780"/>
      <c r="E225" s="780" t="s">
        <v>792</v>
      </c>
      <c r="F225" s="780" t="s">
        <v>984</v>
      </c>
      <c r="G225" s="832">
        <v>181</v>
      </c>
      <c r="H225" s="832">
        <v>907</v>
      </c>
      <c r="I225" s="824">
        <v>1</v>
      </c>
      <c r="J225" s="824">
        <v>0.72767364939360535</v>
      </c>
      <c r="K225" s="824">
        <v>1</v>
      </c>
    </row>
    <row r="226" spans="3:11" x14ac:dyDescent="0.2">
      <c r="C226" s="780"/>
      <c r="D226" s="780"/>
      <c r="E226" s="780" t="s">
        <v>751</v>
      </c>
      <c r="F226" s="780" t="s">
        <v>1069</v>
      </c>
      <c r="G226" s="832">
        <v>112</v>
      </c>
      <c r="H226" s="832">
        <v>738</v>
      </c>
      <c r="I226" s="824">
        <v>1</v>
      </c>
      <c r="J226" s="824">
        <v>0.4065040650406504</v>
      </c>
      <c r="K226" s="824">
        <v>1</v>
      </c>
    </row>
    <row r="227" spans="3:11" x14ac:dyDescent="0.2">
      <c r="C227" s="780"/>
      <c r="D227" s="780"/>
      <c r="E227" s="780" t="s">
        <v>747</v>
      </c>
      <c r="F227" s="780" t="s">
        <v>984</v>
      </c>
      <c r="G227" s="832">
        <v>139</v>
      </c>
      <c r="H227" s="832">
        <v>695</v>
      </c>
      <c r="I227" s="824">
        <v>1</v>
      </c>
      <c r="J227" s="824">
        <v>0.37122302158273385</v>
      </c>
      <c r="K227" s="824">
        <v>1</v>
      </c>
    </row>
    <row r="228" spans="3:11" x14ac:dyDescent="0.2">
      <c r="C228" s="780"/>
      <c r="D228" s="780" t="s">
        <v>483</v>
      </c>
      <c r="E228" s="780" t="s">
        <v>640</v>
      </c>
      <c r="F228" s="780" t="s">
        <v>984</v>
      </c>
      <c r="G228" s="832">
        <v>124</v>
      </c>
      <c r="H228" s="832">
        <v>479</v>
      </c>
      <c r="I228" s="824">
        <v>1</v>
      </c>
      <c r="J228" s="824">
        <v>0.90187891440501045</v>
      </c>
      <c r="K228" s="824">
        <v>1</v>
      </c>
    </row>
    <row r="229" spans="3:11" x14ac:dyDescent="0.2">
      <c r="C229" s="780"/>
      <c r="D229" s="780"/>
      <c r="E229" s="780" t="s">
        <v>484</v>
      </c>
      <c r="F229" s="780" t="s">
        <v>984</v>
      </c>
      <c r="G229" s="832">
        <v>178</v>
      </c>
      <c r="H229" s="832">
        <v>763</v>
      </c>
      <c r="I229" s="824">
        <v>1</v>
      </c>
      <c r="J229" s="824">
        <v>0.95937090432503269</v>
      </c>
      <c r="K229" s="824">
        <v>1</v>
      </c>
    </row>
    <row r="230" spans="3:11" x14ac:dyDescent="0.2">
      <c r="C230" s="780"/>
      <c r="D230" s="780"/>
      <c r="E230" s="780" t="s">
        <v>642</v>
      </c>
      <c r="F230" s="780" t="s">
        <v>984</v>
      </c>
      <c r="G230" s="832">
        <v>42</v>
      </c>
      <c r="H230" s="832">
        <v>183</v>
      </c>
      <c r="I230" s="824">
        <v>0</v>
      </c>
      <c r="J230" s="824">
        <v>1.0163934426229508</v>
      </c>
      <c r="K230" s="824">
        <v>1</v>
      </c>
    </row>
    <row r="231" spans="3:11" x14ac:dyDescent="0.2">
      <c r="C231" s="780"/>
      <c r="D231" s="780"/>
      <c r="E231" s="780" t="s">
        <v>622</v>
      </c>
      <c r="F231" s="780" t="s">
        <v>984</v>
      </c>
      <c r="G231" s="832">
        <v>415</v>
      </c>
      <c r="H231" s="832">
        <v>1628</v>
      </c>
      <c r="I231" s="824">
        <v>1</v>
      </c>
      <c r="J231" s="824">
        <v>0.83292383292383299</v>
      </c>
      <c r="K231" s="824">
        <v>1</v>
      </c>
    </row>
    <row r="232" spans="3:11" x14ac:dyDescent="0.2">
      <c r="C232" s="780"/>
      <c r="D232" s="780"/>
      <c r="E232" s="780" t="s">
        <v>643</v>
      </c>
      <c r="F232" s="780" t="s">
        <v>1069</v>
      </c>
      <c r="G232" s="832">
        <v>150</v>
      </c>
      <c r="H232" s="832">
        <v>730</v>
      </c>
      <c r="I232" s="824">
        <v>0.31506849315068497</v>
      </c>
      <c r="J232" s="824">
        <v>0.55068493150684927</v>
      </c>
      <c r="K232" s="824">
        <v>1</v>
      </c>
    </row>
    <row r="233" spans="3:11" x14ac:dyDescent="0.2">
      <c r="C233" s="780"/>
      <c r="D233" s="780"/>
      <c r="E233" s="780" t="s">
        <v>668</v>
      </c>
      <c r="F233" s="780" t="s">
        <v>984</v>
      </c>
      <c r="G233" s="832">
        <v>175</v>
      </c>
      <c r="H233" s="832">
        <v>659</v>
      </c>
      <c r="I233" s="824">
        <v>0.24127465857359631</v>
      </c>
      <c r="J233" s="824">
        <v>0.89226100151745069</v>
      </c>
      <c r="K233" s="824">
        <v>1</v>
      </c>
    </row>
    <row r="234" spans="3:11" x14ac:dyDescent="0.2">
      <c r="C234" s="780"/>
      <c r="D234" s="780"/>
      <c r="E234" s="780" t="s">
        <v>641</v>
      </c>
      <c r="F234" s="780" t="s">
        <v>984</v>
      </c>
      <c r="G234" s="832">
        <v>41</v>
      </c>
      <c r="H234" s="832">
        <v>146</v>
      </c>
      <c r="I234" s="824">
        <v>0</v>
      </c>
      <c r="J234" s="824">
        <v>0.90410958904109595</v>
      </c>
      <c r="K234" s="824">
        <v>1</v>
      </c>
    </row>
    <row r="235" spans="3:11" x14ac:dyDescent="0.2">
      <c r="C235" s="780"/>
      <c r="D235" s="780"/>
      <c r="E235" s="780" t="s">
        <v>638</v>
      </c>
      <c r="F235" s="780" t="s">
        <v>1069</v>
      </c>
      <c r="G235" s="832">
        <v>280</v>
      </c>
      <c r="H235" s="832">
        <v>1423</v>
      </c>
      <c r="I235" s="824">
        <v>0.64862965565706254</v>
      </c>
      <c r="J235" s="824">
        <v>0.74631061138439914</v>
      </c>
      <c r="K235" s="824">
        <v>1</v>
      </c>
    </row>
    <row r="236" spans="3:11" x14ac:dyDescent="0.2">
      <c r="C236" s="780"/>
      <c r="D236" s="780" t="s">
        <v>649</v>
      </c>
      <c r="E236" s="780" t="s">
        <v>726</v>
      </c>
      <c r="F236" s="780" t="s">
        <v>984</v>
      </c>
      <c r="G236" s="832">
        <v>146</v>
      </c>
      <c r="H236" s="832">
        <v>731</v>
      </c>
      <c r="I236" s="824">
        <v>0.65800273597811221</v>
      </c>
      <c r="J236" s="824">
        <v>0.96032831737346103</v>
      </c>
      <c r="K236" s="824">
        <v>1</v>
      </c>
    </row>
    <row r="237" spans="3:11" x14ac:dyDescent="0.2">
      <c r="C237" s="780"/>
      <c r="D237" s="780"/>
      <c r="E237" s="780" t="s">
        <v>661</v>
      </c>
      <c r="F237" s="780" t="s">
        <v>984</v>
      </c>
      <c r="G237" s="832">
        <v>23</v>
      </c>
      <c r="H237" s="832">
        <v>117</v>
      </c>
      <c r="I237" s="824">
        <v>0</v>
      </c>
      <c r="J237" s="824">
        <v>1.0256410256410255</v>
      </c>
      <c r="K237" s="824">
        <v>1</v>
      </c>
    </row>
    <row r="238" spans="3:11" x14ac:dyDescent="0.2">
      <c r="C238" s="780"/>
      <c r="D238" s="780"/>
      <c r="E238" s="780" t="s">
        <v>652</v>
      </c>
      <c r="F238" s="780" t="s">
        <v>984</v>
      </c>
      <c r="G238" s="832">
        <v>44</v>
      </c>
      <c r="H238" s="832">
        <v>221</v>
      </c>
      <c r="I238" s="824">
        <v>0</v>
      </c>
      <c r="J238" s="824">
        <v>0.92307692307692302</v>
      </c>
      <c r="K238" s="824">
        <v>1</v>
      </c>
    </row>
    <row r="239" spans="3:11" x14ac:dyDescent="0.2">
      <c r="C239" s="780"/>
      <c r="D239" s="780"/>
      <c r="E239" s="780" t="s">
        <v>650</v>
      </c>
      <c r="F239" s="780" t="s">
        <v>984</v>
      </c>
      <c r="G239" s="832">
        <v>161</v>
      </c>
      <c r="H239" s="832">
        <v>807</v>
      </c>
      <c r="I239" s="824">
        <v>0.69021065675340765</v>
      </c>
      <c r="J239" s="824">
        <v>0.97397769516728627</v>
      </c>
      <c r="K239" s="824">
        <v>1</v>
      </c>
    </row>
    <row r="240" spans="3:11" x14ac:dyDescent="0.2">
      <c r="C240" s="780"/>
      <c r="D240" s="780"/>
      <c r="E240" s="780" t="s">
        <v>727</v>
      </c>
      <c r="F240" s="780" t="s">
        <v>984</v>
      </c>
      <c r="G240" s="832">
        <v>211</v>
      </c>
      <c r="H240" s="832">
        <v>1055</v>
      </c>
      <c r="I240" s="824">
        <v>0.76303317535545023</v>
      </c>
      <c r="J240" s="824">
        <v>0.97251184834123217</v>
      </c>
      <c r="K240" s="824">
        <v>1</v>
      </c>
    </row>
    <row r="241" spans="3:11" x14ac:dyDescent="0.2">
      <c r="C241" s="780"/>
      <c r="D241" s="780" t="s">
        <v>630</v>
      </c>
      <c r="E241" s="780" t="s">
        <v>662</v>
      </c>
      <c r="F241" s="780" t="s">
        <v>984</v>
      </c>
      <c r="G241" s="832">
        <v>72</v>
      </c>
      <c r="H241" s="832">
        <v>360</v>
      </c>
      <c r="I241" s="824">
        <v>1</v>
      </c>
      <c r="J241" s="824">
        <v>0.91666666666666663</v>
      </c>
      <c r="K241" s="824">
        <v>1</v>
      </c>
    </row>
    <row r="242" spans="3:11" x14ac:dyDescent="0.2">
      <c r="C242" s="780"/>
      <c r="D242" s="780"/>
      <c r="E242" s="780" t="s">
        <v>686</v>
      </c>
      <c r="F242" s="780" t="s">
        <v>984</v>
      </c>
      <c r="G242" s="832">
        <v>324</v>
      </c>
      <c r="H242" s="832">
        <v>1618</v>
      </c>
      <c r="I242" s="824">
        <v>1</v>
      </c>
      <c r="J242" s="824">
        <v>0.83436341161928296</v>
      </c>
      <c r="K242" s="824">
        <v>1</v>
      </c>
    </row>
    <row r="243" spans="3:11" x14ac:dyDescent="0.2">
      <c r="C243" s="780"/>
      <c r="D243" s="780"/>
      <c r="E243" s="780" t="s">
        <v>687</v>
      </c>
      <c r="F243" s="780" t="s">
        <v>984</v>
      </c>
      <c r="G243" s="832">
        <v>149</v>
      </c>
      <c r="H243" s="832">
        <v>747</v>
      </c>
      <c r="I243" s="824">
        <v>1</v>
      </c>
      <c r="J243" s="824">
        <v>1.0040160642570282</v>
      </c>
      <c r="K243" s="824">
        <v>1</v>
      </c>
    </row>
    <row r="244" spans="3:11" x14ac:dyDescent="0.2">
      <c r="C244" s="780"/>
      <c r="D244" s="780"/>
      <c r="E244" s="780" t="s">
        <v>693</v>
      </c>
      <c r="F244" s="780" t="s">
        <v>984</v>
      </c>
      <c r="G244" s="832">
        <v>83</v>
      </c>
      <c r="H244" s="832">
        <v>417</v>
      </c>
      <c r="I244" s="824">
        <v>1</v>
      </c>
      <c r="J244" s="824">
        <v>0.86330935251798557</v>
      </c>
      <c r="K244" s="824">
        <v>1</v>
      </c>
    </row>
    <row r="245" spans="3:11" x14ac:dyDescent="0.2">
      <c r="C245" s="780"/>
      <c r="D245" s="780"/>
      <c r="E245" s="780" t="s">
        <v>659</v>
      </c>
      <c r="F245" s="780" t="s">
        <v>984</v>
      </c>
      <c r="G245" s="832">
        <v>130</v>
      </c>
      <c r="H245" s="832">
        <v>650</v>
      </c>
      <c r="I245" s="824">
        <v>1</v>
      </c>
      <c r="J245" s="824">
        <v>0.7846153846153846</v>
      </c>
      <c r="K245" s="824">
        <v>1</v>
      </c>
    </row>
    <row r="246" spans="3:11" x14ac:dyDescent="0.2">
      <c r="C246" s="780"/>
      <c r="D246" s="780"/>
      <c r="E246" s="780" t="s">
        <v>688</v>
      </c>
      <c r="F246" s="780" t="s">
        <v>984</v>
      </c>
      <c r="G246" s="832">
        <v>82</v>
      </c>
      <c r="H246" s="832">
        <v>408</v>
      </c>
      <c r="I246" s="824">
        <v>1</v>
      </c>
      <c r="J246" s="824">
        <v>1</v>
      </c>
      <c r="K246" s="824">
        <v>1</v>
      </c>
    </row>
    <row r="247" spans="3:11" x14ac:dyDescent="0.2">
      <c r="C247" s="780"/>
      <c r="D247" s="780"/>
      <c r="E247" s="780" t="s">
        <v>685</v>
      </c>
      <c r="F247" s="780" t="s">
        <v>984</v>
      </c>
      <c r="G247" s="832">
        <v>246</v>
      </c>
      <c r="H247" s="832">
        <v>1232</v>
      </c>
      <c r="I247" s="824">
        <v>1</v>
      </c>
      <c r="J247" s="824">
        <v>0.79383116883116878</v>
      </c>
      <c r="K247" s="824">
        <v>1</v>
      </c>
    </row>
    <row r="248" spans="3:11" x14ac:dyDescent="0.2">
      <c r="C248" s="780"/>
      <c r="D248" s="780"/>
      <c r="E248" s="780" t="s">
        <v>631</v>
      </c>
      <c r="F248" s="780" t="s">
        <v>984</v>
      </c>
      <c r="G248" s="832">
        <v>362</v>
      </c>
      <c r="H248" s="832">
        <v>1811</v>
      </c>
      <c r="I248" s="824">
        <v>0.44781888459414687</v>
      </c>
      <c r="J248" s="824">
        <v>0.53340695748205413</v>
      </c>
      <c r="K248" s="824">
        <v>1</v>
      </c>
    </row>
    <row r="249" spans="3:11" x14ac:dyDescent="0.2">
      <c r="C249" s="780"/>
      <c r="D249" s="780"/>
      <c r="E249" s="780" t="s">
        <v>634</v>
      </c>
      <c r="F249" s="780" t="s">
        <v>984</v>
      </c>
      <c r="G249" s="832">
        <v>139</v>
      </c>
      <c r="H249" s="832">
        <v>695</v>
      </c>
      <c r="I249" s="824">
        <v>1</v>
      </c>
      <c r="J249" s="824">
        <v>0.62158273381294971</v>
      </c>
      <c r="K249" s="824">
        <v>1</v>
      </c>
    </row>
    <row r="250" spans="3:11" x14ac:dyDescent="0.2">
      <c r="C250" s="780"/>
      <c r="D250" s="780"/>
      <c r="E250" s="780" t="s">
        <v>665</v>
      </c>
      <c r="F250" s="780" t="s">
        <v>984</v>
      </c>
      <c r="G250" s="832">
        <v>91</v>
      </c>
      <c r="H250" s="832">
        <v>456</v>
      </c>
      <c r="I250" s="824">
        <v>1</v>
      </c>
      <c r="J250" s="824">
        <v>0.92105263157894735</v>
      </c>
      <c r="K250" s="824">
        <v>1</v>
      </c>
    </row>
    <row r="251" spans="3:11" x14ac:dyDescent="0.2">
      <c r="C251" s="780"/>
      <c r="D251" s="780"/>
      <c r="E251" s="780" t="s">
        <v>637</v>
      </c>
      <c r="F251" s="780" t="s">
        <v>984</v>
      </c>
      <c r="G251" s="832">
        <v>97</v>
      </c>
      <c r="H251" s="832">
        <v>487</v>
      </c>
      <c r="I251" s="824">
        <v>1</v>
      </c>
      <c r="J251" s="824">
        <v>0.93634496919917864</v>
      </c>
      <c r="K251" s="824">
        <v>1</v>
      </c>
    </row>
    <row r="252" spans="3:11" x14ac:dyDescent="0.2">
      <c r="C252" s="780"/>
      <c r="D252" s="780"/>
      <c r="E252" s="780" t="s">
        <v>664</v>
      </c>
      <c r="F252" s="780" t="s">
        <v>984</v>
      </c>
      <c r="G252" s="832">
        <v>26</v>
      </c>
      <c r="H252" s="832">
        <v>130</v>
      </c>
      <c r="I252" s="824">
        <v>1</v>
      </c>
      <c r="J252" s="824">
        <v>0.7846153846153846</v>
      </c>
      <c r="K252" s="824">
        <v>1</v>
      </c>
    </row>
    <row r="253" spans="3:11" x14ac:dyDescent="0.2">
      <c r="C253" s="780"/>
      <c r="D253" s="780"/>
      <c r="E253" s="780" t="s">
        <v>678</v>
      </c>
      <c r="F253" s="780" t="s">
        <v>984</v>
      </c>
      <c r="G253" s="832">
        <v>97</v>
      </c>
      <c r="H253" s="832">
        <v>484</v>
      </c>
      <c r="I253" s="824">
        <v>1</v>
      </c>
      <c r="J253" s="824">
        <v>0.8801652892561983</v>
      </c>
      <c r="K253" s="824">
        <v>1</v>
      </c>
    </row>
    <row r="254" spans="3:11" x14ac:dyDescent="0.2">
      <c r="C254" s="780"/>
      <c r="D254" s="780"/>
      <c r="E254" s="780" t="s">
        <v>646</v>
      </c>
      <c r="F254" s="780" t="s">
        <v>984</v>
      </c>
      <c r="G254" s="832">
        <v>291</v>
      </c>
      <c r="H254" s="832">
        <v>1455</v>
      </c>
      <c r="I254" s="824">
        <v>1</v>
      </c>
      <c r="J254" s="824">
        <v>0.8206185567010309</v>
      </c>
      <c r="K254" s="824">
        <v>1</v>
      </c>
    </row>
    <row r="255" spans="3:11" x14ac:dyDescent="0.2">
      <c r="C255" s="780"/>
      <c r="D255" s="780" t="s">
        <v>508</v>
      </c>
      <c r="E255" s="780" t="s">
        <v>644</v>
      </c>
      <c r="F255" s="780" t="s">
        <v>1069</v>
      </c>
      <c r="G255" s="832">
        <v>425</v>
      </c>
      <c r="H255" s="832">
        <v>2552</v>
      </c>
      <c r="I255" s="824">
        <v>0</v>
      </c>
      <c r="J255" s="824">
        <v>0.2280564263322884</v>
      </c>
      <c r="K255" s="824">
        <v>1</v>
      </c>
    </row>
    <row r="256" spans="3:11" x14ac:dyDescent="0.2">
      <c r="C256" s="780"/>
      <c r="D256" s="780"/>
      <c r="E256" s="780" t="s">
        <v>635</v>
      </c>
      <c r="F256" s="780" t="s">
        <v>1069</v>
      </c>
      <c r="G256" s="832">
        <v>292</v>
      </c>
      <c r="H256" s="832">
        <v>1751</v>
      </c>
      <c r="I256" s="824">
        <v>0</v>
      </c>
      <c r="J256" s="824">
        <v>0.10279840091376358</v>
      </c>
      <c r="K256" s="824">
        <v>1</v>
      </c>
    </row>
    <row r="257" spans="3:11" x14ac:dyDescent="0.2">
      <c r="C257" s="780"/>
      <c r="D257" s="780"/>
      <c r="E257" s="780" t="s">
        <v>636</v>
      </c>
      <c r="F257" s="780" t="s">
        <v>984</v>
      </c>
      <c r="G257" s="832">
        <v>46</v>
      </c>
      <c r="H257" s="832">
        <v>227</v>
      </c>
      <c r="I257" s="824">
        <v>0</v>
      </c>
      <c r="J257" s="824">
        <v>0</v>
      </c>
      <c r="K257" s="824">
        <v>1</v>
      </c>
    </row>
    <row r="258" spans="3:11" x14ac:dyDescent="0.2">
      <c r="C258" s="780"/>
      <c r="D258" s="780" t="s">
        <v>465</v>
      </c>
      <c r="E258" s="780" t="s">
        <v>626</v>
      </c>
      <c r="F258" s="780" t="s">
        <v>984</v>
      </c>
      <c r="G258" s="832">
        <v>373</v>
      </c>
      <c r="H258" s="832">
        <v>1867</v>
      </c>
      <c r="I258" s="824">
        <v>0</v>
      </c>
      <c r="J258" s="824">
        <v>0.78093197643277978</v>
      </c>
      <c r="K258" s="824">
        <v>1</v>
      </c>
    </row>
    <row r="259" spans="3:11" x14ac:dyDescent="0.2">
      <c r="C259" s="780"/>
      <c r="D259" s="780"/>
      <c r="E259" s="780" t="s">
        <v>605</v>
      </c>
      <c r="F259" s="780" t="s">
        <v>956</v>
      </c>
      <c r="G259" s="832">
        <v>22</v>
      </c>
      <c r="H259" s="832">
        <v>114</v>
      </c>
      <c r="I259" s="824">
        <v>1</v>
      </c>
      <c r="J259" s="824">
        <v>1.0526315789473684</v>
      </c>
      <c r="K259" s="824">
        <v>1</v>
      </c>
    </row>
    <row r="260" spans="3:11" x14ac:dyDescent="0.2">
      <c r="C260" s="780"/>
      <c r="D260" s="780"/>
      <c r="E260" s="780" t="s">
        <v>2573</v>
      </c>
      <c r="F260" s="780" t="s">
        <v>984</v>
      </c>
      <c r="G260" s="832">
        <v>14</v>
      </c>
      <c r="H260" s="832">
        <v>93</v>
      </c>
      <c r="I260" s="824">
        <v>1</v>
      </c>
      <c r="J260" s="824">
        <v>1.032258064516129</v>
      </c>
      <c r="K260" s="824">
        <v>1</v>
      </c>
    </row>
    <row r="261" spans="3:11" x14ac:dyDescent="0.2">
      <c r="C261" s="780"/>
      <c r="D261" s="780"/>
      <c r="E261" s="780" t="s">
        <v>469</v>
      </c>
      <c r="F261" s="780" t="s">
        <v>984</v>
      </c>
      <c r="G261" s="832">
        <v>357</v>
      </c>
      <c r="H261" s="832">
        <v>2743</v>
      </c>
      <c r="I261" s="824">
        <v>0</v>
      </c>
      <c r="J261" s="824">
        <v>0.91432737878235504</v>
      </c>
      <c r="K261" s="824">
        <v>1</v>
      </c>
    </row>
    <row r="262" spans="3:11" x14ac:dyDescent="0.2">
      <c r="C262" s="780"/>
      <c r="D262" s="780"/>
      <c r="E262" s="780" t="s">
        <v>628</v>
      </c>
      <c r="F262" s="780" t="s">
        <v>984</v>
      </c>
      <c r="G262" s="832">
        <v>197</v>
      </c>
      <c r="H262" s="832">
        <v>488</v>
      </c>
      <c r="I262" s="824">
        <v>0</v>
      </c>
      <c r="J262" s="824">
        <v>0</v>
      </c>
      <c r="K262" s="824">
        <v>1</v>
      </c>
    </row>
    <row r="263" spans="3:11" x14ac:dyDescent="0.2">
      <c r="C263" s="780"/>
      <c r="D263" s="780"/>
      <c r="E263" s="780" t="s">
        <v>471</v>
      </c>
      <c r="F263" s="780" t="s">
        <v>984</v>
      </c>
      <c r="G263" s="832">
        <v>87</v>
      </c>
      <c r="H263" s="832">
        <v>447</v>
      </c>
      <c r="I263" s="824">
        <v>0</v>
      </c>
      <c r="J263" s="824">
        <v>4.0268456375838924E-2</v>
      </c>
      <c r="K263" s="824">
        <v>1</v>
      </c>
    </row>
    <row r="264" spans="3:11" x14ac:dyDescent="0.2">
      <c r="C264" s="780"/>
      <c r="D264" s="780"/>
      <c r="E264" s="780" t="s">
        <v>595</v>
      </c>
      <c r="F264" s="780" t="s">
        <v>984</v>
      </c>
      <c r="G264" s="832">
        <v>251</v>
      </c>
      <c r="H264" s="832">
        <v>1820</v>
      </c>
      <c r="I264" s="824">
        <v>0</v>
      </c>
      <c r="J264" s="824">
        <v>0.99890109890109902</v>
      </c>
      <c r="K264" s="824">
        <v>1</v>
      </c>
    </row>
    <row r="265" spans="3:11" x14ac:dyDescent="0.2">
      <c r="C265" s="780" t="s">
        <v>2660</v>
      </c>
      <c r="D265" s="780"/>
      <c r="E265" s="780"/>
      <c r="F265" s="780"/>
      <c r="G265" s="832">
        <v>9360</v>
      </c>
      <c r="H265" s="832">
        <v>48103</v>
      </c>
      <c r="I265" s="824">
        <v>0.70471282521505807</v>
      </c>
      <c r="J265" s="824">
        <v>0.72028084584111574</v>
      </c>
      <c r="K265" s="824">
        <v>1</v>
      </c>
    </row>
    <row r="266" spans="3:11" x14ac:dyDescent="0.2">
      <c r="C266" s="780" t="s">
        <v>878</v>
      </c>
      <c r="D266" s="780" t="s">
        <v>901</v>
      </c>
      <c r="E266" s="780" t="s">
        <v>927</v>
      </c>
      <c r="F266" s="780" t="s">
        <v>956</v>
      </c>
      <c r="G266" s="832">
        <v>78</v>
      </c>
      <c r="H266" s="832">
        <v>392</v>
      </c>
      <c r="I266" s="824">
        <v>1</v>
      </c>
      <c r="J266" s="824">
        <v>0.99489795918367352</v>
      </c>
      <c r="K266" s="824">
        <v>1</v>
      </c>
    </row>
    <row r="267" spans="3:11" x14ac:dyDescent="0.2">
      <c r="C267" s="780"/>
      <c r="D267" s="780" t="s">
        <v>925</v>
      </c>
      <c r="E267" s="780" t="s">
        <v>926</v>
      </c>
      <c r="F267" s="780" t="s">
        <v>961</v>
      </c>
      <c r="G267" s="832">
        <v>37</v>
      </c>
      <c r="H267" s="832">
        <v>120</v>
      </c>
      <c r="I267" s="824">
        <v>1</v>
      </c>
      <c r="J267" s="824">
        <v>1</v>
      </c>
      <c r="K267" s="824">
        <v>1</v>
      </c>
    </row>
    <row r="268" spans="3:11" x14ac:dyDescent="0.2">
      <c r="C268" s="780"/>
      <c r="D268" s="780" t="s">
        <v>882</v>
      </c>
      <c r="E268" s="780" t="s">
        <v>931</v>
      </c>
      <c r="F268" s="780" t="s">
        <v>961</v>
      </c>
      <c r="G268" s="832">
        <v>39</v>
      </c>
      <c r="H268" s="832">
        <v>202</v>
      </c>
      <c r="I268" s="824">
        <v>1</v>
      </c>
      <c r="J268" s="824">
        <v>0.99009900990099009</v>
      </c>
      <c r="K268" s="824">
        <v>1</v>
      </c>
    </row>
    <row r="269" spans="3:11" x14ac:dyDescent="0.2">
      <c r="C269" s="780"/>
      <c r="D269" s="780" t="s">
        <v>885</v>
      </c>
      <c r="E269" s="780" t="s">
        <v>929</v>
      </c>
      <c r="F269" s="780" t="s">
        <v>961</v>
      </c>
      <c r="G269" s="832">
        <v>36</v>
      </c>
      <c r="H269" s="832">
        <v>188</v>
      </c>
      <c r="I269" s="824">
        <v>1</v>
      </c>
      <c r="J269" s="824">
        <v>0.95744680851063824</v>
      </c>
      <c r="K269" s="824">
        <v>1</v>
      </c>
    </row>
    <row r="270" spans="3:11" x14ac:dyDescent="0.2">
      <c r="C270" s="780"/>
      <c r="D270" s="780" t="s">
        <v>888</v>
      </c>
      <c r="E270" s="780" t="s">
        <v>924</v>
      </c>
      <c r="F270" s="780" t="s">
        <v>961</v>
      </c>
      <c r="G270" s="832">
        <v>152</v>
      </c>
      <c r="H270" s="832">
        <v>779</v>
      </c>
      <c r="I270" s="824">
        <v>1</v>
      </c>
      <c r="J270" s="824">
        <v>1.0012836970474968</v>
      </c>
      <c r="K270" s="824">
        <v>1</v>
      </c>
    </row>
    <row r="271" spans="3:11" x14ac:dyDescent="0.2">
      <c r="C271" s="780" t="s">
        <v>2661</v>
      </c>
      <c r="D271" s="780"/>
      <c r="E271" s="780"/>
      <c r="F271" s="780"/>
      <c r="G271" s="832">
        <v>342</v>
      </c>
      <c r="H271" s="832">
        <v>1681</v>
      </c>
      <c r="I271" s="824">
        <v>1</v>
      </c>
      <c r="J271" s="824">
        <v>0.98874549492855979</v>
      </c>
      <c r="K271" s="824">
        <v>1</v>
      </c>
    </row>
    <row r="272" spans="3:11" ht="15.75" x14ac:dyDescent="0.25">
      <c r="C272"/>
      <c r="D272"/>
      <c r="E272"/>
      <c r="F272"/>
      <c r="G272"/>
      <c r="H272"/>
      <c r="I272"/>
      <c r="J272"/>
      <c r="K272"/>
    </row>
    <row r="273" spans="1:21" ht="15.75" x14ac:dyDescent="0.25">
      <c r="C273"/>
      <c r="D273"/>
      <c r="E273"/>
      <c r="F273"/>
      <c r="G273"/>
      <c r="H273"/>
      <c r="I273"/>
      <c r="J273"/>
      <c r="K273"/>
    </row>
    <row r="274" spans="1:21" ht="15.75" x14ac:dyDescent="0.25">
      <c r="C274"/>
      <c r="D274"/>
      <c r="E274"/>
      <c r="F274"/>
      <c r="G274"/>
      <c r="H274"/>
      <c r="I274"/>
      <c r="J274"/>
      <c r="K274"/>
    </row>
    <row r="275" spans="1:21" ht="18.75" x14ac:dyDescent="0.3">
      <c r="A275" s="774" t="s">
        <v>2735</v>
      </c>
      <c r="B275" s="775"/>
      <c r="C275" s="775"/>
      <c r="D275" s="775"/>
      <c r="E275" s="775"/>
      <c r="F275" s="775"/>
      <c r="G275" s="774"/>
      <c r="H275" s="774"/>
      <c r="I275" s="774"/>
      <c r="J275" s="774"/>
      <c r="K275" s="774"/>
      <c r="L275" s="774"/>
      <c r="M275" s="774"/>
      <c r="N275" s="774"/>
      <c r="O275" s="774"/>
      <c r="P275" s="774"/>
      <c r="Q275" s="774"/>
      <c r="R275" s="774"/>
      <c r="S275" s="774"/>
      <c r="T275" s="774"/>
      <c r="U275" s="774"/>
    </row>
    <row r="276" spans="1:21" ht="15.75" x14ac:dyDescent="0.25">
      <c r="C276"/>
      <c r="D276"/>
      <c r="E276"/>
      <c r="F276"/>
      <c r="G276"/>
      <c r="H276"/>
      <c r="I276"/>
      <c r="J276"/>
      <c r="K276"/>
    </row>
    <row r="277" spans="1:21" ht="15.75" x14ac:dyDescent="0.25">
      <c r="C277"/>
      <c r="D277"/>
      <c r="E277"/>
      <c r="F277"/>
      <c r="G277"/>
      <c r="H277"/>
      <c r="I277"/>
      <c r="J277"/>
      <c r="K277"/>
    </row>
    <row r="278" spans="1:21" ht="15.75" x14ac:dyDescent="0.25">
      <c r="C278"/>
      <c r="D278"/>
      <c r="E278"/>
      <c r="F278"/>
      <c r="G278"/>
      <c r="H278"/>
      <c r="I278"/>
      <c r="J278"/>
      <c r="K278"/>
    </row>
    <row r="279" spans="1:21" ht="15.75" x14ac:dyDescent="0.25">
      <c r="C279"/>
      <c r="D279"/>
      <c r="E279"/>
      <c r="F279"/>
      <c r="G279"/>
      <c r="H279"/>
      <c r="I279"/>
      <c r="J279"/>
      <c r="K279"/>
    </row>
    <row r="280" spans="1:21" ht="15.75" x14ac:dyDescent="0.25">
      <c r="C280"/>
      <c r="D280"/>
      <c r="E280"/>
      <c r="F280"/>
      <c r="G280"/>
      <c r="H280"/>
      <c r="I280"/>
      <c r="J280"/>
      <c r="K280"/>
    </row>
    <row r="281" spans="1:21" ht="15.75" x14ac:dyDescent="0.25">
      <c r="C281"/>
      <c r="D281"/>
      <c r="E281"/>
      <c r="F281"/>
      <c r="G281"/>
      <c r="H281"/>
      <c r="I281"/>
      <c r="J281"/>
      <c r="K281"/>
    </row>
    <row r="282" spans="1:21" ht="15.75" x14ac:dyDescent="0.25">
      <c r="C282"/>
      <c r="D282"/>
      <c r="E282"/>
      <c r="F282"/>
      <c r="G282"/>
      <c r="H282"/>
      <c r="I282"/>
      <c r="J282"/>
      <c r="K282"/>
    </row>
    <row r="283" spans="1:21" ht="15.75" x14ac:dyDescent="0.25">
      <c r="C283"/>
      <c r="D283"/>
      <c r="E283"/>
      <c r="F283"/>
      <c r="G283"/>
      <c r="H283"/>
      <c r="I283"/>
      <c r="J283"/>
      <c r="K283"/>
    </row>
    <row r="284" spans="1:21" ht="15.75" x14ac:dyDescent="0.25">
      <c r="C284" s="839" t="s">
        <v>24</v>
      </c>
      <c r="D284" s="21" t="s">
        <v>1409</v>
      </c>
      <c r="F284"/>
      <c r="G284"/>
      <c r="H284"/>
      <c r="I284"/>
      <c r="J284"/>
      <c r="K284"/>
    </row>
    <row r="285" spans="1:21" ht="15.75" x14ac:dyDescent="0.25">
      <c r="C285" s="839" t="s">
        <v>40</v>
      </c>
      <c r="D285" s="21" t="s">
        <v>40</v>
      </c>
      <c r="F285"/>
      <c r="G285"/>
      <c r="H285"/>
      <c r="I285"/>
      <c r="J285"/>
      <c r="K285"/>
    </row>
    <row r="286" spans="1:21" ht="15.75" x14ac:dyDescent="0.25">
      <c r="F286"/>
      <c r="G286"/>
      <c r="H286"/>
      <c r="I286"/>
      <c r="J286"/>
      <c r="K286"/>
    </row>
    <row r="287" spans="1:21" ht="15.75" x14ac:dyDescent="0.25">
      <c r="C287" s="839" t="s">
        <v>26</v>
      </c>
      <c r="D287" s="21" t="s">
        <v>2737</v>
      </c>
      <c r="E287" s="21" t="s">
        <v>2736</v>
      </c>
      <c r="F287" s="21" t="s">
        <v>2738</v>
      </c>
      <c r="G287" s="21" t="s">
        <v>2564</v>
      </c>
      <c r="H287"/>
      <c r="I287"/>
      <c r="J287"/>
      <c r="K287"/>
    </row>
    <row r="288" spans="1:21" ht="15.75" x14ac:dyDescent="0.25">
      <c r="C288" s="347" t="s">
        <v>44</v>
      </c>
      <c r="D288" s="75">
        <v>90</v>
      </c>
      <c r="E288" s="75">
        <v>0</v>
      </c>
      <c r="F288" s="75">
        <v>35</v>
      </c>
      <c r="G288" s="75">
        <v>28</v>
      </c>
      <c r="H288"/>
      <c r="I288"/>
      <c r="J288"/>
      <c r="K288"/>
    </row>
    <row r="289" spans="3:11" ht="15.75" x14ac:dyDescent="0.25">
      <c r="C289" s="347" t="s">
        <v>464</v>
      </c>
      <c r="D289" s="75">
        <v>58</v>
      </c>
      <c r="E289" s="75">
        <v>0</v>
      </c>
      <c r="F289" s="75">
        <v>74</v>
      </c>
      <c r="G289" s="75">
        <v>8</v>
      </c>
      <c r="H289"/>
      <c r="I289"/>
      <c r="J289"/>
      <c r="K289"/>
    </row>
    <row r="290" spans="3:11" ht="15.75" x14ac:dyDescent="0.25">
      <c r="C290" s="347" t="s">
        <v>878</v>
      </c>
      <c r="D290" s="75">
        <v>24</v>
      </c>
      <c r="E290" s="75">
        <v>6</v>
      </c>
      <c r="F290" s="75">
        <v>1</v>
      </c>
      <c r="G290" s="75">
        <v>6</v>
      </c>
      <c r="H290"/>
      <c r="I290"/>
      <c r="J290"/>
      <c r="K290"/>
    </row>
    <row r="291" spans="3:11" ht="16.5" thickBot="1" x14ac:dyDescent="0.3">
      <c r="C291"/>
      <c r="D291"/>
      <c r="E291"/>
      <c r="F291"/>
      <c r="G291"/>
      <c r="H291"/>
      <c r="I291"/>
      <c r="J291"/>
      <c r="K291"/>
    </row>
    <row r="292" spans="3:11" ht="16.5" thickBot="1" x14ac:dyDescent="0.3">
      <c r="C292" s="778" t="s">
        <v>26</v>
      </c>
      <c r="D292" s="840" t="s">
        <v>2760</v>
      </c>
      <c r="E292" s="777" t="s">
        <v>2736</v>
      </c>
      <c r="F292" s="776" t="s">
        <v>2738</v>
      </c>
      <c r="G292" s="777" t="s">
        <v>2737</v>
      </c>
      <c r="I292"/>
      <c r="J292"/>
      <c r="K292"/>
    </row>
    <row r="293" spans="3:11" ht="15.75" x14ac:dyDescent="0.25">
      <c r="C293" s="770" t="s">
        <v>44</v>
      </c>
      <c r="D293" s="771">
        <f>GETPIVOTDATA("Count of Is sufficient soap available for TLS?",$C$287,"State","Kachin")</f>
        <v>28</v>
      </c>
      <c r="E293" s="771">
        <f>GETPIVOTDATA(" # of children Latrine s",$C$287,"State","Kachin")</f>
        <v>0</v>
      </c>
      <c r="F293" s="771">
        <f>GETPIVOTDATA(" # of latrines in TLS (schools)",$C$287,"State","Kachin")</f>
        <v>35</v>
      </c>
      <c r="G293" s="771">
        <f>GETPIVOTDATA(" # of hand washing stations for TLS",$C$287,"State","Kachin")</f>
        <v>90</v>
      </c>
      <c r="I293"/>
      <c r="J293"/>
      <c r="K293"/>
    </row>
    <row r="294" spans="3:11" ht="15.75" x14ac:dyDescent="0.25">
      <c r="C294" s="769" t="s">
        <v>464</v>
      </c>
      <c r="D294" s="771">
        <f>GETPIVOTDATA("Count of Is sufficient soap available for TLS?",$C$287,"State","Rakhine")</f>
        <v>8</v>
      </c>
      <c r="E294" s="773">
        <f>GETPIVOTDATA(" # of children Latrine s",$C$287,"State","Rakhine")</f>
        <v>0</v>
      </c>
      <c r="F294" s="772">
        <f>GETPIVOTDATA(" # of latrines in TLS (schools)",$C$287,"State","Rakhine")</f>
        <v>74</v>
      </c>
      <c r="G294" s="773">
        <f>GETPIVOTDATA(" # of hand washing stations for TLS",$C$287,"State","Rakhine")</f>
        <v>58</v>
      </c>
      <c r="I294"/>
      <c r="J294"/>
      <c r="K294"/>
    </row>
    <row r="295" spans="3:11" ht="15.75" x14ac:dyDescent="0.25">
      <c r="C295" s="770" t="s">
        <v>878</v>
      </c>
      <c r="D295" s="771">
        <f>GETPIVOTDATA("Count of Is sufficient soap available for TLS?",$C$287,"State","Shan (North)")</f>
        <v>6</v>
      </c>
      <c r="E295" s="771">
        <f>GETPIVOTDATA(" # of children Latrine s",$C$287,"State","Shan (North)")</f>
        <v>6</v>
      </c>
      <c r="F295" s="771">
        <f>GETPIVOTDATA(" # of latrines in TLS (schools)",$C$287,"State","Shan (North)")</f>
        <v>1</v>
      </c>
      <c r="G295" s="771">
        <f>GETPIVOTDATA(" # of hand washing stations for TLS",$C$287,"State","Shan (North)")</f>
        <v>24</v>
      </c>
      <c r="I295"/>
      <c r="J295"/>
      <c r="K295"/>
    </row>
    <row r="296" spans="3:11" ht="15.75" x14ac:dyDescent="0.25">
      <c r="C296"/>
      <c r="D296"/>
      <c r="E296"/>
      <c r="F296"/>
      <c r="G296"/>
      <c r="H296"/>
      <c r="I296"/>
      <c r="J296"/>
      <c r="K296"/>
    </row>
    <row r="297" spans="3:11" ht="15.75" x14ac:dyDescent="0.25">
      <c r="C297"/>
      <c r="D297"/>
      <c r="E297"/>
      <c r="F297"/>
      <c r="G297"/>
      <c r="H297"/>
      <c r="I297"/>
      <c r="J297"/>
      <c r="K297"/>
    </row>
    <row r="298" spans="3:11" ht="15.75" x14ac:dyDescent="0.25">
      <c r="C298"/>
      <c r="D298"/>
      <c r="E298"/>
      <c r="F298"/>
      <c r="G298"/>
      <c r="H298"/>
      <c r="I298"/>
      <c r="J298"/>
      <c r="K298"/>
    </row>
    <row r="299" spans="3:11" ht="15.75" x14ac:dyDescent="0.25">
      <c r="C299"/>
      <c r="D299"/>
      <c r="E299"/>
      <c r="F299"/>
      <c r="G299"/>
      <c r="H299"/>
      <c r="I299"/>
      <c r="J299"/>
      <c r="K299"/>
    </row>
    <row r="300" spans="3:11" ht="15.75" x14ac:dyDescent="0.25">
      <c r="C300"/>
      <c r="D300"/>
      <c r="E300"/>
      <c r="F300"/>
      <c r="G300"/>
      <c r="H300"/>
      <c r="I300"/>
      <c r="J300"/>
      <c r="K300"/>
    </row>
    <row r="301" spans="3:11" ht="15.75" x14ac:dyDescent="0.25">
      <c r="C301"/>
      <c r="D301"/>
      <c r="E301"/>
      <c r="F301"/>
      <c r="G301"/>
      <c r="H301"/>
      <c r="I301"/>
      <c r="J301"/>
      <c r="K301"/>
    </row>
    <row r="302" spans="3:11" ht="15.75" x14ac:dyDescent="0.25">
      <c r="C302"/>
      <c r="D302"/>
      <c r="E302"/>
      <c r="F302"/>
      <c r="G302"/>
      <c r="H302"/>
      <c r="I302"/>
      <c r="J302"/>
      <c r="K302"/>
    </row>
    <row r="303" spans="3:11" ht="15.75" x14ac:dyDescent="0.25">
      <c r="C303"/>
      <c r="D303"/>
      <c r="E303"/>
      <c r="F303"/>
      <c r="G303"/>
      <c r="H303"/>
      <c r="I303"/>
      <c r="J303"/>
      <c r="K303"/>
    </row>
    <row r="304" spans="3:11" ht="15.75" x14ac:dyDescent="0.25">
      <c r="C304"/>
      <c r="D304"/>
      <c r="E304"/>
      <c r="F304"/>
      <c r="G304"/>
      <c r="H304"/>
      <c r="I304"/>
      <c r="J304"/>
      <c r="K304"/>
    </row>
    <row r="305" spans="3:11" ht="15.75" x14ac:dyDescent="0.25">
      <c r="C305"/>
      <c r="D305"/>
      <c r="E305"/>
      <c r="F305"/>
      <c r="G305"/>
      <c r="H305"/>
      <c r="I305"/>
      <c r="J305"/>
      <c r="K305"/>
    </row>
    <row r="306" spans="3:11" ht="15.75" x14ac:dyDescent="0.25">
      <c r="C306"/>
      <c r="D306"/>
      <c r="E306"/>
      <c r="F306"/>
      <c r="G306"/>
      <c r="H306"/>
      <c r="I306"/>
      <c r="J306"/>
      <c r="K306"/>
    </row>
    <row r="307" spans="3:11" ht="15.75" x14ac:dyDescent="0.25">
      <c r="C307"/>
      <c r="D307"/>
      <c r="E307"/>
      <c r="F307"/>
      <c r="G307"/>
      <c r="H307"/>
      <c r="I307"/>
      <c r="J307"/>
      <c r="K307"/>
    </row>
    <row r="308" spans="3:11" ht="15.75" x14ac:dyDescent="0.25">
      <c r="C308"/>
      <c r="D308"/>
      <c r="E308"/>
      <c r="F308"/>
      <c r="G308"/>
      <c r="H308"/>
      <c r="I308"/>
      <c r="J308"/>
      <c r="K308"/>
    </row>
    <row r="309" spans="3:11" ht="15.75" x14ac:dyDescent="0.25">
      <c r="C309"/>
      <c r="D309"/>
      <c r="E309"/>
      <c r="F309"/>
      <c r="G309"/>
      <c r="H309"/>
      <c r="I309"/>
      <c r="J309"/>
      <c r="K309"/>
    </row>
    <row r="310" spans="3:11" ht="15.75" x14ac:dyDescent="0.25">
      <c r="C310"/>
      <c r="D310"/>
      <c r="E310"/>
      <c r="F310"/>
      <c r="G310"/>
      <c r="H310"/>
      <c r="I310"/>
      <c r="J310"/>
      <c r="K310"/>
    </row>
    <row r="311" spans="3:11" ht="15.75" x14ac:dyDescent="0.25">
      <c r="C311"/>
      <c r="D311"/>
      <c r="E311"/>
      <c r="F311"/>
      <c r="G311"/>
      <c r="H311"/>
      <c r="I311"/>
      <c r="J311"/>
      <c r="K311"/>
    </row>
    <row r="312" spans="3:11" ht="15.75" x14ac:dyDescent="0.25">
      <c r="C312"/>
      <c r="D312"/>
      <c r="E312"/>
      <c r="F312"/>
      <c r="G312"/>
      <c r="H312"/>
      <c r="I312"/>
      <c r="J312"/>
      <c r="K312"/>
    </row>
    <row r="313" spans="3:11" ht="15.75" x14ac:dyDescent="0.25">
      <c r="C313"/>
      <c r="D313"/>
      <c r="E313"/>
      <c r="F313"/>
      <c r="G313"/>
      <c r="H313"/>
      <c r="I313"/>
      <c r="J313"/>
      <c r="K313"/>
    </row>
    <row r="314" spans="3:11" ht="15.75" x14ac:dyDescent="0.25">
      <c r="C314"/>
      <c r="D314"/>
      <c r="E314"/>
      <c r="F314"/>
      <c r="G314"/>
      <c r="H314"/>
      <c r="I314"/>
      <c r="J314"/>
      <c r="K314"/>
    </row>
    <row r="315" spans="3:11" ht="15.75" x14ac:dyDescent="0.25">
      <c r="C315"/>
      <c r="D315"/>
      <c r="E315"/>
      <c r="F315"/>
      <c r="G315"/>
      <c r="H315"/>
      <c r="I315"/>
      <c r="J315"/>
      <c r="K315"/>
    </row>
    <row r="316" spans="3:11" ht="15.75" x14ac:dyDescent="0.25">
      <c r="C316"/>
      <c r="D316"/>
      <c r="E316"/>
      <c r="F316"/>
      <c r="G316"/>
      <c r="H316"/>
      <c r="I316"/>
      <c r="J316"/>
      <c r="K316"/>
    </row>
    <row r="317" spans="3:11" ht="15.75" x14ac:dyDescent="0.25">
      <c r="C317"/>
      <c r="D317"/>
      <c r="E317"/>
      <c r="F317"/>
      <c r="G317"/>
      <c r="H317"/>
      <c r="I317"/>
      <c r="J317"/>
      <c r="K317"/>
    </row>
    <row r="318" spans="3:11" ht="15.75" x14ac:dyDescent="0.25">
      <c r="C318"/>
      <c r="D318"/>
      <c r="E318"/>
      <c r="F318"/>
      <c r="G318"/>
      <c r="H318"/>
      <c r="I318"/>
      <c r="J318"/>
      <c r="K318"/>
    </row>
    <row r="319" spans="3:11" ht="15.75" x14ac:dyDescent="0.25">
      <c r="C319"/>
      <c r="D319"/>
      <c r="E319"/>
      <c r="F319"/>
      <c r="G319"/>
      <c r="H319"/>
      <c r="I319"/>
      <c r="J319"/>
      <c r="K319"/>
    </row>
    <row r="320" spans="3:11" ht="15.75" x14ac:dyDescent="0.25">
      <c r="C320"/>
      <c r="D320"/>
      <c r="E320"/>
      <c r="F320"/>
      <c r="G320"/>
      <c r="H320"/>
      <c r="I320"/>
      <c r="J320"/>
      <c r="K320"/>
    </row>
    <row r="321" spans="3:11" ht="15.75" x14ac:dyDescent="0.25">
      <c r="C321"/>
      <c r="D321"/>
      <c r="E321"/>
      <c r="F321"/>
      <c r="G321"/>
      <c r="H321"/>
      <c r="I321"/>
      <c r="J321"/>
      <c r="K321"/>
    </row>
    <row r="322" spans="3:11" ht="15.75" x14ac:dyDescent="0.25">
      <c r="C322"/>
      <c r="D322"/>
      <c r="E322"/>
      <c r="F322"/>
      <c r="G322"/>
      <c r="H322"/>
      <c r="I322"/>
      <c r="J322"/>
      <c r="K322"/>
    </row>
    <row r="323" spans="3:11" ht="15.75" x14ac:dyDescent="0.25">
      <c r="C323"/>
      <c r="D323"/>
      <c r="E323"/>
      <c r="F323"/>
      <c r="G323"/>
      <c r="H323"/>
      <c r="I323"/>
      <c r="J323"/>
      <c r="K323"/>
    </row>
    <row r="324" spans="3:11" ht="15.75" x14ac:dyDescent="0.25">
      <c r="C324"/>
      <c r="D324"/>
      <c r="E324"/>
      <c r="F324"/>
      <c r="G324"/>
      <c r="H324"/>
      <c r="I324"/>
      <c r="J324"/>
      <c r="K324"/>
    </row>
    <row r="325" spans="3:11" ht="15.75" x14ac:dyDescent="0.25">
      <c r="C325"/>
      <c r="D325"/>
      <c r="E325"/>
      <c r="F325"/>
      <c r="G325"/>
      <c r="H325"/>
      <c r="I325"/>
      <c r="J325"/>
      <c r="K325"/>
    </row>
    <row r="326" spans="3:11" ht="15.75" x14ac:dyDescent="0.25">
      <c r="C326"/>
      <c r="D326"/>
      <c r="E326"/>
      <c r="F326"/>
      <c r="G326"/>
      <c r="H326"/>
      <c r="I326"/>
      <c r="J326"/>
      <c r="K326"/>
    </row>
    <row r="327" spans="3:11" ht="15.75" x14ac:dyDescent="0.25">
      <c r="C327"/>
      <c r="D327"/>
      <c r="E327"/>
      <c r="F327"/>
      <c r="G327"/>
      <c r="H327"/>
      <c r="I327"/>
      <c r="J327"/>
      <c r="K327"/>
    </row>
    <row r="328" spans="3:11" ht="15.75" x14ac:dyDescent="0.25">
      <c r="C328"/>
      <c r="D328"/>
      <c r="E328"/>
      <c r="F328"/>
      <c r="G328"/>
      <c r="H328"/>
      <c r="I328"/>
      <c r="J328"/>
      <c r="K328"/>
    </row>
    <row r="329" spans="3:11" ht="15.75" x14ac:dyDescent="0.25">
      <c r="C329"/>
      <c r="D329"/>
      <c r="E329"/>
      <c r="F329"/>
      <c r="G329"/>
      <c r="H329"/>
      <c r="I329"/>
      <c r="J329"/>
      <c r="K329"/>
    </row>
    <row r="330" spans="3:11" ht="15.75" x14ac:dyDescent="0.25">
      <c r="C330"/>
      <c r="D330"/>
      <c r="E330"/>
      <c r="F330"/>
      <c r="G330"/>
      <c r="H330"/>
      <c r="I330"/>
      <c r="J330"/>
      <c r="K330"/>
    </row>
    <row r="331" spans="3:11" ht="15.75" x14ac:dyDescent="0.25">
      <c r="C331"/>
      <c r="D331"/>
      <c r="E331"/>
      <c r="F331"/>
      <c r="G331"/>
      <c r="H331"/>
      <c r="I331"/>
      <c r="J331"/>
      <c r="K331"/>
    </row>
    <row r="332" spans="3:11" ht="15.75" x14ac:dyDescent="0.25">
      <c r="C332"/>
      <c r="D332"/>
      <c r="E332"/>
      <c r="F332"/>
      <c r="G332"/>
      <c r="H332"/>
      <c r="I332"/>
      <c r="J332"/>
      <c r="K332"/>
    </row>
    <row r="333" spans="3:11" ht="15.75" x14ac:dyDescent="0.25">
      <c r="C333"/>
      <c r="D333"/>
      <c r="E333"/>
      <c r="F333"/>
      <c r="G333"/>
      <c r="H333"/>
      <c r="I333"/>
      <c r="J333"/>
      <c r="K333"/>
    </row>
    <row r="334" spans="3:11" ht="15.75" x14ac:dyDescent="0.25">
      <c r="C334"/>
      <c r="D334"/>
      <c r="E334"/>
      <c r="F334"/>
      <c r="G334"/>
      <c r="H334"/>
      <c r="I334"/>
      <c r="J334"/>
      <c r="K334"/>
    </row>
    <row r="335" spans="3:11" ht="15.75" x14ac:dyDescent="0.25">
      <c r="C335"/>
      <c r="D335"/>
      <c r="E335"/>
      <c r="F335"/>
      <c r="G335"/>
      <c r="H335"/>
      <c r="I335"/>
      <c r="J335"/>
      <c r="K335"/>
    </row>
    <row r="336" spans="3:11" ht="15.75" x14ac:dyDescent="0.25">
      <c r="C336"/>
      <c r="D336"/>
      <c r="E336"/>
      <c r="F336"/>
      <c r="G336"/>
      <c r="H336"/>
      <c r="I336"/>
      <c r="J336"/>
      <c r="K336"/>
    </row>
    <row r="337" spans="3:11" ht="15.75" x14ac:dyDescent="0.25">
      <c r="C337"/>
      <c r="D337"/>
      <c r="E337"/>
      <c r="F337"/>
      <c r="G337"/>
      <c r="H337"/>
      <c r="I337"/>
      <c r="J337"/>
      <c r="K337"/>
    </row>
    <row r="338" spans="3:11" ht="15.75" x14ac:dyDescent="0.25">
      <c r="C338"/>
      <c r="D338"/>
      <c r="E338"/>
      <c r="F338"/>
      <c r="G338"/>
      <c r="H338"/>
      <c r="I338"/>
      <c r="J338"/>
      <c r="K338"/>
    </row>
    <row r="339" spans="3:11" ht="15.75" x14ac:dyDescent="0.25">
      <c r="C339"/>
      <c r="D339"/>
      <c r="E339"/>
      <c r="F339"/>
      <c r="G339"/>
      <c r="H339"/>
      <c r="I339"/>
      <c r="J339"/>
      <c r="K339"/>
    </row>
    <row r="340" spans="3:11" ht="15.75" x14ac:dyDescent="0.25">
      <c r="C340"/>
      <c r="D340"/>
      <c r="E340"/>
      <c r="F340"/>
      <c r="G340"/>
      <c r="H340"/>
      <c r="I340"/>
      <c r="J340"/>
      <c r="K340"/>
    </row>
    <row r="341" spans="3:11" ht="15.75" x14ac:dyDescent="0.25">
      <c r="C341"/>
      <c r="D341"/>
      <c r="E341"/>
      <c r="F341"/>
      <c r="G341"/>
      <c r="H341"/>
      <c r="I341"/>
      <c r="J341"/>
      <c r="K341"/>
    </row>
    <row r="342" spans="3:11" ht="15.75" x14ac:dyDescent="0.25">
      <c r="C342"/>
      <c r="D342"/>
      <c r="E342"/>
      <c r="F342"/>
      <c r="G342"/>
      <c r="H342"/>
      <c r="I342"/>
      <c r="J342"/>
      <c r="K342"/>
    </row>
    <row r="343" spans="3:11" ht="15.75" x14ac:dyDescent="0.25">
      <c r="C343"/>
      <c r="D343"/>
      <c r="E343"/>
      <c r="F343"/>
      <c r="G343"/>
      <c r="H343"/>
      <c r="I343"/>
      <c r="J343"/>
      <c r="K343"/>
    </row>
    <row r="344" spans="3:11" ht="15.75" x14ac:dyDescent="0.25">
      <c r="C344"/>
      <c r="D344"/>
      <c r="E344"/>
      <c r="F344"/>
      <c r="G344"/>
      <c r="H344"/>
      <c r="I344"/>
      <c r="J344"/>
      <c r="K344"/>
    </row>
    <row r="345" spans="3:11" ht="15.75" x14ac:dyDescent="0.25">
      <c r="C345"/>
      <c r="D345"/>
      <c r="E345"/>
      <c r="F345"/>
      <c r="G345"/>
      <c r="H345"/>
      <c r="I345"/>
      <c r="J345"/>
      <c r="K345"/>
    </row>
    <row r="346" spans="3:11" ht="15.75" x14ac:dyDescent="0.25">
      <c r="C346"/>
      <c r="D346"/>
      <c r="E346"/>
      <c r="F346"/>
      <c r="G346"/>
      <c r="H346"/>
      <c r="I346"/>
      <c r="J346"/>
      <c r="K346"/>
    </row>
    <row r="347" spans="3:11" ht="15.75" x14ac:dyDescent="0.25">
      <c r="C347"/>
      <c r="D347"/>
      <c r="E347"/>
      <c r="F347"/>
      <c r="G347"/>
      <c r="H347"/>
      <c r="I347"/>
      <c r="J347"/>
      <c r="K347"/>
    </row>
    <row r="348" spans="3:11" ht="15.75" x14ac:dyDescent="0.25">
      <c r="C348"/>
      <c r="D348"/>
      <c r="E348"/>
      <c r="F348"/>
      <c r="G348"/>
      <c r="H348"/>
      <c r="I348"/>
      <c r="J348"/>
      <c r="K348"/>
    </row>
    <row r="349" spans="3:11" ht="15.75" x14ac:dyDescent="0.25">
      <c r="C349"/>
      <c r="D349"/>
      <c r="E349"/>
      <c r="F349"/>
      <c r="G349"/>
      <c r="H349"/>
      <c r="I349"/>
      <c r="J349"/>
      <c r="K349"/>
    </row>
    <row r="350" spans="3:11" ht="15.75" x14ac:dyDescent="0.25">
      <c r="C350"/>
      <c r="D350"/>
      <c r="E350"/>
      <c r="F350"/>
      <c r="G350"/>
      <c r="H350"/>
      <c r="I350"/>
      <c r="J350"/>
      <c r="K350"/>
    </row>
    <row r="351" spans="3:11" ht="15.75" x14ac:dyDescent="0.25">
      <c r="C351"/>
      <c r="D351"/>
      <c r="E351"/>
      <c r="F351"/>
      <c r="G351"/>
      <c r="H351"/>
      <c r="I351"/>
      <c r="J351"/>
      <c r="K351"/>
    </row>
    <row r="352" spans="3:11" ht="15.75" x14ac:dyDescent="0.25">
      <c r="C352"/>
      <c r="D352"/>
      <c r="E352"/>
      <c r="F352"/>
      <c r="G352"/>
      <c r="H352"/>
      <c r="I352"/>
      <c r="J352"/>
      <c r="K352"/>
    </row>
    <row r="353" spans="3:11" ht="15.75" x14ac:dyDescent="0.25">
      <c r="C353"/>
      <c r="D353"/>
      <c r="E353"/>
      <c r="F353"/>
      <c r="G353"/>
      <c r="H353"/>
      <c r="I353"/>
      <c r="J353"/>
      <c r="K353"/>
    </row>
    <row r="354" spans="3:11" ht="15.75" x14ac:dyDescent="0.25">
      <c r="C354"/>
      <c r="D354"/>
      <c r="E354"/>
      <c r="F354"/>
      <c r="G354"/>
      <c r="H354"/>
      <c r="I354"/>
      <c r="J354"/>
      <c r="K354"/>
    </row>
    <row r="355" spans="3:11" ht="15.75" x14ac:dyDescent="0.25">
      <c r="C355"/>
      <c r="D355"/>
      <c r="E355"/>
      <c r="F355"/>
      <c r="G355"/>
      <c r="H355"/>
      <c r="I355"/>
      <c r="J355"/>
      <c r="K355"/>
    </row>
    <row r="356" spans="3:11" ht="15.75" x14ac:dyDescent="0.25">
      <c r="C356"/>
      <c r="D356"/>
      <c r="E356"/>
      <c r="F356"/>
      <c r="G356"/>
      <c r="H356"/>
      <c r="I356"/>
      <c r="J356"/>
      <c r="K356"/>
    </row>
    <row r="357" spans="3:11" ht="15.75" x14ac:dyDescent="0.25">
      <c r="C357"/>
      <c r="D357"/>
      <c r="E357"/>
      <c r="F357"/>
      <c r="G357"/>
      <c r="H357"/>
      <c r="I357"/>
      <c r="J357"/>
      <c r="K357"/>
    </row>
    <row r="358" spans="3:11" ht="15.75" x14ac:dyDescent="0.25">
      <c r="C358"/>
      <c r="D358"/>
      <c r="E358"/>
      <c r="F358"/>
      <c r="G358"/>
      <c r="H358"/>
      <c r="I358"/>
      <c r="J358"/>
      <c r="K358"/>
    </row>
    <row r="359" spans="3:11" ht="15.75" x14ac:dyDescent="0.25">
      <c r="C359"/>
      <c r="D359"/>
      <c r="E359"/>
      <c r="F359"/>
      <c r="G359"/>
      <c r="H359"/>
      <c r="I359"/>
      <c r="J359"/>
      <c r="K359"/>
    </row>
    <row r="360" spans="3:11" ht="15.75" x14ac:dyDescent="0.25">
      <c r="C360"/>
      <c r="D360"/>
      <c r="E360"/>
      <c r="F360"/>
      <c r="G360"/>
      <c r="H360"/>
      <c r="I360"/>
      <c r="J360"/>
      <c r="K360"/>
    </row>
    <row r="361" spans="3:11" ht="15.75" x14ac:dyDescent="0.25">
      <c r="C361"/>
      <c r="D361"/>
      <c r="E361"/>
      <c r="F361"/>
      <c r="G361"/>
      <c r="H361"/>
      <c r="I361"/>
      <c r="J361"/>
      <c r="K361"/>
    </row>
    <row r="362" spans="3:11" ht="15.75" x14ac:dyDescent="0.25">
      <c r="C362"/>
      <c r="D362"/>
      <c r="E362"/>
      <c r="F362"/>
      <c r="G362"/>
      <c r="H362"/>
      <c r="I362"/>
      <c r="J362"/>
      <c r="K362"/>
    </row>
    <row r="363" spans="3:11" ht="15.75" x14ac:dyDescent="0.25">
      <c r="C363"/>
      <c r="D363"/>
      <c r="E363"/>
      <c r="F363"/>
      <c r="G363"/>
      <c r="H363"/>
      <c r="I363"/>
      <c r="J363"/>
      <c r="K363"/>
    </row>
    <row r="364" spans="3:11" ht="15.75" x14ac:dyDescent="0.25">
      <c r="C364"/>
      <c r="D364"/>
      <c r="E364"/>
      <c r="F364"/>
      <c r="G364"/>
      <c r="H364"/>
      <c r="I364"/>
      <c r="J364"/>
      <c r="K364"/>
    </row>
    <row r="365" spans="3:11" ht="15.75" x14ac:dyDescent="0.25">
      <c r="C365"/>
      <c r="D365"/>
      <c r="E365"/>
      <c r="F365"/>
      <c r="G365"/>
      <c r="H365"/>
      <c r="I365"/>
      <c r="J365"/>
      <c r="K365"/>
    </row>
    <row r="366" spans="3:11" ht="15.75" x14ac:dyDescent="0.25">
      <c r="C366"/>
      <c r="D366"/>
      <c r="E366"/>
      <c r="F366"/>
      <c r="G366"/>
      <c r="H366"/>
      <c r="I366"/>
      <c r="J366"/>
      <c r="K366"/>
    </row>
    <row r="367" spans="3:11" ht="15.75" x14ac:dyDescent="0.25">
      <c r="C367"/>
      <c r="D367"/>
      <c r="E367"/>
      <c r="F367"/>
      <c r="G367"/>
      <c r="H367"/>
      <c r="I367"/>
      <c r="J367"/>
      <c r="K367"/>
    </row>
    <row r="368" spans="3:11" ht="15.75" x14ac:dyDescent="0.25">
      <c r="C368"/>
      <c r="D368"/>
      <c r="E368"/>
      <c r="F368"/>
      <c r="G368"/>
      <c r="H368"/>
      <c r="I368"/>
      <c r="J368"/>
      <c r="K368"/>
    </row>
    <row r="369" spans="3:11" ht="15.75" x14ac:dyDescent="0.25">
      <c r="C369"/>
      <c r="D369"/>
      <c r="E369"/>
      <c r="F369"/>
      <c r="G369"/>
      <c r="H369"/>
      <c r="I369"/>
      <c r="J369"/>
      <c r="K369"/>
    </row>
    <row r="370" spans="3:11" ht="15.75" x14ac:dyDescent="0.25">
      <c r="C370"/>
      <c r="D370"/>
      <c r="E370"/>
      <c r="F370"/>
      <c r="G370"/>
      <c r="H370"/>
      <c r="I370"/>
      <c r="J370"/>
      <c r="K370"/>
    </row>
    <row r="371" spans="3:11" ht="15.75" x14ac:dyDescent="0.25">
      <c r="C371"/>
      <c r="D371"/>
      <c r="E371"/>
      <c r="F371"/>
      <c r="G371"/>
      <c r="H371"/>
      <c r="I371"/>
      <c r="J371"/>
      <c r="K371"/>
    </row>
    <row r="372" spans="3:11" ht="15.75" x14ac:dyDescent="0.25">
      <c r="C372"/>
      <c r="D372"/>
      <c r="E372"/>
      <c r="F372"/>
      <c r="G372"/>
      <c r="H372"/>
      <c r="I372"/>
      <c r="J372"/>
      <c r="K372"/>
    </row>
    <row r="373" spans="3:11" ht="15.75" x14ac:dyDescent="0.25">
      <c r="C373"/>
      <c r="D373"/>
      <c r="E373"/>
      <c r="F373"/>
      <c r="G373"/>
      <c r="H373"/>
      <c r="I373"/>
      <c r="J373"/>
      <c r="K373"/>
    </row>
    <row r="374" spans="3:11" ht="15.75" x14ac:dyDescent="0.25">
      <c r="C374"/>
      <c r="D374"/>
      <c r="E374"/>
      <c r="F374"/>
      <c r="G374"/>
      <c r="H374"/>
      <c r="I374"/>
      <c r="J374"/>
      <c r="K374"/>
    </row>
    <row r="375" spans="3:11" ht="15.75" x14ac:dyDescent="0.25">
      <c r="C375"/>
      <c r="D375"/>
      <c r="E375"/>
      <c r="F375"/>
      <c r="G375"/>
      <c r="H375"/>
      <c r="I375"/>
      <c r="J375"/>
      <c r="K375"/>
    </row>
    <row r="376" spans="3:11" ht="15.75" x14ac:dyDescent="0.25">
      <c r="C376"/>
      <c r="D376"/>
      <c r="E376"/>
      <c r="F376"/>
      <c r="G376"/>
      <c r="H376"/>
      <c r="I376"/>
      <c r="J376"/>
      <c r="K376"/>
    </row>
    <row r="377" spans="3:11" ht="15.75" x14ac:dyDescent="0.25">
      <c r="C377"/>
      <c r="D377"/>
      <c r="E377"/>
      <c r="F377"/>
      <c r="G377"/>
      <c r="H377"/>
      <c r="I377"/>
      <c r="J377"/>
      <c r="K377"/>
    </row>
    <row r="378" spans="3:11" ht="15.75" x14ac:dyDescent="0.25">
      <c r="C378"/>
      <c r="D378"/>
      <c r="E378"/>
      <c r="F378"/>
      <c r="G378"/>
      <c r="H378"/>
      <c r="I378"/>
      <c r="J378"/>
      <c r="K378"/>
    </row>
    <row r="379" spans="3:11" ht="15.75" x14ac:dyDescent="0.25">
      <c r="C379"/>
      <c r="D379"/>
      <c r="E379"/>
      <c r="F379"/>
      <c r="G379"/>
      <c r="H379"/>
      <c r="I379"/>
      <c r="J379"/>
      <c r="K379"/>
    </row>
    <row r="380" spans="3:11" ht="15.75" x14ac:dyDescent="0.25">
      <c r="C380"/>
      <c r="D380"/>
      <c r="E380"/>
      <c r="F380"/>
      <c r="G380"/>
      <c r="H380"/>
      <c r="I380"/>
      <c r="J380"/>
      <c r="K380"/>
    </row>
    <row r="381" spans="3:11" ht="15.75" x14ac:dyDescent="0.25">
      <c r="C381"/>
      <c r="D381"/>
      <c r="E381"/>
      <c r="F381"/>
      <c r="G381"/>
      <c r="H381"/>
      <c r="I381"/>
      <c r="J381"/>
      <c r="K381"/>
    </row>
    <row r="382" spans="3:11" ht="15.75" x14ac:dyDescent="0.25">
      <c r="C382"/>
      <c r="D382"/>
      <c r="E382"/>
      <c r="F382"/>
      <c r="G382"/>
      <c r="H382"/>
      <c r="I382"/>
      <c r="J382"/>
      <c r="K382"/>
    </row>
    <row r="383" spans="3:11" ht="15.75" x14ac:dyDescent="0.25">
      <c r="C383"/>
      <c r="D383"/>
      <c r="E383"/>
      <c r="F383"/>
      <c r="G383"/>
      <c r="H383"/>
      <c r="I383"/>
      <c r="J383"/>
      <c r="K383"/>
    </row>
    <row r="384" spans="3:11" ht="15.75" x14ac:dyDescent="0.25">
      <c r="C384"/>
      <c r="D384"/>
      <c r="E384"/>
      <c r="F384"/>
      <c r="G384"/>
      <c r="H384"/>
      <c r="I384"/>
      <c r="J384"/>
      <c r="K384"/>
    </row>
    <row r="385" spans="3:11" ht="15.75" x14ac:dyDescent="0.25">
      <c r="C385"/>
      <c r="D385"/>
      <c r="E385"/>
      <c r="F385"/>
      <c r="G385"/>
      <c r="H385"/>
      <c r="I385"/>
      <c r="J385"/>
      <c r="K385"/>
    </row>
    <row r="386" spans="3:11" ht="15.75" x14ac:dyDescent="0.25">
      <c r="C386"/>
      <c r="D386"/>
      <c r="E386"/>
      <c r="F386"/>
      <c r="G386"/>
      <c r="H386"/>
      <c r="I386"/>
      <c r="J386"/>
      <c r="K386"/>
    </row>
    <row r="387" spans="3:11" ht="15.75" x14ac:dyDescent="0.25">
      <c r="C387"/>
      <c r="D387"/>
      <c r="E387"/>
      <c r="F387"/>
      <c r="G387"/>
      <c r="H387"/>
      <c r="I387"/>
      <c r="J387"/>
      <c r="K387"/>
    </row>
    <row r="388" spans="3:11" ht="15.75" x14ac:dyDescent="0.25">
      <c r="C388"/>
      <c r="D388"/>
      <c r="E388"/>
      <c r="F388"/>
      <c r="G388"/>
      <c r="H388"/>
      <c r="I388"/>
      <c r="J388"/>
      <c r="K388"/>
    </row>
    <row r="389" spans="3:11" ht="15.75" x14ac:dyDescent="0.25">
      <c r="C389"/>
      <c r="D389"/>
      <c r="E389"/>
      <c r="F389"/>
      <c r="G389"/>
      <c r="H389"/>
      <c r="I389"/>
      <c r="J389"/>
      <c r="K389"/>
    </row>
    <row r="390" spans="3:11" ht="15.75" x14ac:dyDescent="0.25">
      <c r="C390"/>
      <c r="D390"/>
      <c r="E390"/>
      <c r="F390"/>
      <c r="G390"/>
      <c r="H390"/>
      <c r="I390"/>
      <c r="J390"/>
      <c r="K390"/>
    </row>
    <row r="391" spans="3:11" ht="15.75" x14ac:dyDescent="0.25">
      <c r="C391"/>
      <c r="D391"/>
      <c r="E391"/>
      <c r="F391"/>
      <c r="G391"/>
      <c r="H391"/>
      <c r="I391"/>
      <c r="J391"/>
      <c r="K391"/>
    </row>
    <row r="392" spans="3:11" ht="15.75" x14ac:dyDescent="0.25">
      <c r="C392"/>
      <c r="D392"/>
      <c r="E392"/>
      <c r="F392"/>
      <c r="G392"/>
      <c r="H392"/>
      <c r="I392"/>
      <c r="J392"/>
      <c r="K392"/>
    </row>
    <row r="393" spans="3:11" ht="15.75" x14ac:dyDescent="0.25">
      <c r="C393"/>
      <c r="D393"/>
      <c r="E393"/>
      <c r="F393"/>
      <c r="G393"/>
      <c r="H393"/>
      <c r="I393"/>
      <c r="J393"/>
      <c r="K393"/>
    </row>
    <row r="394" spans="3:11" ht="15.75" x14ac:dyDescent="0.25">
      <c r="C394"/>
      <c r="D394"/>
      <c r="E394"/>
      <c r="F394"/>
      <c r="G394"/>
      <c r="H394"/>
      <c r="I394"/>
      <c r="J394"/>
      <c r="K394"/>
    </row>
    <row r="395" spans="3:11" ht="15.75" x14ac:dyDescent="0.25">
      <c r="C395"/>
      <c r="D395"/>
      <c r="E395"/>
      <c r="F395"/>
      <c r="G395"/>
      <c r="H395"/>
      <c r="I395"/>
      <c r="J395"/>
      <c r="K395"/>
    </row>
    <row r="396" spans="3:11" ht="15.75" x14ac:dyDescent="0.25">
      <c r="C396"/>
      <c r="D396"/>
      <c r="E396"/>
      <c r="F396"/>
      <c r="G396"/>
      <c r="H396"/>
      <c r="I396"/>
      <c r="J396"/>
      <c r="K396"/>
    </row>
    <row r="397" spans="3:11" ht="15.75" x14ac:dyDescent="0.25">
      <c r="C397"/>
      <c r="D397"/>
      <c r="E397"/>
      <c r="F397"/>
      <c r="G397"/>
      <c r="H397"/>
      <c r="I397"/>
      <c r="J397"/>
      <c r="K397"/>
    </row>
    <row r="398" spans="3:11" ht="15.75" x14ac:dyDescent="0.25">
      <c r="C398"/>
      <c r="D398"/>
      <c r="E398"/>
      <c r="F398"/>
      <c r="G398"/>
      <c r="H398"/>
      <c r="I398"/>
      <c r="J398"/>
      <c r="K398"/>
    </row>
    <row r="399" spans="3:11" ht="15.75" x14ac:dyDescent="0.25">
      <c r="C399"/>
      <c r="D399"/>
      <c r="E399"/>
      <c r="F399"/>
      <c r="G399"/>
      <c r="H399"/>
      <c r="I399"/>
      <c r="J399"/>
      <c r="K399"/>
    </row>
    <row r="400" spans="3:11" ht="15.75" x14ac:dyDescent="0.25">
      <c r="C400"/>
      <c r="D400"/>
      <c r="E400"/>
      <c r="F400"/>
      <c r="G400"/>
      <c r="H400"/>
      <c r="I400"/>
      <c r="J400"/>
      <c r="K400"/>
    </row>
    <row r="401" spans="3:11" ht="15.75" x14ac:dyDescent="0.25">
      <c r="C401"/>
      <c r="D401"/>
      <c r="E401"/>
      <c r="F401"/>
      <c r="G401"/>
      <c r="H401"/>
      <c r="I401"/>
      <c r="J401"/>
      <c r="K401"/>
    </row>
    <row r="402" spans="3:11" ht="15.75" x14ac:dyDescent="0.25">
      <c r="C402"/>
      <c r="D402"/>
      <c r="E402"/>
      <c r="F402"/>
      <c r="G402"/>
      <c r="H402"/>
      <c r="I402"/>
      <c r="J402"/>
      <c r="K402"/>
    </row>
    <row r="403" spans="3:11" ht="15.75" x14ac:dyDescent="0.25">
      <c r="C403"/>
      <c r="D403"/>
      <c r="E403"/>
      <c r="F403"/>
      <c r="G403"/>
      <c r="H403"/>
      <c r="I403"/>
      <c r="J403"/>
      <c r="K403"/>
    </row>
    <row r="404" spans="3:11" ht="15.75" x14ac:dyDescent="0.25">
      <c r="C404"/>
      <c r="D404"/>
      <c r="E404"/>
      <c r="F404"/>
      <c r="G404"/>
      <c r="H404"/>
      <c r="I404"/>
      <c r="J404"/>
      <c r="K404"/>
    </row>
    <row r="405" spans="3:11" ht="15.75" x14ac:dyDescent="0.25">
      <c r="C405"/>
      <c r="D405"/>
      <c r="E405"/>
      <c r="F405"/>
      <c r="G405"/>
      <c r="H405"/>
      <c r="I405"/>
      <c r="J405"/>
      <c r="K405"/>
    </row>
    <row r="406" spans="3:11" ht="15.75" x14ac:dyDescent="0.25">
      <c r="C406"/>
      <c r="D406"/>
      <c r="E406"/>
      <c r="F406"/>
      <c r="G406"/>
      <c r="H406"/>
      <c r="I406"/>
      <c r="J406"/>
      <c r="K406"/>
    </row>
    <row r="407" spans="3:11" ht="15.75" x14ac:dyDescent="0.25">
      <c r="C407"/>
      <c r="D407"/>
      <c r="E407"/>
      <c r="F407"/>
      <c r="G407"/>
      <c r="H407"/>
      <c r="I407"/>
      <c r="J407"/>
      <c r="K407"/>
    </row>
    <row r="408" spans="3:11" ht="15.75" x14ac:dyDescent="0.25">
      <c r="C408"/>
      <c r="D408"/>
      <c r="E408"/>
      <c r="F408"/>
      <c r="G408"/>
      <c r="H408"/>
      <c r="I408"/>
      <c r="J408"/>
      <c r="K408"/>
    </row>
    <row r="409" spans="3:11" ht="15.75" x14ac:dyDescent="0.25">
      <c r="C409"/>
      <c r="D409"/>
      <c r="E409"/>
      <c r="F409"/>
      <c r="G409"/>
      <c r="H409"/>
      <c r="I409"/>
      <c r="J409"/>
      <c r="K409"/>
    </row>
    <row r="410" spans="3:11" ht="15.75" x14ac:dyDescent="0.25">
      <c r="C410"/>
      <c r="D410"/>
      <c r="E410"/>
      <c r="F410"/>
      <c r="G410"/>
      <c r="H410"/>
      <c r="I410"/>
      <c r="J410"/>
      <c r="K410"/>
    </row>
    <row r="411" spans="3:11" ht="15.75" x14ac:dyDescent="0.25">
      <c r="C411"/>
      <c r="D411"/>
      <c r="E411"/>
      <c r="F411"/>
      <c r="G411"/>
      <c r="H411"/>
      <c r="I411"/>
      <c r="J411"/>
      <c r="K411"/>
    </row>
    <row r="412" spans="3:11" ht="15.75" x14ac:dyDescent="0.25">
      <c r="C412"/>
      <c r="D412"/>
      <c r="E412"/>
      <c r="F412"/>
      <c r="G412"/>
      <c r="H412"/>
      <c r="I412"/>
      <c r="J412"/>
      <c r="K412"/>
    </row>
    <row r="413" spans="3:11" ht="15.75" x14ac:dyDescent="0.25">
      <c r="C413"/>
      <c r="D413"/>
      <c r="E413"/>
      <c r="F413"/>
      <c r="G413"/>
      <c r="H413"/>
      <c r="I413"/>
      <c r="J413"/>
      <c r="K413"/>
    </row>
    <row r="414" spans="3:11" ht="15.75" x14ac:dyDescent="0.25">
      <c r="C414"/>
      <c r="D414"/>
      <c r="E414"/>
      <c r="F414"/>
      <c r="G414"/>
      <c r="H414"/>
      <c r="I414"/>
      <c r="J414"/>
      <c r="K414"/>
    </row>
    <row r="415" spans="3:11" ht="15.75" x14ac:dyDescent="0.25">
      <c r="C415"/>
      <c r="D415"/>
      <c r="E415"/>
      <c r="F415"/>
      <c r="G415"/>
      <c r="H415"/>
      <c r="I415"/>
      <c r="J415"/>
      <c r="K415"/>
    </row>
    <row r="416" spans="3:11" ht="15.75" x14ac:dyDescent="0.25">
      <c r="C416"/>
      <c r="D416"/>
      <c r="E416"/>
      <c r="F416"/>
      <c r="G416"/>
      <c r="H416"/>
      <c r="I416"/>
      <c r="J416"/>
      <c r="K416"/>
    </row>
    <row r="417" spans="3:11" ht="15.75" x14ac:dyDescent="0.25">
      <c r="C417"/>
      <c r="D417"/>
      <c r="E417"/>
      <c r="F417"/>
      <c r="G417"/>
      <c r="H417"/>
      <c r="I417"/>
      <c r="J417"/>
      <c r="K417"/>
    </row>
    <row r="418" spans="3:11" ht="15.75" x14ac:dyDescent="0.25">
      <c r="C418"/>
      <c r="D418"/>
      <c r="E418"/>
      <c r="F418"/>
      <c r="G418"/>
      <c r="H418"/>
      <c r="I418"/>
      <c r="J418"/>
      <c r="K418"/>
    </row>
    <row r="419" spans="3:11" ht="15.75" x14ac:dyDescent="0.25">
      <c r="C419"/>
      <c r="D419"/>
      <c r="E419"/>
      <c r="F419"/>
      <c r="G419"/>
      <c r="H419"/>
      <c r="I419"/>
      <c r="J419"/>
      <c r="K419"/>
    </row>
    <row r="420" spans="3:11" ht="15.75" x14ac:dyDescent="0.25">
      <c r="C420"/>
      <c r="D420"/>
      <c r="E420"/>
      <c r="F420"/>
      <c r="G420"/>
      <c r="H420"/>
      <c r="I420"/>
      <c r="J420"/>
      <c r="K420"/>
    </row>
    <row r="421" spans="3:11" ht="15.75" x14ac:dyDescent="0.25">
      <c r="C421"/>
      <c r="D421"/>
      <c r="E421"/>
      <c r="F421"/>
      <c r="G421"/>
      <c r="H421"/>
      <c r="I421"/>
      <c r="J421"/>
      <c r="K421"/>
    </row>
    <row r="422" spans="3:11" ht="15.75" x14ac:dyDescent="0.25">
      <c r="C422"/>
      <c r="D422"/>
      <c r="E422"/>
      <c r="F422"/>
      <c r="G422"/>
      <c r="H422"/>
      <c r="I422"/>
      <c r="J422"/>
      <c r="K422"/>
    </row>
    <row r="423" spans="3:11" ht="15.75" x14ac:dyDescent="0.25">
      <c r="C423"/>
      <c r="D423"/>
      <c r="E423"/>
      <c r="F423"/>
      <c r="G423"/>
      <c r="H423"/>
      <c r="I423"/>
      <c r="J423"/>
      <c r="K423"/>
    </row>
    <row r="424" spans="3:11" ht="15.75" x14ac:dyDescent="0.25">
      <c r="C424"/>
      <c r="D424"/>
      <c r="E424"/>
      <c r="F424"/>
      <c r="G424"/>
      <c r="H424"/>
      <c r="I424"/>
      <c r="J424"/>
      <c r="K424"/>
    </row>
    <row r="425" spans="3:11" ht="15.75" x14ac:dyDescent="0.25">
      <c r="C425"/>
      <c r="D425"/>
      <c r="E425"/>
      <c r="F425"/>
      <c r="G425"/>
      <c r="H425"/>
      <c r="I425"/>
      <c r="J425"/>
      <c r="K425"/>
    </row>
    <row r="426" spans="3:11" ht="15.75" x14ac:dyDescent="0.25">
      <c r="C426"/>
      <c r="D426"/>
      <c r="E426"/>
      <c r="F426"/>
      <c r="G426"/>
      <c r="H426"/>
      <c r="I426"/>
      <c r="J426"/>
      <c r="K426"/>
    </row>
    <row r="427" spans="3:11" ht="15.75" x14ac:dyDescent="0.25">
      <c r="C427"/>
      <c r="D427"/>
      <c r="E427"/>
      <c r="F427"/>
      <c r="G427"/>
      <c r="H427"/>
      <c r="I427"/>
      <c r="J427"/>
      <c r="K427"/>
    </row>
    <row r="428" spans="3:11" ht="15.75" x14ac:dyDescent="0.25">
      <c r="C428"/>
      <c r="D428"/>
      <c r="E428"/>
      <c r="F428"/>
      <c r="G428"/>
      <c r="H428"/>
      <c r="I428"/>
      <c r="J428"/>
      <c r="K428"/>
    </row>
    <row r="429" spans="3:11" ht="15.75" x14ac:dyDescent="0.25">
      <c r="C429"/>
      <c r="D429"/>
      <c r="E429"/>
      <c r="F429"/>
      <c r="G429"/>
      <c r="H429"/>
      <c r="I429"/>
      <c r="J429"/>
      <c r="K429"/>
    </row>
    <row r="430" spans="3:11" ht="15.75" x14ac:dyDescent="0.25">
      <c r="C430"/>
      <c r="D430"/>
      <c r="E430"/>
      <c r="F430"/>
      <c r="G430"/>
      <c r="H430"/>
      <c r="I430"/>
      <c r="J430"/>
      <c r="K430"/>
    </row>
    <row r="431" spans="3:11" ht="15.75" x14ac:dyDescent="0.25">
      <c r="C431"/>
      <c r="D431"/>
      <c r="E431"/>
      <c r="F431"/>
      <c r="G431"/>
      <c r="H431"/>
      <c r="I431"/>
      <c r="J431"/>
      <c r="K431"/>
    </row>
    <row r="432" spans="3:11" ht="15.75" x14ac:dyDescent="0.25">
      <c r="C432"/>
      <c r="D432"/>
      <c r="E432"/>
      <c r="F432"/>
      <c r="G432"/>
      <c r="H432"/>
      <c r="I432"/>
      <c r="J432"/>
      <c r="K432"/>
    </row>
    <row r="433" spans="3:11" ht="15.75" x14ac:dyDescent="0.25">
      <c r="C433"/>
      <c r="D433"/>
      <c r="E433"/>
      <c r="F433"/>
      <c r="G433"/>
      <c r="H433"/>
      <c r="I433"/>
      <c r="J433"/>
      <c r="K433"/>
    </row>
    <row r="434" spans="3:11" ht="15.75" x14ac:dyDescent="0.25">
      <c r="C434"/>
      <c r="D434"/>
      <c r="E434"/>
      <c r="F434"/>
      <c r="G434"/>
      <c r="H434"/>
      <c r="I434"/>
      <c r="J434"/>
      <c r="K434"/>
    </row>
    <row r="435" spans="3:11" ht="15.75" x14ac:dyDescent="0.25">
      <c r="C435"/>
      <c r="D435"/>
      <c r="E435"/>
      <c r="F435"/>
      <c r="G435"/>
      <c r="H435"/>
      <c r="I435"/>
      <c r="J435"/>
      <c r="K435"/>
    </row>
    <row r="436" spans="3:11" ht="15.75" x14ac:dyDescent="0.25">
      <c r="C436"/>
      <c r="D436"/>
      <c r="E436"/>
      <c r="F436"/>
      <c r="G436"/>
      <c r="H436"/>
      <c r="I436"/>
      <c r="J436"/>
      <c r="K436"/>
    </row>
    <row r="437" spans="3:11" ht="15.75" x14ac:dyDescent="0.25">
      <c r="C437"/>
      <c r="D437"/>
      <c r="E437"/>
      <c r="F437"/>
      <c r="G437"/>
      <c r="H437"/>
      <c r="I437"/>
      <c r="J437"/>
      <c r="K437"/>
    </row>
    <row r="438" spans="3:11" ht="15.75" x14ac:dyDescent="0.25">
      <c r="C438"/>
      <c r="D438"/>
      <c r="E438"/>
      <c r="F438"/>
      <c r="G438"/>
      <c r="H438"/>
      <c r="I438"/>
      <c r="J438"/>
      <c r="K438"/>
    </row>
    <row r="439" spans="3:11" ht="15.75" x14ac:dyDescent="0.25">
      <c r="C439"/>
      <c r="D439"/>
      <c r="E439"/>
      <c r="F439"/>
      <c r="G439"/>
      <c r="H439"/>
      <c r="I439"/>
      <c r="J439"/>
      <c r="K439"/>
    </row>
    <row r="440" spans="3:11" ht="15.75" x14ac:dyDescent="0.25">
      <c r="C440"/>
      <c r="D440"/>
      <c r="E440"/>
      <c r="F440"/>
      <c r="G440"/>
      <c r="H440"/>
      <c r="I440"/>
      <c r="J440"/>
      <c r="K440"/>
    </row>
    <row r="441" spans="3:11" ht="15.75" x14ac:dyDescent="0.25">
      <c r="C441"/>
      <c r="D441"/>
      <c r="E441"/>
      <c r="F441"/>
      <c r="G441"/>
      <c r="H441"/>
      <c r="I441"/>
      <c r="J441"/>
      <c r="K441"/>
    </row>
    <row r="442" spans="3:11" ht="15.75" x14ac:dyDescent="0.25">
      <c r="C442"/>
      <c r="D442"/>
      <c r="E442"/>
      <c r="F442"/>
      <c r="G442"/>
      <c r="H442"/>
      <c r="I442"/>
      <c r="J442"/>
      <c r="K442"/>
    </row>
    <row r="443" spans="3:11" ht="15.75" x14ac:dyDescent="0.25">
      <c r="C443"/>
      <c r="D443"/>
      <c r="E443"/>
      <c r="F443"/>
      <c r="G443"/>
      <c r="H443"/>
      <c r="I443"/>
      <c r="J443"/>
      <c r="K443"/>
    </row>
    <row r="444" spans="3:11" ht="15.75" x14ac:dyDescent="0.25">
      <c r="C444"/>
      <c r="D444"/>
      <c r="E444"/>
      <c r="F444"/>
      <c r="G444"/>
      <c r="H444"/>
      <c r="I444"/>
      <c r="J444"/>
      <c r="K444"/>
    </row>
    <row r="445" spans="3:11" ht="15.75" x14ac:dyDescent="0.25">
      <c r="C445"/>
      <c r="D445"/>
      <c r="E445"/>
      <c r="F445"/>
      <c r="G445"/>
      <c r="H445"/>
      <c r="I445"/>
      <c r="J445"/>
      <c r="K445"/>
    </row>
    <row r="446" spans="3:11" ht="15.75" x14ac:dyDescent="0.25">
      <c r="C446"/>
      <c r="D446"/>
      <c r="E446"/>
      <c r="F446"/>
      <c r="G446"/>
      <c r="H446"/>
      <c r="I446"/>
      <c r="J446"/>
      <c r="K446"/>
    </row>
    <row r="447" spans="3:11" ht="15.75" x14ac:dyDescent="0.25">
      <c r="C447"/>
      <c r="D447"/>
      <c r="E447"/>
      <c r="F447"/>
      <c r="G447"/>
      <c r="H447"/>
      <c r="I447"/>
      <c r="J447"/>
      <c r="K447"/>
    </row>
    <row r="448" spans="3:11" ht="15.75" x14ac:dyDescent="0.25">
      <c r="C448"/>
      <c r="D448"/>
      <c r="E448"/>
      <c r="F448"/>
      <c r="G448"/>
      <c r="H448"/>
      <c r="I448"/>
      <c r="J448"/>
      <c r="K448"/>
    </row>
    <row r="449" spans="3:11" ht="15.75" x14ac:dyDescent="0.25">
      <c r="C449"/>
      <c r="D449"/>
      <c r="E449"/>
      <c r="F449"/>
      <c r="G449"/>
      <c r="H449"/>
      <c r="I449"/>
      <c r="J449"/>
      <c r="K449"/>
    </row>
    <row r="450" spans="3:11" ht="15.75" x14ac:dyDescent="0.25">
      <c r="C450"/>
      <c r="D450"/>
      <c r="E450"/>
      <c r="F450"/>
      <c r="G450"/>
      <c r="H450"/>
      <c r="I450"/>
      <c r="J450"/>
      <c r="K450"/>
    </row>
    <row r="451" spans="3:11" ht="15.75" x14ac:dyDescent="0.25">
      <c r="C451"/>
      <c r="D451"/>
      <c r="E451"/>
      <c r="F451"/>
      <c r="G451"/>
      <c r="H451"/>
      <c r="I451"/>
      <c r="J451"/>
      <c r="K451"/>
    </row>
    <row r="452" spans="3:11" ht="15.75" x14ac:dyDescent="0.25">
      <c r="C452"/>
      <c r="D452"/>
      <c r="E452"/>
      <c r="F452"/>
      <c r="G452"/>
      <c r="H452"/>
      <c r="I452"/>
      <c r="J452"/>
      <c r="K452"/>
    </row>
    <row r="453" spans="3:11" ht="15.75" x14ac:dyDescent="0.25">
      <c r="C453"/>
      <c r="D453"/>
      <c r="E453"/>
      <c r="F453"/>
      <c r="G453"/>
      <c r="H453"/>
      <c r="I453"/>
      <c r="J453"/>
      <c r="K453"/>
    </row>
    <row r="454" spans="3:11" ht="15.75" x14ac:dyDescent="0.25">
      <c r="C454"/>
      <c r="D454"/>
      <c r="E454"/>
      <c r="F454"/>
      <c r="G454"/>
      <c r="H454"/>
      <c r="I454"/>
      <c r="J454"/>
      <c r="K454"/>
    </row>
    <row r="455" spans="3:11" ht="15.75" x14ac:dyDescent="0.25">
      <c r="C455"/>
      <c r="D455"/>
      <c r="E455"/>
      <c r="F455"/>
      <c r="G455"/>
      <c r="H455"/>
      <c r="I455"/>
      <c r="J455"/>
      <c r="K455"/>
    </row>
    <row r="456" spans="3:11" ht="15.75" x14ac:dyDescent="0.25">
      <c r="C456"/>
      <c r="D456"/>
      <c r="E456"/>
      <c r="F456"/>
      <c r="G456"/>
      <c r="H456"/>
      <c r="I456"/>
      <c r="J456"/>
      <c r="K456"/>
    </row>
    <row r="457" spans="3:11" ht="15.75" x14ac:dyDescent="0.25">
      <c r="C457"/>
      <c r="D457"/>
      <c r="E457"/>
      <c r="F457"/>
      <c r="G457"/>
      <c r="H457"/>
      <c r="I457"/>
      <c r="J457"/>
      <c r="K457"/>
    </row>
    <row r="458" spans="3:11" ht="15.75" x14ac:dyDescent="0.25">
      <c r="C458"/>
      <c r="D458"/>
      <c r="E458"/>
      <c r="F458"/>
      <c r="G458"/>
      <c r="H458"/>
      <c r="I458"/>
      <c r="J458"/>
      <c r="K458"/>
    </row>
    <row r="459" spans="3:11" ht="15.75" x14ac:dyDescent="0.25">
      <c r="C459"/>
      <c r="D459"/>
      <c r="E459"/>
      <c r="F459"/>
      <c r="G459"/>
      <c r="H459"/>
      <c r="I459"/>
      <c r="J459"/>
      <c r="K459"/>
    </row>
    <row r="460" spans="3:11" ht="15.75" x14ac:dyDescent="0.25">
      <c r="C460"/>
      <c r="D460"/>
      <c r="E460"/>
      <c r="F460"/>
      <c r="G460"/>
      <c r="H460"/>
      <c r="I460"/>
      <c r="J460"/>
      <c r="K460"/>
    </row>
    <row r="461" spans="3:11" ht="15.75" x14ac:dyDescent="0.25">
      <c r="C461"/>
      <c r="D461"/>
      <c r="E461"/>
      <c r="F461"/>
      <c r="G461"/>
      <c r="H461"/>
      <c r="I461"/>
      <c r="J461"/>
      <c r="K461"/>
    </row>
    <row r="462" spans="3:11" ht="15.75" x14ac:dyDescent="0.25">
      <c r="C462"/>
      <c r="D462"/>
      <c r="E462"/>
      <c r="F462"/>
      <c r="G462"/>
      <c r="H462"/>
      <c r="I462"/>
      <c r="J462"/>
      <c r="K462"/>
    </row>
    <row r="463" spans="3:11" ht="15.75" x14ac:dyDescent="0.25">
      <c r="C463"/>
      <c r="D463"/>
      <c r="E463"/>
      <c r="F463"/>
      <c r="G463"/>
      <c r="H463"/>
      <c r="I463"/>
      <c r="J463"/>
      <c r="K463"/>
    </row>
    <row r="464" spans="3:11" ht="15.75" x14ac:dyDescent="0.25">
      <c r="C464"/>
      <c r="D464"/>
      <c r="E464"/>
      <c r="F464"/>
      <c r="G464"/>
      <c r="H464"/>
      <c r="I464"/>
      <c r="J464"/>
      <c r="K464"/>
    </row>
    <row r="465" spans="3:11" ht="15.75" x14ac:dyDescent="0.25">
      <c r="C465"/>
      <c r="D465"/>
      <c r="E465"/>
      <c r="F465"/>
      <c r="G465"/>
      <c r="H465"/>
      <c r="I465"/>
      <c r="J465"/>
      <c r="K465"/>
    </row>
    <row r="466" spans="3:11" ht="15.75" x14ac:dyDescent="0.25">
      <c r="C466"/>
      <c r="D466"/>
      <c r="E466"/>
      <c r="F466"/>
      <c r="G466"/>
      <c r="H466"/>
      <c r="I466"/>
      <c r="J466"/>
      <c r="K466"/>
    </row>
    <row r="467" spans="3:11" ht="15.75" x14ac:dyDescent="0.25">
      <c r="C467"/>
      <c r="D467"/>
      <c r="E467"/>
      <c r="F467"/>
      <c r="G467"/>
      <c r="H467"/>
      <c r="I467"/>
      <c r="J467"/>
      <c r="K467"/>
    </row>
    <row r="468" spans="3:11" ht="15.75" x14ac:dyDescent="0.25">
      <c r="C468"/>
      <c r="D468"/>
      <c r="E468"/>
      <c r="F468"/>
      <c r="G468"/>
      <c r="H468"/>
      <c r="I468"/>
      <c r="J468"/>
      <c r="K468"/>
    </row>
    <row r="469" spans="3:11" ht="15.75" x14ac:dyDescent="0.25">
      <c r="C469"/>
      <c r="D469"/>
      <c r="E469"/>
      <c r="F469"/>
      <c r="G469"/>
      <c r="H469"/>
      <c r="I469"/>
      <c r="J469"/>
      <c r="K469"/>
    </row>
    <row r="470" spans="3:11" ht="15.75" x14ac:dyDescent="0.25">
      <c r="C470"/>
      <c r="D470"/>
      <c r="E470"/>
      <c r="F470"/>
      <c r="G470"/>
      <c r="H470"/>
      <c r="I470"/>
      <c r="J470"/>
      <c r="K470"/>
    </row>
    <row r="471" spans="3:11" ht="15.75" x14ac:dyDescent="0.25">
      <c r="C471"/>
      <c r="D471"/>
      <c r="E471"/>
      <c r="F471"/>
      <c r="G471"/>
      <c r="H471"/>
      <c r="I471"/>
      <c r="J471"/>
      <c r="K471"/>
    </row>
    <row r="472" spans="3:11" ht="15.75" x14ac:dyDescent="0.25">
      <c r="C472"/>
      <c r="D472"/>
      <c r="E472"/>
      <c r="F472"/>
      <c r="G472"/>
      <c r="H472"/>
      <c r="I472"/>
      <c r="J472"/>
      <c r="K472"/>
    </row>
    <row r="473" spans="3:11" ht="15.75" x14ac:dyDescent="0.25">
      <c r="C473"/>
      <c r="D473"/>
      <c r="E473"/>
      <c r="F473"/>
      <c r="G473"/>
      <c r="H473"/>
      <c r="I473"/>
      <c r="J473"/>
      <c r="K473"/>
    </row>
    <row r="474" spans="3:11" ht="15.75" x14ac:dyDescent="0.25">
      <c r="C474"/>
      <c r="D474"/>
      <c r="E474"/>
      <c r="F474"/>
      <c r="G474"/>
      <c r="H474"/>
      <c r="I474"/>
      <c r="J474"/>
      <c r="K474"/>
    </row>
    <row r="475" spans="3:11" ht="15.75" x14ac:dyDescent="0.25">
      <c r="C475"/>
      <c r="D475"/>
      <c r="E475"/>
      <c r="F475"/>
      <c r="G475"/>
      <c r="H475"/>
      <c r="I475"/>
      <c r="J475"/>
      <c r="K475"/>
    </row>
    <row r="476" spans="3:11" ht="15.75" x14ac:dyDescent="0.25">
      <c r="C476"/>
      <c r="D476"/>
      <c r="E476"/>
      <c r="F476"/>
      <c r="G476"/>
      <c r="H476"/>
      <c r="I476"/>
      <c r="J476"/>
      <c r="K476"/>
    </row>
    <row r="477" spans="3:11" ht="15.75" x14ac:dyDescent="0.25">
      <c r="C477"/>
      <c r="D477"/>
      <c r="E477"/>
      <c r="F477"/>
      <c r="G477"/>
      <c r="H477"/>
      <c r="I477"/>
      <c r="J477"/>
      <c r="K477"/>
    </row>
    <row r="478" spans="3:11" ht="15.75" x14ac:dyDescent="0.25">
      <c r="C478"/>
      <c r="D478"/>
      <c r="E478"/>
      <c r="F478"/>
      <c r="G478"/>
      <c r="H478"/>
      <c r="I478"/>
      <c r="J478"/>
      <c r="K478"/>
    </row>
    <row r="479" spans="3:11" ht="15.75" x14ac:dyDescent="0.25">
      <c r="C479"/>
      <c r="D479"/>
      <c r="E479"/>
      <c r="F479"/>
      <c r="G479"/>
      <c r="H479"/>
      <c r="I479"/>
      <c r="J479"/>
      <c r="K479"/>
    </row>
    <row r="480" spans="3:11" ht="15.75" x14ac:dyDescent="0.25">
      <c r="C480"/>
      <c r="D480"/>
      <c r="E480"/>
      <c r="F480"/>
      <c r="G480"/>
      <c r="H480"/>
      <c r="I480"/>
      <c r="J480"/>
      <c r="K480"/>
    </row>
    <row r="481" spans="3:11" ht="15.75" x14ac:dyDescent="0.25">
      <c r="C481"/>
      <c r="D481"/>
      <c r="E481"/>
      <c r="F481"/>
      <c r="G481"/>
      <c r="H481"/>
      <c r="I481"/>
      <c r="J481"/>
      <c r="K481"/>
    </row>
    <row r="482" spans="3:11" ht="15.75" x14ac:dyDescent="0.25">
      <c r="C482"/>
      <c r="D482"/>
      <c r="E482"/>
      <c r="F482"/>
      <c r="G482"/>
      <c r="H482"/>
      <c r="I482"/>
      <c r="J482"/>
      <c r="K482"/>
    </row>
    <row r="483" spans="3:11" ht="15.75" x14ac:dyDescent="0.25">
      <c r="C483"/>
      <c r="D483"/>
      <c r="E483"/>
      <c r="F483"/>
      <c r="G483"/>
      <c r="H483"/>
      <c r="I483"/>
      <c r="J483"/>
      <c r="K483"/>
    </row>
    <row r="484" spans="3:11" ht="15.75" x14ac:dyDescent="0.25">
      <c r="C484"/>
      <c r="D484"/>
      <c r="E484"/>
      <c r="F484"/>
      <c r="G484"/>
      <c r="H484"/>
      <c r="I484"/>
      <c r="J484"/>
      <c r="K484"/>
    </row>
    <row r="485" spans="3:11" ht="15.75" x14ac:dyDescent="0.25">
      <c r="C485"/>
      <c r="D485"/>
      <c r="E485"/>
      <c r="F485"/>
      <c r="G485"/>
      <c r="H485"/>
      <c r="I485"/>
      <c r="J485"/>
      <c r="K485"/>
    </row>
    <row r="486" spans="3:11" ht="15.75" x14ac:dyDescent="0.25">
      <c r="C486"/>
      <c r="D486"/>
      <c r="E486"/>
      <c r="F486"/>
      <c r="G486"/>
      <c r="H486"/>
      <c r="I486"/>
      <c r="J486"/>
      <c r="K486"/>
    </row>
    <row r="487" spans="3:11" ht="15.75" x14ac:dyDescent="0.25">
      <c r="C487"/>
      <c r="D487"/>
      <c r="E487"/>
      <c r="F487"/>
      <c r="G487"/>
      <c r="H487"/>
      <c r="I487"/>
      <c r="J487"/>
      <c r="K487"/>
    </row>
    <row r="488" spans="3:11" ht="15.75" x14ac:dyDescent="0.25">
      <c r="C488"/>
      <c r="D488"/>
      <c r="E488"/>
      <c r="F488"/>
      <c r="G488"/>
      <c r="H488"/>
      <c r="I488"/>
      <c r="J488"/>
      <c r="K488"/>
    </row>
    <row r="489" spans="3:11" ht="15.75" x14ac:dyDescent="0.25">
      <c r="C489"/>
      <c r="D489"/>
      <c r="E489"/>
      <c r="F489"/>
      <c r="G489"/>
      <c r="H489"/>
      <c r="I489"/>
      <c r="J489"/>
      <c r="K489"/>
    </row>
    <row r="490" spans="3:11" ht="15.75" x14ac:dyDescent="0.25">
      <c r="C490"/>
      <c r="D490"/>
      <c r="E490"/>
      <c r="F490"/>
      <c r="G490"/>
      <c r="H490"/>
      <c r="I490"/>
      <c r="J490"/>
      <c r="K490"/>
    </row>
    <row r="491" spans="3:11" ht="15.75" x14ac:dyDescent="0.25">
      <c r="C491"/>
      <c r="D491"/>
      <c r="E491"/>
      <c r="F491"/>
      <c r="G491"/>
      <c r="H491"/>
      <c r="I491"/>
      <c r="J491"/>
      <c r="K491"/>
    </row>
    <row r="492" spans="3:11" ht="15.75" x14ac:dyDescent="0.25">
      <c r="C492"/>
      <c r="D492"/>
      <c r="E492"/>
      <c r="F492"/>
      <c r="G492"/>
      <c r="H492"/>
      <c r="I492"/>
      <c r="J492"/>
      <c r="K492"/>
    </row>
    <row r="493" spans="3:11" ht="15.75" x14ac:dyDescent="0.25">
      <c r="C493"/>
      <c r="D493"/>
      <c r="E493"/>
      <c r="F493"/>
      <c r="G493"/>
      <c r="H493"/>
      <c r="I493"/>
      <c r="J493"/>
      <c r="K493"/>
    </row>
    <row r="494" spans="3:11" ht="15.75" x14ac:dyDescent="0.25">
      <c r="C494"/>
      <c r="D494"/>
      <c r="E494"/>
      <c r="F494"/>
      <c r="G494"/>
      <c r="H494"/>
    </row>
    <row r="495" spans="3:11" ht="15.75" x14ac:dyDescent="0.25">
      <c r="C495"/>
      <c r="D495"/>
      <c r="E495"/>
      <c r="F495"/>
      <c r="G495"/>
      <c r="H495"/>
    </row>
    <row r="496" spans="3:11" ht="15.75" x14ac:dyDescent="0.25">
      <c r="C496"/>
      <c r="D496"/>
      <c r="E496"/>
      <c r="F496"/>
      <c r="G496"/>
      <c r="H496"/>
    </row>
    <row r="497" spans="3:8" ht="15.75" x14ac:dyDescent="0.25">
      <c r="C497"/>
      <c r="D497"/>
      <c r="E497"/>
      <c r="F497"/>
      <c r="G497"/>
      <c r="H497"/>
    </row>
    <row r="498" spans="3:8" ht="15.75" x14ac:dyDescent="0.25">
      <c r="C498"/>
      <c r="D498"/>
      <c r="E498"/>
      <c r="F498"/>
      <c r="G498"/>
      <c r="H498"/>
    </row>
    <row r="499" spans="3:8" ht="15.75" x14ac:dyDescent="0.25">
      <c r="C499"/>
      <c r="D499"/>
      <c r="E499"/>
      <c r="F499"/>
      <c r="G499"/>
      <c r="H499"/>
    </row>
    <row r="500" spans="3:8" ht="15.75" x14ac:dyDescent="0.25">
      <c r="C500"/>
      <c r="D500"/>
      <c r="E500"/>
      <c r="F500"/>
      <c r="G500"/>
      <c r="H500"/>
    </row>
    <row r="501" spans="3:8" ht="15.75" x14ac:dyDescent="0.25">
      <c r="C501"/>
      <c r="D501"/>
      <c r="E501"/>
      <c r="F501"/>
      <c r="G501"/>
      <c r="H501"/>
    </row>
    <row r="502" spans="3:8" ht="15.75" x14ac:dyDescent="0.25">
      <c r="C502"/>
      <c r="D502"/>
      <c r="E502"/>
      <c r="F502"/>
      <c r="G502"/>
      <c r="H502"/>
    </row>
    <row r="503" spans="3:8" ht="15.75" x14ac:dyDescent="0.25">
      <c r="C503"/>
      <c r="D503"/>
      <c r="E503"/>
      <c r="F503"/>
      <c r="G503"/>
      <c r="H503"/>
    </row>
    <row r="504" spans="3:8" ht="15.75" x14ac:dyDescent="0.25">
      <c r="C504"/>
      <c r="D504"/>
      <c r="E504"/>
      <c r="F504"/>
      <c r="G504"/>
      <c r="H504"/>
    </row>
    <row r="505" spans="3:8" ht="15.75" x14ac:dyDescent="0.25">
      <c r="C505"/>
      <c r="D505"/>
      <c r="E505"/>
      <c r="F505"/>
      <c r="G505"/>
      <c r="H505"/>
    </row>
    <row r="506" spans="3:8" ht="15.75" x14ac:dyDescent="0.25">
      <c r="C506"/>
      <c r="D506"/>
      <c r="E506"/>
      <c r="F506"/>
      <c r="G506"/>
      <c r="H506"/>
    </row>
    <row r="507" spans="3:8" ht="15.75" x14ac:dyDescent="0.25">
      <c r="C507"/>
      <c r="D507"/>
      <c r="E507"/>
      <c r="F507"/>
      <c r="G507"/>
      <c r="H507"/>
    </row>
    <row r="508" spans="3:8" ht="15.75" x14ac:dyDescent="0.25">
      <c r="C508"/>
      <c r="D508"/>
      <c r="E508"/>
      <c r="F508"/>
      <c r="G508"/>
      <c r="H508"/>
    </row>
    <row r="509" spans="3:8" ht="15.75" x14ac:dyDescent="0.25">
      <c r="C509"/>
      <c r="D509"/>
      <c r="E509"/>
      <c r="F509"/>
      <c r="G509"/>
      <c r="H509"/>
    </row>
    <row r="510" spans="3:8" ht="15.75" x14ac:dyDescent="0.25">
      <c r="C510"/>
      <c r="D510"/>
      <c r="E510"/>
      <c r="F510"/>
      <c r="G510"/>
      <c r="H510"/>
    </row>
    <row r="511" spans="3:8" ht="15.75" x14ac:dyDescent="0.25">
      <c r="C511"/>
      <c r="D511"/>
      <c r="E511"/>
      <c r="F511"/>
      <c r="G511"/>
      <c r="H511"/>
    </row>
    <row r="512" spans="3:8" ht="15.75" x14ac:dyDescent="0.25">
      <c r="C512"/>
      <c r="D512"/>
      <c r="E512"/>
      <c r="F512"/>
      <c r="G512"/>
      <c r="H512"/>
    </row>
    <row r="513" spans="3:8" ht="15.75" x14ac:dyDescent="0.25">
      <c r="C513"/>
      <c r="D513"/>
      <c r="E513"/>
      <c r="F513"/>
      <c r="G513"/>
      <c r="H513"/>
    </row>
    <row r="514" spans="3:8" ht="15.75" x14ac:dyDescent="0.25">
      <c r="C514"/>
      <c r="D514"/>
      <c r="E514"/>
      <c r="F514"/>
      <c r="G514"/>
      <c r="H514"/>
    </row>
    <row r="515" spans="3:8" ht="15.75" x14ac:dyDescent="0.25">
      <c r="C515"/>
      <c r="D515"/>
      <c r="E515"/>
      <c r="F515"/>
      <c r="G515"/>
      <c r="H515"/>
    </row>
    <row r="516" spans="3:8" ht="15.75" x14ac:dyDescent="0.25">
      <c r="C516"/>
      <c r="D516"/>
      <c r="E516"/>
      <c r="F516"/>
      <c r="G516"/>
      <c r="H516"/>
    </row>
    <row r="517" spans="3:8" ht="15.75" x14ac:dyDescent="0.25">
      <c r="C517"/>
      <c r="D517"/>
      <c r="E517"/>
      <c r="F517"/>
      <c r="G517"/>
      <c r="H517"/>
    </row>
    <row r="518" spans="3:8" ht="15.75" x14ac:dyDescent="0.25">
      <c r="C518"/>
      <c r="D518"/>
      <c r="E518"/>
      <c r="F518"/>
      <c r="G518"/>
      <c r="H518"/>
    </row>
    <row r="519" spans="3:8" ht="15.75" x14ac:dyDescent="0.25">
      <c r="C519"/>
      <c r="D519"/>
      <c r="E519"/>
      <c r="F519"/>
      <c r="G519"/>
      <c r="H519"/>
    </row>
    <row r="520" spans="3:8" ht="15.75" x14ac:dyDescent="0.25">
      <c r="C520"/>
      <c r="D520"/>
      <c r="E520"/>
      <c r="F520"/>
      <c r="G520"/>
      <c r="H520"/>
    </row>
    <row r="521" spans="3:8" ht="15.75" x14ac:dyDescent="0.25">
      <c r="C521"/>
      <c r="D521"/>
      <c r="E521"/>
      <c r="F521"/>
      <c r="G521"/>
      <c r="H521"/>
    </row>
    <row r="522" spans="3:8" ht="15.75" x14ac:dyDescent="0.25">
      <c r="C522"/>
      <c r="D522"/>
      <c r="E522"/>
      <c r="F522"/>
      <c r="G522"/>
      <c r="H522"/>
    </row>
    <row r="523" spans="3:8" ht="15.75" x14ac:dyDescent="0.25">
      <c r="C523"/>
      <c r="D523"/>
      <c r="E523"/>
      <c r="F523"/>
      <c r="G523"/>
      <c r="H523"/>
    </row>
    <row r="524" spans="3:8" ht="15.75" x14ac:dyDescent="0.25">
      <c r="C524"/>
      <c r="D524"/>
      <c r="E524"/>
      <c r="F524"/>
      <c r="G524"/>
      <c r="H524"/>
    </row>
    <row r="525" spans="3:8" ht="15.75" x14ac:dyDescent="0.25">
      <c r="C525"/>
      <c r="D525"/>
      <c r="E525"/>
      <c r="F525"/>
      <c r="G525"/>
      <c r="H525"/>
    </row>
    <row r="526" spans="3:8" ht="15.75" x14ac:dyDescent="0.25">
      <c r="C526"/>
      <c r="D526"/>
      <c r="E526"/>
      <c r="F526"/>
      <c r="G526"/>
      <c r="H526"/>
    </row>
    <row r="527" spans="3:8" ht="15.75" x14ac:dyDescent="0.25">
      <c r="C527"/>
      <c r="D527"/>
      <c r="E527"/>
      <c r="F527"/>
      <c r="G527"/>
      <c r="H527"/>
    </row>
    <row r="528" spans="3:8" ht="15.75" x14ac:dyDescent="0.25">
      <c r="C528"/>
      <c r="D528"/>
      <c r="E528"/>
      <c r="F528"/>
      <c r="G528"/>
      <c r="H528"/>
    </row>
    <row r="529" spans="3:8" ht="15.75" x14ac:dyDescent="0.25">
      <c r="C529"/>
      <c r="D529"/>
      <c r="E529"/>
      <c r="F529"/>
      <c r="G529"/>
      <c r="H529"/>
    </row>
    <row r="530" spans="3:8" ht="15.75" x14ac:dyDescent="0.25">
      <c r="C530"/>
      <c r="D530"/>
      <c r="E530"/>
      <c r="F530"/>
      <c r="G530"/>
      <c r="H530"/>
    </row>
    <row r="531" spans="3:8" ht="15.75" x14ac:dyDescent="0.25">
      <c r="C531"/>
      <c r="D531"/>
      <c r="E531"/>
      <c r="F531"/>
      <c r="G531"/>
      <c r="H531"/>
    </row>
    <row r="532" spans="3:8" ht="15.75" x14ac:dyDescent="0.25">
      <c r="C532"/>
      <c r="D532"/>
      <c r="E532"/>
      <c r="F532"/>
      <c r="G532"/>
      <c r="H532"/>
    </row>
    <row r="533" spans="3:8" ht="15.75" x14ac:dyDescent="0.25">
      <c r="C533"/>
      <c r="D533"/>
      <c r="E533"/>
      <c r="F533"/>
      <c r="G533"/>
      <c r="H533"/>
    </row>
    <row r="534" spans="3:8" ht="15.75" x14ac:dyDescent="0.25">
      <c r="C534"/>
      <c r="D534"/>
      <c r="E534"/>
      <c r="F534"/>
      <c r="G534"/>
      <c r="H534"/>
    </row>
    <row r="535" spans="3:8" ht="15.75" x14ac:dyDescent="0.25">
      <c r="C535"/>
      <c r="D535"/>
      <c r="E535"/>
      <c r="F535"/>
      <c r="G535"/>
      <c r="H535"/>
    </row>
    <row r="536" spans="3:8" ht="15.75" x14ac:dyDescent="0.25">
      <c r="C536"/>
      <c r="D536"/>
      <c r="E536"/>
      <c r="F536"/>
      <c r="G536"/>
      <c r="H536"/>
    </row>
    <row r="537" spans="3:8" ht="15.75" x14ac:dyDescent="0.25">
      <c r="C537"/>
      <c r="D537"/>
      <c r="E537"/>
      <c r="F537"/>
      <c r="G537"/>
      <c r="H537"/>
    </row>
    <row r="538" spans="3:8" ht="15.75" x14ac:dyDescent="0.25">
      <c r="C538"/>
      <c r="D538"/>
      <c r="E538"/>
      <c r="F538"/>
      <c r="G538"/>
      <c r="H538"/>
    </row>
    <row r="539" spans="3:8" ht="15.75" x14ac:dyDescent="0.25">
      <c r="C539"/>
      <c r="D539"/>
      <c r="E539"/>
      <c r="F539"/>
      <c r="G539"/>
      <c r="H539"/>
    </row>
    <row r="540" spans="3:8" ht="15.75" x14ac:dyDescent="0.25">
      <c r="C540"/>
      <c r="D540"/>
      <c r="E540"/>
      <c r="F540"/>
      <c r="G540"/>
      <c r="H540"/>
    </row>
    <row r="541" spans="3:8" ht="15.75" x14ac:dyDescent="0.25">
      <c r="C541"/>
      <c r="D541"/>
      <c r="E541"/>
      <c r="F541"/>
      <c r="G541"/>
      <c r="H541"/>
    </row>
    <row r="542" spans="3:8" ht="15.75" x14ac:dyDescent="0.25">
      <c r="C542"/>
      <c r="D542"/>
      <c r="E542"/>
      <c r="F542"/>
      <c r="G542"/>
      <c r="H542"/>
    </row>
    <row r="543" spans="3:8" ht="15.75" x14ac:dyDescent="0.25">
      <c r="C543"/>
      <c r="D543"/>
      <c r="E543"/>
      <c r="F543"/>
      <c r="G543"/>
      <c r="H543"/>
    </row>
    <row r="544" spans="3:8" ht="15.75" x14ac:dyDescent="0.25">
      <c r="C544"/>
      <c r="D544"/>
      <c r="E544"/>
      <c r="F544"/>
      <c r="G544"/>
      <c r="H544"/>
    </row>
    <row r="545" spans="3:8" ht="15.75" x14ac:dyDescent="0.25">
      <c r="C545"/>
      <c r="D545"/>
      <c r="E545"/>
      <c r="F545"/>
      <c r="G545"/>
      <c r="H545"/>
    </row>
    <row r="546" spans="3:8" ht="15.75" x14ac:dyDescent="0.25">
      <c r="C546"/>
      <c r="D546"/>
      <c r="E546"/>
      <c r="F546"/>
      <c r="G546"/>
      <c r="H546"/>
    </row>
    <row r="547" spans="3:8" ht="15.75" x14ac:dyDescent="0.25">
      <c r="C547"/>
      <c r="D547"/>
      <c r="E547"/>
      <c r="F547"/>
      <c r="G547"/>
      <c r="H547"/>
    </row>
    <row r="548" spans="3:8" ht="15.75" x14ac:dyDescent="0.25">
      <c r="C548"/>
      <c r="D548"/>
      <c r="E548"/>
      <c r="F548"/>
      <c r="G548"/>
      <c r="H548"/>
    </row>
    <row r="549" spans="3:8" ht="15.75" x14ac:dyDescent="0.25">
      <c r="C549"/>
      <c r="D549"/>
      <c r="E549"/>
      <c r="F549"/>
      <c r="G549"/>
      <c r="H549"/>
    </row>
    <row r="550" spans="3:8" ht="15.75" x14ac:dyDescent="0.25">
      <c r="C550"/>
      <c r="D550"/>
      <c r="E550"/>
      <c r="F550"/>
      <c r="G550"/>
      <c r="H550"/>
    </row>
    <row r="551" spans="3:8" ht="15.75" x14ac:dyDescent="0.25">
      <c r="C551"/>
      <c r="D551"/>
      <c r="E551"/>
      <c r="F551"/>
      <c r="G551"/>
      <c r="H551"/>
    </row>
    <row r="552" spans="3:8" ht="15.75" x14ac:dyDescent="0.25">
      <c r="C552"/>
      <c r="D552"/>
      <c r="E552"/>
      <c r="F552"/>
      <c r="G552"/>
      <c r="H552"/>
    </row>
    <row r="553" spans="3:8" ht="15.75" x14ac:dyDescent="0.25">
      <c r="C553"/>
      <c r="D553"/>
      <c r="E553"/>
      <c r="F553"/>
      <c r="G553"/>
      <c r="H553"/>
    </row>
    <row r="554" spans="3:8" ht="15.75" x14ac:dyDescent="0.25">
      <c r="C554"/>
      <c r="D554"/>
      <c r="E554"/>
      <c r="F554"/>
      <c r="G554"/>
      <c r="H554"/>
    </row>
    <row r="555" spans="3:8" ht="15.75" x14ac:dyDescent="0.25">
      <c r="C555"/>
      <c r="D555"/>
      <c r="E555"/>
      <c r="F555"/>
      <c r="G555"/>
      <c r="H555"/>
    </row>
    <row r="556" spans="3:8" ht="15.75" x14ac:dyDescent="0.25">
      <c r="C556"/>
      <c r="D556"/>
      <c r="E556"/>
      <c r="F556"/>
      <c r="G556"/>
      <c r="H556"/>
    </row>
    <row r="557" spans="3:8" ht="15.75" x14ac:dyDescent="0.25">
      <c r="C557"/>
      <c r="D557"/>
      <c r="E557"/>
      <c r="F557"/>
      <c r="G557"/>
      <c r="H557"/>
    </row>
    <row r="558" spans="3:8" ht="15.75" x14ac:dyDescent="0.25">
      <c r="C558"/>
      <c r="D558"/>
      <c r="E558"/>
      <c r="F558"/>
      <c r="G558"/>
      <c r="H558"/>
    </row>
    <row r="559" spans="3:8" ht="15.75" x14ac:dyDescent="0.25">
      <c r="C559"/>
      <c r="D559"/>
      <c r="E559"/>
      <c r="F559"/>
      <c r="G559"/>
      <c r="H559"/>
    </row>
    <row r="560" spans="3:8" ht="15.75" x14ac:dyDescent="0.25">
      <c r="C560"/>
      <c r="D560"/>
      <c r="E560"/>
      <c r="F560"/>
      <c r="G560"/>
      <c r="H560"/>
    </row>
    <row r="561" spans="3:8" ht="15.75" x14ac:dyDescent="0.25">
      <c r="C561"/>
      <c r="D561"/>
      <c r="E561"/>
      <c r="F561"/>
      <c r="G561"/>
      <c r="H561"/>
    </row>
    <row r="562" spans="3:8" ht="15.75" x14ac:dyDescent="0.25">
      <c r="C562"/>
      <c r="D562"/>
      <c r="E562"/>
      <c r="F562"/>
      <c r="G562"/>
      <c r="H562"/>
    </row>
    <row r="563" spans="3:8" ht="15.75" x14ac:dyDescent="0.25">
      <c r="C563"/>
      <c r="D563"/>
      <c r="E563"/>
      <c r="F563"/>
      <c r="G563"/>
      <c r="H563"/>
    </row>
    <row r="564" spans="3:8" ht="15.75" x14ac:dyDescent="0.25">
      <c r="C564"/>
      <c r="D564"/>
      <c r="E564"/>
      <c r="F564"/>
      <c r="G564"/>
      <c r="H564"/>
    </row>
    <row r="565" spans="3:8" ht="15.75" x14ac:dyDescent="0.25">
      <c r="C565"/>
      <c r="D565"/>
      <c r="E565"/>
      <c r="F565"/>
      <c r="G565"/>
      <c r="H565"/>
    </row>
    <row r="566" spans="3:8" ht="15.75" x14ac:dyDescent="0.25">
      <c r="C566"/>
      <c r="D566"/>
      <c r="E566"/>
      <c r="F566"/>
      <c r="G566"/>
      <c r="H566"/>
    </row>
    <row r="567" spans="3:8" ht="15.75" x14ac:dyDescent="0.25">
      <c r="C567"/>
      <c r="D567"/>
      <c r="E567"/>
      <c r="F567"/>
      <c r="G567"/>
      <c r="H567"/>
    </row>
    <row r="568" spans="3:8" ht="15.75" x14ac:dyDescent="0.25">
      <c r="C568"/>
      <c r="D568"/>
      <c r="E568"/>
      <c r="F568"/>
      <c r="G568"/>
      <c r="H568"/>
    </row>
    <row r="569" spans="3:8" ht="15.75" x14ac:dyDescent="0.25">
      <c r="C569"/>
      <c r="D569"/>
      <c r="E569"/>
      <c r="F569"/>
      <c r="G569"/>
      <c r="H569"/>
    </row>
    <row r="570" spans="3:8" ht="15.75" x14ac:dyDescent="0.25">
      <c r="C570"/>
      <c r="D570"/>
      <c r="E570"/>
      <c r="F570"/>
      <c r="G570"/>
      <c r="H570"/>
    </row>
    <row r="571" spans="3:8" ht="15.75" x14ac:dyDescent="0.25">
      <c r="C571"/>
      <c r="D571"/>
      <c r="E571"/>
      <c r="F571"/>
      <c r="G571"/>
      <c r="H571"/>
    </row>
    <row r="572" spans="3:8" ht="15.75" x14ac:dyDescent="0.25">
      <c r="C572"/>
      <c r="D572"/>
      <c r="E572"/>
      <c r="F572"/>
      <c r="G572"/>
      <c r="H572"/>
    </row>
    <row r="573" spans="3:8" ht="15.75" x14ac:dyDescent="0.25">
      <c r="C573"/>
      <c r="D573"/>
      <c r="E573"/>
      <c r="F573"/>
      <c r="G573"/>
      <c r="H573"/>
    </row>
    <row r="574" spans="3:8" ht="15.75" x14ac:dyDescent="0.25">
      <c r="C574"/>
      <c r="D574"/>
      <c r="E574"/>
      <c r="F574"/>
      <c r="G574"/>
      <c r="H574"/>
    </row>
    <row r="575" spans="3:8" ht="15.75" x14ac:dyDescent="0.25">
      <c r="C575"/>
      <c r="D575"/>
      <c r="E575"/>
      <c r="F575"/>
      <c r="G575"/>
      <c r="H575"/>
    </row>
    <row r="576" spans="3:8" ht="15.75" x14ac:dyDescent="0.25">
      <c r="C576"/>
      <c r="D576"/>
      <c r="E576"/>
      <c r="F576"/>
      <c r="G576"/>
      <c r="H576"/>
    </row>
    <row r="577" spans="3:8" ht="15.75" x14ac:dyDescent="0.25">
      <c r="C577"/>
      <c r="D577"/>
      <c r="E577"/>
      <c r="F577"/>
      <c r="G577"/>
      <c r="H577"/>
    </row>
    <row r="578" spans="3:8" ht="15.75" x14ac:dyDescent="0.25">
      <c r="C578"/>
      <c r="D578"/>
      <c r="E578"/>
      <c r="F578"/>
      <c r="G578"/>
      <c r="H578"/>
    </row>
    <row r="579" spans="3:8" ht="15.75" x14ac:dyDescent="0.25">
      <c r="C579"/>
      <c r="D579"/>
      <c r="E579"/>
      <c r="F579"/>
      <c r="G579"/>
      <c r="H579"/>
    </row>
    <row r="580" spans="3:8" ht="15.75" x14ac:dyDescent="0.25">
      <c r="C580"/>
      <c r="D580"/>
      <c r="E580"/>
      <c r="F580"/>
      <c r="G580"/>
      <c r="H580"/>
    </row>
    <row r="581" spans="3:8" ht="15.75" x14ac:dyDescent="0.25">
      <c r="C581"/>
      <c r="D581"/>
      <c r="E581"/>
      <c r="F581"/>
      <c r="G581"/>
      <c r="H581"/>
    </row>
    <row r="582" spans="3:8" ht="15.75" x14ac:dyDescent="0.25">
      <c r="C582"/>
      <c r="D582"/>
      <c r="E582"/>
      <c r="F582"/>
      <c r="G582"/>
      <c r="H582"/>
    </row>
    <row r="583" spans="3:8" ht="15.75" x14ac:dyDescent="0.25">
      <c r="C583"/>
      <c r="D583"/>
      <c r="E583"/>
      <c r="F583"/>
      <c r="G583"/>
      <c r="H583"/>
    </row>
    <row r="584" spans="3:8" ht="15.75" x14ac:dyDescent="0.25">
      <c r="C584"/>
      <c r="D584"/>
      <c r="E584"/>
      <c r="F584"/>
      <c r="G584"/>
      <c r="H584"/>
    </row>
    <row r="585" spans="3:8" ht="15.75" x14ac:dyDescent="0.25">
      <c r="C585"/>
      <c r="D585"/>
      <c r="E585"/>
      <c r="F585"/>
      <c r="G585"/>
      <c r="H585"/>
    </row>
    <row r="586" spans="3:8" ht="15.75" x14ac:dyDescent="0.25">
      <c r="C586"/>
      <c r="D586"/>
      <c r="E586"/>
      <c r="F586"/>
      <c r="G586"/>
      <c r="H586"/>
    </row>
    <row r="587" spans="3:8" ht="15.75" x14ac:dyDescent="0.25">
      <c r="C587"/>
      <c r="D587"/>
      <c r="E587"/>
      <c r="F587"/>
      <c r="G587"/>
      <c r="H587"/>
    </row>
    <row r="588" spans="3:8" ht="15.75" x14ac:dyDescent="0.25">
      <c r="C588"/>
      <c r="D588"/>
      <c r="E588"/>
      <c r="F588"/>
      <c r="G588"/>
      <c r="H588"/>
    </row>
    <row r="589" spans="3:8" ht="15.75" x14ac:dyDescent="0.25">
      <c r="C589"/>
      <c r="D589"/>
      <c r="E589"/>
      <c r="F589"/>
      <c r="G589"/>
      <c r="H589"/>
    </row>
    <row r="590" spans="3:8" ht="15.75" x14ac:dyDescent="0.25">
      <c r="C590"/>
      <c r="D590"/>
      <c r="E590"/>
      <c r="F590"/>
      <c r="G590"/>
      <c r="H590"/>
    </row>
    <row r="591" spans="3:8" ht="15.75" x14ac:dyDescent="0.25">
      <c r="C591"/>
      <c r="D591"/>
      <c r="E591"/>
      <c r="F591"/>
      <c r="G591"/>
      <c r="H591"/>
    </row>
    <row r="592" spans="3:8" ht="15.75" x14ac:dyDescent="0.25">
      <c r="C592"/>
      <c r="D592"/>
      <c r="E592"/>
      <c r="F592"/>
      <c r="G592"/>
      <c r="H592"/>
    </row>
    <row r="593" spans="3:8" ht="15.75" x14ac:dyDescent="0.25">
      <c r="C593"/>
      <c r="D593"/>
      <c r="E593"/>
      <c r="F593"/>
      <c r="G593"/>
      <c r="H593"/>
    </row>
    <row r="594" spans="3:8" ht="15.75" x14ac:dyDescent="0.25">
      <c r="C594"/>
      <c r="D594"/>
      <c r="E594"/>
      <c r="F594"/>
      <c r="G594"/>
      <c r="H594"/>
    </row>
    <row r="595" spans="3:8" ht="15.75" x14ac:dyDescent="0.25">
      <c r="C595"/>
      <c r="D595"/>
      <c r="E595"/>
      <c r="F595"/>
      <c r="G595"/>
      <c r="H595"/>
    </row>
    <row r="596" spans="3:8" ht="15.75" x14ac:dyDescent="0.25">
      <c r="C596"/>
      <c r="D596"/>
      <c r="E596"/>
      <c r="F596"/>
      <c r="G596"/>
      <c r="H596"/>
    </row>
    <row r="597" spans="3:8" ht="15.75" x14ac:dyDescent="0.25">
      <c r="C597"/>
      <c r="D597"/>
      <c r="E597"/>
      <c r="F597"/>
      <c r="G597"/>
      <c r="H597"/>
    </row>
    <row r="598" spans="3:8" ht="15.75" x14ac:dyDescent="0.25">
      <c r="C598"/>
      <c r="D598"/>
      <c r="E598"/>
      <c r="F598"/>
      <c r="G598"/>
      <c r="H598"/>
    </row>
    <row r="599" spans="3:8" ht="15.75" x14ac:dyDescent="0.25">
      <c r="C599"/>
      <c r="D599"/>
      <c r="E599"/>
      <c r="F599"/>
      <c r="G599"/>
      <c r="H599"/>
    </row>
    <row r="600" spans="3:8" ht="15.75" x14ac:dyDescent="0.25">
      <c r="C600"/>
      <c r="D600"/>
      <c r="E600"/>
      <c r="F600"/>
      <c r="G600"/>
      <c r="H600"/>
    </row>
    <row r="601" spans="3:8" ht="15.75" x14ac:dyDescent="0.25">
      <c r="C601"/>
      <c r="D601"/>
      <c r="E601"/>
      <c r="F601"/>
      <c r="G601"/>
      <c r="H601"/>
    </row>
    <row r="602" spans="3:8" ht="15.75" x14ac:dyDescent="0.25">
      <c r="C602"/>
      <c r="D602"/>
      <c r="E602"/>
      <c r="F602"/>
      <c r="G602"/>
      <c r="H602"/>
    </row>
    <row r="603" spans="3:8" ht="15.75" x14ac:dyDescent="0.25">
      <c r="C603"/>
      <c r="D603"/>
      <c r="E603"/>
      <c r="F603"/>
      <c r="G603"/>
      <c r="H603"/>
    </row>
    <row r="604" spans="3:8" ht="15.75" x14ac:dyDescent="0.25">
      <c r="C604"/>
      <c r="D604"/>
      <c r="E604"/>
      <c r="F604"/>
      <c r="G604"/>
      <c r="H604"/>
    </row>
    <row r="605" spans="3:8" ht="15.75" x14ac:dyDescent="0.25">
      <c r="C605"/>
      <c r="D605"/>
      <c r="E605"/>
      <c r="F605"/>
      <c r="G605"/>
      <c r="H605"/>
    </row>
    <row r="606" spans="3:8" ht="15.75" x14ac:dyDescent="0.25">
      <c r="C606"/>
      <c r="D606"/>
      <c r="E606"/>
      <c r="F606"/>
      <c r="G606"/>
      <c r="H606"/>
    </row>
    <row r="607" spans="3:8" ht="15.75" x14ac:dyDescent="0.25">
      <c r="C607"/>
      <c r="D607"/>
      <c r="E607"/>
      <c r="F607"/>
      <c r="G607"/>
      <c r="H607"/>
    </row>
    <row r="608" spans="3:8" ht="15.75" x14ac:dyDescent="0.25">
      <c r="C608"/>
      <c r="D608"/>
      <c r="E608"/>
      <c r="F608"/>
      <c r="G608"/>
      <c r="H608"/>
    </row>
    <row r="609" spans="3:8" ht="15.75" x14ac:dyDescent="0.25">
      <c r="C609"/>
      <c r="D609"/>
      <c r="E609"/>
      <c r="F609"/>
      <c r="G609"/>
      <c r="H609"/>
    </row>
    <row r="610" spans="3:8" ht="15.75" x14ac:dyDescent="0.25">
      <c r="C610"/>
      <c r="D610"/>
      <c r="E610"/>
      <c r="F610"/>
      <c r="G610"/>
      <c r="H610"/>
    </row>
    <row r="611" spans="3:8" ht="15.75" x14ac:dyDescent="0.25">
      <c r="C611"/>
      <c r="D611"/>
      <c r="E611"/>
      <c r="F611"/>
      <c r="G611"/>
      <c r="H611"/>
    </row>
    <row r="612" spans="3:8" ht="15.75" x14ac:dyDescent="0.25">
      <c r="C612"/>
      <c r="D612"/>
      <c r="E612"/>
      <c r="F612"/>
      <c r="G612"/>
      <c r="H612"/>
    </row>
    <row r="613" spans="3:8" ht="15.75" x14ac:dyDescent="0.25">
      <c r="C613"/>
      <c r="D613"/>
      <c r="E613"/>
      <c r="F613"/>
      <c r="G613"/>
      <c r="H613"/>
    </row>
    <row r="614" spans="3:8" ht="15.75" x14ac:dyDescent="0.25">
      <c r="C614"/>
      <c r="D614"/>
      <c r="E614"/>
      <c r="F614"/>
      <c r="G614"/>
      <c r="H614"/>
    </row>
    <row r="615" spans="3:8" ht="15.75" x14ac:dyDescent="0.25">
      <c r="C615"/>
      <c r="D615"/>
      <c r="E615"/>
      <c r="F615"/>
      <c r="G615"/>
      <c r="H615"/>
    </row>
    <row r="616" spans="3:8" ht="15.75" x14ac:dyDescent="0.25">
      <c r="C616"/>
      <c r="D616"/>
      <c r="E616"/>
      <c r="F616"/>
      <c r="G616"/>
      <c r="H616"/>
    </row>
    <row r="617" spans="3:8" ht="15.75" x14ac:dyDescent="0.25">
      <c r="C617"/>
      <c r="D617"/>
      <c r="E617"/>
      <c r="F617"/>
      <c r="G617"/>
      <c r="H617"/>
    </row>
    <row r="618" spans="3:8" ht="15.75" x14ac:dyDescent="0.25">
      <c r="C618"/>
      <c r="D618"/>
      <c r="E618"/>
      <c r="F618"/>
      <c r="G618"/>
      <c r="H618"/>
    </row>
    <row r="619" spans="3:8" ht="15.75" x14ac:dyDescent="0.25">
      <c r="C619"/>
      <c r="D619"/>
      <c r="E619"/>
      <c r="F619"/>
      <c r="G619"/>
      <c r="H619"/>
    </row>
    <row r="620" spans="3:8" ht="15.75" x14ac:dyDescent="0.25">
      <c r="C620"/>
      <c r="D620"/>
      <c r="E620"/>
      <c r="F620"/>
      <c r="G620"/>
      <c r="H620"/>
    </row>
    <row r="621" spans="3:8" ht="15.75" x14ac:dyDescent="0.25">
      <c r="C621"/>
      <c r="D621"/>
      <c r="E621"/>
      <c r="F621"/>
      <c r="G621"/>
      <c r="H621"/>
    </row>
    <row r="622" spans="3:8" ht="15.75" x14ac:dyDescent="0.25">
      <c r="C622"/>
      <c r="D622"/>
      <c r="E622"/>
      <c r="F622"/>
      <c r="G622"/>
      <c r="H622"/>
    </row>
    <row r="623" spans="3:8" ht="15.75" x14ac:dyDescent="0.25">
      <c r="C623"/>
      <c r="D623"/>
      <c r="E623"/>
      <c r="F623"/>
      <c r="G623"/>
      <c r="H623"/>
    </row>
    <row r="624" spans="3:8" ht="15.75" x14ac:dyDescent="0.25">
      <c r="C624"/>
      <c r="D624"/>
      <c r="E624"/>
      <c r="F624"/>
      <c r="G624"/>
      <c r="H624"/>
    </row>
    <row r="625" spans="3:8" ht="15.75" x14ac:dyDescent="0.25">
      <c r="C625"/>
      <c r="D625"/>
      <c r="E625"/>
      <c r="F625"/>
      <c r="G625"/>
      <c r="H625"/>
    </row>
    <row r="626" spans="3:8" ht="15.75" x14ac:dyDescent="0.25">
      <c r="C626"/>
      <c r="D626"/>
      <c r="E626"/>
      <c r="F626"/>
      <c r="G626"/>
      <c r="H626"/>
    </row>
    <row r="627" spans="3:8" ht="15.75" x14ac:dyDescent="0.25">
      <c r="C627"/>
      <c r="D627"/>
      <c r="E627"/>
      <c r="F627"/>
      <c r="G627"/>
      <c r="H627"/>
    </row>
    <row r="628" spans="3:8" ht="15.75" x14ac:dyDescent="0.25">
      <c r="C628"/>
      <c r="D628"/>
      <c r="E628"/>
      <c r="F628"/>
      <c r="G628"/>
      <c r="H628"/>
    </row>
    <row r="629" spans="3:8" ht="15.75" x14ac:dyDescent="0.25">
      <c r="C629"/>
      <c r="D629"/>
      <c r="E629"/>
      <c r="F629"/>
      <c r="G629"/>
      <c r="H629"/>
    </row>
    <row r="630" spans="3:8" ht="15.75" x14ac:dyDescent="0.25">
      <c r="C630"/>
      <c r="D630"/>
      <c r="E630"/>
      <c r="F630"/>
      <c r="G630"/>
      <c r="H630"/>
    </row>
    <row r="631" spans="3:8" ht="15.75" x14ac:dyDescent="0.25">
      <c r="C631"/>
      <c r="D631"/>
      <c r="E631"/>
      <c r="F631"/>
      <c r="G631"/>
      <c r="H631"/>
    </row>
    <row r="632" spans="3:8" ht="15.75" x14ac:dyDescent="0.25">
      <c r="C632"/>
      <c r="D632"/>
      <c r="E632"/>
      <c r="F632"/>
      <c r="G632"/>
      <c r="H632"/>
    </row>
    <row r="633" spans="3:8" ht="15.75" x14ac:dyDescent="0.25">
      <c r="C633"/>
      <c r="D633"/>
      <c r="E633"/>
      <c r="F633"/>
      <c r="G633"/>
      <c r="H633"/>
    </row>
    <row r="634" spans="3:8" ht="15.75" x14ac:dyDescent="0.25">
      <c r="C634"/>
      <c r="D634"/>
      <c r="E634"/>
      <c r="F634"/>
      <c r="G634"/>
      <c r="H634"/>
    </row>
    <row r="635" spans="3:8" ht="15.75" x14ac:dyDescent="0.25">
      <c r="C635"/>
      <c r="D635"/>
      <c r="E635"/>
      <c r="F635"/>
      <c r="G635"/>
      <c r="H635"/>
    </row>
    <row r="636" spans="3:8" ht="15.75" x14ac:dyDescent="0.25">
      <c r="C636"/>
      <c r="D636"/>
      <c r="E636"/>
      <c r="F636"/>
      <c r="G636"/>
      <c r="H636"/>
    </row>
    <row r="637" spans="3:8" ht="15.75" x14ac:dyDescent="0.25">
      <c r="C637"/>
      <c r="D637"/>
      <c r="E637"/>
      <c r="F637"/>
      <c r="G637"/>
      <c r="H637"/>
    </row>
    <row r="638" spans="3:8" ht="15.75" x14ac:dyDescent="0.25">
      <c r="C638"/>
      <c r="D638"/>
      <c r="E638"/>
      <c r="F638"/>
      <c r="G638"/>
      <c r="H638"/>
    </row>
    <row r="639" spans="3:8" ht="15.75" x14ac:dyDescent="0.25">
      <c r="C639"/>
      <c r="D639"/>
      <c r="E639"/>
      <c r="F639"/>
      <c r="G639"/>
      <c r="H639"/>
    </row>
    <row r="640" spans="3:8" ht="15.75" x14ac:dyDescent="0.25">
      <c r="C640"/>
      <c r="D640"/>
      <c r="E640"/>
      <c r="F640"/>
      <c r="G640"/>
      <c r="H640"/>
    </row>
    <row r="641" spans="3:8" ht="15.75" x14ac:dyDescent="0.25">
      <c r="C641"/>
      <c r="D641"/>
      <c r="E641"/>
      <c r="F641"/>
      <c r="G641"/>
      <c r="H641"/>
    </row>
    <row r="642" spans="3:8" ht="15.75" x14ac:dyDescent="0.25">
      <c r="C642"/>
      <c r="D642"/>
      <c r="E642"/>
      <c r="F642"/>
      <c r="G642"/>
      <c r="H642"/>
    </row>
    <row r="643" spans="3:8" ht="15.75" x14ac:dyDescent="0.25">
      <c r="C643"/>
      <c r="D643"/>
      <c r="E643"/>
      <c r="F643"/>
      <c r="G643"/>
      <c r="H643"/>
    </row>
    <row r="644" spans="3:8" ht="15.75" x14ac:dyDescent="0.25">
      <c r="C644"/>
      <c r="D644"/>
      <c r="E644"/>
      <c r="F644"/>
      <c r="G644"/>
      <c r="H644"/>
    </row>
    <row r="645" spans="3:8" ht="15.75" x14ac:dyDescent="0.25">
      <c r="C645"/>
      <c r="D645"/>
      <c r="E645"/>
      <c r="F645"/>
      <c r="G645"/>
      <c r="H645"/>
    </row>
    <row r="646" spans="3:8" ht="15.75" x14ac:dyDescent="0.25">
      <c r="C646"/>
      <c r="D646"/>
      <c r="E646"/>
      <c r="F646"/>
      <c r="G646"/>
      <c r="H646"/>
    </row>
    <row r="647" spans="3:8" ht="15.75" x14ac:dyDescent="0.25">
      <c r="C647"/>
      <c r="D647"/>
      <c r="E647"/>
      <c r="F647"/>
      <c r="G647"/>
      <c r="H647"/>
    </row>
    <row r="648" spans="3:8" ht="15.75" x14ac:dyDescent="0.25">
      <c r="C648"/>
      <c r="D648"/>
      <c r="E648"/>
      <c r="F648"/>
      <c r="G648"/>
      <c r="H648"/>
    </row>
    <row r="649" spans="3:8" ht="15.75" x14ac:dyDescent="0.25">
      <c r="C649"/>
      <c r="D649"/>
      <c r="E649"/>
      <c r="F649"/>
      <c r="G649"/>
      <c r="H649"/>
    </row>
    <row r="650" spans="3:8" ht="15.75" x14ac:dyDescent="0.25">
      <c r="C650"/>
      <c r="D650"/>
      <c r="E650"/>
      <c r="F650"/>
      <c r="G650"/>
      <c r="H650"/>
    </row>
    <row r="651" spans="3:8" ht="15.75" x14ac:dyDescent="0.25">
      <c r="C651"/>
      <c r="D651"/>
      <c r="E651"/>
      <c r="F651"/>
      <c r="G651"/>
      <c r="H651"/>
    </row>
    <row r="652" spans="3:8" ht="15.75" x14ac:dyDescent="0.25">
      <c r="C652"/>
      <c r="D652"/>
      <c r="E652"/>
      <c r="F652"/>
      <c r="G652"/>
      <c r="H652"/>
    </row>
    <row r="653" spans="3:8" ht="15.75" x14ac:dyDescent="0.25">
      <c r="C653"/>
      <c r="D653"/>
      <c r="E653"/>
      <c r="F653"/>
      <c r="G653"/>
      <c r="H653"/>
    </row>
    <row r="654" spans="3:8" ht="15.75" x14ac:dyDescent="0.25">
      <c r="C654"/>
      <c r="D654"/>
      <c r="E654"/>
      <c r="F654"/>
      <c r="G654"/>
      <c r="H654"/>
    </row>
    <row r="655" spans="3:8" ht="15.75" x14ac:dyDescent="0.25">
      <c r="C655"/>
      <c r="D655"/>
      <c r="E655"/>
      <c r="F655"/>
      <c r="G655"/>
      <c r="H655"/>
    </row>
    <row r="656" spans="3:8" ht="15.75" x14ac:dyDescent="0.25">
      <c r="C656"/>
      <c r="D656"/>
      <c r="E656"/>
      <c r="F656"/>
      <c r="G656"/>
      <c r="H656"/>
    </row>
    <row r="657" spans="3:8" ht="15.75" x14ac:dyDescent="0.25">
      <c r="C657"/>
      <c r="D657"/>
      <c r="E657"/>
      <c r="F657"/>
      <c r="G657"/>
      <c r="H657"/>
    </row>
    <row r="658" spans="3:8" ht="15.75" x14ac:dyDescent="0.25">
      <c r="C658"/>
      <c r="D658"/>
      <c r="E658"/>
      <c r="F658"/>
      <c r="G658"/>
      <c r="H658"/>
    </row>
    <row r="659" spans="3:8" ht="15.75" x14ac:dyDescent="0.25">
      <c r="C659"/>
      <c r="D659"/>
      <c r="E659"/>
      <c r="F659"/>
      <c r="G659"/>
      <c r="H659"/>
    </row>
    <row r="660" spans="3:8" ht="15.75" x14ac:dyDescent="0.25">
      <c r="C660"/>
      <c r="D660"/>
      <c r="E660"/>
      <c r="F660"/>
      <c r="G660"/>
      <c r="H660"/>
    </row>
    <row r="661" spans="3:8" ht="15.75" x14ac:dyDescent="0.25">
      <c r="C661"/>
      <c r="D661"/>
      <c r="E661"/>
      <c r="F661"/>
      <c r="G661"/>
      <c r="H661"/>
    </row>
    <row r="662" spans="3:8" ht="15.75" x14ac:dyDescent="0.25">
      <c r="C662"/>
      <c r="D662"/>
      <c r="E662"/>
      <c r="F662"/>
      <c r="G662"/>
      <c r="H662"/>
    </row>
    <row r="663" spans="3:8" ht="15.75" x14ac:dyDescent="0.25">
      <c r="C663"/>
      <c r="D663"/>
      <c r="E663"/>
      <c r="F663"/>
      <c r="G663"/>
      <c r="H663"/>
    </row>
    <row r="664" spans="3:8" ht="15.75" x14ac:dyDescent="0.25">
      <c r="C664"/>
      <c r="D664"/>
      <c r="E664"/>
      <c r="F664"/>
      <c r="G664"/>
      <c r="H664"/>
    </row>
    <row r="665" spans="3:8" ht="15.75" x14ac:dyDescent="0.25">
      <c r="C665"/>
      <c r="D665"/>
      <c r="E665"/>
      <c r="F665"/>
      <c r="G665"/>
      <c r="H665"/>
    </row>
    <row r="666" spans="3:8" ht="15.75" x14ac:dyDescent="0.25">
      <c r="C666"/>
      <c r="D666"/>
      <c r="E666"/>
      <c r="F666"/>
      <c r="G666"/>
      <c r="H666"/>
    </row>
    <row r="667" spans="3:8" ht="15.75" x14ac:dyDescent="0.25">
      <c r="C667"/>
      <c r="D667"/>
      <c r="E667"/>
      <c r="F667"/>
      <c r="G667"/>
      <c r="H667"/>
    </row>
    <row r="668" spans="3:8" ht="15.75" x14ac:dyDescent="0.25">
      <c r="C668"/>
      <c r="D668"/>
      <c r="E668"/>
      <c r="F668"/>
      <c r="G668"/>
      <c r="H668"/>
    </row>
    <row r="669" spans="3:8" ht="15.75" x14ac:dyDescent="0.25">
      <c r="C669"/>
      <c r="D669"/>
      <c r="E669"/>
      <c r="F669"/>
      <c r="G669"/>
      <c r="H669"/>
    </row>
    <row r="670" spans="3:8" ht="15.75" x14ac:dyDescent="0.25">
      <c r="C670"/>
      <c r="D670"/>
      <c r="E670"/>
      <c r="F670"/>
      <c r="G670"/>
      <c r="H670"/>
    </row>
    <row r="671" spans="3:8" ht="15.75" x14ac:dyDescent="0.25">
      <c r="C671"/>
      <c r="D671"/>
      <c r="E671"/>
      <c r="F671"/>
      <c r="G671"/>
      <c r="H671"/>
    </row>
    <row r="672" spans="3:8" ht="15.75" x14ac:dyDescent="0.25">
      <c r="C672"/>
      <c r="D672"/>
      <c r="E672"/>
      <c r="F672"/>
      <c r="G672"/>
      <c r="H672"/>
    </row>
    <row r="673" spans="3:8" ht="15.75" x14ac:dyDescent="0.25">
      <c r="C673"/>
      <c r="D673"/>
      <c r="E673"/>
      <c r="F673"/>
      <c r="G673"/>
      <c r="H673"/>
    </row>
    <row r="674" spans="3:8" ht="15.75" x14ac:dyDescent="0.25">
      <c r="C674"/>
      <c r="D674"/>
      <c r="E674"/>
      <c r="F674"/>
      <c r="G674"/>
      <c r="H674"/>
    </row>
    <row r="675" spans="3:8" ht="15.75" x14ac:dyDescent="0.25">
      <c r="C675"/>
      <c r="D675"/>
      <c r="E675"/>
      <c r="F675"/>
      <c r="G675"/>
      <c r="H675"/>
    </row>
    <row r="676" spans="3:8" ht="15.75" x14ac:dyDescent="0.25">
      <c r="C676"/>
      <c r="D676"/>
      <c r="E676"/>
      <c r="F676"/>
      <c r="G676"/>
      <c r="H676"/>
    </row>
    <row r="677" spans="3:8" ht="15.75" x14ac:dyDescent="0.25">
      <c r="C677"/>
      <c r="D677"/>
      <c r="E677"/>
      <c r="F677"/>
      <c r="G677"/>
      <c r="H677"/>
    </row>
    <row r="678" spans="3:8" ht="15.75" x14ac:dyDescent="0.25">
      <c r="C678"/>
      <c r="D678"/>
      <c r="E678"/>
      <c r="F678"/>
      <c r="G678"/>
      <c r="H678"/>
    </row>
    <row r="679" spans="3:8" ht="15.75" x14ac:dyDescent="0.25">
      <c r="C679"/>
      <c r="D679"/>
      <c r="E679"/>
      <c r="F679"/>
      <c r="G679"/>
      <c r="H679"/>
    </row>
    <row r="680" spans="3:8" ht="15.75" x14ac:dyDescent="0.25">
      <c r="C680"/>
      <c r="D680"/>
      <c r="E680"/>
      <c r="F680"/>
      <c r="G680"/>
      <c r="H680"/>
    </row>
    <row r="681" spans="3:8" ht="15.75" x14ac:dyDescent="0.25">
      <c r="C681"/>
      <c r="D681"/>
      <c r="E681"/>
      <c r="F681"/>
      <c r="G681"/>
      <c r="H681"/>
    </row>
    <row r="682" spans="3:8" ht="15.75" x14ac:dyDescent="0.25">
      <c r="C682"/>
      <c r="D682"/>
      <c r="E682"/>
      <c r="F682"/>
      <c r="G682"/>
      <c r="H682"/>
    </row>
    <row r="683" spans="3:8" ht="15.75" x14ac:dyDescent="0.25">
      <c r="C683"/>
      <c r="D683"/>
      <c r="E683"/>
      <c r="F683"/>
      <c r="G683"/>
      <c r="H683"/>
    </row>
    <row r="684" spans="3:8" ht="15.75" x14ac:dyDescent="0.25">
      <c r="C684"/>
      <c r="D684"/>
      <c r="E684"/>
      <c r="F684"/>
      <c r="G684"/>
      <c r="H684"/>
    </row>
    <row r="685" spans="3:8" ht="15.75" x14ac:dyDescent="0.25">
      <c r="C685"/>
      <c r="D685"/>
      <c r="E685"/>
      <c r="F685"/>
      <c r="G685"/>
      <c r="H685"/>
    </row>
    <row r="686" spans="3:8" ht="15.75" x14ac:dyDescent="0.25">
      <c r="C686"/>
      <c r="D686"/>
      <c r="E686"/>
      <c r="F686"/>
      <c r="G686"/>
      <c r="H686"/>
    </row>
    <row r="687" spans="3:8" ht="15.75" x14ac:dyDescent="0.25">
      <c r="C687"/>
      <c r="D687"/>
      <c r="E687"/>
      <c r="F687"/>
      <c r="G687"/>
      <c r="H687"/>
    </row>
    <row r="688" spans="3:8" ht="15.75" x14ac:dyDescent="0.25">
      <c r="C688"/>
      <c r="D688"/>
      <c r="E688"/>
      <c r="F688"/>
      <c r="G688"/>
      <c r="H688"/>
    </row>
    <row r="689" spans="3:8" ht="15.75" x14ac:dyDescent="0.25">
      <c r="C689"/>
      <c r="D689"/>
      <c r="E689"/>
      <c r="F689"/>
      <c r="G689"/>
      <c r="H689"/>
    </row>
    <row r="690" spans="3:8" ht="15.75" x14ac:dyDescent="0.25">
      <c r="C690"/>
      <c r="D690"/>
      <c r="E690"/>
      <c r="F690"/>
      <c r="G690"/>
      <c r="H690"/>
    </row>
    <row r="691" spans="3:8" ht="15.75" x14ac:dyDescent="0.25">
      <c r="C691"/>
      <c r="D691"/>
      <c r="E691"/>
      <c r="F691"/>
      <c r="G691"/>
      <c r="H691"/>
    </row>
    <row r="692" spans="3:8" ht="15.75" x14ac:dyDescent="0.25">
      <c r="C692"/>
      <c r="D692"/>
      <c r="E692"/>
      <c r="F692"/>
      <c r="G692"/>
      <c r="H692"/>
    </row>
    <row r="693" spans="3:8" ht="15.75" x14ac:dyDescent="0.25">
      <c r="C693"/>
      <c r="D693"/>
      <c r="E693"/>
      <c r="F693"/>
      <c r="G693"/>
      <c r="H693"/>
    </row>
    <row r="694" spans="3:8" ht="15.75" x14ac:dyDescent="0.25">
      <c r="C694"/>
      <c r="D694"/>
      <c r="E694"/>
      <c r="F694"/>
      <c r="G694"/>
      <c r="H694"/>
    </row>
    <row r="695" spans="3:8" ht="15.75" x14ac:dyDescent="0.25">
      <c r="C695"/>
      <c r="D695"/>
      <c r="E695"/>
      <c r="F695"/>
      <c r="G695"/>
      <c r="H695"/>
    </row>
    <row r="696" spans="3:8" ht="15.75" x14ac:dyDescent="0.25">
      <c r="C696"/>
      <c r="D696"/>
      <c r="E696"/>
      <c r="F696"/>
      <c r="G696"/>
      <c r="H696"/>
    </row>
    <row r="697" spans="3:8" ht="15.75" x14ac:dyDescent="0.25">
      <c r="C697"/>
      <c r="D697"/>
      <c r="E697"/>
      <c r="F697"/>
      <c r="G697"/>
      <c r="H697"/>
    </row>
    <row r="698" spans="3:8" ht="15.75" x14ac:dyDescent="0.25">
      <c r="C698"/>
      <c r="D698"/>
      <c r="E698"/>
      <c r="F698"/>
      <c r="G698"/>
      <c r="H698"/>
    </row>
    <row r="699" spans="3:8" ht="15.75" x14ac:dyDescent="0.25">
      <c r="C699"/>
      <c r="D699"/>
      <c r="E699"/>
      <c r="F699"/>
      <c r="G699"/>
      <c r="H699"/>
    </row>
    <row r="700" spans="3:8" ht="15.75" x14ac:dyDescent="0.25">
      <c r="C700"/>
      <c r="D700"/>
      <c r="E700"/>
      <c r="F700"/>
      <c r="G700"/>
      <c r="H700"/>
    </row>
    <row r="701" spans="3:8" ht="15.75" x14ac:dyDescent="0.25">
      <c r="C701"/>
      <c r="D701"/>
      <c r="E701"/>
      <c r="F701"/>
      <c r="G701"/>
      <c r="H701"/>
    </row>
    <row r="702" spans="3:8" ht="15.75" x14ac:dyDescent="0.25">
      <c r="C702"/>
      <c r="D702"/>
      <c r="E702"/>
      <c r="F702"/>
      <c r="G702"/>
      <c r="H702"/>
    </row>
    <row r="703" spans="3:8" ht="15.75" x14ac:dyDescent="0.25">
      <c r="C703"/>
      <c r="D703"/>
      <c r="E703"/>
      <c r="F703"/>
      <c r="G703"/>
      <c r="H703"/>
    </row>
    <row r="704" spans="3:8" ht="15.75" x14ac:dyDescent="0.25">
      <c r="C704"/>
      <c r="D704"/>
      <c r="E704"/>
      <c r="F704"/>
      <c r="G704"/>
      <c r="H704"/>
    </row>
    <row r="705" spans="3:8" ht="15.75" x14ac:dyDescent="0.25">
      <c r="C705"/>
      <c r="D705"/>
      <c r="E705"/>
      <c r="F705"/>
      <c r="G705"/>
      <c r="H705"/>
    </row>
    <row r="706" spans="3:8" ht="15.75" x14ac:dyDescent="0.25">
      <c r="C706"/>
      <c r="D706"/>
      <c r="E706"/>
      <c r="F706"/>
      <c r="G706"/>
      <c r="H706"/>
    </row>
    <row r="707" spans="3:8" ht="15.75" x14ac:dyDescent="0.25">
      <c r="C707"/>
      <c r="D707"/>
      <c r="E707"/>
      <c r="F707"/>
      <c r="G707"/>
      <c r="H707"/>
    </row>
    <row r="708" spans="3:8" ht="15.75" x14ac:dyDescent="0.25">
      <c r="C708"/>
      <c r="D708"/>
      <c r="E708"/>
      <c r="F708"/>
      <c r="G708"/>
      <c r="H708"/>
    </row>
    <row r="709" spans="3:8" ht="15.75" x14ac:dyDescent="0.25">
      <c r="C709"/>
      <c r="D709"/>
      <c r="E709"/>
      <c r="F709"/>
      <c r="G709"/>
      <c r="H709"/>
    </row>
    <row r="710" spans="3:8" ht="15.75" x14ac:dyDescent="0.25">
      <c r="C710"/>
      <c r="D710"/>
      <c r="E710"/>
      <c r="F710"/>
      <c r="G710"/>
      <c r="H710"/>
    </row>
    <row r="711" spans="3:8" ht="15.75" x14ac:dyDescent="0.25">
      <c r="C711"/>
      <c r="D711"/>
      <c r="E711"/>
      <c r="F711"/>
      <c r="G711"/>
      <c r="H711"/>
    </row>
    <row r="712" spans="3:8" ht="15.75" x14ac:dyDescent="0.25">
      <c r="C712"/>
      <c r="D712"/>
      <c r="E712"/>
      <c r="F712"/>
      <c r="G712"/>
      <c r="H712"/>
    </row>
    <row r="713" spans="3:8" ht="15.75" x14ac:dyDescent="0.25">
      <c r="C713"/>
      <c r="D713"/>
      <c r="E713"/>
      <c r="F713"/>
      <c r="G713"/>
      <c r="H713"/>
    </row>
    <row r="714" spans="3:8" ht="15.75" x14ac:dyDescent="0.25">
      <c r="C714"/>
      <c r="D714"/>
      <c r="E714"/>
      <c r="F714"/>
      <c r="G714"/>
      <c r="H714"/>
    </row>
    <row r="715" spans="3:8" ht="15.75" x14ac:dyDescent="0.25">
      <c r="C715"/>
      <c r="D715"/>
      <c r="E715"/>
      <c r="F715"/>
      <c r="G715"/>
      <c r="H715"/>
    </row>
    <row r="716" spans="3:8" ht="15.75" x14ac:dyDescent="0.25">
      <c r="C716"/>
      <c r="D716"/>
      <c r="E716"/>
      <c r="F716"/>
      <c r="G716"/>
      <c r="H716"/>
    </row>
    <row r="717" spans="3:8" ht="15.75" x14ac:dyDescent="0.25">
      <c r="C717"/>
      <c r="D717"/>
      <c r="E717"/>
      <c r="F717"/>
      <c r="G717"/>
      <c r="H717"/>
    </row>
    <row r="718" spans="3:8" ht="15.75" x14ac:dyDescent="0.25">
      <c r="C718"/>
      <c r="D718"/>
      <c r="E718"/>
      <c r="F718"/>
      <c r="G718"/>
      <c r="H718"/>
    </row>
    <row r="719" spans="3:8" ht="15.75" x14ac:dyDescent="0.25">
      <c r="C719"/>
      <c r="D719"/>
      <c r="E719"/>
      <c r="F719"/>
      <c r="G719"/>
      <c r="H719"/>
    </row>
    <row r="720" spans="3:8" ht="15.75" x14ac:dyDescent="0.25">
      <c r="C720"/>
      <c r="D720"/>
      <c r="E720"/>
      <c r="F720"/>
      <c r="G720"/>
      <c r="H720"/>
    </row>
    <row r="721" spans="3:8" ht="15.75" x14ac:dyDescent="0.25">
      <c r="C721"/>
      <c r="D721"/>
      <c r="E721"/>
      <c r="F721"/>
      <c r="G721"/>
      <c r="H721"/>
    </row>
    <row r="722" spans="3:8" ht="15.75" x14ac:dyDescent="0.25">
      <c r="C722"/>
      <c r="D722"/>
      <c r="E722"/>
      <c r="F722"/>
      <c r="G722"/>
      <c r="H722"/>
    </row>
    <row r="723" spans="3:8" ht="15.75" x14ac:dyDescent="0.25">
      <c r="C723"/>
      <c r="D723"/>
      <c r="E723"/>
      <c r="F723"/>
      <c r="G723"/>
      <c r="H723"/>
    </row>
    <row r="724" spans="3:8" ht="15.75" x14ac:dyDescent="0.25">
      <c r="C724"/>
      <c r="D724"/>
      <c r="E724"/>
      <c r="F724"/>
      <c r="G724"/>
      <c r="H724"/>
    </row>
    <row r="725" spans="3:8" ht="15.75" x14ac:dyDescent="0.25">
      <c r="C725"/>
      <c r="D725"/>
      <c r="E725"/>
      <c r="F725"/>
      <c r="G725"/>
      <c r="H725"/>
    </row>
    <row r="726" spans="3:8" ht="15.75" x14ac:dyDescent="0.25">
      <c r="C726"/>
      <c r="D726"/>
      <c r="E726"/>
      <c r="F726"/>
      <c r="G726"/>
      <c r="H726"/>
    </row>
    <row r="727" spans="3:8" ht="15.75" x14ac:dyDescent="0.25">
      <c r="C727"/>
      <c r="D727"/>
      <c r="E727"/>
      <c r="F727"/>
      <c r="G727"/>
      <c r="H727"/>
    </row>
    <row r="728" spans="3:8" ht="15.75" x14ac:dyDescent="0.25">
      <c r="C728"/>
      <c r="D728"/>
      <c r="E728"/>
      <c r="F728"/>
      <c r="G728"/>
      <c r="H728"/>
    </row>
    <row r="729" spans="3:8" ht="15.75" x14ac:dyDescent="0.25">
      <c r="C729"/>
      <c r="D729"/>
      <c r="E729"/>
      <c r="F729"/>
      <c r="G729"/>
      <c r="H729"/>
    </row>
    <row r="730" spans="3:8" ht="15.75" x14ac:dyDescent="0.25">
      <c r="C730"/>
      <c r="D730"/>
      <c r="E730"/>
      <c r="F730"/>
      <c r="G730"/>
      <c r="H730"/>
    </row>
    <row r="731" spans="3:8" ht="15.75" x14ac:dyDescent="0.25">
      <c r="C731"/>
      <c r="D731"/>
      <c r="E731"/>
      <c r="F731"/>
      <c r="G731"/>
      <c r="H731"/>
    </row>
    <row r="732" spans="3:8" ht="15.75" x14ac:dyDescent="0.25">
      <c r="C732"/>
      <c r="D732"/>
      <c r="E732"/>
      <c r="F732"/>
      <c r="G732"/>
      <c r="H732"/>
    </row>
    <row r="733" spans="3:8" ht="15.75" x14ac:dyDescent="0.25">
      <c r="C733"/>
      <c r="D733"/>
      <c r="E733"/>
      <c r="F733"/>
      <c r="G733"/>
      <c r="H733"/>
    </row>
    <row r="734" spans="3:8" ht="15.75" x14ac:dyDescent="0.25">
      <c r="C734"/>
      <c r="D734"/>
      <c r="E734"/>
      <c r="F734"/>
      <c r="G734"/>
      <c r="H734"/>
    </row>
    <row r="735" spans="3:8" ht="15.75" x14ac:dyDescent="0.25">
      <c r="C735"/>
      <c r="D735"/>
      <c r="E735"/>
      <c r="F735"/>
      <c r="G735"/>
      <c r="H735"/>
    </row>
    <row r="736" spans="3:8" ht="15.75" x14ac:dyDescent="0.25">
      <c r="C736"/>
      <c r="D736"/>
      <c r="E736"/>
      <c r="F736"/>
      <c r="G736"/>
      <c r="H736"/>
    </row>
    <row r="737" spans="3:8" ht="15.75" x14ac:dyDescent="0.25">
      <c r="C737"/>
      <c r="D737"/>
      <c r="E737"/>
      <c r="F737"/>
      <c r="G737"/>
      <c r="H737"/>
    </row>
    <row r="738" spans="3:8" ht="15.75" x14ac:dyDescent="0.25">
      <c r="C738"/>
      <c r="D738"/>
      <c r="E738"/>
      <c r="F738"/>
      <c r="G738"/>
      <c r="H738"/>
    </row>
    <row r="739" spans="3:8" ht="15.75" x14ac:dyDescent="0.25">
      <c r="C739"/>
      <c r="D739"/>
      <c r="E739"/>
      <c r="F739"/>
      <c r="G739"/>
      <c r="H739"/>
    </row>
    <row r="740" spans="3:8" ht="15.75" x14ac:dyDescent="0.25">
      <c r="C740"/>
      <c r="D740"/>
      <c r="E740"/>
      <c r="F740"/>
      <c r="G740"/>
      <c r="H740"/>
    </row>
    <row r="741" spans="3:8" ht="15.75" x14ac:dyDescent="0.25">
      <c r="C741"/>
      <c r="D741"/>
      <c r="E741"/>
      <c r="F741"/>
      <c r="G741"/>
      <c r="H741"/>
    </row>
    <row r="742" spans="3:8" ht="15.75" x14ac:dyDescent="0.25">
      <c r="C742"/>
      <c r="D742"/>
      <c r="E742"/>
      <c r="F742"/>
      <c r="G742"/>
      <c r="H742"/>
    </row>
    <row r="743" spans="3:8" ht="15.75" x14ac:dyDescent="0.25">
      <c r="C743"/>
      <c r="D743"/>
      <c r="E743"/>
      <c r="F743"/>
      <c r="G743"/>
      <c r="H743"/>
    </row>
    <row r="744" spans="3:8" ht="15.75" x14ac:dyDescent="0.25">
      <c r="C744"/>
      <c r="D744"/>
      <c r="E744"/>
      <c r="F744"/>
      <c r="G744"/>
      <c r="H744"/>
    </row>
    <row r="745" spans="3:8" ht="15.75" x14ac:dyDescent="0.25">
      <c r="C745"/>
      <c r="D745"/>
      <c r="E745"/>
      <c r="F745"/>
      <c r="G745"/>
      <c r="H745"/>
    </row>
    <row r="746" spans="3:8" ht="15.75" x14ac:dyDescent="0.25">
      <c r="C746"/>
      <c r="D746"/>
      <c r="E746"/>
      <c r="F746"/>
      <c r="G746"/>
      <c r="H746"/>
    </row>
    <row r="747" spans="3:8" ht="15.75" x14ac:dyDescent="0.25">
      <c r="C747"/>
      <c r="D747"/>
      <c r="E747"/>
      <c r="F747"/>
      <c r="G747"/>
      <c r="H747"/>
    </row>
    <row r="748" spans="3:8" ht="15.75" x14ac:dyDescent="0.25">
      <c r="C748"/>
      <c r="D748"/>
      <c r="E748"/>
      <c r="F748"/>
      <c r="G748"/>
      <c r="H748"/>
    </row>
    <row r="749" spans="3:8" ht="15.75" x14ac:dyDescent="0.25">
      <c r="C749"/>
      <c r="D749"/>
      <c r="E749"/>
      <c r="F749"/>
      <c r="G749"/>
      <c r="H749"/>
    </row>
    <row r="750" spans="3:8" ht="15.75" x14ac:dyDescent="0.25">
      <c r="C750"/>
      <c r="D750"/>
      <c r="E750"/>
      <c r="F750"/>
      <c r="G750"/>
      <c r="H750"/>
    </row>
    <row r="751" spans="3:8" ht="15.75" x14ac:dyDescent="0.25">
      <c r="C751"/>
      <c r="D751"/>
      <c r="E751"/>
      <c r="F751"/>
      <c r="G751"/>
      <c r="H751"/>
    </row>
    <row r="752" spans="3:8" ht="15.75" x14ac:dyDescent="0.25">
      <c r="C752"/>
      <c r="D752"/>
      <c r="E752"/>
      <c r="F752"/>
      <c r="G752"/>
      <c r="H752"/>
    </row>
    <row r="753" spans="3:8" ht="15.75" x14ac:dyDescent="0.25">
      <c r="C753"/>
      <c r="D753"/>
      <c r="E753"/>
      <c r="F753"/>
      <c r="G753"/>
      <c r="H753"/>
    </row>
    <row r="754" spans="3:8" ht="15.75" x14ac:dyDescent="0.25">
      <c r="C754"/>
      <c r="D754"/>
      <c r="E754"/>
      <c r="F754"/>
      <c r="G754"/>
      <c r="H754"/>
    </row>
    <row r="755" spans="3:8" ht="15.75" x14ac:dyDescent="0.25">
      <c r="C755"/>
      <c r="D755"/>
      <c r="E755"/>
      <c r="F755"/>
      <c r="G755"/>
      <c r="H755"/>
    </row>
    <row r="756" spans="3:8" ht="15.75" x14ac:dyDescent="0.25">
      <c r="C756"/>
      <c r="D756"/>
      <c r="E756"/>
      <c r="F756"/>
      <c r="G756"/>
      <c r="H756"/>
    </row>
    <row r="757" spans="3:8" ht="15.75" x14ac:dyDescent="0.25">
      <c r="C757"/>
      <c r="D757"/>
      <c r="E757"/>
      <c r="F757"/>
      <c r="G757"/>
      <c r="H757"/>
    </row>
    <row r="758" spans="3:8" ht="15.75" x14ac:dyDescent="0.25">
      <c r="C758"/>
      <c r="D758"/>
      <c r="E758"/>
      <c r="F758"/>
      <c r="G758"/>
      <c r="H758"/>
    </row>
    <row r="759" spans="3:8" ht="15.75" x14ac:dyDescent="0.25">
      <c r="C759"/>
      <c r="D759"/>
      <c r="E759"/>
      <c r="F759"/>
      <c r="G759"/>
      <c r="H759"/>
    </row>
    <row r="760" spans="3:8" ht="15.75" x14ac:dyDescent="0.25">
      <c r="C760"/>
      <c r="D760"/>
      <c r="E760"/>
      <c r="F760"/>
      <c r="G760"/>
      <c r="H760"/>
    </row>
    <row r="761" spans="3:8" ht="15.75" x14ac:dyDescent="0.25">
      <c r="C761"/>
      <c r="D761"/>
      <c r="E761"/>
      <c r="F761"/>
      <c r="G761"/>
      <c r="H761"/>
    </row>
    <row r="762" spans="3:8" ht="15.75" x14ac:dyDescent="0.25">
      <c r="C762"/>
      <c r="D762"/>
      <c r="E762"/>
      <c r="F762"/>
      <c r="G762"/>
      <c r="H762"/>
    </row>
    <row r="763" spans="3:8" ht="15.75" x14ac:dyDescent="0.25">
      <c r="C763"/>
      <c r="D763"/>
      <c r="E763"/>
      <c r="F763"/>
      <c r="G763"/>
      <c r="H763"/>
    </row>
    <row r="764" spans="3:8" ht="15.75" x14ac:dyDescent="0.25">
      <c r="C764"/>
      <c r="D764"/>
      <c r="E764"/>
      <c r="F764"/>
      <c r="G764"/>
      <c r="H764"/>
    </row>
    <row r="765" spans="3:8" ht="15.75" x14ac:dyDescent="0.25">
      <c r="C765"/>
      <c r="D765"/>
      <c r="E765"/>
      <c r="F765"/>
      <c r="G765"/>
      <c r="H765"/>
    </row>
    <row r="766" spans="3:8" ht="15.75" x14ac:dyDescent="0.25">
      <c r="C766"/>
      <c r="D766"/>
      <c r="E766"/>
      <c r="F766"/>
      <c r="G766"/>
      <c r="H766"/>
    </row>
    <row r="767" spans="3:8" ht="15.75" x14ac:dyDescent="0.25">
      <c r="C767"/>
      <c r="D767"/>
      <c r="E767"/>
      <c r="F767"/>
      <c r="G767"/>
      <c r="H767"/>
    </row>
    <row r="768" spans="3:8" ht="15.75" x14ac:dyDescent="0.25">
      <c r="C768"/>
      <c r="D768"/>
      <c r="E768"/>
      <c r="F768"/>
      <c r="G768"/>
      <c r="H768"/>
    </row>
    <row r="769" spans="3:8" ht="15.75" x14ac:dyDescent="0.25">
      <c r="C769"/>
      <c r="D769"/>
      <c r="E769"/>
      <c r="F769"/>
      <c r="G769"/>
      <c r="H769"/>
    </row>
    <row r="770" spans="3:8" ht="15.75" x14ac:dyDescent="0.25">
      <c r="C770"/>
      <c r="D770"/>
      <c r="E770"/>
      <c r="F770"/>
      <c r="G770"/>
      <c r="H770"/>
    </row>
    <row r="771" spans="3:8" ht="15.75" x14ac:dyDescent="0.25">
      <c r="C771"/>
      <c r="D771"/>
      <c r="E771"/>
      <c r="F771"/>
      <c r="G771"/>
      <c r="H771"/>
    </row>
    <row r="772" spans="3:8" ht="15.75" x14ac:dyDescent="0.25">
      <c r="C772"/>
      <c r="D772"/>
      <c r="E772"/>
      <c r="F772"/>
      <c r="G772"/>
      <c r="H772"/>
    </row>
    <row r="773" spans="3:8" ht="15.75" x14ac:dyDescent="0.25">
      <c r="C773"/>
      <c r="D773"/>
      <c r="E773"/>
      <c r="F773"/>
      <c r="G773"/>
      <c r="H773"/>
    </row>
    <row r="774" spans="3:8" ht="15.75" x14ac:dyDescent="0.25">
      <c r="C774"/>
      <c r="D774"/>
      <c r="E774"/>
      <c r="F774"/>
      <c r="G774"/>
      <c r="H774"/>
    </row>
    <row r="775" spans="3:8" ht="15.75" x14ac:dyDescent="0.25">
      <c r="C775"/>
      <c r="D775"/>
      <c r="E775"/>
      <c r="F775"/>
      <c r="G775"/>
      <c r="H775"/>
    </row>
    <row r="776" spans="3:8" ht="15.75" x14ac:dyDescent="0.25">
      <c r="C776"/>
      <c r="D776"/>
      <c r="E776"/>
      <c r="F776"/>
      <c r="G776"/>
      <c r="H776"/>
    </row>
    <row r="777" spans="3:8" ht="15.75" x14ac:dyDescent="0.25">
      <c r="C777"/>
      <c r="D777"/>
      <c r="E777"/>
      <c r="F777"/>
      <c r="G777"/>
      <c r="H777"/>
    </row>
    <row r="778" spans="3:8" ht="15.75" x14ac:dyDescent="0.25">
      <c r="C778"/>
      <c r="D778"/>
      <c r="E778"/>
      <c r="F778"/>
      <c r="G778"/>
      <c r="H778"/>
    </row>
    <row r="779" spans="3:8" ht="15.75" x14ac:dyDescent="0.25">
      <c r="C779"/>
      <c r="D779"/>
      <c r="E779"/>
      <c r="F779"/>
      <c r="G779"/>
      <c r="H779"/>
    </row>
    <row r="780" spans="3:8" ht="15.75" x14ac:dyDescent="0.25">
      <c r="C780"/>
      <c r="D780"/>
      <c r="E780"/>
      <c r="F780"/>
      <c r="G780"/>
      <c r="H780"/>
    </row>
    <row r="781" spans="3:8" ht="15.75" x14ac:dyDescent="0.25">
      <c r="C781"/>
      <c r="D781"/>
      <c r="E781"/>
      <c r="F781"/>
      <c r="G781"/>
      <c r="H781"/>
    </row>
    <row r="782" spans="3:8" ht="15.75" x14ac:dyDescent="0.25">
      <c r="C782"/>
      <c r="D782"/>
      <c r="E782"/>
      <c r="F782"/>
      <c r="G782"/>
      <c r="H782"/>
    </row>
    <row r="783" spans="3:8" ht="15.75" x14ac:dyDescent="0.25">
      <c r="C783"/>
      <c r="D783"/>
      <c r="E783"/>
      <c r="F783"/>
      <c r="G783"/>
      <c r="H783"/>
    </row>
    <row r="784" spans="3:8" ht="15.75" x14ac:dyDescent="0.25">
      <c r="C784"/>
      <c r="D784"/>
      <c r="E784"/>
      <c r="F784"/>
      <c r="G784"/>
      <c r="H784"/>
    </row>
    <row r="785" spans="3:8" ht="15.75" x14ac:dyDescent="0.25">
      <c r="C785"/>
      <c r="D785"/>
      <c r="E785"/>
      <c r="F785"/>
      <c r="G785"/>
      <c r="H785"/>
    </row>
    <row r="786" spans="3:8" ht="15.75" x14ac:dyDescent="0.25">
      <c r="C786"/>
      <c r="D786"/>
      <c r="E786"/>
      <c r="F786"/>
      <c r="G786"/>
      <c r="H786"/>
    </row>
    <row r="787" spans="3:8" ht="15.75" x14ac:dyDescent="0.25">
      <c r="C787"/>
      <c r="D787"/>
      <c r="E787"/>
      <c r="F787"/>
      <c r="G787"/>
      <c r="H787"/>
    </row>
    <row r="788" spans="3:8" ht="15.75" x14ac:dyDescent="0.25">
      <c r="C788"/>
      <c r="D788"/>
      <c r="E788"/>
      <c r="F788"/>
      <c r="G788"/>
      <c r="H788"/>
    </row>
    <row r="789" spans="3:8" ht="15.75" x14ac:dyDescent="0.25">
      <c r="C789"/>
      <c r="D789"/>
      <c r="E789"/>
      <c r="F789"/>
      <c r="G789"/>
      <c r="H789"/>
    </row>
    <row r="790" spans="3:8" ht="15.75" x14ac:dyDescent="0.25">
      <c r="C790"/>
      <c r="D790"/>
      <c r="E790"/>
      <c r="F790"/>
      <c r="G790"/>
      <c r="H790"/>
    </row>
    <row r="791" spans="3:8" ht="15.75" x14ac:dyDescent="0.25">
      <c r="C791"/>
      <c r="D791"/>
      <c r="E791"/>
      <c r="F791"/>
      <c r="G791"/>
      <c r="H791"/>
    </row>
    <row r="792" spans="3:8" ht="15.75" x14ac:dyDescent="0.25">
      <c r="C792"/>
      <c r="D792"/>
      <c r="E792"/>
      <c r="F792"/>
      <c r="G792"/>
      <c r="H792"/>
    </row>
    <row r="793" spans="3:8" ht="15.75" x14ac:dyDescent="0.25">
      <c r="C793"/>
      <c r="D793"/>
      <c r="E793"/>
      <c r="F793"/>
      <c r="G793"/>
      <c r="H793"/>
    </row>
    <row r="794" spans="3:8" ht="15.75" x14ac:dyDescent="0.25">
      <c r="C794"/>
      <c r="D794"/>
      <c r="E794"/>
      <c r="F794"/>
      <c r="G794"/>
      <c r="H794"/>
    </row>
    <row r="795" spans="3:8" ht="15.75" x14ac:dyDescent="0.25">
      <c r="C795"/>
      <c r="D795"/>
      <c r="E795"/>
      <c r="F795"/>
      <c r="G795"/>
      <c r="H795"/>
    </row>
    <row r="796" spans="3:8" ht="15.75" x14ac:dyDescent="0.25">
      <c r="C796"/>
      <c r="D796"/>
      <c r="E796"/>
      <c r="F796"/>
      <c r="G796"/>
      <c r="H796"/>
    </row>
    <row r="797" spans="3:8" ht="15.75" x14ac:dyDescent="0.25">
      <c r="C797"/>
      <c r="D797"/>
      <c r="E797"/>
      <c r="F797"/>
      <c r="G797"/>
      <c r="H797"/>
    </row>
    <row r="798" spans="3:8" ht="15.75" x14ac:dyDescent="0.25">
      <c r="C798"/>
      <c r="D798"/>
      <c r="E798"/>
      <c r="F798"/>
      <c r="G798"/>
      <c r="H798"/>
    </row>
    <row r="799" spans="3:8" ht="15.75" x14ac:dyDescent="0.25">
      <c r="C799"/>
      <c r="D799"/>
      <c r="E799"/>
      <c r="F799"/>
      <c r="G799"/>
      <c r="H799"/>
    </row>
    <row r="800" spans="3:8" ht="15.75" x14ac:dyDescent="0.25">
      <c r="C800"/>
      <c r="D800"/>
      <c r="E800"/>
      <c r="F800"/>
      <c r="G800"/>
      <c r="H800"/>
    </row>
    <row r="801" spans="3:8" ht="15.75" x14ac:dyDescent="0.25">
      <c r="C801"/>
      <c r="D801"/>
      <c r="E801"/>
      <c r="F801"/>
      <c r="G801"/>
      <c r="H801"/>
    </row>
    <row r="802" spans="3:8" ht="15.75" x14ac:dyDescent="0.25">
      <c r="C802"/>
      <c r="D802"/>
      <c r="E802"/>
      <c r="F802"/>
      <c r="G802"/>
      <c r="H802"/>
    </row>
    <row r="803" spans="3:8" ht="15.75" x14ac:dyDescent="0.25">
      <c r="C803"/>
      <c r="D803"/>
      <c r="E803"/>
      <c r="F803"/>
      <c r="G803"/>
      <c r="H803"/>
    </row>
    <row r="804" spans="3:8" ht="15.75" x14ac:dyDescent="0.25">
      <c r="C804"/>
      <c r="D804"/>
      <c r="E804"/>
      <c r="F804"/>
      <c r="G804"/>
      <c r="H804"/>
    </row>
    <row r="805" spans="3:8" ht="15.75" x14ac:dyDescent="0.25">
      <c r="C805"/>
      <c r="D805"/>
      <c r="E805"/>
      <c r="F805"/>
      <c r="G805"/>
      <c r="H805"/>
    </row>
    <row r="806" spans="3:8" ht="15.75" x14ac:dyDescent="0.25">
      <c r="C806"/>
      <c r="D806"/>
      <c r="E806"/>
      <c r="F806"/>
      <c r="G806"/>
      <c r="H806"/>
    </row>
    <row r="807" spans="3:8" ht="15.75" x14ac:dyDescent="0.25">
      <c r="C807"/>
      <c r="D807"/>
      <c r="E807"/>
      <c r="F807"/>
      <c r="G807"/>
      <c r="H807"/>
    </row>
    <row r="808" spans="3:8" ht="15.75" x14ac:dyDescent="0.25">
      <c r="C808"/>
      <c r="D808"/>
      <c r="E808"/>
      <c r="F808"/>
      <c r="G808"/>
      <c r="H808"/>
    </row>
    <row r="809" spans="3:8" ht="15.75" x14ac:dyDescent="0.25">
      <c r="C809"/>
      <c r="D809"/>
      <c r="E809"/>
      <c r="F809"/>
      <c r="G809"/>
      <c r="H809"/>
    </row>
    <row r="810" spans="3:8" ht="15.75" x14ac:dyDescent="0.25">
      <c r="C810"/>
      <c r="D810"/>
      <c r="E810"/>
      <c r="F810"/>
      <c r="G810"/>
      <c r="H810"/>
    </row>
    <row r="811" spans="3:8" ht="15.75" x14ac:dyDescent="0.25">
      <c r="C811"/>
      <c r="D811"/>
      <c r="E811"/>
      <c r="F811"/>
      <c r="G811"/>
      <c r="H811"/>
    </row>
    <row r="812" spans="3:8" ht="15.75" x14ac:dyDescent="0.25">
      <c r="C812"/>
      <c r="D812"/>
      <c r="E812"/>
      <c r="F812"/>
      <c r="G812"/>
      <c r="H812"/>
    </row>
    <row r="813" spans="3:8" ht="15.75" x14ac:dyDescent="0.25">
      <c r="C813"/>
      <c r="D813"/>
      <c r="E813"/>
      <c r="F813"/>
      <c r="G813"/>
      <c r="H813"/>
    </row>
    <row r="814" spans="3:8" ht="15.75" x14ac:dyDescent="0.25">
      <c r="C814"/>
      <c r="D814"/>
      <c r="E814"/>
      <c r="F814"/>
      <c r="G814"/>
      <c r="H814"/>
    </row>
    <row r="815" spans="3:8" ht="15.75" x14ac:dyDescent="0.25">
      <c r="C815"/>
      <c r="D815"/>
      <c r="E815"/>
      <c r="F815"/>
      <c r="G815"/>
      <c r="H815"/>
    </row>
    <row r="816" spans="3:8" ht="15.75" x14ac:dyDescent="0.25">
      <c r="C816"/>
      <c r="D816"/>
      <c r="E816"/>
      <c r="F816"/>
      <c r="G816"/>
      <c r="H816"/>
    </row>
    <row r="817" spans="3:8" ht="15.75" x14ac:dyDescent="0.25">
      <c r="C817"/>
      <c r="D817"/>
      <c r="E817"/>
      <c r="F817"/>
      <c r="G817"/>
      <c r="H817"/>
    </row>
    <row r="818" spans="3:8" ht="15.75" x14ac:dyDescent="0.25">
      <c r="C818"/>
      <c r="D818"/>
      <c r="E818"/>
      <c r="F818"/>
      <c r="G818"/>
      <c r="H818"/>
    </row>
    <row r="819" spans="3:8" ht="15.75" x14ac:dyDescent="0.25">
      <c r="C819"/>
      <c r="D819"/>
      <c r="E819"/>
      <c r="F819"/>
      <c r="G819"/>
      <c r="H819"/>
    </row>
    <row r="820" spans="3:8" ht="15.75" x14ac:dyDescent="0.25">
      <c r="C820"/>
      <c r="D820"/>
      <c r="E820"/>
      <c r="F820"/>
      <c r="G820"/>
      <c r="H820"/>
    </row>
    <row r="821" spans="3:8" ht="15.75" x14ac:dyDescent="0.25">
      <c r="C821"/>
      <c r="D821"/>
      <c r="E821"/>
      <c r="F821"/>
      <c r="G821"/>
      <c r="H821"/>
    </row>
    <row r="822" spans="3:8" ht="15.75" x14ac:dyDescent="0.25">
      <c r="C822"/>
      <c r="D822"/>
      <c r="E822"/>
      <c r="F822"/>
      <c r="G822"/>
      <c r="H822"/>
    </row>
    <row r="823" spans="3:8" ht="15.75" x14ac:dyDescent="0.25">
      <c r="C823"/>
      <c r="D823"/>
      <c r="E823"/>
      <c r="F823"/>
      <c r="G823"/>
      <c r="H823"/>
    </row>
    <row r="824" spans="3:8" ht="15.75" x14ac:dyDescent="0.25">
      <c r="C824"/>
      <c r="D824"/>
      <c r="E824"/>
      <c r="F824"/>
      <c r="G824"/>
      <c r="H824"/>
    </row>
    <row r="825" spans="3:8" ht="15.75" x14ac:dyDescent="0.25">
      <c r="C825"/>
      <c r="D825"/>
      <c r="E825"/>
      <c r="F825"/>
      <c r="G825"/>
      <c r="H825"/>
    </row>
    <row r="826" spans="3:8" ht="15.75" x14ac:dyDescent="0.25">
      <c r="C826"/>
      <c r="D826"/>
      <c r="E826"/>
      <c r="F826"/>
      <c r="G826"/>
      <c r="H826"/>
    </row>
    <row r="827" spans="3:8" ht="15.75" x14ac:dyDescent="0.25">
      <c r="C827"/>
      <c r="D827"/>
      <c r="E827"/>
      <c r="F827"/>
      <c r="G827"/>
      <c r="H827"/>
    </row>
    <row r="828" spans="3:8" ht="15.75" x14ac:dyDescent="0.25">
      <c r="C828"/>
      <c r="D828"/>
      <c r="E828"/>
      <c r="F828"/>
      <c r="G828"/>
      <c r="H828"/>
    </row>
    <row r="829" spans="3:8" ht="15.75" x14ac:dyDescent="0.25">
      <c r="C829"/>
      <c r="D829"/>
      <c r="E829"/>
      <c r="F829"/>
      <c r="G829"/>
      <c r="H829"/>
    </row>
    <row r="830" spans="3:8" ht="15.75" x14ac:dyDescent="0.25">
      <c r="C830"/>
      <c r="D830"/>
      <c r="E830"/>
      <c r="F830"/>
      <c r="G830"/>
      <c r="H830"/>
    </row>
    <row r="831" spans="3:8" ht="15.75" x14ac:dyDescent="0.25">
      <c r="C831"/>
      <c r="D831"/>
      <c r="E831"/>
      <c r="F831"/>
      <c r="G831"/>
      <c r="H831"/>
    </row>
    <row r="832" spans="3:8" ht="15.75" x14ac:dyDescent="0.25">
      <c r="C832"/>
      <c r="D832"/>
      <c r="E832"/>
      <c r="F832"/>
      <c r="G832"/>
      <c r="H832"/>
    </row>
    <row r="833" spans="3:8" ht="15.75" x14ac:dyDescent="0.25">
      <c r="C833"/>
      <c r="D833"/>
      <c r="E833"/>
      <c r="F833"/>
      <c r="G833"/>
      <c r="H833"/>
    </row>
    <row r="834" spans="3:8" ht="15.75" x14ac:dyDescent="0.25">
      <c r="C834"/>
      <c r="D834"/>
      <c r="E834"/>
      <c r="F834"/>
      <c r="G834"/>
      <c r="H834"/>
    </row>
    <row r="835" spans="3:8" ht="15.75" x14ac:dyDescent="0.25">
      <c r="C835"/>
      <c r="D835"/>
      <c r="E835"/>
      <c r="F835"/>
      <c r="G835"/>
      <c r="H835"/>
    </row>
    <row r="836" spans="3:8" ht="15.75" x14ac:dyDescent="0.25">
      <c r="C836"/>
      <c r="D836"/>
      <c r="E836"/>
      <c r="F836"/>
      <c r="G836"/>
      <c r="H836"/>
    </row>
    <row r="837" spans="3:8" ht="15.75" x14ac:dyDescent="0.25">
      <c r="C837"/>
      <c r="D837"/>
      <c r="E837"/>
      <c r="F837"/>
      <c r="G837"/>
      <c r="H837"/>
    </row>
    <row r="838" spans="3:8" ht="15.75" x14ac:dyDescent="0.25">
      <c r="C838"/>
      <c r="D838"/>
      <c r="E838"/>
      <c r="F838"/>
      <c r="G838"/>
      <c r="H838"/>
    </row>
    <row r="839" spans="3:8" ht="15.75" x14ac:dyDescent="0.25">
      <c r="C839"/>
      <c r="D839"/>
      <c r="E839"/>
      <c r="F839"/>
      <c r="G839"/>
      <c r="H839"/>
    </row>
    <row r="840" spans="3:8" ht="15.75" x14ac:dyDescent="0.25">
      <c r="C840"/>
      <c r="D840"/>
      <c r="E840"/>
      <c r="F840"/>
      <c r="G840"/>
      <c r="H840"/>
    </row>
    <row r="841" spans="3:8" ht="15.75" x14ac:dyDescent="0.25">
      <c r="C841"/>
      <c r="D841"/>
      <c r="E841"/>
      <c r="F841"/>
      <c r="G841"/>
      <c r="H841"/>
    </row>
    <row r="842" spans="3:8" ht="15.75" x14ac:dyDescent="0.25">
      <c r="C842"/>
      <c r="D842"/>
      <c r="E842"/>
      <c r="F842"/>
      <c r="G842"/>
      <c r="H842"/>
    </row>
    <row r="843" spans="3:8" ht="15.75" x14ac:dyDescent="0.25">
      <c r="C843"/>
      <c r="D843"/>
      <c r="E843"/>
      <c r="F843"/>
      <c r="G843"/>
      <c r="H843"/>
    </row>
    <row r="844" spans="3:8" ht="15.75" x14ac:dyDescent="0.25">
      <c r="C844"/>
      <c r="D844"/>
      <c r="E844"/>
      <c r="F844"/>
      <c r="G844"/>
      <c r="H844"/>
    </row>
    <row r="845" spans="3:8" ht="15.75" x14ac:dyDescent="0.25">
      <c r="C845"/>
      <c r="D845"/>
      <c r="E845"/>
      <c r="F845"/>
      <c r="G845"/>
      <c r="H845"/>
    </row>
    <row r="846" spans="3:8" ht="15.75" x14ac:dyDescent="0.25">
      <c r="C846"/>
      <c r="D846"/>
      <c r="E846"/>
      <c r="F846"/>
      <c r="G846"/>
      <c r="H846"/>
    </row>
    <row r="847" spans="3:8" ht="15.75" x14ac:dyDescent="0.25">
      <c r="C847"/>
      <c r="D847"/>
      <c r="E847"/>
      <c r="F847"/>
      <c r="G847"/>
      <c r="H847"/>
    </row>
    <row r="848" spans="3:8" ht="15.75" x14ac:dyDescent="0.25">
      <c r="C848"/>
      <c r="D848"/>
      <c r="E848"/>
      <c r="F848"/>
      <c r="G848"/>
      <c r="H848"/>
    </row>
    <row r="849" spans="3:8" ht="15.75" x14ac:dyDescent="0.25">
      <c r="C849"/>
      <c r="D849"/>
      <c r="E849"/>
      <c r="F849"/>
      <c r="G849"/>
      <c r="H849"/>
    </row>
    <row r="850" spans="3:8" ht="15.75" x14ac:dyDescent="0.25">
      <c r="C850"/>
      <c r="D850"/>
      <c r="E850"/>
      <c r="F850"/>
      <c r="G850"/>
      <c r="H850"/>
    </row>
    <row r="851" spans="3:8" ht="15.75" x14ac:dyDescent="0.25">
      <c r="C851"/>
      <c r="D851"/>
      <c r="E851"/>
      <c r="F851"/>
      <c r="G851"/>
      <c r="H851"/>
    </row>
    <row r="852" spans="3:8" ht="15.75" x14ac:dyDescent="0.25">
      <c r="C852"/>
      <c r="D852"/>
      <c r="E852"/>
      <c r="F852"/>
      <c r="G852"/>
      <c r="H852"/>
    </row>
    <row r="853" spans="3:8" ht="15.75" x14ac:dyDescent="0.25">
      <c r="C853"/>
      <c r="D853"/>
      <c r="E853"/>
      <c r="F853"/>
      <c r="G853"/>
      <c r="H853"/>
    </row>
    <row r="854" spans="3:8" ht="15.75" x14ac:dyDescent="0.25">
      <c r="C854"/>
      <c r="D854"/>
      <c r="E854"/>
      <c r="F854"/>
      <c r="G854"/>
      <c r="H854"/>
    </row>
    <row r="855" spans="3:8" ht="15.75" x14ac:dyDescent="0.25">
      <c r="C855"/>
      <c r="D855"/>
      <c r="E855"/>
      <c r="F855"/>
      <c r="G855"/>
      <c r="H855"/>
    </row>
    <row r="856" spans="3:8" ht="15.75" x14ac:dyDescent="0.25">
      <c r="C856"/>
      <c r="D856"/>
      <c r="E856"/>
      <c r="F856"/>
      <c r="G856"/>
      <c r="H856"/>
    </row>
    <row r="857" spans="3:8" ht="15.75" x14ac:dyDescent="0.25">
      <c r="C857"/>
      <c r="D857"/>
      <c r="E857"/>
      <c r="F857"/>
      <c r="G857"/>
      <c r="H857"/>
    </row>
    <row r="858" spans="3:8" ht="15.75" x14ac:dyDescent="0.25">
      <c r="C858"/>
      <c r="D858"/>
      <c r="E858"/>
      <c r="F858"/>
      <c r="G858"/>
      <c r="H858"/>
    </row>
    <row r="859" spans="3:8" ht="15.75" x14ac:dyDescent="0.25">
      <c r="C859"/>
      <c r="D859"/>
      <c r="E859"/>
      <c r="F859"/>
      <c r="G859"/>
      <c r="H859"/>
    </row>
    <row r="860" spans="3:8" ht="15.75" x14ac:dyDescent="0.25">
      <c r="C860"/>
      <c r="D860"/>
      <c r="E860"/>
      <c r="F860"/>
      <c r="G860"/>
      <c r="H860"/>
    </row>
    <row r="861" spans="3:8" ht="15.75" x14ac:dyDescent="0.25">
      <c r="C861"/>
      <c r="D861"/>
      <c r="E861"/>
      <c r="F861"/>
      <c r="G861"/>
      <c r="H861"/>
    </row>
    <row r="862" spans="3:8" ht="15.75" x14ac:dyDescent="0.25">
      <c r="C862"/>
      <c r="D862"/>
      <c r="E862"/>
      <c r="F862"/>
      <c r="G862"/>
      <c r="H862"/>
    </row>
    <row r="863" spans="3:8" ht="15.75" x14ac:dyDescent="0.25">
      <c r="C863"/>
      <c r="D863"/>
      <c r="E863"/>
      <c r="F863"/>
      <c r="G863"/>
      <c r="H863"/>
    </row>
    <row r="864" spans="3:8" ht="15.75" x14ac:dyDescent="0.25">
      <c r="C864"/>
      <c r="D864"/>
      <c r="E864"/>
      <c r="F864"/>
      <c r="G864"/>
      <c r="H864"/>
    </row>
    <row r="865" spans="3:8" ht="15.75" x14ac:dyDescent="0.25">
      <c r="C865"/>
      <c r="D865"/>
      <c r="E865"/>
      <c r="F865"/>
      <c r="G865"/>
      <c r="H865"/>
    </row>
    <row r="866" spans="3:8" ht="15.75" x14ac:dyDescent="0.25">
      <c r="C866"/>
      <c r="D866"/>
      <c r="E866"/>
      <c r="F866"/>
      <c r="G866"/>
      <c r="H866"/>
    </row>
    <row r="867" spans="3:8" ht="15.75" x14ac:dyDescent="0.25">
      <c r="C867"/>
      <c r="D867"/>
      <c r="E867"/>
      <c r="F867"/>
      <c r="G867"/>
      <c r="H867"/>
    </row>
    <row r="868" spans="3:8" ht="15.75" x14ac:dyDescent="0.25">
      <c r="C868"/>
      <c r="D868"/>
      <c r="E868"/>
      <c r="F868"/>
      <c r="G868"/>
      <c r="H868"/>
    </row>
    <row r="869" spans="3:8" ht="15.75" x14ac:dyDescent="0.25">
      <c r="C869"/>
      <c r="D869"/>
      <c r="E869"/>
      <c r="F869"/>
      <c r="G869"/>
      <c r="H869"/>
    </row>
    <row r="870" spans="3:8" ht="15.75" x14ac:dyDescent="0.25">
      <c r="C870"/>
      <c r="D870"/>
      <c r="E870"/>
      <c r="F870"/>
      <c r="G870"/>
      <c r="H870"/>
    </row>
    <row r="871" spans="3:8" ht="15.75" x14ac:dyDescent="0.25">
      <c r="C871"/>
      <c r="D871"/>
      <c r="E871"/>
      <c r="F871"/>
      <c r="G871"/>
      <c r="H871"/>
    </row>
    <row r="872" spans="3:8" ht="15.75" x14ac:dyDescent="0.25">
      <c r="C872"/>
      <c r="D872"/>
      <c r="E872"/>
      <c r="F872"/>
      <c r="G872"/>
      <c r="H872"/>
    </row>
    <row r="873" spans="3:8" ht="15.75" x14ac:dyDescent="0.25">
      <c r="C873"/>
      <c r="D873"/>
      <c r="E873"/>
      <c r="F873"/>
      <c r="G873"/>
      <c r="H873"/>
    </row>
    <row r="874" spans="3:8" ht="15.75" x14ac:dyDescent="0.25">
      <c r="C874"/>
      <c r="D874"/>
      <c r="E874"/>
      <c r="F874"/>
      <c r="G874"/>
      <c r="H874"/>
    </row>
    <row r="875" spans="3:8" ht="15.75" x14ac:dyDescent="0.25">
      <c r="C875"/>
      <c r="D875"/>
      <c r="E875"/>
      <c r="F875"/>
      <c r="G875"/>
      <c r="H875"/>
    </row>
    <row r="876" spans="3:8" ht="15.75" x14ac:dyDescent="0.25">
      <c r="C876"/>
      <c r="D876"/>
      <c r="E876"/>
      <c r="F876"/>
      <c r="G876"/>
      <c r="H876"/>
    </row>
    <row r="877" spans="3:8" ht="15.75" x14ac:dyDescent="0.25">
      <c r="C877"/>
      <c r="D877"/>
      <c r="E877"/>
      <c r="F877"/>
      <c r="G877"/>
      <c r="H877"/>
    </row>
    <row r="878" spans="3:8" ht="15.75" x14ac:dyDescent="0.25">
      <c r="C878"/>
      <c r="D878"/>
      <c r="E878"/>
      <c r="F878"/>
      <c r="G878"/>
      <c r="H878"/>
    </row>
    <row r="879" spans="3:8" ht="15.75" x14ac:dyDescent="0.25">
      <c r="C879"/>
      <c r="D879"/>
      <c r="E879"/>
      <c r="F879"/>
      <c r="G879"/>
      <c r="H879"/>
    </row>
    <row r="880" spans="3:8" ht="15.75" x14ac:dyDescent="0.25">
      <c r="C880"/>
      <c r="D880"/>
      <c r="E880"/>
      <c r="F880"/>
      <c r="G880"/>
      <c r="H880"/>
    </row>
    <row r="881" spans="3:8" ht="15.75" x14ac:dyDescent="0.25">
      <c r="C881"/>
      <c r="D881"/>
      <c r="E881"/>
      <c r="F881"/>
      <c r="G881"/>
      <c r="H881"/>
    </row>
    <row r="882" spans="3:8" ht="15.75" x14ac:dyDescent="0.25">
      <c r="C882"/>
      <c r="D882"/>
      <c r="E882"/>
      <c r="F882"/>
      <c r="G882"/>
      <c r="H882"/>
    </row>
    <row r="883" spans="3:8" ht="15.75" x14ac:dyDescent="0.25">
      <c r="C883"/>
      <c r="D883"/>
      <c r="E883"/>
      <c r="F883"/>
      <c r="G883"/>
      <c r="H883"/>
    </row>
    <row r="884" spans="3:8" ht="15.75" x14ac:dyDescent="0.25">
      <c r="C884"/>
      <c r="D884"/>
      <c r="E884"/>
      <c r="F884"/>
      <c r="G884"/>
      <c r="H884"/>
    </row>
    <row r="885" spans="3:8" ht="15.75" x14ac:dyDescent="0.25">
      <c r="C885"/>
      <c r="D885"/>
      <c r="E885"/>
      <c r="F885"/>
      <c r="G885"/>
      <c r="H885"/>
    </row>
    <row r="886" spans="3:8" ht="15.75" x14ac:dyDescent="0.25">
      <c r="C886"/>
      <c r="D886"/>
      <c r="E886"/>
      <c r="F886"/>
      <c r="G886"/>
      <c r="H886"/>
    </row>
    <row r="887" spans="3:8" ht="15.75" x14ac:dyDescent="0.25">
      <c r="C887"/>
      <c r="D887"/>
      <c r="E887"/>
      <c r="F887"/>
      <c r="G887"/>
      <c r="H887"/>
    </row>
    <row r="888" spans="3:8" ht="15.75" x14ac:dyDescent="0.25">
      <c r="C888"/>
      <c r="D888"/>
      <c r="E888"/>
      <c r="F888"/>
      <c r="G888"/>
      <c r="H888"/>
    </row>
    <row r="889" spans="3:8" ht="15.75" x14ac:dyDescent="0.25">
      <c r="C889"/>
      <c r="D889"/>
      <c r="E889"/>
      <c r="F889"/>
      <c r="G889"/>
      <c r="H889"/>
    </row>
    <row r="890" spans="3:8" ht="15.75" x14ac:dyDescent="0.25">
      <c r="C890"/>
      <c r="D890"/>
      <c r="E890"/>
      <c r="F890"/>
      <c r="G890"/>
      <c r="H890"/>
    </row>
    <row r="891" spans="3:8" ht="15.75" x14ac:dyDescent="0.25">
      <c r="C891"/>
      <c r="D891"/>
      <c r="E891"/>
      <c r="F891"/>
      <c r="G891"/>
      <c r="H891"/>
    </row>
    <row r="892" spans="3:8" ht="15.75" x14ac:dyDescent="0.25">
      <c r="C892"/>
      <c r="D892"/>
      <c r="E892"/>
      <c r="F892"/>
      <c r="G892"/>
      <c r="H892"/>
    </row>
    <row r="893" spans="3:8" ht="15.75" x14ac:dyDescent="0.25">
      <c r="C893"/>
      <c r="D893"/>
      <c r="E893"/>
      <c r="F893"/>
      <c r="G893"/>
      <c r="H893"/>
    </row>
    <row r="894" spans="3:8" ht="15.75" x14ac:dyDescent="0.25">
      <c r="C894"/>
      <c r="D894"/>
      <c r="E894"/>
      <c r="F894"/>
      <c r="G894"/>
      <c r="H894"/>
    </row>
    <row r="895" spans="3:8" ht="15.75" x14ac:dyDescent="0.25">
      <c r="C895"/>
      <c r="D895"/>
      <c r="E895"/>
      <c r="F895"/>
      <c r="G895"/>
      <c r="H895"/>
    </row>
    <row r="896" spans="3:8" ht="15.75" x14ac:dyDescent="0.25">
      <c r="C896"/>
      <c r="D896"/>
      <c r="E896"/>
      <c r="F896"/>
      <c r="G896"/>
      <c r="H896"/>
    </row>
    <row r="897" spans="3:8" ht="15.75" x14ac:dyDescent="0.25">
      <c r="C897"/>
      <c r="D897"/>
      <c r="E897"/>
      <c r="F897"/>
      <c r="G897"/>
      <c r="H897"/>
    </row>
    <row r="898" spans="3:8" ht="15.75" x14ac:dyDescent="0.25">
      <c r="C898"/>
      <c r="D898"/>
      <c r="E898"/>
      <c r="F898"/>
      <c r="G898"/>
      <c r="H898"/>
    </row>
    <row r="899" spans="3:8" ht="15.75" x14ac:dyDescent="0.25">
      <c r="C899"/>
      <c r="D899"/>
      <c r="E899"/>
      <c r="F899"/>
      <c r="G899"/>
      <c r="H899"/>
    </row>
    <row r="900" spans="3:8" ht="15.75" x14ac:dyDescent="0.25">
      <c r="C900"/>
      <c r="D900"/>
      <c r="E900"/>
      <c r="F900"/>
      <c r="G900"/>
      <c r="H900"/>
    </row>
    <row r="901" spans="3:8" ht="15.75" x14ac:dyDescent="0.25">
      <c r="C901"/>
      <c r="D901"/>
      <c r="E901"/>
      <c r="F901"/>
      <c r="G901"/>
      <c r="H901"/>
    </row>
    <row r="902" spans="3:8" ht="15.75" x14ac:dyDescent="0.25">
      <c r="C902"/>
      <c r="D902"/>
      <c r="E902"/>
      <c r="F902"/>
      <c r="G902"/>
      <c r="H902"/>
    </row>
    <row r="903" spans="3:8" ht="15.75" x14ac:dyDescent="0.25">
      <c r="C903"/>
      <c r="D903"/>
      <c r="E903"/>
      <c r="F903"/>
      <c r="G903"/>
      <c r="H903"/>
    </row>
    <row r="904" spans="3:8" ht="15.75" x14ac:dyDescent="0.25">
      <c r="C904"/>
      <c r="D904"/>
      <c r="E904"/>
      <c r="F904"/>
      <c r="G904"/>
      <c r="H904"/>
    </row>
    <row r="905" spans="3:8" ht="15.75" x14ac:dyDescent="0.25">
      <c r="C905"/>
      <c r="D905"/>
      <c r="E905"/>
      <c r="F905"/>
      <c r="G905"/>
      <c r="H905"/>
    </row>
    <row r="906" spans="3:8" ht="15.75" x14ac:dyDescent="0.25">
      <c r="C906"/>
      <c r="D906"/>
      <c r="E906"/>
      <c r="F906"/>
      <c r="G906"/>
      <c r="H906"/>
    </row>
    <row r="907" spans="3:8" ht="15.75" x14ac:dyDescent="0.25">
      <c r="C907"/>
      <c r="D907"/>
      <c r="E907"/>
      <c r="F907"/>
      <c r="G907"/>
      <c r="H907"/>
    </row>
    <row r="908" spans="3:8" ht="15.75" x14ac:dyDescent="0.25">
      <c r="C908"/>
      <c r="D908"/>
      <c r="E908"/>
      <c r="F908"/>
      <c r="G908"/>
      <c r="H908"/>
    </row>
    <row r="909" spans="3:8" ht="15.75" x14ac:dyDescent="0.25">
      <c r="C909"/>
      <c r="D909"/>
      <c r="E909"/>
      <c r="F909"/>
      <c r="G909"/>
      <c r="H909"/>
    </row>
    <row r="910" spans="3:8" ht="15.75" x14ac:dyDescent="0.25">
      <c r="C910"/>
      <c r="D910"/>
      <c r="E910"/>
      <c r="F910"/>
      <c r="G910"/>
      <c r="H910"/>
    </row>
    <row r="911" spans="3:8" ht="15.75" x14ac:dyDescent="0.25">
      <c r="C911"/>
      <c r="D911"/>
      <c r="E911"/>
      <c r="F911"/>
      <c r="G911"/>
      <c r="H911"/>
    </row>
    <row r="912" spans="3:8" ht="15.75" x14ac:dyDescent="0.25">
      <c r="C912"/>
      <c r="D912"/>
      <c r="E912"/>
      <c r="F912"/>
      <c r="G912"/>
      <c r="H912"/>
    </row>
    <row r="913" spans="3:8" ht="15.75" x14ac:dyDescent="0.25">
      <c r="C913"/>
      <c r="D913"/>
      <c r="E913"/>
      <c r="F913"/>
      <c r="G913"/>
      <c r="H913"/>
    </row>
    <row r="914" spans="3:8" ht="15.75" x14ac:dyDescent="0.25">
      <c r="C914"/>
      <c r="D914"/>
      <c r="E914"/>
      <c r="F914"/>
      <c r="G914"/>
      <c r="H914"/>
    </row>
    <row r="915" spans="3:8" ht="15.75" x14ac:dyDescent="0.25">
      <c r="C915"/>
      <c r="D915"/>
      <c r="E915"/>
      <c r="F915"/>
      <c r="G915"/>
      <c r="H915"/>
    </row>
    <row r="916" spans="3:8" ht="15.75" x14ac:dyDescent="0.25">
      <c r="C916"/>
      <c r="D916"/>
      <c r="E916"/>
      <c r="F916"/>
      <c r="G916"/>
      <c r="H916"/>
    </row>
    <row r="917" spans="3:8" ht="15.75" x14ac:dyDescent="0.25">
      <c r="C917"/>
      <c r="D917"/>
      <c r="E917"/>
      <c r="F917"/>
      <c r="G917"/>
      <c r="H917"/>
    </row>
    <row r="918" spans="3:8" ht="15.75" x14ac:dyDescent="0.25">
      <c r="C918"/>
      <c r="D918"/>
      <c r="E918"/>
      <c r="F918"/>
      <c r="G918"/>
      <c r="H918"/>
    </row>
    <row r="919" spans="3:8" ht="15.75" x14ac:dyDescent="0.25">
      <c r="C919"/>
      <c r="D919"/>
      <c r="E919"/>
      <c r="F919"/>
      <c r="G919"/>
      <c r="H919"/>
    </row>
    <row r="920" spans="3:8" ht="15.75" x14ac:dyDescent="0.25">
      <c r="C920"/>
      <c r="D920"/>
      <c r="E920"/>
      <c r="F920"/>
      <c r="G920"/>
      <c r="H920"/>
    </row>
    <row r="921" spans="3:8" ht="15.75" x14ac:dyDescent="0.25">
      <c r="C921"/>
      <c r="D921"/>
      <c r="E921"/>
      <c r="F921"/>
      <c r="G921"/>
      <c r="H921"/>
    </row>
    <row r="922" spans="3:8" ht="15.75" x14ac:dyDescent="0.25">
      <c r="C922"/>
      <c r="D922"/>
      <c r="E922"/>
      <c r="F922"/>
      <c r="G922"/>
      <c r="H922"/>
    </row>
    <row r="923" spans="3:8" ht="15.75" x14ac:dyDescent="0.25">
      <c r="C923"/>
      <c r="D923"/>
      <c r="E923"/>
      <c r="F923"/>
      <c r="G923"/>
      <c r="H923"/>
    </row>
    <row r="924" spans="3:8" ht="15.75" x14ac:dyDescent="0.25">
      <c r="C924"/>
      <c r="D924"/>
      <c r="E924"/>
      <c r="F924"/>
      <c r="G924"/>
      <c r="H924"/>
    </row>
    <row r="925" spans="3:8" ht="15.75" x14ac:dyDescent="0.25">
      <c r="C925"/>
      <c r="D925"/>
      <c r="E925"/>
      <c r="F925"/>
      <c r="G925"/>
      <c r="H925"/>
    </row>
    <row r="926" spans="3:8" ht="15.75" x14ac:dyDescent="0.25">
      <c r="C926"/>
      <c r="D926"/>
      <c r="E926"/>
      <c r="F926"/>
      <c r="G926"/>
      <c r="H926"/>
    </row>
    <row r="927" spans="3:8" ht="15.75" x14ac:dyDescent="0.25">
      <c r="C927"/>
      <c r="D927"/>
      <c r="E927"/>
      <c r="F927"/>
      <c r="G927"/>
      <c r="H927"/>
    </row>
    <row r="928" spans="3:8" ht="15.75" x14ac:dyDescent="0.25">
      <c r="C928"/>
      <c r="D928"/>
      <c r="E928"/>
      <c r="F928"/>
      <c r="G928"/>
      <c r="H928"/>
    </row>
    <row r="929" spans="3:8" ht="15.75" x14ac:dyDescent="0.25">
      <c r="C929"/>
      <c r="D929"/>
      <c r="E929"/>
      <c r="F929"/>
      <c r="G929"/>
      <c r="H929"/>
    </row>
    <row r="930" spans="3:8" ht="15.75" x14ac:dyDescent="0.25">
      <c r="C930"/>
      <c r="D930"/>
      <c r="E930"/>
      <c r="F930"/>
      <c r="G930"/>
      <c r="H930"/>
    </row>
    <row r="931" spans="3:8" ht="15.75" x14ac:dyDescent="0.25">
      <c r="C931"/>
      <c r="D931"/>
      <c r="E931"/>
      <c r="F931"/>
      <c r="G931"/>
      <c r="H931"/>
    </row>
    <row r="932" spans="3:8" ht="15.75" x14ac:dyDescent="0.25">
      <c r="C932"/>
      <c r="D932"/>
      <c r="E932"/>
      <c r="F932"/>
      <c r="G932"/>
      <c r="H932"/>
    </row>
    <row r="933" spans="3:8" ht="15.75" x14ac:dyDescent="0.25">
      <c r="C933"/>
      <c r="D933"/>
      <c r="E933"/>
      <c r="F933"/>
      <c r="G933"/>
      <c r="H933"/>
    </row>
    <row r="934" spans="3:8" ht="15.75" x14ac:dyDescent="0.25">
      <c r="C934"/>
      <c r="D934"/>
      <c r="E934"/>
      <c r="F934"/>
      <c r="G934"/>
      <c r="H934"/>
    </row>
    <row r="935" spans="3:8" ht="15.75" x14ac:dyDescent="0.25">
      <c r="C935"/>
      <c r="D935"/>
      <c r="E935"/>
      <c r="F935"/>
      <c r="G935"/>
      <c r="H935"/>
    </row>
    <row r="936" spans="3:8" ht="15.75" x14ac:dyDescent="0.25">
      <c r="C936"/>
      <c r="D936"/>
      <c r="E936"/>
      <c r="F936"/>
      <c r="G936"/>
      <c r="H936"/>
    </row>
    <row r="937" spans="3:8" ht="15.75" x14ac:dyDescent="0.25">
      <c r="C937"/>
      <c r="D937"/>
      <c r="E937"/>
      <c r="F937"/>
      <c r="G937"/>
      <c r="H937"/>
    </row>
    <row r="938" spans="3:8" ht="15.75" x14ac:dyDescent="0.25">
      <c r="C938"/>
      <c r="D938"/>
      <c r="E938"/>
      <c r="F938"/>
      <c r="G938"/>
      <c r="H938"/>
    </row>
    <row r="939" spans="3:8" ht="15.75" x14ac:dyDescent="0.25">
      <c r="C939"/>
      <c r="D939"/>
      <c r="E939"/>
      <c r="F939"/>
      <c r="G939"/>
      <c r="H939"/>
    </row>
    <row r="940" spans="3:8" ht="15.75" x14ac:dyDescent="0.25">
      <c r="C940"/>
      <c r="D940"/>
      <c r="E940"/>
      <c r="F940"/>
      <c r="G940"/>
      <c r="H940"/>
    </row>
    <row r="941" spans="3:8" ht="15.75" x14ac:dyDescent="0.25">
      <c r="C941"/>
      <c r="D941"/>
      <c r="E941"/>
      <c r="F941"/>
      <c r="G941"/>
      <c r="H941"/>
    </row>
    <row r="942" spans="3:8" ht="15.75" x14ac:dyDescent="0.25">
      <c r="C942"/>
      <c r="D942"/>
      <c r="E942"/>
      <c r="F942"/>
      <c r="G942"/>
      <c r="H942"/>
    </row>
    <row r="943" spans="3:8" ht="15.75" x14ac:dyDescent="0.25">
      <c r="C943"/>
      <c r="D943"/>
      <c r="E943"/>
      <c r="F943"/>
      <c r="G943"/>
      <c r="H943"/>
    </row>
    <row r="944" spans="3:8" ht="15.75" x14ac:dyDescent="0.25">
      <c r="C944"/>
      <c r="D944"/>
      <c r="E944"/>
      <c r="F944"/>
      <c r="G944"/>
      <c r="H944"/>
    </row>
    <row r="945" spans="3:8" ht="15.75" x14ac:dyDescent="0.25">
      <c r="C945"/>
      <c r="D945"/>
      <c r="E945"/>
      <c r="F945"/>
      <c r="G945"/>
      <c r="H945"/>
    </row>
    <row r="946" spans="3:8" ht="15.75" x14ac:dyDescent="0.25">
      <c r="C946"/>
      <c r="D946"/>
      <c r="E946"/>
      <c r="F946"/>
      <c r="G946"/>
      <c r="H946"/>
    </row>
    <row r="947" spans="3:8" ht="15.75" x14ac:dyDescent="0.25">
      <c r="C947"/>
      <c r="D947"/>
      <c r="E947"/>
      <c r="F947"/>
      <c r="G947"/>
      <c r="H947"/>
    </row>
    <row r="948" spans="3:8" ht="15.75" x14ac:dyDescent="0.25">
      <c r="C948"/>
      <c r="D948"/>
      <c r="E948"/>
      <c r="F948"/>
      <c r="G948"/>
      <c r="H948"/>
    </row>
    <row r="949" spans="3:8" ht="15.75" x14ac:dyDescent="0.25">
      <c r="C949"/>
      <c r="D949"/>
      <c r="E949"/>
      <c r="F949"/>
      <c r="G949"/>
      <c r="H949"/>
    </row>
    <row r="950" spans="3:8" ht="15.75" x14ac:dyDescent="0.25">
      <c r="C950"/>
      <c r="D950"/>
      <c r="E950"/>
      <c r="F950"/>
      <c r="G950"/>
      <c r="H950"/>
    </row>
    <row r="951" spans="3:8" ht="15.75" x14ac:dyDescent="0.25">
      <c r="C951"/>
      <c r="D951"/>
      <c r="E951"/>
      <c r="F951"/>
      <c r="G951"/>
      <c r="H951"/>
    </row>
    <row r="952" spans="3:8" ht="15.75" x14ac:dyDescent="0.25">
      <c r="C952"/>
      <c r="D952"/>
      <c r="E952"/>
      <c r="F952"/>
      <c r="G952"/>
      <c r="H952"/>
    </row>
    <row r="953" spans="3:8" ht="15.75" x14ac:dyDescent="0.25">
      <c r="C953"/>
      <c r="D953"/>
      <c r="E953"/>
      <c r="F953"/>
      <c r="G953"/>
      <c r="H953"/>
    </row>
    <row r="954" spans="3:8" ht="15.75" x14ac:dyDescent="0.25">
      <c r="C954"/>
      <c r="D954"/>
      <c r="E954"/>
      <c r="F954"/>
      <c r="G954"/>
      <c r="H954"/>
    </row>
    <row r="955" spans="3:8" ht="15.75" x14ac:dyDescent="0.25">
      <c r="C955"/>
      <c r="D955"/>
      <c r="E955"/>
      <c r="F955"/>
      <c r="G955"/>
      <c r="H955"/>
    </row>
    <row r="956" spans="3:8" ht="15.75" x14ac:dyDescent="0.25">
      <c r="C956"/>
      <c r="D956"/>
      <c r="E956"/>
      <c r="F956"/>
      <c r="G956"/>
      <c r="H956"/>
    </row>
    <row r="957" spans="3:8" ht="15.75" x14ac:dyDescent="0.25">
      <c r="C957"/>
      <c r="D957"/>
      <c r="E957"/>
      <c r="F957"/>
      <c r="G957"/>
      <c r="H957"/>
    </row>
    <row r="958" spans="3:8" ht="15.75" x14ac:dyDescent="0.25">
      <c r="C958"/>
      <c r="D958"/>
      <c r="E958"/>
      <c r="F958"/>
      <c r="G958"/>
      <c r="H958"/>
    </row>
    <row r="959" spans="3:8" ht="15.75" x14ac:dyDescent="0.25">
      <c r="C959"/>
      <c r="D959"/>
      <c r="E959"/>
      <c r="F959"/>
      <c r="G959"/>
      <c r="H959"/>
    </row>
    <row r="960" spans="3:8" ht="15.75" x14ac:dyDescent="0.25">
      <c r="C960"/>
      <c r="D960"/>
      <c r="E960"/>
      <c r="F960"/>
      <c r="G960"/>
      <c r="H960"/>
    </row>
    <row r="961" spans="3:8" ht="15.75" x14ac:dyDescent="0.25">
      <c r="C961"/>
      <c r="D961"/>
      <c r="E961"/>
      <c r="F961"/>
      <c r="G961"/>
      <c r="H961"/>
    </row>
    <row r="962" spans="3:8" ht="15.75" x14ac:dyDescent="0.25">
      <c r="C962"/>
      <c r="D962"/>
      <c r="E962"/>
      <c r="F962"/>
      <c r="G962"/>
      <c r="H962"/>
    </row>
    <row r="963" spans="3:8" ht="15.75" x14ac:dyDescent="0.25">
      <c r="C963"/>
      <c r="D963"/>
      <c r="E963"/>
      <c r="F963"/>
      <c r="G963"/>
      <c r="H963"/>
    </row>
    <row r="964" spans="3:8" ht="15.75" x14ac:dyDescent="0.25">
      <c r="C964"/>
      <c r="D964"/>
      <c r="E964"/>
      <c r="F964"/>
      <c r="G964"/>
      <c r="H964"/>
    </row>
    <row r="965" spans="3:8" ht="15.75" x14ac:dyDescent="0.25">
      <c r="C965"/>
      <c r="D965"/>
      <c r="E965"/>
      <c r="F965"/>
      <c r="G965"/>
      <c r="H965"/>
    </row>
    <row r="966" spans="3:8" ht="15.75" x14ac:dyDescent="0.25">
      <c r="C966"/>
      <c r="D966"/>
      <c r="E966"/>
      <c r="F966"/>
      <c r="G966"/>
      <c r="H966"/>
    </row>
    <row r="967" spans="3:8" ht="15.75" x14ac:dyDescent="0.25">
      <c r="C967"/>
      <c r="D967"/>
      <c r="E967"/>
      <c r="F967"/>
      <c r="G967"/>
      <c r="H967"/>
    </row>
    <row r="968" spans="3:8" ht="15.75" x14ac:dyDescent="0.25">
      <c r="C968"/>
      <c r="D968"/>
      <c r="E968"/>
      <c r="F968"/>
      <c r="G968"/>
      <c r="H968"/>
    </row>
    <row r="969" spans="3:8" ht="15.75" x14ac:dyDescent="0.25">
      <c r="C969"/>
      <c r="D969"/>
      <c r="E969"/>
      <c r="F969"/>
      <c r="G969"/>
      <c r="H969"/>
    </row>
    <row r="970" spans="3:8" ht="15.75" x14ac:dyDescent="0.25">
      <c r="C970"/>
      <c r="D970"/>
      <c r="E970"/>
      <c r="F970"/>
      <c r="G970"/>
      <c r="H970"/>
    </row>
    <row r="971" spans="3:8" ht="15.75" x14ac:dyDescent="0.25">
      <c r="C971"/>
      <c r="D971"/>
      <c r="E971"/>
      <c r="F971"/>
      <c r="G971"/>
      <c r="H971"/>
    </row>
    <row r="972" spans="3:8" ht="15.75" x14ac:dyDescent="0.25">
      <c r="C972"/>
      <c r="D972"/>
      <c r="E972"/>
      <c r="F972"/>
      <c r="G972"/>
      <c r="H972"/>
    </row>
    <row r="973" spans="3:8" ht="15.75" x14ac:dyDescent="0.25">
      <c r="C973"/>
      <c r="D973"/>
      <c r="E973"/>
      <c r="F973"/>
      <c r="G973"/>
      <c r="H973"/>
    </row>
    <row r="974" spans="3:8" ht="15.75" x14ac:dyDescent="0.25">
      <c r="C974"/>
      <c r="D974"/>
      <c r="E974"/>
      <c r="F974"/>
      <c r="G974"/>
      <c r="H974"/>
    </row>
    <row r="975" spans="3:8" ht="15.75" x14ac:dyDescent="0.25">
      <c r="C975"/>
      <c r="D975"/>
      <c r="E975"/>
      <c r="F975"/>
      <c r="G975"/>
      <c r="H975"/>
    </row>
    <row r="976" spans="3:8" ht="15.75" x14ac:dyDescent="0.25">
      <c r="C976"/>
      <c r="D976"/>
      <c r="E976"/>
      <c r="F976"/>
      <c r="G976"/>
      <c r="H976"/>
    </row>
    <row r="977" spans="3:8" ht="15.75" x14ac:dyDescent="0.25">
      <c r="C977"/>
      <c r="D977"/>
      <c r="E977"/>
      <c r="F977"/>
      <c r="G977"/>
      <c r="H977"/>
    </row>
    <row r="978" spans="3:8" ht="15.75" x14ac:dyDescent="0.25">
      <c r="C978"/>
      <c r="D978"/>
      <c r="E978"/>
      <c r="F978"/>
      <c r="G978"/>
      <c r="H978"/>
    </row>
    <row r="979" spans="3:8" ht="15.75" x14ac:dyDescent="0.25">
      <c r="C979"/>
      <c r="D979"/>
      <c r="E979"/>
      <c r="F979"/>
      <c r="G979"/>
      <c r="H979"/>
    </row>
    <row r="980" spans="3:8" ht="15.75" x14ac:dyDescent="0.25">
      <c r="C980"/>
      <c r="D980"/>
      <c r="E980"/>
      <c r="F980"/>
      <c r="G980"/>
      <c r="H980"/>
    </row>
    <row r="981" spans="3:8" ht="15.75" x14ac:dyDescent="0.25">
      <c r="C981"/>
      <c r="D981"/>
      <c r="E981"/>
      <c r="F981"/>
      <c r="G981"/>
      <c r="H981"/>
    </row>
    <row r="982" spans="3:8" ht="15.75" x14ac:dyDescent="0.25">
      <c r="C982"/>
      <c r="D982"/>
      <c r="E982"/>
      <c r="F982"/>
      <c r="G982"/>
      <c r="H982"/>
    </row>
    <row r="983" spans="3:8" ht="15.75" x14ac:dyDescent="0.25">
      <c r="C983"/>
      <c r="D983"/>
      <c r="E983"/>
      <c r="F983"/>
      <c r="G983"/>
      <c r="H983"/>
    </row>
    <row r="984" spans="3:8" ht="15.75" x14ac:dyDescent="0.25">
      <c r="C984"/>
      <c r="D984"/>
      <c r="E984"/>
      <c r="F984"/>
      <c r="G984"/>
      <c r="H984"/>
    </row>
    <row r="985" spans="3:8" ht="15.75" x14ac:dyDescent="0.25">
      <c r="C985"/>
      <c r="D985"/>
      <c r="E985"/>
      <c r="F985"/>
      <c r="G985"/>
      <c r="H985"/>
    </row>
    <row r="986" spans="3:8" ht="15.75" x14ac:dyDescent="0.25">
      <c r="C986"/>
      <c r="D986"/>
      <c r="E986"/>
      <c r="F986"/>
      <c r="G986"/>
      <c r="H986"/>
    </row>
    <row r="987" spans="3:8" ht="15.75" x14ac:dyDescent="0.25">
      <c r="C987"/>
      <c r="D987"/>
      <c r="E987"/>
      <c r="F987"/>
      <c r="G987"/>
      <c r="H987"/>
    </row>
    <row r="988" spans="3:8" ht="15.75" x14ac:dyDescent="0.25">
      <c r="C988"/>
      <c r="D988"/>
      <c r="E988"/>
      <c r="F988"/>
      <c r="G988"/>
      <c r="H988"/>
    </row>
    <row r="989" spans="3:8" ht="15.75" x14ac:dyDescent="0.25">
      <c r="C989"/>
      <c r="D989"/>
      <c r="E989"/>
      <c r="F989"/>
      <c r="G989"/>
      <c r="H989"/>
    </row>
    <row r="990" spans="3:8" ht="15.75" x14ac:dyDescent="0.25">
      <c r="C990"/>
      <c r="D990"/>
      <c r="E990"/>
      <c r="F990"/>
      <c r="G990"/>
      <c r="H990"/>
    </row>
    <row r="991" spans="3:8" ht="15.75" x14ac:dyDescent="0.25">
      <c r="C991"/>
      <c r="D991"/>
      <c r="E991"/>
      <c r="F991"/>
      <c r="G991"/>
      <c r="H991"/>
    </row>
    <row r="992" spans="3:8" ht="15.75" x14ac:dyDescent="0.25">
      <c r="C992"/>
      <c r="D992"/>
      <c r="E992"/>
      <c r="F992"/>
      <c r="G992"/>
      <c r="H992"/>
    </row>
    <row r="993" spans="3:8" ht="15.75" x14ac:dyDescent="0.25">
      <c r="C993"/>
      <c r="D993"/>
      <c r="E993"/>
      <c r="F993"/>
      <c r="G993"/>
      <c r="H993"/>
    </row>
    <row r="994" spans="3:8" ht="15.75" x14ac:dyDescent="0.25">
      <c r="C994"/>
      <c r="D994"/>
      <c r="E994"/>
      <c r="F994"/>
      <c r="G994"/>
      <c r="H994"/>
    </row>
    <row r="995" spans="3:8" ht="15.75" x14ac:dyDescent="0.25">
      <c r="C995"/>
      <c r="D995"/>
      <c r="E995"/>
      <c r="F995"/>
      <c r="G995"/>
      <c r="H995"/>
    </row>
    <row r="996" spans="3:8" ht="15.75" x14ac:dyDescent="0.25">
      <c r="C996"/>
      <c r="D996"/>
      <c r="E996"/>
      <c r="F996"/>
      <c r="G996"/>
      <c r="H996"/>
    </row>
    <row r="997" spans="3:8" ht="15.75" x14ac:dyDescent="0.25">
      <c r="C997"/>
      <c r="D997"/>
      <c r="E997"/>
      <c r="F997"/>
      <c r="G997"/>
      <c r="H997"/>
    </row>
    <row r="998" spans="3:8" ht="15.75" x14ac:dyDescent="0.25">
      <c r="C998"/>
      <c r="D998"/>
      <c r="E998"/>
      <c r="F998"/>
      <c r="G998"/>
      <c r="H998"/>
    </row>
    <row r="999" spans="3:8" ht="15.75" x14ac:dyDescent="0.25">
      <c r="C999"/>
      <c r="D999"/>
      <c r="E999"/>
      <c r="F999"/>
      <c r="G999"/>
      <c r="H999"/>
    </row>
    <row r="1000" spans="3:8" ht="15.75" x14ac:dyDescent="0.25">
      <c r="C1000"/>
      <c r="D1000"/>
      <c r="E1000"/>
      <c r="F1000"/>
      <c r="G1000"/>
      <c r="H1000"/>
    </row>
    <row r="1001" spans="3:8" ht="15.75" x14ac:dyDescent="0.25">
      <c r="C1001"/>
      <c r="D1001"/>
      <c r="E1001"/>
      <c r="F1001"/>
      <c r="G1001"/>
      <c r="H1001"/>
    </row>
    <row r="1002" spans="3:8" ht="15.75" x14ac:dyDescent="0.25">
      <c r="C1002"/>
      <c r="D1002"/>
      <c r="E1002"/>
      <c r="F1002"/>
      <c r="G1002"/>
      <c r="H1002"/>
    </row>
    <row r="1003" spans="3:8" ht="15.75" x14ac:dyDescent="0.25">
      <c r="C1003"/>
      <c r="D1003"/>
      <c r="E1003"/>
      <c r="F1003"/>
      <c r="G1003"/>
      <c r="H1003"/>
    </row>
    <row r="1004" spans="3:8" ht="15.75" x14ac:dyDescent="0.25">
      <c r="C1004"/>
      <c r="D1004"/>
      <c r="E1004"/>
      <c r="F1004"/>
      <c r="G1004"/>
      <c r="H1004"/>
    </row>
    <row r="1005" spans="3:8" ht="15.75" x14ac:dyDescent="0.25">
      <c r="C1005"/>
      <c r="D1005"/>
      <c r="E1005"/>
      <c r="F1005"/>
      <c r="G1005"/>
      <c r="H1005"/>
    </row>
    <row r="1006" spans="3:8" ht="15.75" x14ac:dyDescent="0.25">
      <c r="C1006"/>
      <c r="D1006"/>
      <c r="E1006"/>
      <c r="F1006"/>
      <c r="G1006"/>
      <c r="H1006"/>
    </row>
    <row r="1007" spans="3:8" ht="15.75" x14ac:dyDescent="0.25">
      <c r="C1007"/>
      <c r="D1007"/>
      <c r="E1007"/>
      <c r="F1007"/>
      <c r="G1007"/>
      <c r="H1007"/>
    </row>
    <row r="1008" spans="3:8" ht="15.75" x14ac:dyDescent="0.25">
      <c r="C1008"/>
      <c r="D1008"/>
      <c r="E1008"/>
      <c r="F1008"/>
      <c r="G1008"/>
      <c r="H1008"/>
    </row>
    <row r="1009" spans="3:8" ht="15.75" x14ac:dyDescent="0.25">
      <c r="C1009"/>
      <c r="D1009"/>
      <c r="E1009"/>
      <c r="F1009"/>
      <c r="G1009"/>
      <c r="H1009"/>
    </row>
    <row r="1010" spans="3:8" ht="15.75" x14ac:dyDescent="0.25">
      <c r="C1010"/>
      <c r="D1010"/>
      <c r="E1010"/>
      <c r="F1010"/>
      <c r="G1010"/>
      <c r="H1010"/>
    </row>
    <row r="1011" spans="3:8" ht="15.75" x14ac:dyDescent="0.25">
      <c r="C1011"/>
      <c r="D1011"/>
      <c r="E1011"/>
      <c r="F1011"/>
      <c r="G1011"/>
      <c r="H1011"/>
    </row>
    <row r="1012" spans="3:8" ht="15.75" x14ac:dyDescent="0.25">
      <c r="C1012"/>
      <c r="D1012"/>
      <c r="E1012"/>
      <c r="F1012"/>
      <c r="G1012"/>
      <c r="H1012"/>
    </row>
    <row r="1013" spans="3:8" ht="15.75" x14ac:dyDescent="0.25">
      <c r="C1013"/>
      <c r="D1013"/>
      <c r="E1013"/>
      <c r="F1013"/>
      <c r="G1013"/>
      <c r="H1013"/>
    </row>
    <row r="1014" spans="3:8" ht="15.75" x14ac:dyDescent="0.25">
      <c r="C1014"/>
      <c r="D1014"/>
      <c r="E1014"/>
      <c r="F1014"/>
      <c r="G1014"/>
      <c r="H1014"/>
    </row>
    <row r="1015" spans="3:8" ht="15.75" x14ac:dyDescent="0.25">
      <c r="C1015"/>
      <c r="D1015"/>
      <c r="E1015"/>
      <c r="F1015"/>
      <c r="G1015"/>
      <c r="H1015"/>
    </row>
    <row r="1016" spans="3:8" ht="15.75" x14ac:dyDescent="0.25">
      <c r="C1016"/>
      <c r="D1016"/>
      <c r="E1016"/>
      <c r="F1016"/>
      <c r="G1016"/>
      <c r="H1016"/>
    </row>
    <row r="1017" spans="3:8" ht="15.75" x14ac:dyDescent="0.25">
      <c r="C1017"/>
      <c r="D1017"/>
      <c r="E1017"/>
      <c r="F1017"/>
      <c r="G1017"/>
      <c r="H1017"/>
    </row>
    <row r="1018" spans="3:8" ht="15.75" x14ac:dyDescent="0.25">
      <c r="C1018"/>
      <c r="D1018"/>
      <c r="E1018"/>
      <c r="F1018"/>
      <c r="G1018"/>
      <c r="H1018"/>
    </row>
    <row r="1019" spans="3:8" ht="15.75" x14ac:dyDescent="0.25">
      <c r="C1019"/>
      <c r="D1019"/>
      <c r="E1019"/>
      <c r="F1019"/>
      <c r="G1019"/>
      <c r="H1019"/>
    </row>
    <row r="1020" spans="3:8" ht="15.75" x14ac:dyDescent="0.25">
      <c r="C1020"/>
      <c r="D1020"/>
      <c r="E1020"/>
      <c r="F1020"/>
      <c r="G1020"/>
      <c r="H1020"/>
    </row>
    <row r="1021" spans="3:8" ht="15.75" x14ac:dyDescent="0.25">
      <c r="C1021"/>
      <c r="D1021"/>
      <c r="E1021"/>
      <c r="F1021"/>
      <c r="G1021"/>
      <c r="H1021"/>
    </row>
    <row r="1022" spans="3:8" ht="15.75" x14ac:dyDescent="0.25">
      <c r="C1022"/>
      <c r="D1022"/>
      <c r="E1022"/>
      <c r="F1022"/>
      <c r="G1022"/>
      <c r="H1022"/>
    </row>
    <row r="1023" spans="3:8" ht="15.75" x14ac:dyDescent="0.25">
      <c r="C1023"/>
      <c r="D1023"/>
      <c r="E1023"/>
      <c r="F1023"/>
      <c r="G1023"/>
      <c r="H1023"/>
    </row>
    <row r="1024" spans="3:8" ht="15.75" x14ac:dyDescent="0.25">
      <c r="C1024"/>
      <c r="D1024"/>
      <c r="E1024"/>
      <c r="F1024"/>
      <c r="G1024"/>
      <c r="H1024"/>
    </row>
    <row r="1025" spans="3:8" ht="15.75" x14ac:dyDescent="0.25">
      <c r="C1025"/>
      <c r="D1025"/>
      <c r="E1025"/>
      <c r="F1025"/>
      <c r="G1025"/>
      <c r="H1025"/>
    </row>
    <row r="1026" spans="3:8" ht="15.75" x14ac:dyDescent="0.25">
      <c r="C1026"/>
      <c r="D1026"/>
      <c r="E1026"/>
      <c r="F1026"/>
      <c r="G1026"/>
      <c r="H1026"/>
    </row>
    <row r="1027" spans="3:8" ht="15.75" x14ac:dyDescent="0.25">
      <c r="C1027"/>
      <c r="D1027"/>
      <c r="E1027"/>
      <c r="F1027"/>
      <c r="G1027"/>
      <c r="H1027"/>
    </row>
    <row r="1028" spans="3:8" ht="15.75" x14ac:dyDescent="0.25">
      <c r="C1028"/>
      <c r="D1028"/>
      <c r="E1028"/>
      <c r="F1028"/>
      <c r="G1028"/>
      <c r="H1028"/>
    </row>
    <row r="1029" spans="3:8" ht="15.75" x14ac:dyDescent="0.25">
      <c r="C1029"/>
      <c r="D1029"/>
      <c r="E1029"/>
      <c r="F1029"/>
      <c r="G1029"/>
      <c r="H1029"/>
    </row>
    <row r="1030" spans="3:8" ht="15.75" x14ac:dyDescent="0.25">
      <c r="C1030"/>
      <c r="D1030"/>
      <c r="E1030"/>
      <c r="F1030"/>
      <c r="G1030"/>
      <c r="H1030"/>
    </row>
    <row r="1031" spans="3:8" ht="15.75" x14ac:dyDescent="0.25">
      <c r="C1031"/>
      <c r="D1031"/>
      <c r="E1031"/>
      <c r="F1031"/>
      <c r="G1031"/>
      <c r="H1031"/>
    </row>
    <row r="1032" spans="3:8" ht="15.75" x14ac:dyDescent="0.25">
      <c r="C1032"/>
      <c r="D1032"/>
      <c r="E1032"/>
      <c r="F1032"/>
      <c r="G1032"/>
      <c r="H1032"/>
    </row>
    <row r="1033" spans="3:8" ht="15.75" x14ac:dyDescent="0.25">
      <c r="C1033"/>
      <c r="D1033"/>
      <c r="E1033"/>
      <c r="F1033"/>
      <c r="G1033"/>
      <c r="H1033"/>
    </row>
    <row r="1034" spans="3:8" ht="15.75" x14ac:dyDescent="0.25">
      <c r="C1034"/>
      <c r="D1034"/>
      <c r="E1034"/>
      <c r="F1034"/>
      <c r="G1034"/>
      <c r="H1034"/>
    </row>
    <row r="1035" spans="3:8" ht="15.75" x14ac:dyDescent="0.25">
      <c r="C1035"/>
      <c r="D1035"/>
      <c r="E1035"/>
      <c r="F1035"/>
      <c r="G1035"/>
      <c r="H1035"/>
    </row>
    <row r="1036" spans="3:8" ht="15.75" x14ac:dyDescent="0.25">
      <c r="C1036"/>
      <c r="D1036"/>
      <c r="E1036"/>
      <c r="F1036"/>
      <c r="G1036"/>
      <c r="H1036"/>
    </row>
    <row r="1037" spans="3:8" ht="15.75" x14ac:dyDescent="0.25">
      <c r="C1037"/>
      <c r="D1037"/>
      <c r="E1037"/>
      <c r="F1037"/>
      <c r="G1037"/>
      <c r="H1037"/>
    </row>
    <row r="1038" spans="3:8" ht="15.75" x14ac:dyDescent="0.25">
      <c r="C1038"/>
      <c r="D1038"/>
      <c r="E1038"/>
      <c r="F1038"/>
      <c r="G1038"/>
      <c r="H1038"/>
    </row>
    <row r="1039" spans="3:8" ht="15.75" x14ac:dyDescent="0.25">
      <c r="C1039"/>
      <c r="D1039"/>
      <c r="E1039"/>
      <c r="F1039"/>
      <c r="G1039"/>
      <c r="H1039"/>
    </row>
    <row r="1040" spans="3:8" ht="15.75" x14ac:dyDescent="0.25">
      <c r="C1040"/>
      <c r="D1040"/>
      <c r="E1040"/>
      <c r="F1040"/>
      <c r="G1040"/>
      <c r="H1040"/>
    </row>
    <row r="1041" spans="3:8" ht="15.75" x14ac:dyDescent="0.25">
      <c r="C1041"/>
      <c r="D1041"/>
      <c r="E1041"/>
      <c r="F1041"/>
      <c r="G1041"/>
      <c r="H1041"/>
    </row>
    <row r="1042" spans="3:8" ht="15.75" x14ac:dyDescent="0.25">
      <c r="C1042"/>
      <c r="D1042"/>
      <c r="E1042"/>
      <c r="F1042"/>
      <c r="G1042"/>
      <c r="H1042"/>
    </row>
    <row r="1043" spans="3:8" ht="15.75" x14ac:dyDescent="0.25">
      <c r="C1043"/>
      <c r="D1043"/>
      <c r="E1043"/>
      <c r="F1043"/>
      <c r="G1043"/>
      <c r="H1043"/>
    </row>
    <row r="1044" spans="3:8" ht="15.75" x14ac:dyDescent="0.25">
      <c r="C1044"/>
      <c r="D1044"/>
      <c r="E1044"/>
      <c r="F1044"/>
      <c r="G1044"/>
      <c r="H1044"/>
    </row>
    <row r="1045" spans="3:8" ht="15.75" x14ac:dyDescent="0.25">
      <c r="C1045"/>
      <c r="D1045"/>
      <c r="E1045"/>
      <c r="F1045"/>
      <c r="G1045"/>
      <c r="H1045"/>
    </row>
    <row r="1046" spans="3:8" ht="15.75" x14ac:dyDescent="0.25">
      <c r="C1046"/>
      <c r="D1046"/>
      <c r="E1046"/>
      <c r="F1046"/>
      <c r="G1046"/>
      <c r="H1046"/>
    </row>
    <row r="1047" spans="3:8" ht="15.75" x14ac:dyDescent="0.25">
      <c r="C1047"/>
      <c r="D1047"/>
      <c r="E1047"/>
      <c r="F1047"/>
      <c r="G1047"/>
      <c r="H1047"/>
    </row>
    <row r="1048" spans="3:8" ht="15.75" x14ac:dyDescent="0.25">
      <c r="C1048"/>
      <c r="D1048"/>
      <c r="E1048"/>
      <c r="F1048"/>
      <c r="G1048"/>
      <c r="H1048"/>
    </row>
    <row r="1049" spans="3:8" ht="15.75" x14ac:dyDescent="0.25">
      <c r="C1049"/>
      <c r="D1049"/>
      <c r="E1049"/>
      <c r="F1049"/>
      <c r="G1049"/>
      <c r="H1049"/>
    </row>
    <row r="1050" spans="3:8" ht="15.75" x14ac:dyDescent="0.25">
      <c r="C1050"/>
      <c r="D1050"/>
      <c r="E1050"/>
      <c r="F1050"/>
      <c r="G1050"/>
      <c r="H1050"/>
    </row>
    <row r="1051" spans="3:8" ht="15.75" x14ac:dyDescent="0.25">
      <c r="C1051"/>
      <c r="D1051"/>
      <c r="E1051"/>
      <c r="F1051"/>
      <c r="G1051"/>
      <c r="H1051"/>
    </row>
    <row r="1052" spans="3:8" ht="15.75" x14ac:dyDescent="0.25">
      <c r="C1052"/>
      <c r="D1052"/>
      <c r="E1052"/>
      <c r="F1052"/>
      <c r="G1052"/>
      <c r="H1052"/>
    </row>
    <row r="1053" spans="3:8" ht="15.75" x14ac:dyDescent="0.25">
      <c r="C1053"/>
      <c r="D1053"/>
      <c r="E1053"/>
      <c r="F1053"/>
      <c r="G1053"/>
      <c r="H1053"/>
    </row>
    <row r="1054" spans="3:8" ht="15.75" x14ac:dyDescent="0.25">
      <c r="C1054"/>
      <c r="D1054"/>
      <c r="E1054"/>
      <c r="F1054"/>
      <c r="G1054"/>
      <c r="H1054"/>
    </row>
    <row r="1055" spans="3:8" ht="15.75" x14ac:dyDescent="0.25">
      <c r="C1055"/>
      <c r="D1055"/>
      <c r="E1055"/>
      <c r="F1055"/>
      <c r="G1055"/>
      <c r="H1055"/>
    </row>
    <row r="1056" spans="3:8" ht="15.75" x14ac:dyDescent="0.25">
      <c r="C1056"/>
      <c r="D1056"/>
      <c r="E1056"/>
      <c r="F1056"/>
      <c r="G1056"/>
      <c r="H1056"/>
    </row>
    <row r="1057" spans="3:8" ht="15.75" x14ac:dyDescent="0.25">
      <c r="C1057"/>
      <c r="D1057"/>
      <c r="E1057"/>
      <c r="F1057"/>
      <c r="G1057"/>
      <c r="H1057"/>
    </row>
    <row r="1058" spans="3:8" ht="15.75" x14ac:dyDescent="0.25">
      <c r="C1058"/>
      <c r="D1058"/>
      <c r="E1058"/>
      <c r="F1058"/>
      <c r="G1058"/>
      <c r="H1058"/>
    </row>
    <row r="1059" spans="3:8" ht="15.75" x14ac:dyDescent="0.25">
      <c r="C1059"/>
      <c r="D1059"/>
      <c r="E1059"/>
      <c r="F1059"/>
      <c r="G1059"/>
      <c r="H1059"/>
    </row>
    <row r="1060" spans="3:8" ht="15.75" x14ac:dyDescent="0.25">
      <c r="C1060"/>
      <c r="D1060"/>
      <c r="E1060"/>
      <c r="F1060"/>
      <c r="G1060"/>
      <c r="H1060"/>
    </row>
    <row r="1061" spans="3:8" ht="15.75" x14ac:dyDescent="0.25">
      <c r="C1061"/>
      <c r="D1061"/>
      <c r="E1061"/>
      <c r="F1061"/>
      <c r="G1061"/>
      <c r="H1061"/>
    </row>
    <row r="1062" spans="3:8" ht="15.75" x14ac:dyDescent="0.25">
      <c r="C1062"/>
      <c r="D1062"/>
      <c r="E1062"/>
      <c r="F1062"/>
      <c r="G1062"/>
      <c r="H1062"/>
    </row>
    <row r="1063" spans="3:8" ht="15.75" x14ac:dyDescent="0.25">
      <c r="C1063"/>
      <c r="D1063"/>
      <c r="E1063"/>
      <c r="F1063"/>
      <c r="G1063"/>
      <c r="H1063"/>
    </row>
    <row r="1064" spans="3:8" ht="15.75" x14ac:dyDescent="0.25">
      <c r="C1064"/>
      <c r="D1064"/>
      <c r="E1064"/>
      <c r="F1064"/>
      <c r="G1064"/>
      <c r="H1064"/>
    </row>
    <row r="1065" spans="3:8" ht="15.75" x14ac:dyDescent="0.25">
      <c r="C1065"/>
      <c r="D1065"/>
      <c r="E1065"/>
      <c r="F1065"/>
      <c r="G1065"/>
      <c r="H1065"/>
    </row>
    <row r="1066" spans="3:8" ht="15.75" x14ac:dyDescent="0.25">
      <c r="C1066"/>
      <c r="D1066"/>
      <c r="E1066"/>
      <c r="F1066"/>
      <c r="G1066"/>
      <c r="H1066"/>
    </row>
    <row r="1067" spans="3:8" ht="15.75" x14ac:dyDescent="0.25">
      <c r="C1067"/>
      <c r="D1067"/>
      <c r="E1067"/>
      <c r="F1067"/>
      <c r="G1067"/>
      <c r="H1067"/>
    </row>
    <row r="1068" spans="3:8" ht="15.75" x14ac:dyDescent="0.25">
      <c r="C1068"/>
      <c r="D1068"/>
      <c r="E1068"/>
      <c r="F1068"/>
      <c r="G1068"/>
      <c r="H1068"/>
    </row>
    <row r="1069" spans="3:8" ht="15.75" x14ac:dyDescent="0.25">
      <c r="C1069"/>
      <c r="D1069"/>
      <c r="E1069"/>
      <c r="F1069"/>
      <c r="G1069"/>
      <c r="H1069"/>
    </row>
    <row r="1070" spans="3:8" ht="15.75" x14ac:dyDescent="0.25">
      <c r="C1070"/>
      <c r="D1070"/>
      <c r="E1070"/>
      <c r="F1070"/>
      <c r="G1070"/>
      <c r="H1070"/>
    </row>
    <row r="1071" spans="3:8" ht="15.75" x14ac:dyDescent="0.25">
      <c r="C1071"/>
      <c r="D1071"/>
      <c r="E1071"/>
      <c r="F1071"/>
      <c r="G1071"/>
      <c r="H1071"/>
    </row>
    <row r="1072" spans="3:8" ht="15.75" x14ac:dyDescent="0.25">
      <c r="C1072"/>
      <c r="D1072"/>
      <c r="E1072"/>
      <c r="F1072"/>
      <c r="G1072"/>
      <c r="H1072"/>
    </row>
    <row r="1073" spans="3:8" ht="15.75" x14ac:dyDescent="0.25">
      <c r="C1073"/>
      <c r="D1073"/>
      <c r="E1073"/>
      <c r="F1073"/>
      <c r="G1073"/>
      <c r="H1073"/>
    </row>
    <row r="1074" spans="3:8" ht="15.75" x14ac:dyDescent="0.25">
      <c r="C1074"/>
      <c r="D1074"/>
      <c r="E1074"/>
      <c r="F1074"/>
      <c r="G1074"/>
      <c r="H1074"/>
    </row>
    <row r="1075" spans="3:8" ht="15.75" x14ac:dyDescent="0.25">
      <c r="C1075"/>
      <c r="D1075"/>
      <c r="E1075"/>
      <c r="F1075"/>
      <c r="G1075"/>
      <c r="H1075"/>
    </row>
    <row r="1076" spans="3:8" ht="15.75" x14ac:dyDescent="0.25">
      <c r="C1076"/>
      <c r="D1076"/>
      <c r="E1076"/>
      <c r="F1076"/>
      <c r="G1076"/>
      <c r="H1076"/>
    </row>
    <row r="1077" spans="3:8" ht="15.75" x14ac:dyDescent="0.25">
      <c r="C1077"/>
      <c r="D1077"/>
      <c r="E1077"/>
      <c r="F1077"/>
      <c r="G1077"/>
      <c r="H1077"/>
    </row>
    <row r="1078" spans="3:8" ht="15.75" x14ac:dyDescent="0.25">
      <c r="C1078"/>
      <c r="D1078"/>
      <c r="E1078"/>
      <c r="F1078"/>
      <c r="G1078"/>
      <c r="H1078"/>
    </row>
    <row r="1079" spans="3:8" ht="15.75" x14ac:dyDescent="0.25">
      <c r="C1079"/>
      <c r="D1079"/>
      <c r="E1079"/>
      <c r="F1079"/>
      <c r="G1079"/>
      <c r="H1079"/>
    </row>
    <row r="1080" spans="3:8" ht="15.75" x14ac:dyDescent="0.25">
      <c r="C1080"/>
      <c r="D1080"/>
      <c r="E1080"/>
      <c r="F1080"/>
      <c r="G1080"/>
      <c r="H1080"/>
    </row>
    <row r="1081" spans="3:8" ht="15.75" x14ac:dyDescent="0.25">
      <c r="C1081"/>
      <c r="D1081"/>
      <c r="E1081"/>
      <c r="F1081"/>
      <c r="G1081"/>
      <c r="H1081"/>
    </row>
    <row r="1082" spans="3:8" ht="15.75" x14ac:dyDescent="0.25">
      <c r="C1082"/>
      <c r="D1082"/>
      <c r="E1082"/>
      <c r="F1082"/>
      <c r="G1082"/>
      <c r="H1082"/>
    </row>
    <row r="1083" spans="3:8" ht="15.75" x14ac:dyDescent="0.25">
      <c r="C1083"/>
      <c r="D1083"/>
      <c r="E1083"/>
      <c r="F1083"/>
      <c r="G1083"/>
      <c r="H1083"/>
    </row>
    <row r="1084" spans="3:8" ht="15.75" x14ac:dyDescent="0.25">
      <c r="C1084"/>
      <c r="D1084"/>
      <c r="E1084"/>
      <c r="F1084"/>
      <c r="G1084"/>
      <c r="H1084"/>
    </row>
    <row r="1085" spans="3:8" ht="15.75" x14ac:dyDescent="0.25">
      <c r="C1085"/>
      <c r="D1085"/>
      <c r="E1085"/>
      <c r="F1085"/>
      <c r="G1085"/>
      <c r="H1085"/>
    </row>
    <row r="1086" spans="3:8" ht="15.75" x14ac:dyDescent="0.25">
      <c r="C1086"/>
      <c r="D1086"/>
      <c r="E1086"/>
      <c r="F1086"/>
      <c r="G1086"/>
      <c r="H1086"/>
    </row>
    <row r="1087" spans="3:8" ht="15.75" x14ac:dyDescent="0.25">
      <c r="C1087"/>
      <c r="D1087"/>
      <c r="E1087"/>
      <c r="F1087"/>
      <c r="G1087"/>
      <c r="H1087"/>
    </row>
    <row r="1088" spans="3:8" ht="15.75" x14ac:dyDescent="0.25">
      <c r="C1088"/>
      <c r="D1088"/>
      <c r="E1088"/>
      <c r="F1088"/>
      <c r="G1088"/>
      <c r="H1088"/>
    </row>
    <row r="1089" spans="3:8" ht="15.75" x14ac:dyDescent="0.25">
      <c r="C1089"/>
      <c r="D1089"/>
      <c r="E1089"/>
      <c r="F1089"/>
      <c r="G1089"/>
      <c r="H1089"/>
    </row>
    <row r="1090" spans="3:8" ht="15.75" x14ac:dyDescent="0.25">
      <c r="C1090"/>
      <c r="D1090"/>
      <c r="E1090"/>
      <c r="F1090"/>
      <c r="G1090"/>
      <c r="H1090"/>
    </row>
    <row r="1091" spans="3:8" ht="15.75" x14ac:dyDescent="0.25">
      <c r="C1091"/>
      <c r="D1091"/>
      <c r="E1091"/>
      <c r="F1091"/>
      <c r="G1091"/>
      <c r="H1091"/>
    </row>
    <row r="1092" spans="3:8" ht="15.75" x14ac:dyDescent="0.25">
      <c r="C1092"/>
      <c r="D1092"/>
      <c r="E1092"/>
      <c r="F1092"/>
      <c r="G1092"/>
      <c r="H1092"/>
    </row>
    <row r="1093" spans="3:8" ht="15.75" x14ac:dyDescent="0.25">
      <c r="C1093"/>
      <c r="D1093"/>
      <c r="E1093"/>
      <c r="F1093"/>
      <c r="G1093"/>
      <c r="H1093"/>
    </row>
    <row r="1094" spans="3:8" ht="15.75" x14ac:dyDescent="0.25">
      <c r="C1094"/>
      <c r="D1094"/>
      <c r="E1094"/>
      <c r="F1094"/>
      <c r="G1094"/>
      <c r="H1094"/>
    </row>
    <row r="1095" spans="3:8" ht="15.75" x14ac:dyDescent="0.25">
      <c r="C1095"/>
      <c r="D1095"/>
      <c r="E1095"/>
      <c r="F1095"/>
      <c r="G1095"/>
      <c r="H1095"/>
    </row>
    <row r="1096" spans="3:8" ht="15.75" x14ac:dyDescent="0.25">
      <c r="C1096"/>
      <c r="D1096"/>
      <c r="E1096"/>
      <c r="F1096"/>
      <c r="G1096"/>
      <c r="H1096"/>
    </row>
    <row r="1097" spans="3:8" ht="15.75" x14ac:dyDescent="0.25">
      <c r="C1097"/>
      <c r="D1097"/>
      <c r="E1097"/>
      <c r="F1097"/>
      <c r="G1097"/>
      <c r="H1097"/>
    </row>
    <row r="1098" spans="3:8" ht="15.75" x14ac:dyDescent="0.25">
      <c r="C1098"/>
      <c r="D1098"/>
      <c r="E1098"/>
      <c r="F1098"/>
      <c r="G1098"/>
      <c r="H1098"/>
    </row>
    <row r="1099" spans="3:8" ht="15.75" x14ac:dyDescent="0.25">
      <c r="C1099"/>
      <c r="D1099"/>
      <c r="E1099"/>
      <c r="F1099"/>
      <c r="G1099"/>
      <c r="H1099"/>
    </row>
    <row r="1100" spans="3:8" ht="15.75" x14ac:dyDescent="0.25">
      <c r="C1100"/>
      <c r="D1100"/>
      <c r="E1100"/>
      <c r="F1100"/>
      <c r="G1100"/>
      <c r="H1100"/>
    </row>
    <row r="1101" spans="3:8" ht="15.75" x14ac:dyDescent="0.25">
      <c r="C1101"/>
      <c r="D1101"/>
      <c r="E1101"/>
      <c r="F1101"/>
      <c r="G1101"/>
      <c r="H1101"/>
    </row>
    <row r="1102" spans="3:8" ht="15.75" x14ac:dyDescent="0.25">
      <c r="C1102"/>
      <c r="D1102"/>
      <c r="E1102"/>
      <c r="F1102"/>
      <c r="G1102"/>
      <c r="H1102"/>
    </row>
    <row r="1103" spans="3:8" ht="15.75" x14ac:dyDescent="0.25">
      <c r="C1103"/>
      <c r="D1103"/>
      <c r="E1103"/>
      <c r="F1103"/>
      <c r="G1103"/>
      <c r="H1103"/>
    </row>
    <row r="1104" spans="3:8" ht="15.75" x14ac:dyDescent="0.25">
      <c r="C1104"/>
      <c r="D1104"/>
      <c r="E1104"/>
      <c r="F1104"/>
      <c r="G1104"/>
      <c r="H1104"/>
    </row>
    <row r="1105" spans="3:8" ht="15.75" x14ac:dyDescent="0.25">
      <c r="C1105"/>
      <c r="D1105"/>
      <c r="E1105"/>
      <c r="F1105"/>
      <c r="G1105"/>
      <c r="H1105"/>
    </row>
    <row r="1106" spans="3:8" ht="15.75" x14ac:dyDescent="0.25">
      <c r="C1106"/>
      <c r="D1106"/>
      <c r="E1106"/>
      <c r="F1106"/>
      <c r="G1106"/>
      <c r="H1106"/>
    </row>
    <row r="1107" spans="3:8" ht="15.75" x14ac:dyDescent="0.25">
      <c r="C1107"/>
      <c r="D1107"/>
      <c r="E1107"/>
      <c r="F1107"/>
      <c r="G1107"/>
      <c r="H1107"/>
    </row>
    <row r="1108" spans="3:8" ht="15.75" x14ac:dyDescent="0.25">
      <c r="C1108"/>
      <c r="D1108"/>
      <c r="E1108"/>
      <c r="F1108"/>
      <c r="G1108"/>
      <c r="H1108"/>
    </row>
    <row r="1109" spans="3:8" ht="15.75" x14ac:dyDescent="0.25">
      <c r="C1109"/>
      <c r="D1109"/>
      <c r="E1109"/>
      <c r="F1109"/>
      <c r="G1109"/>
      <c r="H1109"/>
    </row>
    <row r="1110" spans="3:8" ht="15.75" x14ac:dyDescent="0.25">
      <c r="C1110"/>
      <c r="D1110"/>
      <c r="E1110"/>
      <c r="F1110"/>
      <c r="G1110"/>
      <c r="H1110"/>
    </row>
    <row r="1111" spans="3:8" ht="15.75" x14ac:dyDescent="0.25">
      <c r="C1111"/>
      <c r="D1111"/>
      <c r="E1111"/>
      <c r="F1111"/>
      <c r="G1111"/>
      <c r="H1111"/>
    </row>
    <row r="1112" spans="3:8" ht="15.75" x14ac:dyDescent="0.25">
      <c r="C1112"/>
      <c r="D1112"/>
      <c r="E1112"/>
      <c r="F1112"/>
      <c r="G1112"/>
      <c r="H1112"/>
    </row>
    <row r="1113" spans="3:8" ht="15.75" x14ac:dyDescent="0.25">
      <c r="C1113"/>
      <c r="D1113"/>
      <c r="E1113"/>
      <c r="F1113"/>
      <c r="G1113"/>
      <c r="H1113"/>
    </row>
    <row r="1114" spans="3:8" ht="15.75" x14ac:dyDescent="0.25">
      <c r="C1114"/>
      <c r="D1114"/>
      <c r="E1114"/>
      <c r="F1114"/>
      <c r="G1114"/>
      <c r="H1114"/>
    </row>
    <row r="1115" spans="3:8" ht="15.75" x14ac:dyDescent="0.25">
      <c r="C1115"/>
      <c r="D1115"/>
      <c r="E1115"/>
      <c r="F1115"/>
      <c r="G1115"/>
      <c r="H1115"/>
    </row>
    <row r="1116" spans="3:8" ht="15.75" x14ac:dyDescent="0.25">
      <c r="C1116"/>
      <c r="D1116"/>
      <c r="E1116"/>
      <c r="F1116"/>
      <c r="G1116"/>
      <c r="H1116"/>
    </row>
    <row r="1117" spans="3:8" ht="15.75" x14ac:dyDescent="0.25">
      <c r="C1117"/>
      <c r="D1117"/>
      <c r="E1117"/>
      <c r="F1117"/>
      <c r="G1117"/>
      <c r="H1117"/>
    </row>
    <row r="1118" spans="3:8" ht="15.75" x14ac:dyDescent="0.25">
      <c r="C1118"/>
      <c r="D1118"/>
      <c r="E1118"/>
      <c r="F1118"/>
      <c r="G1118"/>
      <c r="H1118"/>
    </row>
    <row r="1119" spans="3:8" ht="15.75" x14ac:dyDescent="0.25">
      <c r="C1119"/>
      <c r="D1119"/>
      <c r="E1119"/>
      <c r="F1119"/>
      <c r="G1119"/>
      <c r="H1119"/>
    </row>
    <row r="1120" spans="3:8" ht="15.75" x14ac:dyDescent="0.25">
      <c r="C1120"/>
      <c r="D1120"/>
      <c r="E1120"/>
      <c r="F1120"/>
      <c r="G1120"/>
      <c r="H1120"/>
    </row>
    <row r="1121" spans="3:8" ht="15.75" x14ac:dyDescent="0.25">
      <c r="C1121"/>
      <c r="D1121"/>
      <c r="E1121"/>
      <c r="F1121"/>
      <c r="G1121"/>
      <c r="H1121"/>
    </row>
    <row r="1122" spans="3:8" ht="15.75" x14ac:dyDescent="0.25">
      <c r="C1122"/>
      <c r="D1122"/>
      <c r="E1122"/>
      <c r="F1122"/>
      <c r="G1122"/>
      <c r="H1122"/>
    </row>
    <row r="1123" spans="3:8" ht="15.75" x14ac:dyDescent="0.25">
      <c r="C1123"/>
      <c r="D1123"/>
      <c r="E1123"/>
      <c r="F1123"/>
      <c r="G1123"/>
      <c r="H1123"/>
    </row>
    <row r="1124" spans="3:8" ht="15.75" x14ac:dyDescent="0.25">
      <c r="C1124"/>
      <c r="D1124"/>
      <c r="E1124"/>
      <c r="F1124"/>
      <c r="G1124"/>
      <c r="H1124"/>
    </row>
    <row r="1125" spans="3:8" ht="15.75" x14ac:dyDescent="0.25">
      <c r="C1125"/>
      <c r="D1125"/>
      <c r="E1125"/>
      <c r="F1125"/>
      <c r="G1125"/>
      <c r="H1125"/>
    </row>
    <row r="1126" spans="3:8" ht="15.75" x14ac:dyDescent="0.25">
      <c r="C1126"/>
      <c r="D1126"/>
      <c r="E1126"/>
      <c r="F1126"/>
      <c r="G1126"/>
      <c r="H1126"/>
    </row>
    <row r="1127" spans="3:8" ht="15.75" x14ac:dyDescent="0.25">
      <c r="C1127"/>
      <c r="D1127"/>
      <c r="E1127"/>
      <c r="F1127"/>
      <c r="G1127"/>
      <c r="H1127"/>
    </row>
    <row r="1128" spans="3:8" ht="15.75" x14ac:dyDescent="0.25">
      <c r="C1128"/>
      <c r="D1128"/>
      <c r="E1128"/>
      <c r="F1128"/>
      <c r="G1128"/>
      <c r="H1128"/>
    </row>
    <row r="1129" spans="3:8" ht="15.75" x14ac:dyDescent="0.25">
      <c r="C1129"/>
      <c r="D1129"/>
      <c r="E1129"/>
      <c r="F1129"/>
      <c r="G1129"/>
      <c r="H1129"/>
    </row>
    <row r="1130" spans="3:8" ht="15.75" x14ac:dyDescent="0.25">
      <c r="C1130"/>
      <c r="D1130"/>
      <c r="E1130"/>
      <c r="F1130"/>
      <c r="G1130"/>
      <c r="H1130"/>
    </row>
    <row r="1131" spans="3:8" ht="15.75" x14ac:dyDescent="0.25">
      <c r="C1131"/>
      <c r="D1131"/>
      <c r="E1131"/>
      <c r="F1131"/>
      <c r="G1131"/>
      <c r="H1131"/>
    </row>
    <row r="1132" spans="3:8" ht="15.75" x14ac:dyDescent="0.25">
      <c r="C1132"/>
      <c r="D1132"/>
      <c r="E1132"/>
      <c r="F1132"/>
      <c r="G1132"/>
      <c r="H1132"/>
    </row>
    <row r="1133" spans="3:8" ht="15.75" x14ac:dyDescent="0.25">
      <c r="C1133"/>
      <c r="D1133"/>
      <c r="E1133"/>
      <c r="F1133"/>
      <c r="G1133"/>
      <c r="H1133"/>
    </row>
    <row r="1134" spans="3:8" ht="15.75" x14ac:dyDescent="0.25">
      <c r="C1134"/>
      <c r="D1134"/>
      <c r="E1134"/>
      <c r="F1134"/>
      <c r="G1134"/>
      <c r="H1134"/>
    </row>
    <row r="1135" spans="3:8" ht="15.75" x14ac:dyDescent="0.25">
      <c r="C1135"/>
      <c r="D1135"/>
      <c r="E1135"/>
      <c r="F1135"/>
      <c r="G1135"/>
      <c r="H1135"/>
    </row>
    <row r="1136" spans="3:8" ht="15.75" x14ac:dyDescent="0.25">
      <c r="C1136"/>
      <c r="D1136"/>
      <c r="E1136"/>
      <c r="F1136"/>
      <c r="G1136"/>
      <c r="H1136"/>
    </row>
    <row r="1137" spans="3:8" ht="15.75" x14ac:dyDescent="0.25">
      <c r="C1137"/>
      <c r="D1137"/>
      <c r="E1137"/>
      <c r="F1137"/>
      <c r="G1137"/>
      <c r="H1137"/>
    </row>
    <row r="1138" spans="3:8" ht="15.75" x14ac:dyDescent="0.25">
      <c r="C1138"/>
      <c r="D1138"/>
      <c r="E1138"/>
      <c r="F1138"/>
      <c r="G1138"/>
      <c r="H1138"/>
    </row>
    <row r="1139" spans="3:8" ht="15.75" x14ac:dyDescent="0.25">
      <c r="C1139"/>
      <c r="D1139"/>
      <c r="E1139"/>
      <c r="F1139"/>
      <c r="G1139"/>
      <c r="H1139"/>
    </row>
    <row r="1140" spans="3:8" ht="15.75" x14ac:dyDescent="0.25">
      <c r="C1140"/>
      <c r="D1140"/>
      <c r="E1140"/>
      <c r="F1140"/>
      <c r="G1140"/>
      <c r="H1140"/>
    </row>
    <row r="1141" spans="3:8" ht="15.75" x14ac:dyDescent="0.25">
      <c r="C1141"/>
      <c r="D1141"/>
      <c r="E1141"/>
      <c r="F1141"/>
      <c r="G1141"/>
      <c r="H1141"/>
    </row>
    <row r="1142" spans="3:8" ht="15.75" x14ac:dyDescent="0.25">
      <c r="C1142"/>
      <c r="D1142"/>
      <c r="E1142"/>
      <c r="F1142"/>
      <c r="G1142"/>
      <c r="H1142"/>
    </row>
    <row r="1143" spans="3:8" ht="15.75" x14ac:dyDescent="0.25">
      <c r="C1143"/>
      <c r="D1143"/>
      <c r="E1143"/>
      <c r="F1143"/>
      <c r="G1143"/>
      <c r="H1143"/>
    </row>
    <row r="1144" spans="3:8" ht="15.75" x14ac:dyDescent="0.25">
      <c r="C1144"/>
      <c r="D1144"/>
      <c r="E1144"/>
      <c r="F1144"/>
      <c r="G1144"/>
      <c r="H1144"/>
    </row>
    <row r="1145" spans="3:8" ht="15.75" x14ac:dyDescent="0.25">
      <c r="C1145"/>
      <c r="D1145"/>
      <c r="E1145"/>
      <c r="F1145"/>
      <c r="G1145"/>
      <c r="H1145"/>
    </row>
    <row r="1146" spans="3:8" ht="15.75" x14ac:dyDescent="0.25">
      <c r="C1146"/>
      <c r="D1146"/>
      <c r="E1146"/>
      <c r="F1146"/>
      <c r="G1146"/>
      <c r="H1146"/>
    </row>
    <row r="1147" spans="3:8" ht="15.75" x14ac:dyDescent="0.25">
      <c r="C1147"/>
      <c r="D1147"/>
      <c r="E1147"/>
      <c r="F1147"/>
      <c r="G1147"/>
      <c r="H1147"/>
    </row>
    <row r="1148" spans="3:8" ht="15.75" x14ac:dyDescent="0.25">
      <c r="C1148"/>
      <c r="D1148"/>
      <c r="E1148"/>
      <c r="F1148"/>
      <c r="G1148"/>
      <c r="H1148"/>
    </row>
    <row r="1149" spans="3:8" ht="15.75" x14ac:dyDescent="0.25">
      <c r="C1149"/>
      <c r="D1149"/>
      <c r="E1149"/>
      <c r="F1149"/>
      <c r="G1149"/>
      <c r="H1149"/>
    </row>
    <row r="1150" spans="3:8" ht="15.75" x14ac:dyDescent="0.25">
      <c r="C1150"/>
      <c r="D1150"/>
      <c r="E1150"/>
      <c r="F1150"/>
      <c r="G1150"/>
      <c r="H1150"/>
    </row>
    <row r="1151" spans="3:8" ht="15.75" x14ac:dyDescent="0.25">
      <c r="C1151"/>
      <c r="D1151"/>
      <c r="E1151"/>
      <c r="F1151"/>
      <c r="G1151"/>
      <c r="H1151"/>
    </row>
    <row r="1152" spans="3:8" ht="15.75" x14ac:dyDescent="0.25">
      <c r="C1152"/>
      <c r="D1152"/>
      <c r="E1152"/>
      <c r="F1152"/>
      <c r="G1152"/>
      <c r="H1152"/>
    </row>
    <row r="1153" spans="3:8" ht="15.75" x14ac:dyDescent="0.25">
      <c r="C1153"/>
      <c r="D1153"/>
      <c r="E1153"/>
      <c r="F1153"/>
      <c r="G1153"/>
      <c r="H1153"/>
    </row>
    <row r="1154" spans="3:8" ht="15.75" x14ac:dyDescent="0.25">
      <c r="C1154"/>
      <c r="D1154"/>
      <c r="E1154"/>
      <c r="F1154"/>
      <c r="G1154"/>
      <c r="H1154"/>
    </row>
    <row r="1155" spans="3:8" ht="15.75" x14ac:dyDescent="0.25">
      <c r="C1155"/>
      <c r="D1155"/>
      <c r="E1155"/>
      <c r="F1155"/>
      <c r="G1155"/>
      <c r="H1155"/>
    </row>
    <row r="1156" spans="3:8" ht="15.75" x14ac:dyDescent="0.25">
      <c r="C1156"/>
      <c r="D1156"/>
      <c r="E1156"/>
      <c r="F1156"/>
      <c r="G1156"/>
      <c r="H1156"/>
    </row>
    <row r="1157" spans="3:8" ht="15.75" x14ac:dyDescent="0.25">
      <c r="C1157"/>
      <c r="D1157"/>
      <c r="E1157"/>
      <c r="F1157"/>
      <c r="G1157"/>
      <c r="H1157"/>
    </row>
    <row r="1158" spans="3:8" ht="15.75" x14ac:dyDescent="0.25">
      <c r="C1158"/>
      <c r="D1158"/>
      <c r="E1158"/>
      <c r="F1158"/>
      <c r="G1158"/>
      <c r="H1158"/>
    </row>
    <row r="1159" spans="3:8" ht="15.75" x14ac:dyDescent="0.25">
      <c r="C1159"/>
      <c r="D1159"/>
      <c r="E1159"/>
      <c r="F1159"/>
      <c r="G1159"/>
      <c r="H1159"/>
    </row>
    <row r="1160" spans="3:8" ht="15.75" x14ac:dyDescent="0.25">
      <c r="C1160"/>
      <c r="D1160"/>
      <c r="E1160"/>
      <c r="F1160"/>
      <c r="G1160"/>
      <c r="H1160"/>
    </row>
    <row r="1161" spans="3:8" ht="15.75" x14ac:dyDescent="0.25">
      <c r="C1161"/>
      <c r="D1161"/>
      <c r="E1161"/>
      <c r="F1161"/>
      <c r="G1161"/>
      <c r="H1161"/>
    </row>
    <row r="1162" spans="3:8" ht="15.75" x14ac:dyDescent="0.25">
      <c r="C1162"/>
      <c r="D1162"/>
      <c r="E1162"/>
      <c r="F1162"/>
      <c r="G1162"/>
      <c r="H1162"/>
    </row>
    <row r="1163" spans="3:8" ht="15.75" x14ac:dyDescent="0.25">
      <c r="C1163"/>
      <c r="D1163"/>
      <c r="E1163"/>
      <c r="F1163"/>
      <c r="G1163"/>
      <c r="H1163"/>
    </row>
    <row r="1164" spans="3:8" ht="15.75" x14ac:dyDescent="0.25">
      <c r="C1164"/>
      <c r="D1164"/>
      <c r="E1164"/>
      <c r="F1164"/>
      <c r="G1164"/>
      <c r="H1164"/>
    </row>
    <row r="1165" spans="3:8" ht="15.75" x14ac:dyDescent="0.25">
      <c r="C1165"/>
      <c r="D1165"/>
      <c r="E1165"/>
      <c r="F1165"/>
      <c r="G1165"/>
      <c r="H1165"/>
    </row>
    <row r="1166" spans="3:8" ht="15.75" x14ac:dyDescent="0.25">
      <c r="C1166"/>
      <c r="D1166"/>
      <c r="E1166"/>
      <c r="F1166"/>
      <c r="G1166"/>
      <c r="H1166"/>
    </row>
    <row r="1167" spans="3:8" ht="15.75" x14ac:dyDescent="0.25">
      <c r="C1167"/>
      <c r="D1167"/>
      <c r="E1167"/>
      <c r="F1167"/>
      <c r="G1167"/>
      <c r="H1167"/>
    </row>
    <row r="1168" spans="3:8" ht="15.75" x14ac:dyDescent="0.25">
      <c r="C1168"/>
      <c r="D1168"/>
      <c r="E1168"/>
      <c r="F1168"/>
      <c r="G1168"/>
      <c r="H1168"/>
    </row>
    <row r="1169" spans="3:8" ht="15.75" x14ac:dyDescent="0.25">
      <c r="C1169"/>
      <c r="D1169"/>
      <c r="E1169"/>
      <c r="F1169"/>
      <c r="G1169"/>
      <c r="H1169"/>
    </row>
    <row r="1170" spans="3:8" ht="15.75" x14ac:dyDescent="0.25">
      <c r="C1170"/>
      <c r="D1170"/>
      <c r="E1170"/>
      <c r="F1170"/>
      <c r="G1170"/>
      <c r="H1170"/>
    </row>
    <row r="1171" spans="3:8" ht="15.75" x14ac:dyDescent="0.25">
      <c r="C1171"/>
      <c r="D1171"/>
      <c r="E1171"/>
      <c r="F1171"/>
      <c r="G1171"/>
      <c r="H1171"/>
    </row>
    <row r="1172" spans="3:8" ht="15.75" x14ac:dyDescent="0.25">
      <c r="C1172"/>
      <c r="D1172"/>
      <c r="E1172"/>
      <c r="F1172"/>
      <c r="G1172"/>
      <c r="H1172"/>
    </row>
    <row r="1173" spans="3:8" ht="15.75" x14ac:dyDescent="0.25">
      <c r="C1173"/>
      <c r="D1173"/>
      <c r="E1173"/>
      <c r="F1173"/>
      <c r="G1173"/>
      <c r="H1173"/>
    </row>
    <row r="1174" spans="3:8" ht="15.75" x14ac:dyDescent="0.25">
      <c r="C1174"/>
      <c r="D1174"/>
      <c r="E1174"/>
      <c r="F1174"/>
      <c r="G1174"/>
      <c r="H1174"/>
    </row>
    <row r="1175" spans="3:8" ht="15.75" x14ac:dyDescent="0.25">
      <c r="C1175"/>
      <c r="D1175"/>
      <c r="E1175"/>
      <c r="F1175"/>
      <c r="G1175"/>
      <c r="H1175"/>
    </row>
    <row r="1176" spans="3:8" ht="15.75" x14ac:dyDescent="0.25">
      <c r="C1176"/>
      <c r="D1176"/>
      <c r="E1176"/>
      <c r="F1176"/>
      <c r="G1176"/>
      <c r="H1176"/>
    </row>
    <row r="1177" spans="3:8" ht="15.75" x14ac:dyDescent="0.25">
      <c r="C1177"/>
      <c r="D1177"/>
      <c r="E1177"/>
      <c r="F1177"/>
      <c r="G1177"/>
      <c r="H1177"/>
    </row>
    <row r="1178" spans="3:8" ht="15.75" x14ac:dyDescent="0.25">
      <c r="C1178"/>
      <c r="D1178"/>
      <c r="E1178"/>
      <c r="F1178"/>
      <c r="G1178"/>
      <c r="H1178"/>
    </row>
    <row r="1179" spans="3:8" ht="15.75" x14ac:dyDescent="0.25">
      <c r="C1179"/>
      <c r="D1179"/>
      <c r="E1179"/>
      <c r="F1179"/>
      <c r="G1179"/>
      <c r="H1179"/>
    </row>
    <row r="1180" spans="3:8" ht="15.75" x14ac:dyDescent="0.25">
      <c r="C1180"/>
      <c r="D1180"/>
      <c r="E1180"/>
      <c r="F1180"/>
      <c r="G1180"/>
      <c r="H1180"/>
    </row>
    <row r="1181" spans="3:8" ht="15.75" x14ac:dyDescent="0.25">
      <c r="C1181"/>
      <c r="D1181"/>
      <c r="E1181"/>
      <c r="F1181"/>
      <c r="G1181"/>
      <c r="H1181"/>
    </row>
    <row r="1182" spans="3:8" ht="15.75" x14ac:dyDescent="0.25">
      <c r="C1182"/>
      <c r="D1182"/>
      <c r="E1182"/>
      <c r="F1182"/>
      <c r="G1182"/>
      <c r="H1182"/>
    </row>
    <row r="1183" spans="3:8" ht="15.75" x14ac:dyDescent="0.25">
      <c r="C1183"/>
      <c r="D1183"/>
      <c r="E1183"/>
      <c r="F1183"/>
      <c r="G1183"/>
      <c r="H1183"/>
    </row>
    <row r="1184" spans="3:8" ht="15.75" x14ac:dyDescent="0.25">
      <c r="C1184"/>
      <c r="D1184"/>
      <c r="E1184"/>
      <c r="F1184"/>
      <c r="G1184"/>
      <c r="H1184"/>
    </row>
    <row r="1185" spans="3:8" ht="15.75" x14ac:dyDescent="0.25">
      <c r="C1185"/>
      <c r="D1185"/>
      <c r="E1185"/>
      <c r="F1185"/>
      <c r="G1185"/>
      <c r="H1185"/>
    </row>
    <row r="1186" spans="3:8" ht="15.75" x14ac:dyDescent="0.25">
      <c r="C1186"/>
      <c r="D1186"/>
      <c r="E1186"/>
      <c r="F1186"/>
      <c r="G1186"/>
      <c r="H1186"/>
    </row>
    <row r="1187" spans="3:8" ht="15.75" x14ac:dyDescent="0.25">
      <c r="C1187"/>
      <c r="D1187"/>
      <c r="E1187"/>
      <c r="F1187"/>
      <c r="G1187"/>
      <c r="H1187"/>
    </row>
    <row r="1188" spans="3:8" ht="15.75" x14ac:dyDescent="0.25">
      <c r="C1188"/>
      <c r="D1188"/>
      <c r="E1188"/>
      <c r="F1188"/>
      <c r="G1188"/>
      <c r="H1188"/>
    </row>
    <row r="1189" spans="3:8" ht="15.75" x14ac:dyDescent="0.25">
      <c r="C1189"/>
      <c r="D1189"/>
      <c r="E1189"/>
      <c r="F1189"/>
      <c r="G1189"/>
      <c r="H1189"/>
    </row>
    <row r="1190" spans="3:8" ht="15.75" x14ac:dyDescent="0.25">
      <c r="C1190"/>
      <c r="D1190"/>
      <c r="E1190"/>
      <c r="F1190"/>
      <c r="G1190"/>
      <c r="H1190"/>
    </row>
    <row r="1191" spans="3:8" ht="15.75" x14ac:dyDescent="0.25">
      <c r="C1191"/>
      <c r="D1191"/>
      <c r="E1191"/>
      <c r="F1191"/>
      <c r="G1191"/>
      <c r="H1191"/>
    </row>
    <row r="1192" spans="3:8" ht="15.75" x14ac:dyDescent="0.25">
      <c r="C1192"/>
      <c r="D1192"/>
      <c r="E1192"/>
      <c r="F1192"/>
      <c r="G1192"/>
      <c r="H1192"/>
    </row>
    <row r="1193" spans="3:8" ht="15.75" x14ac:dyDescent="0.25">
      <c r="C1193"/>
      <c r="D1193"/>
      <c r="E1193"/>
      <c r="F1193"/>
      <c r="G1193"/>
      <c r="H1193"/>
    </row>
    <row r="1194" spans="3:8" ht="15.75" x14ac:dyDescent="0.25">
      <c r="C1194"/>
      <c r="D1194"/>
      <c r="E1194"/>
      <c r="F1194"/>
      <c r="G1194"/>
      <c r="H1194"/>
    </row>
    <row r="1195" spans="3:8" ht="15.75" x14ac:dyDescent="0.25">
      <c r="C1195"/>
      <c r="D1195"/>
      <c r="E1195"/>
      <c r="F1195"/>
      <c r="G1195"/>
      <c r="H1195"/>
    </row>
    <row r="1196" spans="3:8" ht="15.75" x14ac:dyDescent="0.25">
      <c r="C1196"/>
      <c r="D1196"/>
      <c r="E1196"/>
      <c r="F1196"/>
      <c r="G1196"/>
      <c r="H1196"/>
    </row>
    <row r="1197" spans="3:8" ht="15.75" x14ac:dyDescent="0.25">
      <c r="C1197"/>
      <c r="D1197"/>
      <c r="E1197"/>
      <c r="F1197"/>
      <c r="G1197"/>
      <c r="H1197"/>
    </row>
    <row r="1198" spans="3:8" ht="15.75" x14ac:dyDescent="0.25">
      <c r="C1198"/>
      <c r="D1198"/>
      <c r="E1198"/>
      <c r="F1198"/>
      <c r="G1198"/>
      <c r="H1198"/>
    </row>
    <row r="1199" spans="3:8" ht="15.75" x14ac:dyDescent="0.25">
      <c r="C1199"/>
      <c r="D1199"/>
      <c r="E1199"/>
      <c r="F1199"/>
      <c r="G1199"/>
      <c r="H1199"/>
    </row>
    <row r="1200" spans="3:8" ht="15.75" x14ac:dyDescent="0.25">
      <c r="C1200"/>
      <c r="D1200"/>
      <c r="E1200"/>
      <c r="F1200"/>
      <c r="G1200"/>
      <c r="H1200"/>
    </row>
    <row r="1201" spans="3:8" ht="15.75" x14ac:dyDescent="0.25">
      <c r="C1201"/>
      <c r="D1201"/>
      <c r="E1201"/>
      <c r="F1201"/>
      <c r="G1201"/>
      <c r="H1201"/>
    </row>
    <row r="1202" spans="3:8" ht="15.75" x14ac:dyDescent="0.25">
      <c r="C1202"/>
      <c r="D1202"/>
      <c r="E1202"/>
      <c r="F1202"/>
      <c r="G1202"/>
      <c r="H1202"/>
    </row>
    <row r="1203" spans="3:8" ht="15.75" x14ac:dyDescent="0.25">
      <c r="C1203"/>
      <c r="D1203"/>
      <c r="E1203"/>
      <c r="F1203"/>
      <c r="G1203"/>
      <c r="H1203"/>
    </row>
    <row r="1204" spans="3:8" ht="15.75" x14ac:dyDescent="0.25">
      <c r="C1204"/>
      <c r="D1204"/>
      <c r="E1204"/>
      <c r="F1204"/>
      <c r="G1204"/>
      <c r="H1204"/>
    </row>
    <row r="1205" spans="3:8" ht="15.75" x14ac:dyDescent="0.25">
      <c r="C1205"/>
      <c r="D1205"/>
      <c r="E1205"/>
      <c r="F1205"/>
      <c r="G1205"/>
      <c r="H1205"/>
    </row>
    <row r="1206" spans="3:8" ht="15.75" x14ac:dyDescent="0.25">
      <c r="C1206"/>
      <c r="D1206"/>
      <c r="E1206"/>
      <c r="F1206"/>
      <c r="G1206"/>
      <c r="H1206"/>
    </row>
    <row r="1207" spans="3:8" ht="15.75" x14ac:dyDescent="0.25">
      <c r="C1207"/>
      <c r="D1207"/>
      <c r="E1207"/>
      <c r="F1207"/>
      <c r="G1207"/>
      <c r="H1207"/>
    </row>
    <row r="1208" spans="3:8" ht="15.75" x14ac:dyDescent="0.25">
      <c r="C1208"/>
      <c r="D1208"/>
      <c r="E1208"/>
      <c r="F1208"/>
      <c r="G1208"/>
      <c r="H1208"/>
    </row>
    <row r="1209" spans="3:8" ht="15.75" x14ac:dyDescent="0.25">
      <c r="C1209"/>
      <c r="D1209"/>
      <c r="E1209"/>
      <c r="F1209"/>
      <c r="G1209"/>
      <c r="H1209"/>
    </row>
    <row r="1210" spans="3:8" ht="15.75" x14ac:dyDescent="0.25">
      <c r="C1210"/>
      <c r="D1210"/>
      <c r="E1210"/>
      <c r="F1210"/>
      <c r="G1210"/>
      <c r="H1210"/>
    </row>
    <row r="1211" spans="3:8" ht="15.75" x14ac:dyDescent="0.25">
      <c r="C1211"/>
      <c r="D1211"/>
      <c r="E1211"/>
      <c r="F1211"/>
      <c r="G1211"/>
      <c r="H1211"/>
    </row>
    <row r="1212" spans="3:8" ht="15.75" x14ac:dyDescent="0.25">
      <c r="C1212"/>
      <c r="D1212"/>
      <c r="E1212"/>
      <c r="F1212"/>
      <c r="G1212"/>
      <c r="H1212"/>
    </row>
    <row r="1213" spans="3:8" ht="15.75" x14ac:dyDescent="0.25">
      <c r="C1213"/>
      <c r="D1213"/>
      <c r="E1213"/>
      <c r="F1213"/>
      <c r="G1213"/>
      <c r="H1213"/>
    </row>
    <row r="1214" spans="3:8" ht="15.75" x14ac:dyDescent="0.25">
      <c r="C1214"/>
      <c r="D1214"/>
      <c r="E1214"/>
      <c r="F1214"/>
      <c r="G1214"/>
      <c r="H1214"/>
    </row>
    <row r="1215" spans="3:8" ht="15.75" x14ac:dyDescent="0.25">
      <c r="C1215"/>
      <c r="D1215"/>
      <c r="E1215"/>
      <c r="F1215"/>
      <c r="G1215"/>
      <c r="H1215"/>
    </row>
    <row r="1216" spans="3:8" ht="15.75" x14ac:dyDescent="0.25">
      <c r="C1216"/>
      <c r="D1216"/>
      <c r="E1216"/>
      <c r="F1216"/>
      <c r="G1216"/>
      <c r="H1216"/>
    </row>
    <row r="1217" spans="3:8" ht="15.75" x14ac:dyDescent="0.25">
      <c r="C1217"/>
      <c r="D1217"/>
      <c r="E1217"/>
      <c r="F1217"/>
      <c r="G1217"/>
      <c r="H1217"/>
    </row>
    <row r="1218" spans="3:8" ht="15.75" x14ac:dyDescent="0.25">
      <c r="C1218"/>
      <c r="D1218"/>
      <c r="E1218"/>
      <c r="F1218"/>
      <c r="G1218"/>
      <c r="H1218"/>
    </row>
    <row r="1219" spans="3:8" ht="15.75" x14ac:dyDescent="0.25">
      <c r="C1219"/>
      <c r="D1219"/>
      <c r="E1219"/>
      <c r="F1219"/>
      <c r="G1219"/>
      <c r="H1219"/>
    </row>
    <row r="1220" spans="3:8" ht="15.75" x14ac:dyDescent="0.25">
      <c r="C1220"/>
      <c r="D1220"/>
      <c r="E1220"/>
      <c r="F1220"/>
      <c r="G1220"/>
      <c r="H1220"/>
    </row>
    <row r="1221" spans="3:8" ht="15.75" x14ac:dyDescent="0.25">
      <c r="C1221"/>
      <c r="D1221"/>
      <c r="E1221"/>
      <c r="F1221"/>
      <c r="G1221"/>
      <c r="H1221"/>
    </row>
    <row r="1222" spans="3:8" ht="15.75" x14ac:dyDescent="0.25">
      <c r="C1222"/>
      <c r="D1222"/>
      <c r="E1222"/>
      <c r="F1222"/>
      <c r="G1222"/>
      <c r="H1222"/>
    </row>
    <row r="1223" spans="3:8" ht="15.75" x14ac:dyDescent="0.25">
      <c r="C1223"/>
      <c r="D1223"/>
      <c r="E1223"/>
      <c r="F1223"/>
      <c r="G1223"/>
      <c r="H1223"/>
    </row>
    <row r="1224" spans="3:8" ht="15.75" x14ac:dyDescent="0.25">
      <c r="C1224"/>
      <c r="D1224"/>
      <c r="E1224"/>
      <c r="F1224"/>
      <c r="G1224"/>
      <c r="H1224"/>
    </row>
    <row r="1225" spans="3:8" ht="15.75" x14ac:dyDescent="0.25">
      <c r="C1225"/>
      <c r="D1225"/>
      <c r="E1225"/>
      <c r="F1225"/>
      <c r="G1225"/>
      <c r="H1225"/>
    </row>
    <row r="1226" spans="3:8" ht="15.75" x14ac:dyDescent="0.25">
      <c r="C1226"/>
      <c r="D1226"/>
      <c r="E1226"/>
      <c r="F1226"/>
      <c r="G1226"/>
      <c r="H1226"/>
    </row>
    <row r="1227" spans="3:8" ht="15.75" x14ac:dyDescent="0.25">
      <c r="C1227"/>
      <c r="D1227"/>
      <c r="E1227"/>
      <c r="F1227"/>
      <c r="G1227"/>
      <c r="H1227"/>
    </row>
    <row r="1228" spans="3:8" ht="15.75" x14ac:dyDescent="0.25">
      <c r="C1228"/>
      <c r="D1228"/>
      <c r="E1228"/>
      <c r="F1228"/>
      <c r="G1228"/>
      <c r="H1228"/>
    </row>
    <row r="1229" spans="3:8" ht="15.75" x14ac:dyDescent="0.25">
      <c r="C1229"/>
      <c r="D1229"/>
      <c r="E1229"/>
      <c r="F1229"/>
      <c r="G1229"/>
      <c r="H1229"/>
    </row>
    <row r="1230" spans="3:8" ht="15.75" x14ac:dyDescent="0.25">
      <c r="C1230"/>
      <c r="D1230"/>
      <c r="E1230"/>
      <c r="F1230"/>
      <c r="G1230"/>
      <c r="H1230"/>
    </row>
    <row r="1231" spans="3:8" ht="15.75" x14ac:dyDescent="0.25">
      <c r="C1231"/>
      <c r="D1231"/>
      <c r="E1231"/>
      <c r="F1231"/>
      <c r="G1231"/>
      <c r="H1231"/>
    </row>
    <row r="1232" spans="3:8" ht="15.75" x14ac:dyDescent="0.25">
      <c r="C1232"/>
      <c r="D1232"/>
      <c r="E1232"/>
      <c r="F1232"/>
      <c r="G1232"/>
      <c r="H1232"/>
    </row>
    <row r="1233" spans="3:8" ht="15.75" x14ac:dyDescent="0.25">
      <c r="C1233"/>
      <c r="D1233"/>
      <c r="E1233"/>
      <c r="F1233"/>
      <c r="G1233"/>
      <c r="H1233"/>
    </row>
    <row r="1234" spans="3:8" ht="15.75" x14ac:dyDescent="0.25">
      <c r="C1234"/>
      <c r="D1234"/>
      <c r="E1234"/>
      <c r="F1234"/>
      <c r="G1234"/>
      <c r="H1234"/>
    </row>
    <row r="1235" spans="3:8" ht="15.75" x14ac:dyDescent="0.25">
      <c r="C1235"/>
      <c r="D1235"/>
      <c r="E1235"/>
      <c r="F1235"/>
      <c r="G1235"/>
      <c r="H1235"/>
    </row>
    <row r="1236" spans="3:8" ht="15.75" x14ac:dyDescent="0.25">
      <c r="C1236"/>
      <c r="D1236"/>
      <c r="E1236"/>
      <c r="F1236"/>
      <c r="G1236"/>
      <c r="H1236"/>
    </row>
    <row r="1237" spans="3:8" ht="15.75" x14ac:dyDescent="0.25">
      <c r="C1237"/>
      <c r="D1237"/>
      <c r="E1237"/>
      <c r="F1237"/>
      <c r="G1237"/>
      <c r="H1237"/>
    </row>
    <row r="1238" spans="3:8" ht="15.75" x14ac:dyDescent="0.25">
      <c r="C1238"/>
      <c r="D1238"/>
      <c r="E1238"/>
      <c r="F1238"/>
      <c r="G1238"/>
      <c r="H1238"/>
    </row>
    <row r="1239" spans="3:8" ht="15.75" x14ac:dyDescent="0.25">
      <c r="C1239"/>
      <c r="D1239"/>
      <c r="E1239"/>
      <c r="F1239"/>
      <c r="G1239"/>
      <c r="H1239"/>
    </row>
    <row r="1240" spans="3:8" ht="15.75" x14ac:dyDescent="0.25">
      <c r="C1240"/>
      <c r="D1240"/>
      <c r="E1240"/>
      <c r="F1240"/>
      <c r="G1240"/>
      <c r="H1240"/>
    </row>
    <row r="1241" spans="3:8" ht="15.75" x14ac:dyDescent="0.25">
      <c r="C1241"/>
      <c r="D1241"/>
      <c r="E1241"/>
      <c r="F1241"/>
      <c r="G1241"/>
      <c r="H1241"/>
    </row>
    <row r="1242" spans="3:8" ht="15.75" x14ac:dyDescent="0.25">
      <c r="C1242"/>
      <c r="D1242"/>
      <c r="E1242"/>
      <c r="F1242"/>
      <c r="G1242"/>
      <c r="H1242"/>
    </row>
    <row r="1243" spans="3:8" ht="15.75" x14ac:dyDescent="0.25">
      <c r="C1243"/>
      <c r="D1243"/>
      <c r="E1243"/>
      <c r="F1243"/>
      <c r="G1243"/>
      <c r="H1243"/>
    </row>
    <row r="1244" spans="3:8" ht="15.75" x14ac:dyDescent="0.25">
      <c r="C1244"/>
      <c r="D1244"/>
      <c r="E1244"/>
      <c r="F1244"/>
      <c r="G1244"/>
      <c r="H1244"/>
    </row>
    <row r="1245" spans="3:8" ht="15.75" x14ac:dyDescent="0.25">
      <c r="C1245"/>
      <c r="D1245"/>
      <c r="E1245"/>
      <c r="F1245"/>
      <c r="G1245"/>
      <c r="H1245"/>
    </row>
    <row r="1246" spans="3:8" ht="15.75" x14ac:dyDescent="0.25">
      <c r="C1246"/>
      <c r="D1246"/>
      <c r="E1246"/>
      <c r="F1246"/>
      <c r="G1246"/>
      <c r="H1246"/>
    </row>
    <row r="1247" spans="3:8" ht="15.75" x14ac:dyDescent="0.25">
      <c r="C1247"/>
      <c r="D1247"/>
      <c r="E1247"/>
      <c r="F1247"/>
      <c r="G1247"/>
      <c r="H1247"/>
    </row>
    <row r="1248" spans="3:8" ht="15.75" x14ac:dyDescent="0.25">
      <c r="C1248"/>
      <c r="D1248"/>
      <c r="E1248"/>
      <c r="F1248"/>
      <c r="G1248"/>
      <c r="H1248"/>
    </row>
    <row r="1249" spans="3:8" ht="15.75" x14ac:dyDescent="0.25">
      <c r="C1249"/>
      <c r="D1249"/>
      <c r="E1249"/>
      <c r="F1249"/>
      <c r="G1249"/>
      <c r="H1249"/>
    </row>
    <row r="1250" spans="3:8" ht="15.75" x14ac:dyDescent="0.25">
      <c r="C1250"/>
      <c r="D1250"/>
      <c r="E1250"/>
      <c r="F1250"/>
      <c r="G1250"/>
      <c r="H1250"/>
    </row>
    <row r="1251" spans="3:8" ht="15.75" x14ac:dyDescent="0.25">
      <c r="C1251"/>
      <c r="D1251"/>
      <c r="E1251"/>
      <c r="F1251"/>
      <c r="G1251"/>
      <c r="H1251"/>
    </row>
    <row r="1252" spans="3:8" ht="15.75" x14ac:dyDescent="0.25">
      <c r="C1252"/>
      <c r="D1252"/>
      <c r="E1252"/>
      <c r="F1252"/>
      <c r="G1252"/>
      <c r="H1252"/>
    </row>
    <row r="1253" spans="3:8" ht="15.75" x14ac:dyDescent="0.25">
      <c r="C1253"/>
      <c r="D1253"/>
      <c r="E1253"/>
      <c r="F1253"/>
      <c r="G1253"/>
      <c r="H1253"/>
    </row>
    <row r="1254" spans="3:8" ht="15.75" x14ac:dyDescent="0.25">
      <c r="C1254"/>
      <c r="D1254"/>
      <c r="E1254"/>
      <c r="F1254"/>
      <c r="G1254"/>
      <c r="H1254"/>
    </row>
    <row r="1255" spans="3:8" ht="15.75" x14ac:dyDescent="0.25">
      <c r="C1255"/>
      <c r="D1255"/>
      <c r="E1255"/>
      <c r="F1255"/>
      <c r="G1255"/>
      <c r="H1255"/>
    </row>
    <row r="1256" spans="3:8" ht="15.75" x14ac:dyDescent="0.25">
      <c r="C1256"/>
      <c r="D1256"/>
      <c r="E1256"/>
      <c r="F1256"/>
      <c r="G1256"/>
      <c r="H1256"/>
    </row>
    <row r="1257" spans="3:8" ht="15.75" x14ac:dyDescent="0.25">
      <c r="C1257"/>
      <c r="D1257"/>
      <c r="E1257"/>
      <c r="F1257"/>
      <c r="G1257"/>
      <c r="H1257"/>
    </row>
    <row r="1258" spans="3:8" ht="15.75" x14ac:dyDescent="0.25">
      <c r="C1258"/>
      <c r="D1258"/>
      <c r="E1258"/>
      <c r="F1258"/>
      <c r="G1258"/>
      <c r="H1258"/>
    </row>
    <row r="1259" spans="3:8" ht="15.75" x14ac:dyDescent="0.25">
      <c r="C1259"/>
      <c r="D1259"/>
      <c r="E1259"/>
      <c r="F1259"/>
      <c r="G1259"/>
      <c r="H1259"/>
    </row>
    <row r="1260" spans="3:8" ht="15.75" x14ac:dyDescent="0.25">
      <c r="C1260"/>
      <c r="D1260"/>
      <c r="E1260"/>
      <c r="F1260"/>
      <c r="G1260"/>
      <c r="H1260"/>
    </row>
    <row r="1261" spans="3:8" ht="15.75" x14ac:dyDescent="0.25">
      <c r="C1261"/>
      <c r="D1261"/>
      <c r="E1261"/>
      <c r="F1261"/>
      <c r="G1261"/>
      <c r="H1261"/>
    </row>
    <row r="1262" spans="3:8" ht="15.75" x14ac:dyDescent="0.25">
      <c r="C1262"/>
      <c r="D1262"/>
      <c r="E1262"/>
      <c r="F1262"/>
      <c r="G1262"/>
      <c r="H1262"/>
    </row>
    <row r="1263" spans="3:8" ht="15.75" x14ac:dyDescent="0.25">
      <c r="C1263"/>
      <c r="D1263"/>
      <c r="E1263"/>
      <c r="F1263"/>
      <c r="G1263"/>
      <c r="H1263"/>
    </row>
    <row r="1264" spans="3:8" ht="15.75" x14ac:dyDescent="0.25">
      <c r="C1264"/>
      <c r="D1264"/>
      <c r="E1264"/>
      <c r="F1264"/>
      <c r="G1264"/>
      <c r="H1264"/>
    </row>
    <row r="1265" spans="3:8" ht="15.75" x14ac:dyDescent="0.25">
      <c r="C1265"/>
      <c r="D1265"/>
      <c r="E1265"/>
      <c r="F1265"/>
      <c r="G1265"/>
      <c r="H1265"/>
    </row>
    <row r="1266" spans="3:8" ht="15.75" x14ac:dyDescent="0.25">
      <c r="C1266"/>
      <c r="D1266"/>
      <c r="E1266"/>
      <c r="F1266"/>
      <c r="G1266"/>
      <c r="H1266"/>
    </row>
    <row r="1267" spans="3:8" ht="15.75" x14ac:dyDescent="0.25">
      <c r="C1267"/>
      <c r="D1267"/>
      <c r="E1267"/>
      <c r="F1267"/>
      <c r="G1267"/>
      <c r="H1267"/>
    </row>
    <row r="1268" spans="3:8" ht="15.75" x14ac:dyDescent="0.25">
      <c r="C1268"/>
      <c r="D1268"/>
      <c r="E1268"/>
      <c r="F1268"/>
      <c r="G1268"/>
      <c r="H1268"/>
    </row>
    <row r="1269" spans="3:8" ht="15.75" x14ac:dyDescent="0.25">
      <c r="C1269"/>
      <c r="D1269"/>
      <c r="E1269"/>
      <c r="F1269"/>
      <c r="G1269"/>
      <c r="H1269"/>
    </row>
    <row r="1270" spans="3:8" ht="15.75" x14ac:dyDescent="0.25">
      <c r="C1270"/>
      <c r="D1270"/>
      <c r="E1270"/>
      <c r="F1270"/>
      <c r="G1270"/>
      <c r="H1270"/>
    </row>
    <row r="1271" spans="3:8" ht="15.75" x14ac:dyDescent="0.25">
      <c r="C1271"/>
      <c r="D1271"/>
      <c r="E1271"/>
      <c r="F1271"/>
      <c r="G1271"/>
      <c r="H1271"/>
    </row>
    <row r="1272" spans="3:8" ht="15.75" x14ac:dyDescent="0.25">
      <c r="C1272"/>
      <c r="D1272"/>
      <c r="E1272"/>
      <c r="F1272"/>
      <c r="G1272"/>
      <c r="H1272"/>
    </row>
    <row r="1273" spans="3:8" ht="15.75" x14ac:dyDescent="0.25">
      <c r="C1273"/>
      <c r="D1273"/>
      <c r="E1273"/>
      <c r="F1273"/>
      <c r="G1273"/>
      <c r="H1273"/>
    </row>
    <row r="1274" spans="3:8" ht="15.75" x14ac:dyDescent="0.25">
      <c r="C1274"/>
      <c r="D1274"/>
      <c r="E1274"/>
      <c r="F1274"/>
      <c r="G1274"/>
      <c r="H1274"/>
    </row>
    <row r="1275" spans="3:8" ht="15.75" x14ac:dyDescent="0.25">
      <c r="C1275"/>
      <c r="D1275"/>
      <c r="E1275"/>
      <c r="F1275"/>
      <c r="G1275"/>
      <c r="H1275"/>
    </row>
    <row r="1276" spans="3:8" ht="15.75" x14ac:dyDescent="0.25">
      <c r="C1276"/>
      <c r="D1276"/>
      <c r="E1276"/>
      <c r="F1276"/>
      <c r="G1276"/>
      <c r="H1276"/>
    </row>
    <row r="1277" spans="3:8" ht="15.75" x14ac:dyDescent="0.25">
      <c r="C1277"/>
      <c r="D1277"/>
      <c r="E1277"/>
      <c r="F1277"/>
      <c r="G1277"/>
      <c r="H1277"/>
    </row>
    <row r="1278" spans="3:8" ht="15.75" x14ac:dyDescent="0.25">
      <c r="C1278"/>
      <c r="D1278"/>
      <c r="E1278"/>
      <c r="F1278"/>
      <c r="G1278"/>
      <c r="H1278"/>
    </row>
    <row r="1279" spans="3:8" ht="15.75" x14ac:dyDescent="0.25">
      <c r="C1279"/>
      <c r="D1279"/>
      <c r="E1279"/>
      <c r="F1279"/>
      <c r="G1279"/>
      <c r="H1279"/>
    </row>
    <row r="1280" spans="3:8" ht="15.75" x14ac:dyDescent="0.25">
      <c r="C1280"/>
      <c r="D1280"/>
      <c r="E1280"/>
      <c r="F1280"/>
      <c r="G1280"/>
      <c r="H1280"/>
    </row>
    <row r="1281" spans="3:8" ht="15.75" x14ac:dyDescent="0.25">
      <c r="C1281"/>
      <c r="D1281"/>
      <c r="E1281"/>
      <c r="F1281"/>
      <c r="G1281"/>
      <c r="H1281"/>
    </row>
    <row r="1282" spans="3:8" ht="15.75" x14ac:dyDescent="0.25">
      <c r="C1282"/>
      <c r="D1282"/>
      <c r="E1282"/>
      <c r="F1282"/>
      <c r="G1282"/>
      <c r="H1282"/>
    </row>
    <row r="1283" spans="3:8" ht="15.75" x14ac:dyDescent="0.25">
      <c r="C1283"/>
      <c r="D1283"/>
      <c r="E1283"/>
      <c r="F1283"/>
      <c r="G1283"/>
      <c r="H1283"/>
    </row>
    <row r="1284" spans="3:8" ht="15.75" x14ac:dyDescent="0.25">
      <c r="C1284"/>
      <c r="D1284"/>
      <c r="E1284"/>
      <c r="F1284"/>
      <c r="G1284"/>
      <c r="H1284"/>
    </row>
    <row r="1285" spans="3:8" ht="15.75" x14ac:dyDescent="0.25">
      <c r="C1285"/>
      <c r="D1285"/>
      <c r="E1285"/>
      <c r="F1285"/>
      <c r="G1285"/>
      <c r="H1285"/>
    </row>
    <row r="1286" spans="3:8" ht="15.75" x14ac:dyDescent="0.25">
      <c r="C1286"/>
      <c r="D1286"/>
      <c r="E1286"/>
      <c r="F1286"/>
      <c r="G1286"/>
      <c r="H1286"/>
    </row>
    <row r="1287" spans="3:8" ht="15.75" x14ac:dyDescent="0.25">
      <c r="C1287"/>
      <c r="D1287"/>
      <c r="E1287"/>
      <c r="F1287"/>
      <c r="G1287"/>
      <c r="H1287"/>
    </row>
    <row r="1288" spans="3:8" ht="15.75" x14ac:dyDescent="0.25">
      <c r="C1288"/>
      <c r="D1288"/>
      <c r="E1288"/>
      <c r="F1288"/>
      <c r="G1288"/>
      <c r="H1288"/>
    </row>
    <row r="1289" spans="3:8" ht="15.75" x14ac:dyDescent="0.25">
      <c r="C1289"/>
      <c r="D1289"/>
      <c r="E1289"/>
      <c r="F1289"/>
      <c r="G1289"/>
      <c r="H1289"/>
    </row>
    <row r="1290" spans="3:8" ht="15.75" x14ac:dyDescent="0.25">
      <c r="C1290"/>
      <c r="D1290"/>
      <c r="E1290"/>
      <c r="F1290"/>
      <c r="G1290"/>
      <c r="H1290"/>
    </row>
    <row r="1291" spans="3:8" ht="15.75" x14ac:dyDescent="0.25">
      <c r="C1291"/>
      <c r="D1291"/>
      <c r="E1291"/>
      <c r="F1291"/>
      <c r="G1291"/>
      <c r="H1291"/>
    </row>
    <row r="1292" spans="3:8" ht="15.75" x14ac:dyDescent="0.25">
      <c r="C1292"/>
      <c r="D1292"/>
      <c r="E1292"/>
      <c r="F1292"/>
      <c r="G1292"/>
      <c r="H1292"/>
    </row>
    <row r="1293" spans="3:8" ht="15.75" x14ac:dyDescent="0.25">
      <c r="C1293"/>
      <c r="D1293"/>
      <c r="E1293"/>
      <c r="F1293"/>
      <c r="G1293"/>
      <c r="H1293"/>
    </row>
    <row r="1294" spans="3:8" ht="15.75" x14ac:dyDescent="0.25">
      <c r="C1294"/>
      <c r="D1294"/>
      <c r="E1294"/>
      <c r="F1294"/>
      <c r="G1294"/>
      <c r="H1294"/>
    </row>
    <row r="1295" spans="3:8" ht="15.75" x14ac:dyDescent="0.25">
      <c r="C1295"/>
      <c r="D1295"/>
      <c r="E1295"/>
      <c r="F1295"/>
      <c r="G1295"/>
      <c r="H1295"/>
    </row>
    <row r="1296" spans="3:8" ht="15.75" x14ac:dyDescent="0.25">
      <c r="C1296"/>
      <c r="D1296"/>
      <c r="E1296"/>
      <c r="F1296"/>
      <c r="G1296"/>
      <c r="H1296"/>
    </row>
    <row r="1297" spans="3:8" ht="15.75" x14ac:dyDescent="0.25">
      <c r="C1297"/>
      <c r="D1297"/>
      <c r="E1297"/>
      <c r="F1297"/>
      <c r="G1297"/>
      <c r="H1297"/>
    </row>
    <row r="1298" spans="3:8" ht="15.75" x14ac:dyDescent="0.25">
      <c r="C1298"/>
      <c r="D1298"/>
      <c r="E1298"/>
      <c r="F1298"/>
      <c r="G1298"/>
      <c r="H1298"/>
    </row>
    <row r="1299" spans="3:8" ht="15.75" x14ac:dyDescent="0.25">
      <c r="C1299"/>
      <c r="D1299"/>
      <c r="E1299"/>
      <c r="F1299"/>
      <c r="G1299"/>
      <c r="H1299"/>
    </row>
    <row r="1300" spans="3:8" ht="15.75" x14ac:dyDescent="0.25">
      <c r="C1300"/>
      <c r="D1300"/>
      <c r="E1300"/>
      <c r="F1300"/>
      <c r="G1300"/>
      <c r="H1300"/>
    </row>
    <row r="1301" spans="3:8" ht="15.75" x14ac:dyDescent="0.25">
      <c r="C1301"/>
      <c r="D1301"/>
      <c r="E1301"/>
      <c r="F1301"/>
      <c r="G1301"/>
      <c r="H1301"/>
    </row>
    <row r="1302" spans="3:8" ht="15.75" x14ac:dyDescent="0.25">
      <c r="C1302"/>
      <c r="D1302"/>
      <c r="E1302"/>
      <c r="F1302"/>
      <c r="G1302"/>
      <c r="H1302"/>
    </row>
    <row r="1303" spans="3:8" ht="15.75" x14ac:dyDescent="0.25">
      <c r="C1303"/>
      <c r="D1303"/>
      <c r="E1303"/>
      <c r="F1303"/>
      <c r="G1303"/>
      <c r="H1303"/>
    </row>
    <row r="1304" spans="3:8" ht="15.75" x14ac:dyDescent="0.25">
      <c r="C1304"/>
      <c r="D1304"/>
      <c r="E1304"/>
      <c r="F1304"/>
      <c r="G1304"/>
      <c r="H1304"/>
    </row>
    <row r="1305" spans="3:8" ht="15.75" x14ac:dyDescent="0.25">
      <c r="C1305"/>
      <c r="D1305"/>
      <c r="E1305"/>
      <c r="F1305"/>
      <c r="G1305"/>
      <c r="H1305"/>
    </row>
    <row r="1306" spans="3:8" ht="15.75" x14ac:dyDescent="0.25">
      <c r="C1306"/>
      <c r="D1306"/>
      <c r="E1306"/>
      <c r="F1306"/>
      <c r="G1306"/>
      <c r="H1306"/>
    </row>
    <row r="1307" spans="3:8" ht="15.75" x14ac:dyDescent="0.25">
      <c r="C1307"/>
      <c r="D1307"/>
      <c r="E1307"/>
      <c r="F1307"/>
      <c r="G1307"/>
      <c r="H1307"/>
    </row>
    <row r="1308" spans="3:8" ht="15.75" x14ac:dyDescent="0.25">
      <c r="C1308"/>
      <c r="D1308"/>
      <c r="E1308"/>
      <c r="F1308"/>
      <c r="G1308"/>
      <c r="H1308"/>
    </row>
    <row r="1309" spans="3:8" ht="15.75" x14ac:dyDescent="0.25">
      <c r="C1309"/>
      <c r="D1309"/>
      <c r="E1309"/>
      <c r="F1309"/>
      <c r="G1309"/>
      <c r="H1309"/>
    </row>
    <row r="1310" spans="3:8" ht="15.75" x14ac:dyDescent="0.25">
      <c r="C1310"/>
      <c r="D1310"/>
      <c r="E1310"/>
      <c r="F1310"/>
      <c r="G1310"/>
      <c r="H1310"/>
    </row>
    <row r="1311" spans="3:8" ht="15.75" x14ac:dyDescent="0.25">
      <c r="C1311"/>
      <c r="D1311"/>
      <c r="E1311"/>
      <c r="F1311"/>
      <c r="G1311"/>
      <c r="H1311"/>
    </row>
    <row r="1312" spans="3:8" ht="15.75" x14ac:dyDescent="0.25">
      <c r="C1312"/>
      <c r="D1312"/>
      <c r="E1312"/>
      <c r="F1312"/>
      <c r="G1312"/>
      <c r="H1312"/>
    </row>
    <row r="1313" spans="3:8" ht="15.75" x14ac:dyDescent="0.25">
      <c r="C1313"/>
      <c r="D1313"/>
      <c r="E1313"/>
      <c r="F1313"/>
      <c r="G1313"/>
      <c r="H1313"/>
    </row>
    <row r="1314" spans="3:8" ht="15.75" x14ac:dyDescent="0.25">
      <c r="C1314"/>
      <c r="D1314"/>
      <c r="E1314"/>
      <c r="F1314"/>
      <c r="G1314"/>
      <c r="H1314"/>
    </row>
    <row r="1315" spans="3:8" ht="15.75" x14ac:dyDescent="0.25">
      <c r="C1315"/>
      <c r="D1315"/>
      <c r="E1315"/>
      <c r="F1315"/>
      <c r="G1315"/>
      <c r="H1315"/>
    </row>
    <row r="1316" spans="3:8" ht="15.75" x14ac:dyDescent="0.25">
      <c r="C1316"/>
      <c r="D1316"/>
      <c r="E1316"/>
      <c r="F1316"/>
      <c r="G1316"/>
      <c r="H1316"/>
    </row>
    <row r="1317" spans="3:8" ht="15.75" x14ac:dyDescent="0.25">
      <c r="C1317"/>
      <c r="D1317"/>
      <c r="E1317"/>
      <c r="F1317"/>
      <c r="G1317"/>
      <c r="H1317"/>
    </row>
    <row r="1318" spans="3:8" ht="15.75" x14ac:dyDescent="0.25">
      <c r="C1318"/>
      <c r="D1318"/>
      <c r="E1318"/>
      <c r="F1318"/>
      <c r="G1318"/>
      <c r="H1318"/>
    </row>
    <row r="1319" spans="3:8" ht="15.75" x14ac:dyDescent="0.25">
      <c r="C1319"/>
      <c r="D1319"/>
      <c r="E1319"/>
      <c r="F1319"/>
      <c r="G1319"/>
      <c r="H1319"/>
    </row>
    <row r="1320" spans="3:8" ht="15.75" x14ac:dyDescent="0.25">
      <c r="C1320"/>
      <c r="D1320"/>
      <c r="E1320"/>
      <c r="F1320"/>
      <c r="G1320"/>
      <c r="H1320"/>
    </row>
    <row r="1321" spans="3:8" ht="15.75" x14ac:dyDescent="0.25">
      <c r="C1321"/>
      <c r="D1321"/>
      <c r="E1321"/>
      <c r="F1321"/>
      <c r="G1321"/>
      <c r="H1321"/>
    </row>
    <row r="1322" spans="3:8" ht="15.75" x14ac:dyDescent="0.25">
      <c r="C1322"/>
      <c r="D1322"/>
      <c r="E1322"/>
      <c r="F1322"/>
      <c r="G1322"/>
      <c r="H1322"/>
    </row>
    <row r="1323" spans="3:8" ht="15.75" x14ac:dyDescent="0.25">
      <c r="C1323"/>
      <c r="D1323"/>
      <c r="E1323"/>
      <c r="F1323"/>
      <c r="G1323"/>
      <c r="H1323"/>
    </row>
    <row r="1324" spans="3:8" ht="15.75" x14ac:dyDescent="0.25">
      <c r="C1324"/>
      <c r="D1324"/>
      <c r="E1324"/>
      <c r="F1324"/>
      <c r="G1324"/>
      <c r="H1324"/>
    </row>
    <row r="1325" spans="3:8" ht="15.75" x14ac:dyDescent="0.25">
      <c r="C1325"/>
      <c r="D1325"/>
      <c r="E1325"/>
      <c r="F1325"/>
      <c r="G1325"/>
      <c r="H1325"/>
    </row>
    <row r="1326" spans="3:8" ht="15.75" x14ac:dyDescent="0.25">
      <c r="C1326"/>
      <c r="D1326"/>
      <c r="E1326"/>
      <c r="F1326"/>
      <c r="G1326"/>
      <c r="H1326"/>
    </row>
    <row r="1327" spans="3:8" ht="15.75" x14ac:dyDescent="0.25">
      <c r="C1327"/>
      <c r="D1327"/>
      <c r="E1327"/>
      <c r="F1327"/>
      <c r="G1327"/>
      <c r="H1327"/>
    </row>
    <row r="1328" spans="3:8" ht="15.75" x14ac:dyDescent="0.25">
      <c r="C1328"/>
      <c r="D1328"/>
      <c r="E1328"/>
      <c r="F1328"/>
      <c r="G1328"/>
      <c r="H1328"/>
    </row>
    <row r="1329" spans="3:8" ht="15.75" x14ac:dyDescent="0.25">
      <c r="C1329"/>
      <c r="D1329"/>
      <c r="E1329"/>
      <c r="F1329"/>
      <c r="G1329"/>
      <c r="H1329"/>
    </row>
    <row r="1330" spans="3:8" ht="15.75" x14ac:dyDescent="0.25">
      <c r="C1330"/>
      <c r="D1330"/>
      <c r="E1330"/>
      <c r="F1330"/>
      <c r="G1330"/>
      <c r="H1330"/>
    </row>
    <row r="1331" spans="3:8" ht="15.75" x14ac:dyDescent="0.25">
      <c r="C1331"/>
      <c r="D1331"/>
      <c r="E1331"/>
      <c r="F1331"/>
      <c r="G1331"/>
      <c r="H1331"/>
    </row>
    <row r="1332" spans="3:8" ht="15.75" x14ac:dyDescent="0.25">
      <c r="C1332"/>
      <c r="D1332"/>
      <c r="E1332"/>
      <c r="F1332"/>
      <c r="G1332"/>
      <c r="H1332"/>
    </row>
    <row r="1333" spans="3:8" ht="15.75" x14ac:dyDescent="0.25">
      <c r="C1333"/>
      <c r="D1333"/>
      <c r="E1333"/>
      <c r="F1333"/>
      <c r="G1333"/>
      <c r="H1333"/>
    </row>
    <row r="1334" spans="3:8" ht="15.75" x14ac:dyDescent="0.25">
      <c r="C1334"/>
      <c r="D1334"/>
      <c r="E1334"/>
      <c r="F1334"/>
      <c r="G1334"/>
      <c r="H1334"/>
    </row>
    <row r="1335" spans="3:8" ht="15.75" x14ac:dyDescent="0.25">
      <c r="C1335"/>
      <c r="D1335"/>
      <c r="E1335"/>
      <c r="F1335"/>
      <c r="G1335"/>
      <c r="H1335"/>
    </row>
    <row r="1336" spans="3:8" ht="15.75" x14ac:dyDescent="0.25">
      <c r="C1336"/>
      <c r="D1336"/>
      <c r="E1336"/>
      <c r="F1336"/>
      <c r="G1336"/>
      <c r="H1336"/>
    </row>
    <row r="1337" spans="3:8" ht="15.75" x14ac:dyDescent="0.25">
      <c r="C1337"/>
      <c r="D1337"/>
      <c r="E1337"/>
      <c r="F1337"/>
      <c r="G1337"/>
      <c r="H1337"/>
    </row>
    <row r="1338" spans="3:8" ht="15.75" x14ac:dyDescent="0.25">
      <c r="C1338"/>
      <c r="D1338"/>
      <c r="E1338"/>
      <c r="F1338"/>
      <c r="G1338"/>
      <c r="H1338"/>
    </row>
    <row r="1339" spans="3:8" ht="15.75" x14ac:dyDescent="0.25">
      <c r="C1339"/>
      <c r="D1339"/>
      <c r="E1339"/>
      <c r="F1339"/>
      <c r="G1339"/>
      <c r="H1339"/>
    </row>
    <row r="1340" spans="3:8" ht="15.75" x14ac:dyDescent="0.25">
      <c r="C1340"/>
      <c r="D1340"/>
      <c r="E1340"/>
      <c r="F1340"/>
      <c r="G1340"/>
      <c r="H1340"/>
    </row>
    <row r="1341" spans="3:8" ht="15.75" x14ac:dyDescent="0.25">
      <c r="C1341"/>
      <c r="D1341"/>
      <c r="E1341"/>
      <c r="F1341"/>
      <c r="G1341"/>
      <c r="H1341"/>
    </row>
    <row r="1342" spans="3:8" ht="15.75" x14ac:dyDescent="0.25">
      <c r="C1342"/>
      <c r="D1342"/>
      <c r="E1342"/>
      <c r="F1342"/>
      <c r="G1342"/>
      <c r="H1342"/>
    </row>
    <row r="1343" spans="3:8" ht="15.75" x14ac:dyDescent="0.25">
      <c r="C1343"/>
      <c r="D1343"/>
      <c r="E1343"/>
      <c r="F1343"/>
      <c r="G1343"/>
      <c r="H1343"/>
    </row>
    <row r="1344" spans="3:8" ht="15.75" x14ac:dyDescent="0.25">
      <c r="C1344"/>
      <c r="D1344"/>
      <c r="E1344"/>
      <c r="F1344"/>
      <c r="G1344"/>
      <c r="H1344"/>
    </row>
    <row r="1345" spans="3:8" ht="15.75" x14ac:dyDescent="0.25">
      <c r="C1345"/>
      <c r="D1345"/>
      <c r="E1345"/>
      <c r="F1345"/>
      <c r="G1345"/>
      <c r="H1345"/>
    </row>
    <row r="1346" spans="3:8" ht="15.75" x14ac:dyDescent="0.25">
      <c r="C1346"/>
      <c r="D1346"/>
      <c r="E1346"/>
      <c r="F1346"/>
      <c r="G1346"/>
      <c r="H1346"/>
    </row>
    <row r="1347" spans="3:8" ht="15.75" x14ac:dyDescent="0.25">
      <c r="C1347"/>
      <c r="D1347"/>
      <c r="E1347"/>
      <c r="F1347"/>
      <c r="G1347"/>
      <c r="H1347"/>
    </row>
    <row r="1348" spans="3:8" ht="15.75" x14ac:dyDescent="0.25">
      <c r="C1348"/>
      <c r="D1348"/>
      <c r="E1348"/>
      <c r="F1348"/>
      <c r="G1348"/>
      <c r="H1348"/>
    </row>
    <row r="1349" spans="3:8" ht="15.75" x14ac:dyDescent="0.25">
      <c r="C1349"/>
      <c r="D1349"/>
      <c r="E1349"/>
      <c r="F1349"/>
      <c r="G1349"/>
      <c r="H1349"/>
    </row>
    <row r="1350" spans="3:8" ht="15.75" x14ac:dyDescent="0.25">
      <c r="C1350"/>
      <c r="D1350"/>
      <c r="E1350"/>
      <c r="F1350"/>
      <c r="G1350"/>
      <c r="H1350"/>
    </row>
    <row r="1351" spans="3:8" ht="15.75" x14ac:dyDescent="0.25">
      <c r="C1351"/>
      <c r="D1351"/>
      <c r="E1351"/>
      <c r="F1351"/>
      <c r="G1351"/>
      <c r="H1351"/>
    </row>
    <row r="1352" spans="3:8" ht="15.75" x14ac:dyDescent="0.25">
      <c r="C1352"/>
      <c r="D1352"/>
      <c r="E1352"/>
      <c r="F1352"/>
      <c r="G1352"/>
      <c r="H1352"/>
    </row>
    <row r="1353" spans="3:8" ht="15.75" x14ac:dyDescent="0.25">
      <c r="C1353"/>
      <c r="D1353"/>
      <c r="E1353"/>
      <c r="F1353"/>
      <c r="G1353"/>
      <c r="H1353"/>
    </row>
    <row r="1354" spans="3:8" ht="15.75" x14ac:dyDescent="0.25">
      <c r="C1354"/>
      <c r="D1354"/>
      <c r="E1354"/>
      <c r="F1354"/>
      <c r="G1354"/>
      <c r="H1354"/>
    </row>
    <row r="1355" spans="3:8" ht="15.75" x14ac:dyDescent="0.25">
      <c r="C1355"/>
      <c r="D1355"/>
      <c r="E1355"/>
      <c r="F1355"/>
      <c r="G1355"/>
      <c r="H1355"/>
    </row>
    <row r="1356" spans="3:8" ht="15.75" x14ac:dyDescent="0.25">
      <c r="C1356"/>
      <c r="D1356"/>
      <c r="E1356"/>
      <c r="F1356"/>
      <c r="G1356"/>
      <c r="H1356"/>
    </row>
    <row r="1357" spans="3:8" ht="15.75" x14ac:dyDescent="0.25">
      <c r="C1357"/>
      <c r="D1357"/>
      <c r="E1357"/>
      <c r="F1357"/>
      <c r="G1357"/>
      <c r="H1357"/>
    </row>
    <row r="1358" spans="3:8" ht="15.75" x14ac:dyDescent="0.25">
      <c r="C1358"/>
      <c r="D1358"/>
      <c r="E1358"/>
      <c r="F1358"/>
      <c r="G1358"/>
      <c r="H1358"/>
    </row>
    <row r="1359" spans="3:8" ht="15.75" x14ac:dyDescent="0.25">
      <c r="C1359"/>
      <c r="D1359"/>
      <c r="E1359"/>
      <c r="F1359"/>
      <c r="G1359"/>
      <c r="H1359"/>
    </row>
    <row r="1360" spans="3:8" ht="15.75" x14ac:dyDescent="0.25">
      <c r="C1360"/>
      <c r="D1360"/>
      <c r="E1360"/>
      <c r="F1360"/>
      <c r="G1360"/>
      <c r="H1360"/>
    </row>
    <row r="1361" spans="3:8" ht="15.75" x14ac:dyDescent="0.25">
      <c r="C1361"/>
      <c r="D1361"/>
      <c r="E1361"/>
      <c r="F1361"/>
      <c r="G1361"/>
      <c r="H1361"/>
    </row>
    <row r="1362" spans="3:8" ht="15.75" x14ac:dyDescent="0.25">
      <c r="C1362"/>
      <c r="D1362"/>
      <c r="E1362"/>
      <c r="F1362"/>
      <c r="G1362"/>
      <c r="H1362"/>
    </row>
    <row r="1363" spans="3:8" ht="15.75" x14ac:dyDescent="0.25">
      <c r="C1363"/>
      <c r="D1363"/>
      <c r="E1363"/>
      <c r="F1363"/>
      <c r="G1363"/>
      <c r="H1363"/>
    </row>
    <row r="1364" spans="3:8" ht="15.75" x14ac:dyDescent="0.25">
      <c r="C1364"/>
      <c r="D1364"/>
      <c r="E1364"/>
      <c r="F1364"/>
      <c r="G1364"/>
      <c r="H1364"/>
    </row>
    <row r="1365" spans="3:8" ht="15.75" x14ac:dyDescent="0.25">
      <c r="C1365"/>
      <c r="D1365"/>
      <c r="E1365"/>
      <c r="F1365"/>
      <c r="G1365"/>
      <c r="H1365"/>
    </row>
    <row r="1366" spans="3:8" ht="15.75" x14ac:dyDescent="0.25">
      <c r="C1366"/>
      <c r="D1366"/>
      <c r="E1366"/>
      <c r="F1366"/>
      <c r="G1366"/>
      <c r="H1366"/>
    </row>
    <row r="1367" spans="3:8" ht="15.75" x14ac:dyDescent="0.25">
      <c r="C1367"/>
      <c r="D1367"/>
      <c r="E1367"/>
      <c r="F1367"/>
      <c r="G1367"/>
      <c r="H1367"/>
    </row>
    <row r="1368" spans="3:8" ht="15.75" x14ac:dyDescent="0.25">
      <c r="C1368"/>
      <c r="D1368"/>
      <c r="E1368"/>
      <c r="F1368"/>
      <c r="G1368"/>
      <c r="H1368"/>
    </row>
    <row r="1369" spans="3:8" ht="15.75" x14ac:dyDescent="0.25">
      <c r="C1369"/>
      <c r="D1369"/>
      <c r="E1369"/>
      <c r="F1369"/>
      <c r="G1369"/>
      <c r="H1369"/>
    </row>
    <row r="1370" spans="3:8" ht="15.75" x14ac:dyDescent="0.25">
      <c r="C1370"/>
      <c r="D1370"/>
      <c r="E1370"/>
      <c r="F1370"/>
      <c r="G1370"/>
      <c r="H1370"/>
    </row>
    <row r="1371" spans="3:8" ht="15.75" x14ac:dyDescent="0.25">
      <c r="C1371"/>
      <c r="D1371"/>
      <c r="E1371"/>
      <c r="F1371"/>
      <c r="G1371"/>
      <c r="H1371"/>
    </row>
    <row r="1372" spans="3:8" ht="15.75" x14ac:dyDescent="0.25">
      <c r="C1372"/>
      <c r="D1372"/>
      <c r="E1372"/>
      <c r="F1372"/>
      <c r="G1372"/>
      <c r="H1372"/>
    </row>
    <row r="1373" spans="3:8" ht="15.75" x14ac:dyDescent="0.25">
      <c r="C1373"/>
      <c r="D1373"/>
      <c r="E1373"/>
      <c r="F1373"/>
      <c r="G1373"/>
      <c r="H1373"/>
    </row>
    <row r="1374" spans="3:8" ht="15.75" x14ac:dyDescent="0.25">
      <c r="C1374"/>
      <c r="D1374"/>
      <c r="E1374"/>
      <c r="F1374"/>
      <c r="G1374"/>
      <c r="H1374"/>
    </row>
    <row r="1375" spans="3:8" ht="15.75" x14ac:dyDescent="0.25">
      <c r="C1375"/>
      <c r="D1375"/>
      <c r="E1375"/>
      <c r="F1375"/>
      <c r="G1375"/>
      <c r="H1375"/>
    </row>
    <row r="1376" spans="3:8" ht="15.75" x14ac:dyDescent="0.25">
      <c r="C1376"/>
      <c r="D1376"/>
      <c r="E1376"/>
      <c r="F1376"/>
      <c r="G1376"/>
      <c r="H1376"/>
    </row>
    <row r="1377" spans="3:8" ht="15.75" x14ac:dyDescent="0.25">
      <c r="C1377"/>
      <c r="D1377"/>
      <c r="E1377"/>
      <c r="F1377"/>
      <c r="G1377"/>
      <c r="H1377"/>
    </row>
    <row r="1378" spans="3:8" ht="15.75" x14ac:dyDescent="0.25">
      <c r="C1378"/>
      <c r="D1378"/>
      <c r="E1378"/>
      <c r="F1378"/>
      <c r="G1378"/>
      <c r="H1378"/>
    </row>
    <row r="1379" spans="3:8" ht="15.75" x14ac:dyDescent="0.25">
      <c r="C1379"/>
      <c r="D1379"/>
      <c r="E1379"/>
      <c r="F1379"/>
      <c r="G1379"/>
      <c r="H1379"/>
    </row>
    <row r="1380" spans="3:8" ht="15.75" x14ac:dyDescent="0.25">
      <c r="C1380"/>
      <c r="D1380"/>
      <c r="E1380"/>
      <c r="F1380"/>
      <c r="G1380"/>
      <c r="H1380"/>
    </row>
    <row r="1381" spans="3:8" ht="15.75" x14ac:dyDescent="0.25">
      <c r="C1381"/>
      <c r="D1381"/>
      <c r="E1381"/>
      <c r="F1381"/>
      <c r="G1381"/>
      <c r="H1381"/>
    </row>
    <row r="1382" spans="3:8" ht="15.75" x14ac:dyDescent="0.25">
      <c r="C1382"/>
      <c r="D1382"/>
      <c r="E1382"/>
      <c r="F1382"/>
      <c r="G1382"/>
      <c r="H1382"/>
    </row>
    <row r="1383" spans="3:8" ht="15.75" x14ac:dyDescent="0.25">
      <c r="C1383"/>
      <c r="D1383"/>
      <c r="E1383"/>
      <c r="F1383"/>
      <c r="G1383"/>
      <c r="H1383"/>
    </row>
    <row r="1384" spans="3:8" ht="15.75" x14ac:dyDescent="0.25">
      <c r="C1384"/>
      <c r="D1384"/>
      <c r="E1384"/>
      <c r="F1384"/>
      <c r="G1384"/>
      <c r="H1384"/>
    </row>
    <row r="1385" spans="3:8" ht="15.75" x14ac:dyDescent="0.25">
      <c r="C1385"/>
      <c r="D1385"/>
      <c r="E1385"/>
      <c r="F1385"/>
      <c r="G1385"/>
      <c r="H1385"/>
    </row>
    <row r="1386" spans="3:8" ht="15.75" x14ac:dyDescent="0.25">
      <c r="C1386"/>
      <c r="D1386"/>
      <c r="E1386"/>
      <c r="F1386"/>
      <c r="G1386"/>
      <c r="H1386"/>
    </row>
    <row r="1387" spans="3:8" ht="15.75" x14ac:dyDescent="0.25">
      <c r="C1387"/>
      <c r="D1387"/>
      <c r="E1387"/>
      <c r="F1387"/>
      <c r="G1387"/>
      <c r="H1387"/>
    </row>
    <row r="1388" spans="3:8" ht="15.75" x14ac:dyDescent="0.25">
      <c r="C1388"/>
      <c r="D1388"/>
      <c r="E1388"/>
      <c r="F1388"/>
      <c r="G1388"/>
      <c r="H1388"/>
    </row>
    <row r="1389" spans="3:8" ht="15.75" x14ac:dyDescent="0.25">
      <c r="C1389"/>
      <c r="D1389"/>
      <c r="E1389"/>
      <c r="F1389"/>
      <c r="G1389"/>
      <c r="H1389"/>
    </row>
    <row r="1390" spans="3:8" ht="15.75" x14ac:dyDescent="0.25">
      <c r="C1390"/>
      <c r="D1390"/>
      <c r="E1390"/>
      <c r="F1390"/>
      <c r="G1390"/>
      <c r="H1390"/>
    </row>
    <row r="1391" spans="3:8" ht="15.75" x14ac:dyDescent="0.25">
      <c r="C1391"/>
      <c r="D1391"/>
      <c r="E1391"/>
      <c r="F1391"/>
      <c r="G1391"/>
      <c r="H1391"/>
    </row>
    <row r="1392" spans="3:8" ht="15.75" x14ac:dyDescent="0.25">
      <c r="C1392"/>
      <c r="D1392"/>
      <c r="E1392"/>
      <c r="F1392"/>
      <c r="G1392"/>
      <c r="H1392"/>
    </row>
    <row r="1393" spans="3:8" ht="15.75" x14ac:dyDescent="0.25">
      <c r="C1393"/>
      <c r="D1393"/>
      <c r="E1393"/>
      <c r="F1393"/>
      <c r="G1393"/>
      <c r="H1393"/>
    </row>
    <row r="1394" spans="3:8" ht="15.75" x14ac:dyDescent="0.25">
      <c r="C1394"/>
      <c r="D1394"/>
      <c r="E1394"/>
      <c r="F1394"/>
      <c r="G1394"/>
      <c r="H1394"/>
    </row>
    <row r="1395" spans="3:8" ht="15.75" x14ac:dyDescent="0.25">
      <c r="C1395"/>
      <c r="D1395"/>
      <c r="E1395"/>
      <c r="F1395"/>
      <c r="G1395"/>
      <c r="H1395"/>
    </row>
    <row r="1396" spans="3:8" ht="15.75" x14ac:dyDescent="0.25">
      <c r="C1396"/>
      <c r="D1396"/>
      <c r="E1396"/>
      <c r="F1396"/>
      <c r="G1396"/>
      <c r="H1396"/>
    </row>
    <row r="1397" spans="3:8" ht="15.75" x14ac:dyDescent="0.25">
      <c r="C1397"/>
      <c r="D1397"/>
      <c r="E1397"/>
      <c r="F1397"/>
      <c r="G1397"/>
      <c r="H1397"/>
    </row>
    <row r="1398" spans="3:8" ht="15.75" x14ac:dyDescent="0.25">
      <c r="C1398"/>
      <c r="D1398"/>
      <c r="E1398"/>
      <c r="F1398"/>
      <c r="G1398"/>
      <c r="H1398"/>
    </row>
    <row r="1399" spans="3:8" ht="15.75" x14ac:dyDescent="0.25">
      <c r="C1399"/>
      <c r="D1399"/>
      <c r="E1399"/>
      <c r="F1399"/>
      <c r="G1399"/>
      <c r="H1399"/>
    </row>
    <row r="1400" spans="3:8" ht="15.75" x14ac:dyDescent="0.25">
      <c r="C1400"/>
      <c r="D1400"/>
      <c r="E1400"/>
      <c r="F1400"/>
      <c r="G1400"/>
      <c r="H1400"/>
    </row>
    <row r="1401" spans="3:8" ht="15.75" x14ac:dyDescent="0.25">
      <c r="C1401"/>
      <c r="D1401"/>
      <c r="E1401"/>
      <c r="F1401"/>
      <c r="G1401"/>
      <c r="H1401"/>
    </row>
    <row r="1402" spans="3:8" ht="15.75" x14ac:dyDescent="0.25">
      <c r="C1402"/>
      <c r="D1402"/>
      <c r="E1402"/>
      <c r="F1402"/>
      <c r="G1402"/>
      <c r="H1402"/>
    </row>
    <row r="1403" spans="3:8" ht="15.75" x14ac:dyDescent="0.25">
      <c r="C1403"/>
      <c r="D1403"/>
      <c r="E1403"/>
      <c r="F1403"/>
      <c r="G1403"/>
      <c r="H1403"/>
    </row>
    <row r="1404" spans="3:8" ht="15.75" x14ac:dyDescent="0.25">
      <c r="C1404"/>
      <c r="D1404"/>
      <c r="E1404"/>
      <c r="F1404"/>
      <c r="G1404"/>
      <c r="H1404"/>
    </row>
    <row r="1405" spans="3:8" ht="15.75" x14ac:dyDescent="0.25">
      <c r="C1405"/>
      <c r="D1405"/>
      <c r="E1405"/>
      <c r="F1405"/>
      <c r="G1405"/>
      <c r="H1405"/>
    </row>
    <row r="1406" spans="3:8" ht="15.75" x14ac:dyDescent="0.25">
      <c r="C1406"/>
      <c r="D1406"/>
      <c r="E1406"/>
      <c r="F1406"/>
      <c r="G1406"/>
      <c r="H1406"/>
    </row>
    <row r="1407" spans="3:8" ht="15.75" x14ac:dyDescent="0.25">
      <c r="C1407"/>
      <c r="D1407"/>
      <c r="E1407"/>
      <c r="F1407"/>
      <c r="G1407"/>
      <c r="H1407"/>
    </row>
    <row r="1408" spans="3:8" ht="15.75" x14ac:dyDescent="0.25">
      <c r="C1408"/>
      <c r="D1408"/>
      <c r="E1408"/>
      <c r="F1408"/>
      <c r="G1408"/>
      <c r="H1408"/>
    </row>
    <row r="1409" spans="3:8" ht="15.75" x14ac:dyDescent="0.25">
      <c r="C1409"/>
      <c r="D1409"/>
      <c r="E1409"/>
      <c r="F1409"/>
      <c r="G1409"/>
      <c r="H1409"/>
    </row>
    <row r="1410" spans="3:8" ht="15.75" x14ac:dyDescent="0.25">
      <c r="C1410"/>
      <c r="D1410"/>
      <c r="E1410"/>
      <c r="F1410"/>
      <c r="G1410"/>
      <c r="H1410"/>
    </row>
    <row r="1411" spans="3:8" ht="15.75" x14ac:dyDescent="0.25">
      <c r="C1411"/>
      <c r="D1411"/>
      <c r="E1411"/>
      <c r="F1411"/>
      <c r="G1411"/>
      <c r="H1411"/>
    </row>
    <row r="1412" spans="3:8" ht="15.75" x14ac:dyDescent="0.25">
      <c r="C1412"/>
      <c r="D1412"/>
      <c r="E1412"/>
      <c r="F1412"/>
      <c r="G1412"/>
      <c r="H1412"/>
    </row>
    <row r="1413" spans="3:8" ht="15.75" x14ac:dyDescent="0.25">
      <c r="C1413"/>
      <c r="D1413"/>
      <c r="E1413"/>
      <c r="F1413"/>
      <c r="G1413"/>
      <c r="H1413"/>
    </row>
    <row r="1414" spans="3:8" ht="15.75" x14ac:dyDescent="0.25">
      <c r="C1414"/>
      <c r="D1414"/>
      <c r="E1414"/>
      <c r="F1414"/>
      <c r="G1414"/>
      <c r="H1414"/>
    </row>
    <row r="1415" spans="3:8" ht="15.75" x14ac:dyDescent="0.25">
      <c r="C1415"/>
      <c r="D1415"/>
      <c r="E1415"/>
      <c r="F1415"/>
      <c r="G1415"/>
      <c r="H1415"/>
    </row>
    <row r="1416" spans="3:8" ht="15.75" x14ac:dyDescent="0.25">
      <c r="C1416"/>
      <c r="D1416"/>
      <c r="E1416"/>
      <c r="F1416"/>
      <c r="G1416"/>
      <c r="H1416"/>
    </row>
    <row r="1417" spans="3:8" ht="15.75" x14ac:dyDescent="0.25">
      <c r="C1417"/>
      <c r="D1417"/>
      <c r="E1417"/>
      <c r="F1417"/>
      <c r="G1417"/>
      <c r="H1417"/>
    </row>
    <row r="1418" spans="3:8" ht="15.75" x14ac:dyDescent="0.25">
      <c r="C1418"/>
      <c r="D1418"/>
      <c r="E1418"/>
      <c r="F1418"/>
      <c r="G1418"/>
      <c r="H1418"/>
    </row>
    <row r="1419" spans="3:8" ht="15.75" x14ac:dyDescent="0.25">
      <c r="C1419"/>
      <c r="D1419"/>
      <c r="E1419"/>
      <c r="F1419"/>
      <c r="G1419"/>
      <c r="H1419"/>
    </row>
    <row r="1420" spans="3:8" ht="15.75" x14ac:dyDescent="0.25">
      <c r="C1420"/>
      <c r="D1420"/>
      <c r="E1420"/>
      <c r="F1420"/>
      <c r="G1420"/>
      <c r="H1420"/>
    </row>
    <row r="1421" spans="3:8" ht="15.75" x14ac:dyDescent="0.25">
      <c r="C1421"/>
      <c r="D1421"/>
      <c r="E1421"/>
      <c r="F1421"/>
      <c r="G1421"/>
      <c r="H1421"/>
    </row>
    <row r="1422" spans="3:8" ht="15.75" x14ac:dyDescent="0.25">
      <c r="C1422"/>
      <c r="D1422"/>
      <c r="E1422"/>
      <c r="F1422"/>
      <c r="G1422"/>
      <c r="H1422"/>
    </row>
    <row r="1423" spans="3:8" ht="15.75" x14ac:dyDescent="0.25">
      <c r="C1423"/>
      <c r="D1423"/>
      <c r="E1423"/>
      <c r="F1423"/>
      <c r="G1423"/>
      <c r="H1423"/>
    </row>
    <row r="1424" spans="3:8" ht="15.75" x14ac:dyDescent="0.25">
      <c r="C1424"/>
      <c r="D1424"/>
      <c r="E1424"/>
      <c r="F1424"/>
      <c r="G1424"/>
      <c r="H1424"/>
    </row>
    <row r="1425" spans="3:8" ht="15.75" x14ac:dyDescent="0.25">
      <c r="C1425"/>
      <c r="D1425"/>
      <c r="E1425"/>
      <c r="F1425"/>
      <c r="G1425"/>
      <c r="H1425"/>
    </row>
    <row r="1426" spans="3:8" ht="15.75" x14ac:dyDescent="0.25">
      <c r="C1426"/>
      <c r="D1426"/>
      <c r="E1426"/>
      <c r="F1426"/>
      <c r="G1426"/>
      <c r="H1426"/>
    </row>
    <row r="1427" spans="3:8" ht="15.75" x14ac:dyDescent="0.25">
      <c r="C1427"/>
      <c r="D1427"/>
      <c r="E1427"/>
      <c r="F1427"/>
      <c r="G1427"/>
      <c r="H1427"/>
    </row>
    <row r="1428" spans="3:8" ht="15.75" x14ac:dyDescent="0.25">
      <c r="C1428"/>
      <c r="D1428"/>
      <c r="E1428"/>
      <c r="F1428"/>
      <c r="G1428"/>
      <c r="H1428"/>
    </row>
    <row r="1429" spans="3:8" ht="15.75" x14ac:dyDescent="0.25">
      <c r="C1429"/>
      <c r="D1429"/>
      <c r="E1429"/>
      <c r="F1429"/>
      <c r="G1429"/>
      <c r="H1429"/>
    </row>
    <row r="1430" spans="3:8" ht="15.75" x14ac:dyDescent="0.25">
      <c r="C1430"/>
      <c r="D1430"/>
      <c r="E1430"/>
      <c r="F1430"/>
      <c r="G1430"/>
      <c r="H1430"/>
    </row>
    <row r="1431" spans="3:8" ht="15.75" x14ac:dyDescent="0.25">
      <c r="C1431"/>
      <c r="D1431"/>
      <c r="E1431"/>
      <c r="F1431"/>
      <c r="G1431"/>
      <c r="H1431"/>
    </row>
    <row r="1432" spans="3:8" ht="15.75" x14ac:dyDescent="0.25">
      <c r="C1432"/>
      <c r="D1432"/>
      <c r="E1432"/>
      <c r="F1432"/>
      <c r="G1432"/>
      <c r="H1432"/>
    </row>
    <row r="1433" spans="3:8" ht="15.75" x14ac:dyDescent="0.25">
      <c r="C1433"/>
      <c r="D1433"/>
      <c r="E1433"/>
      <c r="F1433"/>
      <c r="G1433"/>
      <c r="H1433"/>
    </row>
    <row r="1434" spans="3:8" ht="15.75" x14ac:dyDescent="0.25">
      <c r="C1434"/>
      <c r="D1434"/>
      <c r="E1434"/>
      <c r="F1434"/>
      <c r="G1434"/>
      <c r="H1434"/>
    </row>
    <row r="1435" spans="3:8" ht="15.75" x14ac:dyDescent="0.25">
      <c r="C1435"/>
      <c r="D1435"/>
      <c r="E1435"/>
      <c r="F1435"/>
      <c r="G1435"/>
      <c r="H1435"/>
    </row>
    <row r="1436" spans="3:8" ht="15.75" x14ac:dyDescent="0.25">
      <c r="C1436"/>
      <c r="D1436"/>
      <c r="E1436"/>
      <c r="F1436"/>
      <c r="G1436"/>
      <c r="H1436"/>
    </row>
    <row r="1437" spans="3:8" ht="15.75" x14ac:dyDescent="0.25">
      <c r="C1437"/>
      <c r="D1437"/>
      <c r="E1437"/>
      <c r="F1437"/>
      <c r="G1437"/>
      <c r="H1437"/>
    </row>
    <row r="1438" spans="3:8" ht="15.75" x14ac:dyDescent="0.25">
      <c r="C1438"/>
      <c r="D1438"/>
      <c r="E1438"/>
      <c r="F1438"/>
      <c r="G1438"/>
      <c r="H1438"/>
    </row>
    <row r="1439" spans="3:8" ht="15.75" x14ac:dyDescent="0.25">
      <c r="C1439"/>
      <c r="D1439"/>
      <c r="E1439"/>
      <c r="F1439"/>
      <c r="G1439"/>
      <c r="H1439"/>
    </row>
    <row r="1440" spans="3:8" ht="15.75" x14ac:dyDescent="0.25">
      <c r="C1440"/>
      <c r="D1440"/>
      <c r="E1440"/>
      <c r="F1440"/>
      <c r="G1440"/>
      <c r="H1440"/>
    </row>
    <row r="1441" spans="3:8" ht="15.75" x14ac:dyDescent="0.25">
      <c r="C1441"/>
      <c r="D1441"/>
      <c r="E1441"/>
      <c r="F1441"/>
      <c r="G1441"/>
      <c r="H1441"/>
    </row>
    <row r="1442" spans="3:8" ht="15.75" x14ac:dyDescent="0.25">
      <c r="C1442"/>
      <c r="D1442"/>
      <c r="E1442"/>
      <c r="F1442"/>
      <c r="G1442"/>
      <c r="H1442"/>
    </row>
    <row r="1443" spans="3:8" ht="15.75" x14ac:dyDescent="0.25">
      <c r="C1443"/>
      <c r="D1443"/>
      <c r="E1443"/>
      <c r="F1443"/>
      <c r="G1443"/>
      <c r="H1443"/>
    </row>
    <row r="1444" spans="3:8" ht="15.75" x14ac:dyDescent="0.25">
      <c r="C1444"/>
      <c r="D1444"/>
      <c r="E1444"/>
      <c r="F1444"/>
      <c r="G1444"/>
      <c r="H1444"/>
    </row>
    <row r="1445" spans="3:8" ht="15.75" x14ac:dyDescent="0.25">
      <c r="C1445"/>
      <c r="D1445"/>
      <c r="E1445"/>
      <c r="F1445"/>
      <c r="G1445"/>
      <c r="H1445"/>
    </row>
    <row r="1446" spans="3:8" ht="15.75" x14ac:dyDescent="0.25">
      <c r="C1446"/>
      <c r="D1446"/>
      <c r="E1446"/>
      <c r="F1446"/>
      <c r="G1446"/>
      <c r="H1446"/>
    </row>
    <row r="1447" spans="3:8" ht="15.75" x14ac:dyDescent="0.25">
      <c r="C1447"/>
      <c r="D1447"/>
      <c r="E1447"/>
      <c r="F1447"/>
      <c r="G1447"/>
      <c r="H1447"/>
    </row>
    <row r="1448" spans="3:8" ht="15.75" x14ac:dyDescent="0.25">
      <c r="C1448"/>
      <c r="D1448"/>
      <c r="E1448"/>
      <c r="F1448"/>
      <c r="G1448"/>
      <c r="H1448"/>
    </row>
    <row r="1449" spans="3:8" ht="15.75" x14ac:dyDescent="0.25">
      <c r="C1449"/>
      <c r="D1449"/>
      <c r="E1449"/>
      <c r="F1449"/>
      <c r="G1449"/>
      <c r="H1449"/>
    </row>
    <row r="1450" spans="3:8" ht="15.75" x14ac:dyDescent="0.25">
      <c r="C1450"/>
      <c r="D1450"/>
      <c r="E1450"/>
      <c r="F1450"/>
      <c r="G1450"/>
      <c r="H1450"/>
    </row>
    <row r="1451" spans="3:8" ht="15.75" x14ac:dyDescent="0.25">
      <c r="C1451"/>
      <c r="D1451"/>
      <c r="E1451"/>
      <c r="F1451"/>
      <c r="G1451"/>
      <c r="H1451"/>
    </row>
    <row r="1452" spans="3:8" ht="15.75" x14ac:dyDescent="0.25">
      <c r="C1452"/>
      <c r="D1452"/>
      <c r="E1452"/>
      <c r="F1452"/>
      <c r="G1452"/>
      <c r="H1452"/>
    </row>
    <row r="1453" spans="3:8" ht="15.75" x14ac:dyDescent="0.25">
      <c r="C1453"/>
      <c r="D1453"/>
      <c r="E1453"/>
      <c r="F1453"/>
      <c r="G1453"/>
      <c r="H1453"/>
    </row>
    <row r="1454" spans="3:8" ht="15.75" x14ac:dyDescent="0.25">
      <c r="C1454"/>
      <c r="D1454"/>
      <c r="E1454"/>
      <c r="F1454"/>
      <c r="G1454"/>
      <c r="H1454"/>
    </row>
    <row r="1455" spans="3:8" ht="15.75" x14ac:dyDescent="0.25">
      <c r="C1455"/>
      <c r="D1455"/>
      <c r="E1455"/>
      <c r="F1455"/>
      <c r="G1455"/>
      <c r="H1455"/>
    </row>
    <row r="1456" spans="3:8" ht="15.75" x14ac:dyDescent="0.25">
      <c r="C1456"/>
      <c r="D1456"/>
      <c r="E1456"/>
      <c r="F1456"/>
      <c r="G1456"/>
      <c r="H1456"/>
    </row>
    <row r="1457" spans="3:8" ht="15.75" x14ac:dyDescent="0.25">
      <c r="C1457"/>
      <c r="D1457"/>
      <c r="E1457"/>
      <c r="F1457"/>
      <c r="G1457"/>
      <c r="H1457"/>
    </row>
    <row r="1458" spans="3:8" ht="15.75" x14ac:dyDescent="0.25">
      <c r="C1458"/>
      <c r="D1458"/>
      <c r="E1458"/>
      <c r="F1458"/>
      <c r="G1458"/>
      <c r="H1458"/>
    </row>
    <row r="1459" spans="3:8" ht="15.75" x14ac:dyDescent="0.25">
      <c r="C1459"/>
      <c r="D1459"/>
      <c r="E1459"/>
      <c r="F1459"/>
      <c r="G1459"/>
      <c r="H1459"/>
    </row>
    <row r="1460" spans="3:8" ht="15.75" x14ac:dyDescent="0.25">
      <c r="C1460"/>
      <c r="D1460"/>
      <c r="E1460"/>
      <c r="F1460"/>
      <c r="G1460"/>
      <c r="H1460"/>
    </row>
    <row r="1461" spans="3:8" ht="15.75" x14ac:dyDescent="0.25">
      <c r="C1461"/>
      <c r="D1461"/>
      <c r="E1461"/>
      <c r="F1461"/>
      <c r="G1461"/>
      <c r="H1461"/>
    </row>
    <row r="1462" spans="3:8" ht="15.75" x14ac:dyDescent="0.25">
      <c r="C1462"/>
      <c r="D1462"/>
      <c r="E1462"/>
      <c r="F1462"/>
      <c r="G1462"/>
      <c r="H1462"/>
    </row>
    <row r="1463" spans="3:8" ht="15.75" x14ac:dyDescent="0.25">
      <c r="C1463"/>
      <c r="D1463"/>
      <c r="E1463"/>
      <c r="F1463"/>
      <c r="G1463"/>
      <c r="H1463"/>
    </row>
    <row r="1464" spans="3:8" ht="15.75" x14ac:dyDescent="0.25">
      <c r="C1464"/>
      <c r="D1464"/>
      <c r="E1464"/>
      <c r="F1464"/>
      <c r="G1464"/>
      <c r="H1464"/>
    </row>
    <row r="1465" spans="3:8" ht="15.75" x14ac:dyDescent="0.25">
      <c r="C1465"/>
      <c r="D1465"/>
      <c r="E1465"/>
      <c r="F1465"/>
      <c r="G1465"/>
      <c r="H1465"/>
    </row>
    <row r="1466" spans="3:8" ht="15.75" x14ac:dyDescent="0.25">
      <c r="C1466"/>
      <c r="D1466"/>
      <c r="E1466"/>
      <c r="F1466"/>
      <c r="G1466"/>
      <c r="H1466"/>
    </row>
    <row r="1467" spans="3:8" ht="15.75" x14ac:dyDescent="0.25">
      <c r="C1467"/>
      <c r="D1467"/>
      <c r="E1467"/>
      <c r="F1467"/>
      <c r="G1467"/>
      <c r="H1467"/>
    </row>
    <row r="1468" spans="3:8" ht="15.75" x14ac:dyDescent="0.25">
      <c r="C1468"/>
      <c r="D1468"/>
      <c r="E1468"/>
      <c r="F1468"/>
      <c r="G1468"/>
      <c r="H1468"/>
    </row>
    <row r="1469" spans="3:8" ht="15.75" x14ac:dyDescent="0.25">
      <c r="C1469"/>
      <c r="D1469"/>
      <c r="E1469"/>
      <c r="F1469"/>
      <c r="G1469"/>
      <c r="H1469"/>
    </row>
    <row r="1470" spans="3:8" ht="15.75" x14ac:dyDescent="0.25">
      <c r="C1470"/>
      <c r="D1470"/>
      <c r="E1470"/>
      <c r="F1470"/>
      <c r="G1470"/>
      <c r="H1470"/>
    </row>
    <row r="1471" spans="3:8" ht="15.75" x14ac:dyDescent="0.25">
      <c r="C1471"/>
      <c r="D1471"/>
      <c r="E1471"/>
      <c r="F1471"/>
      <c r="G1471"/>
      <c r="H1471"/>
    </row>
    <row r="1472" spans="3:8" ht="15.75" x14ac:dyDescent="0.25">
      <c r="C1472"/>
      <c r="D1472"/>
      <c r="E1472"/>
      <c r="F1472"/>
      <c r="G1472"/>
      <c r="H1472"/>
    </row>
    <row r="1473" spans="3:8" ht="15.75" x14ac:dyDescent="0.25">
      <c r="C1473"/>
      <c r="D1473"/>
      <c r="E1473"/>
      <c r="F1473"/>
      <c r="G1473"/>
      <c r="H1473"/>
    </row>
    <row r="1474" spans="3:8" ht="15.75" x14ac:dyDescent="0.25">
      <c r="C1474"/>
      <c r="D1474"/>
      <c r="E1474"/>
      <c r="F1474"/>
      <c r="G1474"/>
      <c r="H1474"/>
    </row>
    <row r="1475" spans="3:8" ht="15.75" x14ac:dyDescent="0.25">
      <c r="C1475"/>
      <c r="D1475"/>
      <c r="E1475"/>
      <c r="F1475"/>
      <c r="G1475"/>
      <c r="H1475"/>
    </row>
    <row r="1476" spans="3:8" ht="15.75" x14ac:dyDescent="0.25">
      <c r="C1476"/>
      <c r="D1476"/>
      <c r="E1476"/>
      <c r="F1476"/>
      <c r="G1476"/>
      <c r="H1476"/>
    </row>
    <row r="1477" spans="3:8" ht="15.75" x14ac:dyDescent="0.25">
      <c r="C1477"/>
      <c r="D1477"/>
      <c r="E1477"/>
      <c r="F1477"/>
      <c r="G1477"/>
      <c r="H1477"/>
    </row>
    <row r="1478" spans="3:8" ht="15.75" x14ac:dyDescent="0.25">
      <c r="C1478"/>
      <c r="D1478"/>
      <c r="E1478"/>
      <c r="F1478"/>
      <c r="G1478"/>
      <c r="H1478"/>
    </row>
    <row r="1479" spans="3:8" ht="15.75" x14ac:dyDescent="0.25">
      <c r="C1479"/>
      <c r="D1479"/>
      <c r="E1479"/>
      <c r="F1479"/>
      <c r="G1479"/>
      <c r="H1479"/>
    </row>
    <row r="1480" spans="3:8" ht="15.75" x14ac:dyDescent="0.25">
      <c r="C1480"/>
      <c r="D1480"/>
      <c r="E1480"/>
      <c r="F1480"/>
      <c r="G1480"/>
      <c r="H1480"/>
    </row>
    <row r="1481" spans="3:8" ht="15.75" x14ac:dyDescent="0.25">
      <c r="C1481"/>
      <c r="D1481"/>
      <c r="E1481"/>
      <c r="F1481"/>
      <c r="G1481"/>
      <c r="H1481"/>
    </row>
    <row r="1482" spans="3:8" ht="15.75" x14ac:dyDescent="0.25">
      <c r="C1482"/>
      <c r="D1482"/>
      <c r="E1482"/>
      <c r="F1482"/>
      <c r="G1482"/>
      <c r="H1482"/>
    </row>
    <row r="1483" spans="3:8" ht="15.75" x14ac:dyDescent="0.25">
      <c r="C1483"/>
      <c r="D1483"/>
      <c r="E1483"/>
      <c r="F1483"/>
      <c r="G1483"/>
      <c r="H1483"/>
    </row>
    <row r="1484" spans="3:8" ht="15.75" x14ac:dyDescent="0.25">
      <c r="C1484"/>
      <c r="D1484"/>
      <c r="E1484"/>
      <c r="F1484"/>
      <c r="G1484"/>
      <c r="H1484"/>
    </row>
    <row r="1485" spans="3:8" ht="15.75" x14ac:dyDescent="0.25">
      <c r="C1485"/>
      <c r="D1485"/>
      <c r="E1485"/>
      <c r="F1485"/>
      <c r="G1485"/>
      <c r="H1485"/>
    </row>
    <row r="1486" spans="3:8" ht="15.75" x14ac:dyDescent="0.25">
      <c r="C1486"/>
      <c r="D1486"/>
      <c r="E1486"/>
      <c r="F1486"/>
      <c r="G1486"/>
      <c r="H1486"/>
    </row>
    <row r="1487" spans="3:8" ht="15.75" x14ac:dyDescent="0.25">
      <c r="C1487"/>
      <c r="D1487"/>
      <c r="E1487"/>
      <c r="F1487"/>
      <c r="G1487"/>
      <c r="H1487"/>
    </row>
    <row r="1488" spans="3:8" ht="15.75" x14ac:dyDescent="0.25">
      <c r="C1488"/>
      <c r="D1488"/>
      <c r="E1488"/>
      <c r="F1488"/>
      <c r="G1488"/>
      <c r="H1488"/>
    </row>
    <row r="1489" spans="3:8" ht="15.75" x14ac:dyDescent="0.25">
      <c r="C1489"/>
      <c r="D1489"/>
      <c r="E1489"/>
      <c r="F1489"/>
      <c r="G1489"/>
      <c r="H1489"/>
    </row>
    <row r="1490" spans="3:8" ht="15.75" x14ac:dyDescent="0.25">
      <c r="C1490"/>
      <c r="D1490"/>
      <c r="E1490"/>
      <c r="F1490"/>
      <c r="G1490"/>
      <c r="H1490"/>
    </row>
    <row r="1491" spans="3:8" ht="15.75" x14ac:dyDescent="0.25">
      <c r="C1491"/>
      <c r="D1491"/>
      <c r="E1491"/>
      <c r="F1491"/>
      <c r="G1491"/>
      <c r="H1491"/>
    </row>
    <row r="1492" spans="3:8" ht="15.75" x14ac:dyDescent="0.25">
      <c r="C1492"/>
      <c r="D1492"/>
      <c r="E1492"/>
      <c r="F1492"/>
      <c r="G1492"/>
      <c r="H1492"/>
    </row>
    <row r="1493" spans="3:8" ht="15.75" x14ac:dyDescent="0.25">
      <c r="C1493"/>
      <c r="D1493"/>
      <c r="E1493"/>
      <c r="F1493"/>
      <c r="G1493"/>
      <c r="H1493"/>
    </row>
    <row r="1494" spans="3:8" ht="15.75" x14ac:dyDescent="0.25">
      <c r="C1494"/>
      <c r="D1494"/>
      <c r="E1494"/>
      <c r="F1494"/>
      <c r="G1494"/>
      <c r="H1494"/>
    </row>
    <row r="1495" spans="3:8" ht="15.75" x14ac:dyDescent="0.25">
      <c r="C1495"/>
      <c r="D1495"/>
      <c r="E1495"/>
      <c r="F1495"/>
      <c r="G1495"/>
      <c r="H1495"/>
    </row>
    <row r="1496" spans="3:8" ht="15.75" x14ac:dyDescent="0.25">
      <c r="C1496"/>
      <c r="D1496"/>
      <c r="E1496"/>
      <c r="F1496"/>
      <c r="G1496"/>
      <c r="H1496"/>
    </row>
    <row r="1497" spans="3:8" ht="15.75" x14ac:dyDescent="0.25">
      <c r="C1497"/>
      <c r="D1497"/>
      <c r="E1497"/>
      <c r="F1497"/>
      <c r="G1497"/>
      <c r="H1497"/>
    </row>
    <row r="1498" spans="3:8" ht="15.75" x14ac:dyDescent="0.25">
      <c r="C1498"/>
      <c r="D1498"/>
      <c r="E1498"/>
      <c r="F1498"/>
      <c r="G1498"/>
      <c r="H1498"/>
    </row>
    <row r="1499" spans="3:8" ht="15.75" x14ac:dyDescent="0.25">
      <c r="C1499"/>
      <c r="D1499"/>
      <c r="E1499"/>
      <c r="F1499"/>
      <c r="G1499"/>
      <c r="H1499"/>
    </row>
    <row r="1500" spans="3:8" ht="15.75" x14ac:dyDescent="0.25">
      <c r="C1500"/>
      <c r="D1500"/>
      <c r="E1500"/>
      <c r="F1500"/>
      <c r="G1500"/>
      <c r="H1500"/>
    </row>
    <row r="1501" spans="3:8" ht="15.75" x14ac:dyDescent="0.25">
      <c r="C1501"/>
      <c r="D1501"/>
      <c r="E1501"/>
      <c r="F1501"/>
      <c r="G1501"/>
      <c r="H1501"/>
    </row>
    <row r="1502" spans="3:8" ht="15.75" x14ac:dyDescent="0.25">
      <c r="C1502"/>
      <c r="D1502"/>
      <c r="E1502"/>
      <c r="F1502"/>
      <c r="G1502"/>
      <c r="H1502"/>
    </row>
    <row r="1503" spans="3:8" ht="15.75" x14ac:dyDescent="0.25">
      <c r="C1503"/>
      <c r="D1503"/>
      <c r="E1503"/>
      <c r="F1503"/>
      <c r="G1503"/>
      <c r="H1503"/>
    </row>
    <row r="1504" spans="3:8" ht="15.75" x14ac:dyDescent="0.25">
      <c r="C1504"/>
      <c r="D1504"/>
      <c r="E1504"/>
      <c r="F1504"/>
      <c r="G1504"/>
      <c r="H1504"/>
    </row>
    <row r="1505" spans="3:8" ht="15.75" x14ac:dyDescent="0.25">
      <c r="C1505"/>
      <c r="D1505"/>
      <c r="E1505"/>
      <c r="F1505"/>
      <c r="G1505"/>
      <c r="H1505"/>
    </row>
    <row r="1506" spans="3:8" ht="15.75" x14ac:dyDescent="0.25">
      <c r="C1506"/>
      <c r="D1506"/>
      <c r="E1506"/>
      <c r="F1506"/>
      <c r="G1506"/>
      <c r="H1506"/>
    </row>
    <row r="1507" spans="3:8" ht="15.75" x14ac:dyDescent="0.25">
      <c r="C1507"/>
      <c r="D1507"/>
      <c r="E1507"/>
      <c r="F1507"/>
      <c r="G1507"/>
      <c r="H1507"/>
    </row>
    <row r="1508" spans="3:8" ht="15.75" x14ac:dyDescent="0.25">
      <c r="C1508"/>
      <c r="D1508"/>
      <c r="E1508"/>
      <c r="F1508"/>
      <c r="G1508"/>
      <c r="H1508"/>
    </row>
    <row r="1509" spans="3:8" ht="15.75" x14ac:dyDescent="0.25">
      <c r="C1509"/>
      <c r="D1509"/>
      <c r="E1509"/>
      <c r="F1509"/>
      <c r="G1509"/>
      <c r="H1509"/>
    </row>
    <row r="1510" spans="3:8" ht="15.75" x14ac:dyDescent="0.25">
      <c r="C1510"/>
      <c r="D1510"/>
      <c r="E1510"/>
      <c r="F1510"/>
      <c r="G1510"/>
      <c r="H1510"/>
    </row>
    <row r="1511" spans="3:8" ht="15.75" x14ac:dyDescent="0.25">
      <c r="C1511"/>
      <c r="D1511"/>
      <c r="E1511"/>
      <c r="F1511"/>
      <c r="G1511"/>
      <c r="H1511"/>
    </row>
    <row r="1512" spans="3:8" ht="15.75" x14ac:dyDescent="0.25">
      <c r="C1512"/>
      <c r="D1512"/>
      <c r="E1512"/>
      <c r="F1512"/>
      <c r="G1512"/>
      <c r="H1512"/>
    </row>
    <row r="1513" spans="3:8" ht="15.75" x14ac:dyDescent="0.25">
      <c r="C1513"/>
      <c r="D1513"/>
      <c r="E1513"/>
      <c r="F1513"/>
      <c r="G1513"/>
      <c r="H1513"/>
    </row>
    <row r="1514" spans="3:8" ht="15.75" x14ac:dyDescent="0.25">
      <c r="C1514"/>
      <c r="D1514"/>
      <c r="E1514"/>
      <c r="F1514"/>
      <c r="G1514"/>
      <c r="H1514"/>
    </row>
    <row r="1515" spans="3:8" ht="15.75" x14ac:dyDescent="0.25">
      <c r="C1515"/>
      <c r="D1515"/>
      <c r="E1515"/>
      <c r="F1515"/>
      <c r="G1515"/>
      <c r="H1515"/>
    </row>
    <row r="1516" spans="3:8" ht="15.75" x14ac:dyDescent="0.25">
      <c r="C1516"/>
      <c r="D1516"/>
      <c r="E1516"/>
      <c r="F1516"/>
      <c r="G1516"/>
      <c r="H1516"/>
    </row>
    <row r="1517" spans="3:8" ht="15.75" x14ac:dyDescent="0.25">
      <c r="C1517"/>
      <c r="D1517"/>
      <c r="E1517"/>
      <c r="F1517"/>
      <c r="G1517"/>
      <c r="H1517"/>
    </row>
    <row r="1518" spans="3:8" ht="15.75" x14ac:dyDescent="0.25">
      <c r="C1518"/>
      <c r="D1518"/>
      <c r="E1518"/>
      <c r="F1518"/>
      <c r="G1518"/>
      <c r="H1518"/>
    </row>
    <row r="1519" spans="3:8" ht="15.75" x14ac:dyDescent="0.25">
      <c r="C1519"/>
      <c r="D1519"/>
      <c r="E1519"/>
      <c r="F1519"/>
      <c r="G1519"/>
      <c r="H1519"/>
    </row>
    <row r="1520" spans="3:8" ht="15.75" x14ac:dyDescent="0.25">
      <c r="C1520"/>
      <c r="D1520"/>
      <c r="E1520"/>
      <c r="F1520"/>
      <c r="G1520"/>
      <c r="H1520"/>
    </row>
    <row r="1521" spans="3:8" ht="15.75" x14ac:dyDescent="0.25">
      <c r="C1521"/>
      <c r="D1521"/>
      <c r="E1521"/>
      <c r="F1521"/>
      <c r="G1521"/>
      <c r="H1521"/>
    </row>
    <row r="1522" spans="3:8" ht="15.75" x14ac:dyDescent="0.25">
      <c r="C1522"/>
      <c r="D1522"/>
      <c r="E1522"/>
      <c r="F1522"/>
      <c r="G1522"/>
      <c r="H1522"/>
    </row>
    <row r="1523" spans="3:8" ht="15.75" x14ac:dyDescent="0.25">
      <c r="C1523"/>
      <c r="D1523"/>
      <c r="E1523"/>
      <c r="F1523"/>
      <c r="G1523"/>
      <c r="H1523"/>
    </row>
    <row r="1524" spans="3:8" ht="15.75" x14ac:dyDescent="0.25">
      <c r="C1524"/>
      <c r="D1524"/>
      <c r="E1524"/>
      <c r="F1524"/>
      <c r="G1524"/>
      <c r="H1524"/>
    </row>
    <row r="1525" spans="3:8" ht="15.75" x14ac:dyDescent="0.25">
      <c r="C1525"/>
      <c r="D1525"/>
      <c r="E1525"/>
      <c r="F1525"/>
      <c r="G1525"/>
      <c r="H1525"/>
    </row>
    <row r="1526" spans="3:8" ht="15.75" x14ac:dyDescent="0.25">
      <c r="C1526"/>
      <c r="D1526"/>
      <c r="E1526"/>
      <c r="F1526"/>
      <c r="G1526"/>
      <c r="H1526"/>
    </row>
    <row r="1527" spans="3:8" ht="15.75" x14ac:dyDescent="0.25">
      <c r="C1527"/>
      <c r="D1527"/>
      <c r="E1527"/>
      <c r="F1527"/>
      <c r="G1527"/>
      <c r="H1527"/>
    </row>
    <row r="1528" spans="3:8" ht="15.75" x14ac:dyDescent="0.25">
      <c r="C1528"/>
      <c r="D1528"/>
      <c r="E1528"/>
      <c r="F1528"/>
      <c r="G1528"/>
      <c r="H1528"/>
    </row>
    <row r="1529" spans="3:8" ht="15.75" x14ac:dyDescent="0.25">
      <c r="C1529"/>
      <c r="D1529"/>
      <c r="E1529"/>
      <c r="F1529"/>
      <c r="G1529"/>
      <c r="H1529"/>
    </row>
    <row r="1530" spans="3:8" ht="15.75" x14ac:dyDescent="0.25">
      <c r="C1530"/>
      <c r="D1530"/>
      <c r="E1530"/>
      <c r="F1530"/>
      <c r="G1530"/>
      <c r="H1530"/>
    </row>
    <row r="1531" spans="3:8" ht="15.75" x14ac:dyDescent="0.25">
      <c r="C1531"/>
      <c r="D1531"/>
      <c r="E1531"/>
      <c r="F1531"/>
      <c r="G1531"/>
      <c r="H1531"/>
    </row>
    <row r="1532" spans="3:8" ht="15.75" x14ac:dyDescent="0.25">
      <c r="C1532"/>
      <c r="D1532"/>
      <c r="E1532"/>
      <c r="F1532"/>
      <c r="G1532"/>
      <c r="H1532"/>
    </row>
    <row r="1533" spans="3:8" ht="15.75" x14ac:dyDescent="0.25">
      <c r="C1533"/>
      <c r="D1533"/>
      <c r="E1533"/>
      <c r="F1533"/>
      <c r="G1533"/>
      <c r="H1533"/>
    </row>
    <row r="1534" spans="3:8" ht="15.75" x14ac:dyDescent="0.25">
      <c r="C1534"/>
      <c r="D1534"/>
      <c r="E1534"/>
      <c r="F1534"/>
      <c r="G1534"/>
      <c r="H1534"/>
    </row>
    <row r="1535" spans="3:8" ht="15.75" x14ac:dyDescent="0.25">
      <c r="C1535"/>
      <c r="D1535"/>
      <c r="E1535"/>
      <c r="F1535"/>
      <c r="G1535"/>
      <c r="H1535"/>
    </row>
    <row r="1536" spans="3:8" ht="15.75" x14ac:dyDescent="0.25">
      <c r="C1536"/>
      <c r="D1536"/>
      <c r="E1536"/>
      <c r="F1536"/>
      <c r="G1536"/>
      <c r="H1536"/>
    </row>
    <row r="1537" spans="3:8" ht="15.75" x14ac:dyDescent="0.25">
      <c r="C1537"/>
      <c r="D1537"/>
      <c r="E1537"/>
      <c r="F1537"/>
      <c r="G1537"/>
      <c r="H1537"/>
    </row>
    <row r="1538" spans="3:8" ht="15.75" x14ac:dyDescent="0.25">
      <c r="C1538"/>
      <c r="D1538"/>
      <c r="E1538"/>
      <c r="F1538"/>
      <c r="G1538"/>
      <c r="H1538"/>
    </row>
    <row r="1539" spans="3:8" ht="15.75" x14ac:dyDescent="0.25">
      <c r="C1539"/>
      <c r="D1539"/>
      <c r="E1539"/>
      <c r="F1539"/>
      <c r="G1539"/>
      <c r="H1539"/>
    </row>
    <row r="1540" spans="3:8" ht="15.75" x14ac:dyDescent="0.25">
      <c r="C1540"/>
      <c r="D1540"/>
      <c r="E1540"/>
      <c r="F1540"/>
      <c r="G1540"/>
      <c r="H1540"/>
    </row>
    <row r="1541" spans="3:8" ht="15.75" x14ac:dyDescent="0.25">
      <c r="C1541"/>
      <c r="D1541"/>
      <c r="E1541"/>
      <c r="F1541"/>
      <c r="G1541"/>
      <c r="H1541"/>
    </row>
    <row r="1542" spans="3:8" ht="15.75" x14ac:dyDescent="0.25">
      <c r="C1542"/>
      <c r="D1542"/>
      <c r="E1542"/>
      <c r="F1542"/>
      <c r="G1542"/>
      <c r="H1542"/>
    </row>
    <row r="1543" spans="3:8" ht="15.75" x14ac:dyDescent="0.25">
      <c r="C1543"/>
      <c r="D1543"/>
      <c r="E1543"/>
      <c r="F1543"/>
      <c r="G1543"/>
      <c r="H1543"/>
    </row>
    <row r="1544" spans="3:8" ht="15.75" x14ac:dyDescent="0.25">
      <c r="C1544"/>
      <c r="D1544"/>
      <c r="E1544"/>
      <c r="F1544"/>
      <c r="G1544"/>
      <c r="H1544"/>
    </row>
    <row r="1545" spans="3:8" ht="15.75" x14ac:dyDescent="0.25">
      <c r="C1545"/>
      <c r="D1545"/>
      <c r="E1545"/>
      <c r="F1545"/>
      <c r="G1545"/>
      <c r="H1545"/>
    </row>
    <row r="1546" spans="3:8" ht="15.75" x14ac:dyDescent="0.25">
      <c r="C1546"/>
      <c r="D1546"/>
      <c r="E1546"/>
      <c r="F1546"/>
      <c r="G1546"/>
      <c r="H1546"/>
    </row>
    <row r="1547" spans="3:8" ht="15.75" x14ac:dyDescent="0.25">
      <c r="C1547"/>
      <c r="D1547"/>
      <c r="E1547"/>
      <c r="F1547"/>
      <c r="G1547"/>
      <c r="H1547"/>
    </row>
    <row r="1548" spans="3:8" ht="15.75" x14ac:dyDescent="0.25">
      <c r="C1548"/>
      <c r="D1548"/>
      <c r="E1548"/>
      <c r="F1548"/>
      <c r="G1548"/>
      <c r="H1548"/>
    </row>
    <row r="1549" spans="3:8" ht="15.75" x14ac:dyDescent="0.25">
      <c r="C1549"/>
      <c r="D1549"/>
      <c r="E1549"/>
      <c r="F1549"/>
      <c r="G1549"/>
      <c r="H1549"/>
    </row>
    <row r="1550" spans="3:8" ht="15.75" x14ac:dyDescent="0.25">
      <c r="C1550"/>
      <c r="D1550"/>
      <c r="E1550"/>
      <c r="F1550"/>
      <c r="G1550"/>
      <c r="H1550"/>
    </row>
    <row r="1551" spans="3:8" ht="15.75" x14ac:dyDescent="0.25">
      <c r="C1551"/>
      <c r="D1551"/>
      <c r="E1551"/>
      <c r="F1551"/>
      <c r="G1551"/>
      <c r="H1551"/>
    </row>
    <row r="1552" spans="3:8" ht="15.75" x14ac:dyDescent="0.25">
      <c r="C1552"/>
      <c r="D1552"/>
      <c r="E1552"/>
      <c r="F1552"/>
      <c r="G1552"/>
      <c r="H1552"/>
    </row>
    <row r="1553" spans="3:8" ht="15.75" x14ac:dyDescent="0.25">
      <c r="C1553"/>
      <c r="D1553"/>
      <c r="E1553"/>
      <c r="F1553"/>
      <c r="G1553"/>
      <c r="H1553"/>
    </row>
    <row r="1554" spans="3:8" ht="15.75" x14ac:dyDescent="0.25">
      <c r="C1554"/>
      <c r="D1554"/>
      <c r="E1554"/>
      <c r="F1554"/>
      <c r="G1554"/>
      <c r="H1554"/>
    </row>
    <row r="1555" spans="3:8" ht="15.75" x14ac:dyDescent="0.25">
      <c r="C1555"/>
      <c r="D1555"/>
      <c r="E1555"/>
      <c r="F1555"/>
      <c r="G1555"/>
      <c r="H1555"/>
    </row>
    <row r="1556" spans="3:8" ht="15.75" x14ac:dyDescent="0.25">
      <c r="C1556"/>
      <c r="D1556"/>
      <c r="E1556"/>
      <c r="F1556"/>
      <c r="G1556"/>
      <c r="H1556"/>
    </row>
    <row r="1557" spans="3:8" ht="15.75" x14ac:dyDescent="0.25">
      <c r="C1557"/>
      <c r="D1557"/>
      <c r="E1557"/>
      <c r="F1557"/>
      <c r="G1557"/>
      <c r="H1557"/>
    </row>
    <row r="1558" spans="3:8" ht="15.75" x14ac:dyDescent="0.25">
      <c r="C1558"/>
      <c r="D1558"/>
      <c r="E1558"/>
      <c r="F1558"/>
      <c r="G1558"/>
      <c r="H1558"/>
    </row>
    <row r="1559" spans="3:8" ht="15.75" x14ac:dyDescent="0.25">
      <c r="C1559"/>
      <c r="D1559"/>
      <c r="E1559"/>
      <c r="F1559"/>
      <c r="G1559"/>
      <c r="H1559"/>
    </row>
    <row r="1560" spans="3:8" ht="15.75" x14ac:dyDescent="0.25">
      <c r="C1560"/>
      <c r="D1560"/>
      <c r="E1560"/>
      <c r="F1560"/>
      <c r="G1560"/>
      <c r="H1560"/>
    </row>
    <row r="1561" spans="3:8" ht="15.75" x14ac:dyDescent="0.25">
      <c r="C1561"/>
      <c r="D1561"/>
      <c r="E1561"/>
      <c r="F1561"/>
      <c r="G1561"/>
      <c r="H1561"/>
    </row>
    <row r="1562" spans="3:8" ht="15.75" x14ac:dyDescent="0.25">
      <c r="C1562"/>
      <c r="D1562"/>
      <c r="E1562"/>
      <c r="F1562"/>
      <c r="G1562"/>
      <c r="H1562"/>
    </row>
    <row r="1563" spans="3:8" ht="15.75" x14ac:dyDescent="0.25">
      <c r="C1563"/>
      <c r="D1563"/>
      <c r="E1563"/>
      <c r="F1563"/>
      <c r="G1563"/>
      <c r="H1563"/>
    </row>
    <row r="1564" spans="3:8" ht="15.75" x14ac:dyDescent="0.25">
      <c r="C1564"/>
      <c r="D1564"/>
      <c r="E1564"/>
      <c r="F1564"/>
      <c r="G1564"/>
      <c r="H1564"/>
    </row>
    <row r="1565" spans="3:8" ht="15.75" x14ac:dyDescent="0.25">
      <c r="C1565"/>
      <c r="D1565"/>
      <c r="E1565"/>
      <c r="F1565"/>
      <c r="G1565"/>
      <c r="H1565"/>
    </row>
    <row r="1566" spans="3:8" ht="15.75" x14ac:dyDescent="0.25">
      <c r="C1566"/>
      <c r="D1566"/>
      <c r="E1566"/>
      <c r="F1566"/>
      <c r="G1566"/>
      <c r="H1566"/>
    </row>
    <row r="1567" spans="3:8" ht="15.75" x14ac:dyDescent="0.25">
      <c r="C1567"/>
      <c r="D1567"/>
      <c r="E1567"/>
      <c r="F1567"/>
      <c r="G1567"/>
      <c r="H1567"/>
    </row>
    <row r="1568" spans="3:8" ht="15.75" x14ac:dyDescent="0.25">
      <c r="C1568"/>
      <c r="D1568"/>
      <c r="E1568"/>
      <c r="F1568"/>
      <c r="G1568"/>
      <c r="H1568"/>
    </row>
    <row r="1569" spans="3:8" ht="15.75" x14ac:dyDescent="0.25">
      <c r="C1569"/>
      <c r="D1569"/>
      <c r="E1569"/>
      <c r="F1569"/>
      <c r="G1569"/>
      <c r="H1569"/>
    </row>
    <row r="1570" spans="3:8" ht="15.75" x14ac:dyDescent="0.25">
      <c r="C1570"/>
      <c r="D1570"/>
      <c r="E1570"/>
      <c r="F1570"/>
      <c r="G1570"/>
      <c r="H1570"/>
    </row>
    <row r="1571" spans="3:8" ht="15.75" x14ac:dyDescent="0.25">
      <c r="C1571"/>
      <c r="D1571"/>
      <c r="E1571"/>
      <c r="F1571"/>
      <c r="G1571"/>
      <c r="H1571"/>
    </row>
    <row r="1572" spans="3:8" ht="15.75" x14ac:dyDescent="0.25">
      <c r="C1572"/>
      <c r="D1572"/>
      <c r="E1572"/>
      <c r="F1572"/>
      <c r="G1572"/>
      <c r="H1572"/>
    </row>
    <row r="1573" spans="3:8" ht="15.75" x14ac:dyDescent="0.25">
      <c r="C1573"/>
      <c r="D1573"/>
      <c r="E1573"/>
      <c r="F1573"/>
      <c r="G1573"/>
      <c r="H1573"/>
    </row>
    <row r="1574" spans="3:8" ht="15.75" x14ac:dyDescent="0.25">
      <c r="C1574"/>
      <c r="D1574"/>
      <c r="E1574"/>
      <c r="F1574"/>
      <c r="G1574"/>
      <c r="H1574"/>
    </row>
    <row r="1575" spans="3:8" ht="15.75" x14ac:dyDescent="0.25">
      <c r="C1575"/>
      <c r="D1575"/>
      <c r="E1575"/>
      <c r="F1575"/>
      <c r="G1575"/>
      <c r="H1575"/>
    </row>
    <row r="1576" spans="3:8" ht="15.75" x14ac:dyDescent="0.25">
      <c r="C1576"/>
      <c r="D1576"/>
      <c r="E1576"/>
      <c r="F1576"/>
      <c r="G1576"/>
      <c r="H1576"/>
    </row>
    <row r="1577" spans="3:8" ht="15.75" x14ac:dyDescent="0.25">
      <c r="C1577"/>
      <c r="D1577"/>
      <c r="E1577"/>
      <c r="F1577"/>
      <c r="G1577"/>
      <c r="H1577"/>
    </row>
    <row r="1578" spans="3:8" ht="15.75" x14ac:dyDescent="0.25">
      <c r="C1578"/>
      <c r="D1578"/>
      <c r="E1578"/>
      <c r="F1578"/>
      <c r="G1578"/>
      <c r="H1578"/>
    </row>
    <row r="1579" spans="3:8" ht="15.75" x14ac:dyDescent="0.25">
      <c r="C1579"/>
      <c r="D1579"/>
      <c r="E1579"/>
      <c r="F1579"/>
      <c r="G1579"/>
      <c r="H1579"/>
    </row>
    <row r="1580" spans="3:8" ht="15.75" x14ac:dyDescent="0.25">
      <c r="C1580"/>
      <c r="D1580"/>
      <c r="E1580"/>
      <c r="F1580"/>
      <c r="G1580"/>
      <c r="H1580"/>
    </row>
    <row r="1581" spans="3:8" ht="15.75" x14ac:dyDescent="0.25">
      <c r="C1581"/>
      <c r="D1581"/>
      <c r="E1581"/>
      <c r="F1581"/>
      <c r="G1581"/>
      <c r="H1581"/>
    </row>
    <row r="1582" spans="3:8" ht="15.75" x14ac:dyDescent="0.25">
      <c r="C1582"/>
      <c r="D1582"/>
      <c r="E1582"/>
      <c r="F1582"/>
      <c r="G1582"/>
      <c r="H1582"/>
    </row>
    <row r="1583" spans="3:8" ht="15.75" x14ac:dyDescent="0.25">
      <c r="C1583"/>
      <c r="D1583"/>
      <c r="E1583"/>
      <c r="F1583"/>
      <c r="G1583"/>
      <c r="H1583"/>
    </row>
    <row r="1584" spans="3:8" ht="15.75" x14ac:dyDescent="0.25">
      <c r="C1584"/>
      <c r="D1584"/>
      <c r="E1584"/>
      <c r="F1584"/>
      <c r="G1584"/>
      <c r="H1584"/>
    </row>
    <row r="1585" spans="3:8" ht="15.75" x14ac:dyDescent="0.25">
      <c r="C1585"/>
      <c r="D1585"/>
      <c r="E1585"/>
      <c r="F1585"/>
      <c r="G1585"/>
      <c r="H1585"/>
    </row>
    <row r="1586" spans="3:8" ht="15.75" x14ac:dyDescent="0.25">
      <c r="C1586"/>
      <c r="D1586"/>
      <c r="E1586"/>
      <c r="F1586"/>
      <c r="G1586"/>
      <c r="H1586"/>
    </row>
    <row r="1587" spans="3:8" ht="15.75" x14ac:dyDescent="0.25">
      <c r="C1587"/>
      <c r="D1587"/>
      <c r="E1587"/>
      <c r="F1587"/>
      <c r="G1587"/>
      <c r="H1587"/>
    </row>
    <row r="1588" spans="3:8" ht="15.75" x14ac:dyDescent="0.25">
      <c r="C1588"/>
      <c r="D1588"/>
      <c r="E1588"/>
      <c r="F1588"/>
      <c r="G1588"/>
      <c r="H1588"/>
    </row>
    <row r="1589" spans="3:8" ht="15.75" x14ac:dyDescent="0.25">
      <c r="C1589"/>
      <c r="D1589"/>
      <c r="E1589"/>
      <c r="F1589"/>
      <c r="G1589"/>
      <c r="H1589"/>
    </row>
    <row r="1590" spans="3:8" ht="15.75" x14ac:dyDescent="0.25">
      <c r="C1590"/>
      <c r="D1590"/>
      <c r="E1590"/>
      <c r="F1590"/>
      <c r="G1590"/>
      <c r="H1590"/>
    </row>
    <row r="1591" spans="3:8" ht="15.75" x14ac:dyDescent="0.25">
      <c r="C1591"/>
      <c r="D1591"/>
      <c r="E1591"/>
      <c r="F1591"/>
      <c r="G1591"/>
      <c r="H1591"/>
    </row>
    <row r="1592" spans="3:8" ht="15.75" x14ac:dyDescent="0.25">
      <c r="C1592"/>
      <c r="D1592"/>
      <c r="E1592"/>
      <c r="F1592"/>
      <c r="G1592"/>
      <c r="H1592"/>
    </row>
    <row r="1593" spans="3:8" ht="15.75" x14ac:dyDescent="0.25">
      <c r="C1593"/>
      <c r="D1593"/>
      <c r="E1593"/>
      <c r="F1593"/>
      <c r="G1593"/>
      <c r="H1593"/>
    </row>
    <row r="1594" spans="3:8" ht="15.75" x14ac:dyDescent="0.25">
      <c r="C1594"/>
      <c r="D1594"/>
      <c r="E1594"/>
      <c r="F1594"/>
      <c r="G1594"/>
      <c r="H1594"/>
    </row>
    <row r="1595" spans="3:8" ht="15.75" x14ac:dyDescent="0.25">
      <c r="C1595"/>
      <c r="D1595"/>
      <c r="E1595"/>
      <c r="F1595"/>
      <c r="G1595"/>
      <c r="H1595"/>
    </row>
    <row r="1596" spans="3:8" ht="15.75" x14ac:dyDescent="0.25">
      <c r="C1596"/>
      <c r="D1596"/>
      <c r="E1596"/>
      <c r="F1596"/>
      <c r="G1596"/>
      <c r="H1596"/>
    </row>
    <row r="1597" spans="3:8" ht="15.75" x14ac:dyDescent="0.25">
      <c r="C1597"/>
      <c r="D1597"/>
      <c r="E1597"/>
      <c r="F1597"/>
      <c r="G1597"/>
      <c r="H1597"/>
    </row>
    <row r="1598" spans="3:8" ht="15.75" x14ac:dyDescent="0.25">
      <c r="C1598"/>
      <c r="D1598"/>
      <c r="E1598"/>
      <c r="F1598"/>
      <c r="G1598"/>
      <c r="H1598"/>
    </row>
    <row r="1599" spans="3:8" ht="15.75" x14ac:dyDescent="0.25">
      <c r="C1599"/>
      <c r="D1599"/>
      <c r="E1599"/>
      <c r="F1599"/>
      <c r="G1599"/>
      <c r="H1599"/>
    </row>
    <row r="1600" spans="3:8" ht="15.75" x14ac:dyDescent="0.25">
      <c r="C1600"/>
      <c r="D1600"/>
      <c r="E1600"/>
      <c r="F1600"/>
      <c r="G1600"/>
      <c r="H1600"/>
    </row>
    <row r="1601" spans="3:8" ht="15.75" x14ac:dyDescent="0.25">
      <c r="C1601"/>
      <c r="D1601"/>
      <c r="E1601"/>
      <c r="F1601"/>
      <c r="G1601"/>
      <c r="H1601"/>
    </row>
    <row r="1602" spans="3:8" ht="15.75" x14ac:dyDescent="0.25">
      <c r="C1602"/>
      <c r="D1602"/>
      <c r="E1602"/>
      <c r="F1602"/>
      <c r="G1602"/>
      <c r="H1602"/>
    </row>
    <row r="1603" spans="3:8" ht="15.75" x14ac:dyDescent="0.25">
      <c r="C1603"/>
      <c r="D1603"/>
      <c r="E1603"/>
      <c r="F1603"/>
      <c r="G1603"/>
      <c r="H1603"/>
    </row>
    <row r="1604" spans="3:8" ht="15.75" x14ac:dyDescent="0.25">
      <c r="C1604"/>
      <c r="D1604"/>
      <c r="E1604"/>
      <c r="F1604"/>
      <c r="G1604"/>
      <c r="H1604"/>
    </row>
    <row r="1605" spans="3:8" ht="15.75" x14ac:dyDescent="0.25">
      <c r="C1605"/>
      <c r="D1605"/>
      <c r="E1605"/>
      <c r="F1605"/>
      <c r="G1605"/>
      <c r="H1605"/>
    </row>
    <row r="1606" spans="3:8" ht="15.75" x14ac:dyDescent="0.25">
      <c r="C1606"/>
      <c r="D1606"/>
      <c r="E1606"/>
      <c r="F1606"/>
      <c r="G1606"/>
      <c r="H1606"/>
    </row>
    <row r="1607" spans="3:8" ht="15.75" x14ac:dyDescent="0.25">
      <c r="C1607"/>
      <c r="D1607"/>
      <c r="E1607"/>
      <c r="F1607"/>
      <c r="G1607"/>
      <c r="H1607"/>
    </row>
    <row r="1608" spans="3:8" ht="15.75" x14ac:dyDescent="0.25">
      <c r="C1608"/>
      <c r="D1608"/>
      <c r="E1608"/>
      <c r="F1608"/>
      <c r="G1608"/>
      <c r="H1608"/>
    </row>
    <row r="1609" spans="3:8" ht="15.75" x14ac:dyDescent="0.25">
      <c r="C1609"/>
      <c r="D1609"/>
      <c r="E1609"/>
      <c r="F1609"/>
      <c r="G1609"/>
      <c r="H1609"/>
    </row>
    <row r="1610" spans="3:8" ht="15.75" x14ac:dyDescent="0.25">
      <c r="C1610"/>
      <c r="D1610"/>
      <c r="E1610"/>
      <c r="F1610"/>
      <c r="G1610"/>
      <c r="H1610"/>
    </row>
    <row r="1611" spans="3:8" ht="15.75" x14ac:dyDescent="0.25">
      <c r="C1611"/>
      <c r="D1611"/>
      <c r="E1611"/>
      <c r="F1611"/>
      <c r="G1611"/>
      <c r="H1611"/>
    </row>
    <row r="1612" spans="3:8" ht="15.75" x14ac:dyDescent="0.25">
      <c r="C1612"/>
      <c r="D1612"/>
      <c r="E1612"/>
      <c r="F1612"/>
      <c r="G1612"/>
      <c r="H1612"/>
    </row>
    <row r="1613" spans="3:8" ht="15.75" x14ac:dyDescent="0.25">
      <c r="C1613"/>
      <c r="D1613"/>
      <c r="E1613"/>
      <c r="F1613"/>
      <c r="G1613"/>
      <c r="H1613"/>
    </row>
    <row r="1614" spans="3:8" ht="15.75" x14ac:dyDescent="0.25">
      <c r="C1614"/>
      <c r="D1614"/>
      <c r="E1614"/>
      <c r="F1614"/>
      <c r="G1614"/>
      <c r="H1614"/>
    </row>
    <row r="1615" spans="3:8" ht="15.75" x14ac:dyDescent="0.25">
      <c r="C1615"/>
      <c r="D1615"/>
      <c r="E1615"/>
      <c r="F1615"/>
      <c r="G1615"/>
      <c r="H1615"/>
    </row>
    <row r="1616" spans="3:8" ht="15.75" x14ac:dyDescent="0.25">
      <c r="C1616"/>
      <c r="D1616"/>
      <c r="E1616"/>
      <c r="F1616"/>
      <c r="G1616"/>
      <c r="H1616"/>
    </row>
    <row r="1617" spans="3:8" ht="15.75" x14ac:dyDescent="0.25">
      <c r="C1617"/>
      <c r="D1617"/>
      <c r="E1617"/>
      <c r="F1617"/>
      <c r="G1617"/>
      <c r="H1617"/>
    </row>
    <row r="1618" spans="3:8" ht="15.75" x14ac:dyDescent="0.25">
      <c r="C1618"/>
      <c r="D1618"/>
      <c r="E1618"/>
      <c r="F1618"/>
      <c r="G1618"/>
      <c r="H1618"/>
    </row>
    <row r="1619" spans="3:8" ht="15.75" x14ac:dyDescent="0.25">
      <c r="C1619"/>
      <c r="D1619"/>
      <c r="E1619"/>
      <c r="F1619"/>
      <c r="G1619"/>
      <c r="H1619"/>
    </row>
    <row r="1620" spans="3:8" ht="15.75" x14ac:dyDescent="0.25">
      <c r="C1620"/>
      <c r="D1620"/>
      <c r="E1620"/>
      <c r="F1620"/>
      <c r="G1620"/>
      <c r="H1620"/>
    </row>
    <row r="1621" spans="3:8" ht="15.75" x14ac:dyDescent="0.25">
      <c r="C1621"/>
      <c r="D1621"/>
      <c r="E1621"/>
      <c r="F1621"/>
      <c r="G1621"/>
      <c r="H1621"/>
    </row>
    <row r="1622" spans="3:8" ht="15.75" x14ac:dyDescent="0.25">
      <c r="C1622"/>
      <c r="D1622"/>
      <c r="E1622"/>
      <c r="F1622"/>
      <c r="G1622"/>
      <c r="H1622"/>
    </row>
    <row r="1623" spans="3:8" ht="15.75" x14ac:dyDescent="0.25">
      <c r="C1623"/>
      <c r="D1623"/>
      <c r="E1623"/>
      <c r="F1623"/>
      <c r="G1623"/>
      <c r="H1623"/>
    </row>
    <row r="1624" spans="3:8" ht="15.75" x14ac:dyDescent="0.25">
      <c r="C1624"/>
      <c r="D1624"/>
      <c r="E1624"/>
      <c r="F1624"/>
      <c r="G1624"/>
      <c r="H1624"/>
    </row>
    <row r="1625" spans="3:8" ht="15.75" x14ac:dyDescent="0.25">
      <c r="C1625"/>
      <c r="D1625"/>
      <c r="E1625"/>
      <c r="F1625"/>
      <c r="G1625"/>
      <c r="H1625"/>
    </row>
    <row r="1626" spans="3:8" ht="15.75" x14ac:dyDescent="0.25">
      <c r="C1626"/>
      <c r="D1626"/>
      <c r="E1626"/>
      <c r="F1626"/>
      <c r="G1626"/>
      <c r="H1626"/>
    </row>
    <row r="1627" spans="3:8" ht="15.75" x14ac:dyDescent="0.25">
      <c r="C1627"/>
      <c r="D1627"/>
      <c r="E1627"/>
      <c r="F1627"/>
      <c r="G1627"/>
      <c r="H1627"/>
    </row>
    <row r="1628" spans="3:8" ht="15.75" x14ac:dyDescent="0.25">
      <c r="C1628"/>
      <c r="D1628"/>
      <c r="E1628"/>
      <c r="F1628"/>
      <c r="G1628"/>
      <c r="H1628"/>
    </row>
    <row r="1629" spans="3:8" ht="15.75" x14ac:dyDescent="0.25">
      <c r="C1629"/>
      <c r="D1629"/>
      <c r="E1629"/>
      <c r="F1629"/>
      <c r="G1629"/>
      <c r="H1629"/>
    </row>
    <row r="1630" spans="3:8" ht="15.75" x14ac:dyDescent="0.25">
      <c r="C1630"/>
      <c r="D1630"/>
      <c r="E1630"/>
      <c r="F1630"/>
      <c r="G1630"/>
      <c r="H1630"/>
    </row>
    <row r="1631" spans="3:8" ht="15.75" x14ac:dyDescent="0.25">
      <c r="C1631"/>
      <c r="D1631"/>
      <c r="E1631"/>
      <c r="F1631"/>
      <c r="G1631"/>
      <c r="H1631"/>
    </row>
    <row r="1632" spans="3:8" ht="15.75" x14ac:dyDescent="0.25">
      <c r="C1632"/>
      <c r="D1632"/>
      <c r="E1632"/>
      <c r="F1632"/>
      <c r="G1632"/>
      <c r="H1632"/>
    </row>
    <row r="1633" spans="3:8" ht="15.75" x14ac:dyDescent="0.25">
      <c r="C1633"/>
      <c r="D1633"/>
      <c r="E1633"/>
      <c r="F1633"/>
      <c r="G1633"/>
      <c r="H1633"/>
    </row>
    <row r="1634" spans="3:8" ht="15.75" x14ac:dyDescent="0.25">
      <c r="C1634"/>
      <c r="D1634"/>
      <c r="E1634"/>
      <c r="F1634"/>
      <c r="G1634"/>
      <c r="H1634"/>
    </row>
    <row r="1635" spans="3:8" ht="15.75" x14ac:dyDescent="0.25">
      <c r="C1635"/>
      <c r="D1635"/>
      <c r="E1635"/>
      <c r="F1635"/>
      <c r="G1635"/>
      <c r="H1635"/>
    </row>
    <row r="1636" spans="3:8" ht="15.75" x14ac:dyDescent="0.25">
      <c r="C1636"/>
      <c r="D1636"/>
      <c r="E1636"/>
      <c r="F1636"/>
      <c r="G1636"/>
      <c r="H1636"/>
    </row>
    <row r="1637" spans="3:8" ht="15.75" x14ac:dyDescent="0.25">
      <c r="C1637"/>
      <c r="D1637"/>
      <c r="E1637"/>
      <c r="F1637"/>
      <c r="G1637"/>
      <c r="H1637"/>
    </row>
    <row r="1638" spans="3:8" ht="15.75" x14ac:dyDescent="0.25">
      <c r="C1638"/>
      <c r="D1638"/>
      <c r="E1638"/>
      <c r="F1638"/>
      <c r="G1638"/>
      <c r="H1638"/>
    </row>
    <row r="1639" spans="3:8" ht="15.75" x14ac:dyDescent="0.25">
      <c r="C1639"/>
      <c r="D1639"/>
      <c r="E1639"/>
      <c r="F1639"/>
      <c r="G1639"/>
      <c r="H1639"/>
    </row>
    <row r="1640" spans="3:8" ht="15.75" x14ac:dyDescent="0.25">
      <c r="C1640"/>
      <c r="D1640"/>
      <c r="E1640"/>
      <c r="F1640"/>
      <c r="G1640"/>
      <c r="H1640"/>
    </row>
    <row r="1641" spans="3:8" ht="15.75" x14ac:dyDescent="0.25">
      <c r="C1641"/>
      <c r="D1641"/>
      <c r="E1641"/>
      <c r="F1641"/>
      <c r="G1641"/>
      <c r="H1641"/>
    </row>
    <row r="1642" spans="3:8" ht="15.75" x14ac:dyDescent="0.25">
      <c r="C1642"/>
      <c r="D1642"/>
      <c r="E1642"/>
      <c r="F1642"/>
      <c r="G1642"/>
      <c r="H1642"/>
    </row>
    <row r="1643" spans="3:8" ht="15.75" x14ac:dyDescent="0.25">
      <c r="C1643"/>
      <c r="D1643"/>
      <c r="E1643"/>
      <c r="F1643"/>
      <c r="G1643"/>
      <c r="H1643"/>
    </row>
    <row r="1644" spans="3:8" ht="15.75" x14ac:dyDescent="0.25">
      <c r="C1644"/>
      <c r="D1644"/>
      <c r="E1644"/>
      <c r="F1644"/>
      <c r="G1644"/>
      <c r="H1644"/>
    </row>
    <row r="1645" spans="3:8" ht="15.75" x14ac:dyDescent="0.25">
      <c r="C1645"/>
      <c r="D1645"/>
      <c r="E1645"/>
      <c r="F1645"/>
      <c r="G1645"/>
      <c r="H1645"/>
    </row>
    <row r="1646" spans="3:8" ht="15.75" x14ac:dyDescent="0.25">
      <c r="C1646"/>
      <c r="D1646"/>
      <c r="E1646"/>
      <c r="F1646"/>
      <c r="G1646"/>
      <c r="H1646"/>
    </row>
    <row r="1647" spans="3:8" ht="15.75" x14ac:dyDescent="0.25">
      <c r="C1647"/>
      <c r="D1647"/>
      <c r="E1647"/>
      <c r="F1647"/>
      <c r="G1647"/>
      <c r="H1647"/>
    </row>
    <row r="1648" spans="3:8" ht="15.75" x14ac:dyDescent="0.25">
      <c r="C1648"/>
      <c r="D1648"/>
      <c r="E1648"/>
      <c r="F1648"/>
      <c r="G1648"/>
      <c r="H1648"/>
    </row>
    <row r="1649" spans="3:8" ht="15.75" x14ac:dyDescent="0.25">
      <c r="C1649"/>
      <c r="D1649"/>
      <c r="E1649"/>
      <c r="F1649"/>
      <c r="G1649"/>
      <c r="H1649"/>
    </row>
    <row r="1650" spans="3:8" ht="15.75" x14ac:dyDescent="0.25">
      <c r="C1650"/>
      <c r="D1650"/>
      <c r="E1650"/>
      <c r="F1650"/>
      <c r="G1650"/>
      <c r="H1650"/>
    </row>
    <row r="1651" spans="3:8" ht="15.75" x14ac:dyDescent="0.25">
      <c r="C1651"/>
      <c r="D1651"/>
      <c r="E1651"/>
      <c r="F1651"/>
      <c r="G1651"/>
      <c r="H1651"/>
    </row>
    <row r="1652" spans="3:8" ht="15.75" x14ac:dyDescent="0.25">
      <c r="C1652"/>
      <c r="D1652"/>
      <c r="E1652"/>
      <c r="F1652"/>
      <c r="G1652"/>
      <c r="H1652"/>
    </row>
    <row r="1653" spans="3:8" ht="15.75" x14ac:dyDescent="0.25">
      <c r="C1653"/>
      <c r="D1653"/>
      <c r="E1653"/>
      <c r="F1653"/>
      <c r="G1653"/>
      <c r="H1653"/>
    </row>
    <row r="1654" spans="3:8" ht="15.75" x14ac:dyDescent="0.25">
      <c r="C1654"/>
      <c r="D1654"/>
      <c r="E1654"/>
      <c r="F1654"/>
      <c r="G1654"/>
      <c r="H1654"/>
    </row>
    <row r="1655" spans="3:8" ht="15.75" x14ac:dyDescent="0.25">
      <c r="C1655"/>
      <c r="D1655"/>
      <c r="E1655"/>
      <c r="F1655"/>
      <c r="G1655"/>
      <c r="H1655"/>
    </row>
    <row r="1656" spans="3:8" ht="15.75" x14ac:dyDescent="0.25">
      <c r="C1656"/>
      <c r="D1656"/>
      <c r="E1656"/>
      <c r="F1656"/>
      <c r="G1656"/>
      <c r="H1656"/>
    </row>
    <row r="1657" spans="3:8" ht="15.75" x14ac:dyDescent="0.25">
      <c r="C1657"/>
      <c r="D1657"/>
      <c r="E1657"/>
      <c r="F1657"/>
      <c r="G1657"/>
      <c r="H1657"/>
    </row>
    <row r="1658" spans="3:8" ht="15.75" x14ac:dyDescent="0.25">
      <c r="C1658"/>
      <c r="D1658"/>
      <c r="E1658"/>
      <c r="F1658"/>
      <c r="G1658"/>
      <c r="H1658"/>
    </row>
    <row r="1659" spans="3:8" ht="15.75" x14ac:dyDescent="0.25">
      <c r="C1659"/>
      <c r="D1659"/>
      <c r="E1659"/>
      <c r="F1659"/>
      <c r="G1659"/>
      <c r="H1659"/>
    </row>
    <row r="1660" spans="3:8" ht="15.75" x14ac:dyDescent="0.25">
      <c r="C1660"/>
      <c r="D1660"/>
      <c r="E1660"/>
      <c r="F1660"/>
      <c r="G1660"/>
      <c r="H1660"/>
    </row>
    <row r="1661" spans="3:8" ht="15.75" x14ac:dyDescent="0.25">
      <c r="C1661"/>
      <c r="D1661"/>
      <c r="E1661"/>
      <c r="F1661"/>
      <c r="G1661"/>
      <c r="H1661"/>
    </row>
    <row r="1662" spans="3:8" ht="15.75" x14ac:dyDescent="0.25">
      <c r="C1662"/>
      <c r="D1662"/>
      <c r="E1662"/>
      <c r="F1662"/>
      <c r="G1662"/>
      <c r="H1662"/>
    </row>
    <row r="1663" spans="3:8" ht="15.75" x14ac:dyDescent="0.25">
      <c r="C1663"/>
      <c r="D1663"/>
      <c r="E1663"/>
      <c r="F1663"/>
      <c r="G1663"/>
      <c r="H1663"/>
    </row>
    <row r="1664" spans="3:8" ht="15.75" x14ac:dyDescent="0.25">
      <c r="C1664"/>
      <c r="D1664"/>
      <c r="E1664"/>
      <c r="F1664"/>
      <c r="G1664"/>
      <c r="H1664"/>
    </row>
    <row r="1665" spans="3:8" ht="15.75" x14ac:dyDescent="0.25">
      <c r="C1665"/>
      <c r="D1665"/>
      <c r="E1665"/>
      <c r="F1665"/>
      <c r="G1665"/>
      <c r="H1665"/>
    </row>
    <row r="1666" spans="3:8" ht="15.75" x14ac:dyDescent="0.25">
      <c r="C1666"/>
      <c r="D1666"/>
      <c r="E1666"/>
      <c r="F1666"/>
      <c r="G1666"/>
      <c r="H1666"/>
    </row>
    <row r="1667" spans="3:8" ht="15.75" x14ac:dyDescent="0.25">
      <c r="C1667"/>
      <c r="D1667"/>
      <c r="E1667"/>
      <c r="F1667"/>
      <c r="G1667"/>
      <c r="H1667"/>
    </row>
    <row r="1668" spans="3:8" ht="15.75" x14ac:dyDescent="0.25">
      <c r="C1668"/>
      <c r="D1668"/>
      <c r="E1668"/>
      <c r="F1668"/>
      <c r="G1668"/>
      <c r="H1668"/>
    </row>
    <row r="1669" spans="3:8" ht="15.75" x14ac:dyDescent="0.25">
      <c r="C1669"/>
      <c r="D1669"/>
      <c r="E1669"/>
      <c r="F1669"/>
      <c r="G1669"/>
      <c r="H1669"/>
    </row>
    <row r="1670" spans="3:8" ht="15.75" x14ac:dyDescent="0.25">
      <c r="C1670"/>
      <c r="D1670"/>
      <c r="E1670"/>
      <c r="F1670"/>
      <c r="G1670"/>
      <c r="H1670"/>
    </row>
    <row r="1671" spans="3:8" ht="15.75" x14ac:dyDescent="0.25">
      <c r="C1671"/>
      <c r="D1671"/>
      <c r="E1671"/>
      <c r="F1671"/>
      <c r="G1671"/>
      <c r="H1671"/>
    </row>
    <row r="1672" spans="3:8" ht="15.75" x14ac:dyDescent="0.25">
      <c r="C1672"/>
      <c r="D1672"/>
      <c r="E1672"/>
      <c r="F1672"/>
      <c r="G1672"/>
      <c r="H1672"/>
    </row>
    <row r="1673" spans="3:8" ht="15.75" x14ac:dyDescent="0.25">
      <c r="C1673"/>
      <c r="D1673"/>
      <c r="E1673"/>
      <c r="F1673"/>
      <c r="G1673"/>
      <c r="H1673"/>
    </row>
    <row r="1674" spans="3:8" ht="15.75" x14ac:dyDescent="0.25">
      <c r="C1674"/>
      <c r="D1674"/>
      <c r="E1674"/>
      <c r="F1674"/>
      <c r="G1674"/>
      <c r="H1674"/>
    </row>
    <row r="1675" spans="3:8" ht="15.75" x14ac:dyDescent="0.25">
      <c r="C1675"/>
      <c r="D1675"/>
      <c r="E1675"/>
      <c r="F1675"/>
      <c r="G1675"/>
      <c r="H1675"/>
    </row>
    <row r="1676" spans="3:8" ht="15.75" x14ac:dyDescent="0.25">
      <c r="C1676"/>
      <c r="D1676"/>
      <c r="E1676"/>
      <c r="F1676"/>
      <c r="G1676"/>
      <c r="H1676"/>
    </row>
    <row r="1677" spans="3:8" ht="15.75" x14ac:dyDescent="0.25">
      <c r="C1677"/>
      <c r="D1677"/>
      <c r="E1677"/>
      <c r="F1677"/>
      <c r="G1677"/>
      <c r="H1677"/>
    </row>
    <row r="1678" spans="3:8" ht="15.75" x14ac:dyDescent="0.25">
      <c r="C1678"/>
      <c r="D1678"/>
      <c r="E1678"/>
      <c r="F1678"/>
      <c r="G1678"/>
      <c r="H1678"/>
    </row>
    <row r="1679" spans="3:8" ht="15.75" x14ac:dyDescent="0.25">
      <c r="C1679"/>
      <c r="D1679"/>
      <c r="E1679"/>
      <c r="F1679"/>
      <c r="G1679"/>
      <c r="H1679"/>
    </row>
    <row r="1680" spans="3:8" ht="15.75" x14ac:dyDescent="0.25">
      <c r="C1680"/>
      <c r="D1680"/>
      <c r="E1680"/>
      <c r="F1680"/>
      <c r="G1680"/>
      <c r="H1680"/>
    </row>
    <row r="1681" spans="3:8" ht="15.75" x14ac:dyDescent="0.25">
      <c r="C1681"/>
      <c r="D1681"/>
      <c r="E1681"/>
      <c r="F1681"/>
      <c r="G1681"/>
      <c r="H1681"/>
    </row>
    <row r="1682" spans="3:8" ht="15.75" x14ac:dyDescent="0.25">
      <c r="C1682"/>
      <c r="D1682"/>
      <c r="E1682"/>
      <c r="F1682"/>
      <c r="G1682"/>
      <c r="H1682"/>
    </row>
    <row r="1683" spans="3:8" ht="15.75" x14ac:dyDescent="0.25">
      <c r="C1683"/>
      <c r="D1683"/>
      <c r="E1683"/>
      <c r="F1683"/>
      <c r="G1683"/>
      <c r="H1683"/>
    </row>
    <row r="1684" spans="3:8" ht="15.75" x14ac:dyDescent="0.25">
      <c r="C1684"/>
      <c r="D1684"/>
      <c r="E1684"/>
      <c r="F1684"/>
      <c r="G1684"/>
      <c r="H1684"/>
    </row>
    <row r="1685" spans="3:8" ht="15.75" x14ac:dyDescent="0.25">
      <c r="C1685"/>
      <c r="D1685"/>
      <c r="E1685"/>
      <c r="F1685"/>
      <c r="G1685"/>
      <c r="H1685"/>
    </row>
    <row r="1686" spans="3:8" ht="15.75" x14ac:dyDescent="0.25">
      <c r="C1686"/>
      <c r="D1686"/>
      <c r="E1686"/>
      <c r="F1686"/>
      <c r="G1686"/>
      <c r="H1686"/>
    </row>
    <row r="1687" spans="3:8" ht="15.75" x14ac:dyDescent="0.25">
      <c r="C1687"/>
      <c r="D1687"/>
      <c r="E1687"/>
      <c r="F1687"/>
      <c r="G1687"/>
      <c r="H1687"/>
    </row>
    <row r="1688" spans="3:8" ht="15.75" x14ac:dyDescent="0.25">
      <c r="C1688"/>
      <c r="D1688"/>
      <c r="E1688"/>
      <c r="F1688"/>
      <c r="G1688"/>
      <c r="H1688"/>
    </row>
    <row r="1689" spans="3:8" ht="15.75" x14ac:dyDescent="0.25">
      <c r="C1689"/>
      <c r="D1689"/>
      <c r="E1689"/>
      <c r="F1689"/>
      <c r="G1689"/>
      <c r="H1689"/>
    </row>
    <row r="1690" spans="3:8" ht="15.75" x14ac:dyDescent="0.25">
      <c r="C1690"/>
      <c r="D1690"/>
      <c r="E1690"/>
      <c r="F1690"/>
      <c r="G1690"/>
      <c r="H1690"/>
    </row>
    <row r="1691" spans="3:8" ht="15.75" x14ac:dyDescent="0.25">
      <c r="C1691"/>
      <c r="D1691"/>
      <c r="E1691"/>
      <c r="F1691"/>
      <c r="G1691"/>
      <c r="H1691"/>
    </row>
    <row r="1692" spans="3:8" ht="15.75" x14ac:dyDescent="0.25">
      <c r="C1692"/>
      <c r="D1692"/>
      <c r="E1692"/>
      <c r="F1692"/>
      <c r="G1692"/>
      <c r="H1692"/>
    </row>
    <row r="1693" spans="3:8" ht="15.75" x14ac:dyDescent="0.25">
      <c r="C1693"/>
      <c r="D1693"/>
      <c r="E1693"/>
      <c r="F1693"/>
      <c r="G1693"/>
      <c r="H1693"/>
    </row>
    <row r="1694" spans="3:8" ht="15.75" x14ac:dyDescent="0.25">
      <c r="C1694"/>
      <c r="D1694"/>
    </row>
    <row r="1695" spans="3:8" ht="15.75" x14ac:dyDescent="0.25">
      <c r="C1695"/>
      <c r="D1695"/>
    </row>
    <row r="1696" spans="3:8" ht="15.75" x14ac:dyDescent="0.25">
      <c r="C1696"/>
      <c r="D1696"/>
    </row>
    <row r="1697" spans="3:4" ht="15.75" x14ac:dyDescent="0.25">
      <c r="C1697"/>
      <c r="D1697"/>
    </row>
    <row r="1698" spans="3:4" ht="15.75" x14ac:dyDescent="0.25">
      <c r="C1698"/>
      <c r="D1698"/>
    </row>
    <row r="1699" spans="3:4" ht="15.75" x14ac:dyDescent="0.25">
      <c r="C1699"/>
      <c r="D1699"/>
    </row>
    <row r="1700" spans="3:4" ht="15.75" x14ac:dyDescent="0.25">
      <c r="C1700"/>
      <c r="D1700"/>
    </row>
    <row r="1701" spans="3:4" ht="15.75" x14ac:dyDescent="0.25">
      <c r="C1701"/>
      <c r="D1701"/>
    </row>
    <row r="1702" spans="3:4" ht="15.75" x14ac:dyDescent="0.25">
      <c r="C1702"/>
      <c r="D1702"/>
    </row>
    <row r="1703" spans="3:4" ht="15.75" x14ac:dyDescent="0.25">
      <c r="C1703"/>
      <c r="D1703"/>
    </row>
    <row r="1704" spans="3:4" ht="15.75" x14ac:dyDescent="0.25">
      <c r="C1704"/>
      <c r="D1704"/>
    </row>
    <row r="1705" spans="3:4" ht="15.75" x14ac:dyDescent="0.25">
      <c r="C1705"/>
      <c r="D1705"/>
    </row>
    <row r="1706" spans="3:4" ht="15.75" x14ac:dyDescent="0.25">
      <c r="C1706"/>
      <c r="D1706"/>
    </row>
    <row r="1707" spans="3:4" ht="15.75" x14ac:dyDescent="0.25">
      <c r="C1707"/>
      <c r="D1707"/>
    </row>
    <row r="1708" spans="3:4" ht="15.75" x14ac:dyDescent="0.25">
      <c r="C1708"/>
      <c r="D1708"/>
    </row>
    <row r="1709" spans="3:4" ht="15.75" x14ac:dyDescent="0.25">
      <c r="C1709"/>
      <c r="D1709"/>
    </row>
    <row r="1710" spans="3:4" ht="15.75" x14ac:dyDescent="0.25">
      <c r="C1710"/>
      <c r="D1710"/>
    </row>
    <row r="1711" spans="3:4" ht="15.75" x14ac:dyDescent="0.25">
      <c r="C1711"/>
      <c r="D1711"/>
    </row>
    <row r="1712" spans="3:4" ht="15.75" x14ac:dyDescent="0.25">
      <c r="C1712"/>
      <c r="D1712"/>
    </row>
    <row r="1713" spans="3:4" ht="15.75" x14ac:dyDescent="0.25">
      <c r="C1713"/>
      <c r="D1713"/>
    </row>
    <row r="1714" spans="3:4" ht="15.75" x14ac:dyDescent="0.25">
      <c r="C1714"/>
      <c r="D1714"/>
    </row>
    <row r="1715" spans="3:4" ht="15.75" x14ac:dyDescent="0.25">
      <c r="C1715"/>
      <c r="D1715"/>
    </row>
    <row r="1716" spans="3:4" ht="15.75" x14ac:dyDescent="0.25">
      <c r="C1716"/>
      <c r="D1716"/>
    </row>
    <row r="1717" spans="3:4" ht="15.75" x14ac:dyDescent="0.25">
      <c r="C1717"/>
      <c r="D1717"/>
    </row>
    <row r="1718" spans="3:4" ht="15.75" x14ac:dyDescent="0.25">
      <c r="C1718"/>
      <c r="D1718"/>
    </row>
    <row r="1719" spans="3:4" ht="15.75" x14ac:dyDescent="0.25">
      <c r="C1719"/>
      <c r="D1719"/>
    </row>
    <row r="1720" spans="3:4" ht="15.75" x14ac:dyDescent="0.25">
      <c r="C1720"/>
      <c r="D1720"/>
    </row>
    <row r="1721" spans="3:4" ht="15.75" x14ac:dyDescent="0.25">
      <c r="C1721"/>
      <c r="D1721"/>
    </row>
    <row r="1722" spans="3:4" ht="15.75" x14ac:dyDescent="0.25">
      <c r="C1722"/>
      <c r="D1722"/>
    </row>
    <row r="1723" spans="3:4" ht="15.75" x14ac:dyDescent="0.25">
      <c r="C1723"/>
      <c r="D1723"/>
    </row>
    <row r="1724" spans="3:4" ht="15.75" x14ac:dyDescent="0.25">
      <c r="C1724"/>
      <c r="D1724"/>
    </row>
    <row r="1725" spans="3:4" ht="15.75" x14ac:dyDescent="0.25">
      <c r="C1725"/>
      <c r="D1725"/>
    </row>
    <row r="1726" spans="3:4" ht="15.75" x14ac:dyDescent="0.25">
      <c r="C1726"/>
      <c r="D1726"/>
    </row>
    <row r="1727" spans="3:4" ht="15.75" x14ac:dyDescent="0.25">
      <c r="C1727"/>
      <c r="D1727"/>
    </row>
    <row r="1728" spans="3:4" ht="15.75" x14ac:dyDescent="0.25">
      <c r="C1728"/>
      <c r="D1728"/>
    </row>
    <row r="1729" spans="3:4" ht="15.75" x14ac:dyDescent="0.25">
      <c r="C1729"/>
      <c r="D1729"/>
    </row>
    <row r="1730" spans="3:4" ht="15.75" x14ac:dyDescent="0.25">
      <c r="C1730"/>
      <c r="D1730"/>
    </row>
    <row r="1731" spans="3:4" ht="15.75" x14ac:dyDescent="0.25">
      <c r="C1731"/>
      <c r="D1731"/>
    </row>
    <row r="1732" spans="3:4" ht="15.75" x14ac:dyDescent="0.25">
      <c r="C1732"/>
      <c r="D1732"/>
    </row>
    <row r="1733" spans="3:4" ht="15.75" x14ac:dyDescent="0.25">
      <c r="C1733"/>
      <c r="D1733"/>
    </row>
    <row r="1734" spans="3:4" ht="15.75" x14ac:dyDescent="0.25">
      <c r="C1734"/>
      <c r="D1734"/>
    </row>
    <row r="1735" spans="3:4" ht="15.75" x14ac:dyDescent="0.25">
      <c r="C1735"/>
      <c r="D1735"/>
    </row>
    <row r="1736" spans="3:4" ht="15.75" x14ac:dyDescent="0.25">
      <c r="C1736"/>
      <c r="D1736"/>
    </row>
    <row r="1737" spans="3:4" ht="15.75" x14ac:dyDescent="0.25">
      <c r="C1737"/>
      <c r="D1737"/>
    </row>
    <row r="1738" spans="3:4" ht="15.75" x14ac:dyDescent="0.25">
      <c r="C1738"/>
      <c r="D1738"/>
    </row>
    <row r="1739" spans="3:4" ht="15.75" x14ac:dyDescent="0.25">
      <c r="C1739"/>
      <c r="D1739"/>
    </row>
    <row r="1740" spans="3:4" ht="15.75" x14ac:dyDescent="0.25">
      <c r="C1740"/>
      <c r="D1740"/>
    </row>
    <row r="1741" spans="3:4" ht="15.75" x14ac:dyDescent="0.25">
      <c r="C1741"/>
      <c r="D1741"/>
    </row>
    <row r="1742" spans="3:4" ht="15.75" x14ac:dyDescent="0.25">
      <c r="C1742"/>
      <c r="D1742"/>
    </row>
    <row r="1743" spans="3:4" ht="15.75" x14ac:dyDescent="0.25">
      <c r="C1743"/>
      <c r="D1743"/>
    </row>
    <row r="1744" spans="3:4" ht="15.75" x14ac:dyDescent="0.25">
      <c r="C1744"/>
      <c r="D1744"/>
    </row>
    <row r="1745" spans="3:4" ht="15.75" x14ac:dyDescent="0.25">
      <c r="C1745"/>
      <c r="D1745"/>
    </row>
    <row r="1746" spans="3:4" ht="15.75" x14ac:dyDescent="0.25">
      <c r="C1746"/>
      <c r="D1746"/>
    </row>
    <row r="1747" spans="3:4" ht="15.75" x14ac:dyDescent="0.25">
      <c r="C1747"/>
      <c r="D1747"/>
    </row>
    <row r="1748" spans="3:4" ht="15.75" x14ac:dyDescent="0.25">
      <c r="C1748"/>
      <c r="D1748"/>
    </row>
    <row r="1749" spans="3:4" ht="15.75" x14ac:dyDescent="0.25">
      <c r="C1749"/>
      <c r="D1749"/>
    </row>
    <row r="1750" spans="3:4" ht="15.75" x14ac:dyDescent="0.25">
      <c r="C1750"/>
      <c r="D1750"/>
    </row>
    <row r="1751" spans="3:4" ht="15.75" x14ac:dyDescent="0.25">
      <c r="C1751"/>
      <c r="D1751"/>
    </row>
    <row r="1752" spans="3:4" ht="15.75" x14ac:dyDescent="0.25">
      <c r="C1752"/>
      <c r="D1752"/>
    </row>
    <row r="1753" spans="3:4" ht="15.75" x14ac:dyDescent="0.25">
      <c r="C1753"/>
      <c r="D1753"/>
    </row>
    <row r="1754" spans="3:4" ht="15.75" x14ac:dyDescent="0.25">
      <c r="C1754"/>
      <c r="D1754"/>
    </row>
    <row r="1755" spans="3:4" ht="15.75" x14ac:dyDescent="0.25">
      <c r="C1755"/>
      <c r="D1755"/>
    </row>
    <row r="1756" spans="3:4" ht="15.75" x14ac:dyDescent="0.25">
      <c r="C1756"/>
      <c r="D1756"/>
    </row>
    <row r="1757" spans="3:4" ht="15.75" x14ac:dyDescent="0.25">
      <c r="C1757"/>
      <c r="D1757"/>
    </row>
    <row r="1758" spans="3:4" ht="15.75" x14ac:dyDescent="0.25">
      <c r="C1758"/>
      <c r="D1758"/>
    </row>
    <row r="1759" spans="3:4" ht="15.75" x14ac:dyDescent="0.25">
      <c r="C1759"/>
      <c r="D1759"/>
    </row>
    <row r="1760" spans="3:4" ht="15.75" x14ac:dyDescent="0.25">
      <c r="C1760"/>
      <c r="D1760"/>
    </row>
    <row r="1761" spans="3:4" ht="15.75" x14ac:dyDescent="0.25">
      <c r="C1761"/>
      <c r="D1761"/>
    </row>
    <row r="1762" spans="3:4" ht="15.75" x14ac:dyDescent="0.25">
      <c r="C1762"/>
      <c r="D1762"/>
    </row>
    <row r="1763" spans="3:4" ht="15.75" x14ac:dyDescent="0.25">
      <c r="C1763"/>
      <c r="D1763"/>
    </row>
    <row r="1764" spans="3:4" ht="15.75" x14ac:dyDescent="0.25">
      <c r="C1764"/>
      <c r="D1764"/>
    </row>
    <row r="1765" spans="3:4" ht="15.75" x14ac:dyDescent="0.25">
      <c r="C1765"/>
      <c r="D1765"/>
    </row>
    <row r="1766" spans="3:4" ht="15.75" x14ac:dyDescent="0.25">
      <c r="C1766"/>
      <c r="D1766"/>
    </row>
    <row r="1767" spans="3:4" ht="15.75" x14ac:dyDescent="0.25">
      <c r="C1767"/>
      <c r="D1767"/>
    </row>
    <row r="1768" spans="3:4" ht="15.75" x14ac:dyDescent="0.25">
      <c r="C1768"/>
      <c r="D1768"/>
    </row>
    <row r="1769" spans="3:4" ht="15.75" x14ac:dyDescent="0.25">
      <c r="C1769"/>
      <c r="D1769"/>
    </row>
    <row r="1770" spans="3:4" ht="15.75" x14ac:dyDescent="0.25">
      <c r="C1770"/>
      <c r="D1770"/>
    </row>
    <row r="1771" spans="3:4" ht="15.75" x14ac:dyDescent="0.25">
      <c r="C1771"/>
      <c r="D1771"/>
    </row>
    <row r="1772" spans="3:4" ht="15.75" x14ac:dyDescent="0.25">
      <c r="C1772"/>
      <c r="D1772"/>
    </row>
    <row r="1773" spans="3:4" ht="15.75" x14ac:dyDescent="0.25">
      <c r="C1773"/>
      <c r="D1773"/>
    </row>
    <row r="1774" spans="3:4" ht="15.75" x14ac:dyDescent="0.25">
      <c r="C1774"/>
      <c r="D1774"/>
    </row>
    <row r="1775" spans="3:4" ht="15.75" x14ac:dyDescent="0.25">
      <c r="C1775"/>
      <c r="D1775"/>
    </row>
    <row r="1776" spans="3:4" ht="15.75" x14ac:dyDescent="0.25">
      <c r="C1776"/>
      <c r="D1776"/>
    </row>
    <row r="1777" spans="3:4" ht="15.75" x14ac:dyDescent="0.25">
      <c r="C1777"/>
      <c r="D1777"/>
    </row>
    <row r="1778" spans="3:4" ht="15.75" x14ac:dyDescent="0.25">
      <c r="C1778"/>
      <c r="D1778"/>
    </row>
    <row r="1779" spans="3:4" ht="15.75" x14ac:dyDescent="0.25">
      <c r="C1779"/>
      <c r="D1779"/>
    </row>
    <row r="1780" spans="3:4" ht="15.75" x14ac:dyDescent="0.25">
      <c r="C1780"/>
      <c r="D1780"/>
    </row>
    <row r="1781" spans="3:4" ht="15.75" x14ac:dyDescent="0.25">
      <c r="C1781"/>
      <c r="D1781"/>
    </row>
    <row r="1782" spans="3:4" ht="15.75" x14ac:dyDescent="0.25">
      <c r="C1782"/>
      <c r="D1782"/>
    </row>
    <row r="1783" spans="3:4" ht="15.75" x14ac:dyDescent="0.25">
      <c r="C1783"/>
      <c r="D1783"/>
    </row>
    <row r="1784" spans="3:4" ht="15.75" x14ac:dyDescent="0.25">
      <c r="C1784"/>
      <c r="D1784"/>
    </row>
    <row r="1785" spans="3:4" ht="15.75" x14ac:dyDescent="0.25">
      <c r="C1785"/>
      <c r="D1785"/>
    </row>
    <row r="1786" spans="3:4" ht="15.75" x14ac:dyDescent="0.25">
      <c r="C1786"/>
      <c r="D1786"/>
    </row>
    <row r="1787" spans="3:4" ht="15.75" x14ac:dyDescent="0.25">
      <c r="C1787"/>
      <c r="D1787"/>
    </row>
    <row r="1788" spans="3:4" ht="15.75" x14ac:dyDescent="0.25">
      <c r="C1788"/>
      <c r="D1788"/>
    </row>
    <row r="1789" spans="3:4" ht="15.75" x14ac:dyDescent="0.25">
      <c r="C1789"/>
      <c r="D1789"/>
    </row>
    <row r="1790" spans="3:4" ht="15.75" x14ac:dyDescent="0.25">
      <c r="C1790"/>
      <c r="D1790"/>
    </row>
    <row r="1791" spans="3:4" ht="15.75" x14ac:dyDescent="0.25">
      <c r="C1791"/>
      <c r="D1791"/>
    </row>
    <row r="1792" spans="3:4" ht="15.75" x14ac:dyDescent="0.25">
      <c r="C1792"/>
      <c r="D1792"/>
    </row>
    <row r="1793" spans="3:4" ht="15.75" x14ac:dyDescent="0.25">
      <c r="C1793"/>
      <c r="D1793"/>
    </row>
    <row r="1794" spans="3:4" ht="15.75" x14ac:dyDescent="0.25">
      <c r="C1794"/>
      <c r="D1794"/>
    </row>
    <row r="1795" spans="3:4" ht="15.75" x14ac:dyDescent="0.25">
      <c r="C1795"/>
      <c r="D1795"/>
    </row>
    <row r="1796" spans="3:4" ht="15.75" x14ac:dyDescent="0.25">
      <c r="C1796"/>
      <c r="D1796"/>
    </row>
    <row r="1797" spans="3:4" ht="15.75" x14ac:dyDescent="0.25">
      <c r="C1797"/>
      <c r="D1797"/>
    </row>
    <row r="1798" spans="3:4" ht="15.75" x14ac:dyDescent="0.25">
      <c r="C1798"/>
      <c r="D1798"/>
    </row>
    <row r="1799" spans="3:4" ht="15.75" x14ac:dyDescent="0.25">
      <c r="C1799"/>
      <c r="D1799"/>
    </row>
    <row r="1800" spans="3:4" ht="15.75" x14ac:dyDescent="0.25">
      <c r="C1800"/>
      <c r="D1800"/>
    </row>
    <row r="1801" spans="3:4" ht="15.75" x14ac:dyDescent="0.25">
      <c r="C1801"/>
      <c r="D1801"/>
    </row>
    <row r="1802" spans="3:4" ht="15.75" x14ac:dyDescent="0.25">
      <c r="C1802"/>
      <c r="D1802"/>
    </row>
    <row r="1803" spans="3:4" ht="15.75" x14ac:dyDescent="0.25">
      <c r="C1803"/>
      <c r="D1803"/>
    </row>
    <row r="1804" spans="3:4" ht="15.75" x14ac:dyDescent="0.25">
      <c r="C1804"/>
      <c r="D1804"/>
    </row>
    <row r="1805" spans="3:4" ht="15.75" x14ac:dyDescent="0.25">
      <c r="C1805"/>
      <c r="D1805"/>
    </row>
    <row r="1806" spans="3:4" ht="15.75" x14ac:dyDescent="0.25">
      <c r="C1806"/>
      <c r="D1806"/>
    </row>
    <row r="1807" spans="3:4" ht="15.75" x14ac:dyDescent="0.25">
      <c r="C1807"/>
      <c r="D1807"/>
    </row>
    <row r="1808" spans="3:4" ht="15.75" x14ac:dyDescent="0.25">
      <c r="C1808"/>
      <c r="D1808"/>
    </row>
    <row r="1809" spans="3:4" ht="15.75" x14ac:dyDescent="0.25">
      <c r="C1809"/>
      <c r="D1809"/>
    </row>
    <row r="1810" spans="3:4" ht="15.75" x14ac:dyDescent="0.25">
      <c r="C1810"/>
      <c r="D1810"/>
    </row>
    <row r="1811" spans="3:4" ht="15.75" x14ac:dyDescent="0.25">
      <c r="C1811"/>
      <c r="D1811"/>
    </row>
    <row r="1812" spans="3:4" ht="15.75" x14ac:dyDescent="0.25">
      <c r="C1812"/>
      <c r="D1812"/>
    </row>
    <row r="1813" spans="3:4" ht="15.75" x14ac:dyDescent="0.25">
      <c r="C1813"/>
      <c r="D1813"/>
    </row>
    <row r="1814" spans="3:4" ht="15.75" x14ac:dyDescent="0.25">
      <c r="C1814"/>
      <c r="D1814"/>
    </row>
    <row r="1815" spans="3:4" ht="15.75" x14ac:dyDescent="0.25">
      <c r="C1815"/>
      <c r="D1815"/>
    </row>
    <row r="1816" spans="3:4" ht="15.75" x14ac:dyDescent="0.25">
      <c r="C1816"/>
      <c r="D1816"/>
    </row>
    <row r="1817" spans="3:4" ht="15.75" x14ac:dyDescent="0.25">
      <c r="C1817"/>
      <c r="D1817"/>
    </row>
    <row r="1818" spans="3:4" ht="15.75" x14ac:dyDescent="0.25">
      <c r="C1818"/>
      <c r="D1818"/>
    </row>
    <row r="1819" spans="3:4" ht="15.75" x14ac:dyDescent="0.25">
      <c r="C1819"/>
      <c r="D1819"/>
    </row>
    <row r="1820" spans="3:4" ht="15.75" x14ac:dyDescent="0.25">
      <c r="C1820"/>
      <c r="D1820"/>
    </row>
    <row r="1821" spans="3:4" ht="15.75" x14ac:dyDescent="0.25">
      <c r="C1821"/>
      <c r="D1821"/>
    </row>
    <row r="1822" spans="3:4" ht="15.75" x14ac:dyDescent="0.25">
      <c r="C1822"/>
      <c r="D1822"/>
    </row>
    <row r="1823" spans="3:4" ht="15.75" x14ac:dyDescent="0.25">
      <c r="C1823"/>
      <c r="D1823"/>
    </row>
    <row r="1824" spans="3:4" ht="15.75" x14ac:dyDescent="0.25">
      <c r="C1824"/>
      <c r="D1824"/>
    </row>
    <row r="1825" spans="3:4" ht="15.75" x14ac:dyDescent="0.25">
      <c r="C1825"/>
      <c r="D1825"/>
    </row>
    <row r="1826" spans="3:4" ht="15.75" x14ac:dyDescent="0.25">
      <c r="C1826"/>
      <c r="D1826"/>
    </row>
    <row r="1827" spans="3:4" ht="15.75" x14ac:dyDescent="0.25">
      <c r="C1827"/>
      <c r="D1827"/>
    </row>
    <row r="1828" spans="3:4" ht="15.75" x14ac:dyDescent="0.25">
      <c r="C1828"/>
      <c r="D1828"/>
    </row>
    <row r="1829" spans="3:4" ht="15.75" x14ac:dyDescent="0.25">
      <c r="C1829"/>
      <c r="D1829"/>
    </row>
    <row r="1830" spans="3:4" ht="15.75" x14ac:dyDescent="0.25">
      <c r="C1830"/>
      <c r="D1830"/>
    </row>
    <row r="1831" spans="3:4" ht="15.75" x14ac:dyDescent="0.25">
      <c r="C1831"/>
      <c r="D1831"/>
    </row>
    <row r="1832" spans="3:4" ht="15.75" x14ac:dyDescent="0.25">
      <c r="C1832"/>
      <c r="D1832"/>
    </row>
    <row r="1833" spans="3:4" ht="15.75" x14ac:dyDescent="0.25">
      <c r="C1833"/>
      <c r="D1833"/>
    </row>
    <row r="1834" spans="3:4" ht="15.75" x14ac:dyDescent="0.25">
      <c r="C1834"/>
      <c r="D1834"/>
    </row>
    <row r="1835" spans="3:4" ht="15.75" x14ac:dyDescent="0.25">
      <c r="C1835"/>
      <c r="D1835"/>
    </row>
    <row r="1836" spans="3:4" ht="15.75" x14ac:dyDescent="0.25">
      <c r="C1836"/>
      <c r="D1836"/>
    </row>
    <row r="1837" spans="3:4" ht="15.75" x14ac:dyDescent="0.25">
      <c r="C1837"/>
      <c r="D1837"/>
    </row>
    <row r="1838" spans="3:4" ht="15.75" x14ac:dyDescent="0.25">
      <c r="C1838"/>
      <c r="D1838"/>
    </row>
    <row r="1839" spans="3:4" ht="15.75" x14ac:dyDescent="0.25">
      <c r="C1839"/>
      <c r="D1839"/>
    </row>
    <row r="1840" spans="3:4" ht="15.75" x14ac:dyDescent="0.25">
      <c r="C1840"/>
      <c r="D1840"/>
    </row>
    <row r="1841" spans="3:4" ht="15.75" x14ac:dyDescent="0.25">
      <c r="C1841"/>
      <c r="D1841"/>
    </row>
    <row r="1842" spans="3:4" ht="15.75" x14ac:dyDescent="0.25">
      <c r="C1842"/>
      <c r="D1842"/>
    </row>
    <row r="1843" spans="3:4" ht="15.75" x14ac:dyDescent="0.25">
      <c r="C1843"/>
      <c r="D1843"/>
    </row>
    <row r="1844" spans="3:4" ht="15.75" x14ac:dyDescent="0.25">
      <c r="C1844"/>
      <c r="D1844"/>
    </row>
    <row r="1845" spans="3:4" ht="15.75" x14ac:dyDescent="0.25">
      <c r="C1845"/>
      <c r="D1845"/>
    </row>
    <row r="1846" spans="3:4" ht="15.75" x14ac:dyDescent="0.25">
      <c r="C1846"/>
      <c r="D1846"/>
    </row>
    <row r="1847" spans="3:4" ht="15.75" x14ac:dyDescent="0.25">
      <c r="C1847"/>
      <c r="D1847"/>
    </row>
    <row r="1848" spans="3:4" ht="15.75" x14ac:dyDescent="0.25">
      <c r="C1848"/>
      <c r="D1848"/>
    </row>
    <row r="1849" spans="3:4" ht="15.75" x14ac:dyDescent="0.25">
      <c r="C1849"/>
      <c r="D1849"/>
    </row>
    <row r="1850" spans="3:4" ht="15.75" x14ac:dyDescent="0.25">
      <c r="C1850"/>
      <c r="D1850"/>
    </row>
    <row r="1851" spans="3:4" ht="15.75" x14ac:dyDescent="0.25">
      <c r="C1851"/>
      <c r="D1851"/>
    </row>
    <row r="1852" spans="3:4" ht="15.75" x14ac:dyDescent="0.25">
      <c r="C1852"/>
      <c r="D1852"/>
    </row>
    <row r="1853" spans="3:4" ht="15.75" x14ac:dyDescent="0.25">
      <c r="C1853"/>
      <c r="D1853"/>
    </row>
    <row r="1854" spans="3:4" ht="15.75" x14ac:dyDescent="0.25">
      <c r="C1854"/>
      <c r="D1854"/>
    </row>
    <row r="1855" spans="3:4" ht="15.75" x14ac:dyDescent="0.25">
      <c r="C1855"/>
      <c r="D1855"/>
    </row>
    <row r="1856" spans="3:4" ht="15.75" x14ac:dyDescent="0.25">
      <c r="C1856"/>
      <c r="D1856"/>
    </row>
    <row r="1857" spans="3:4" ht="15.75" x14ac:dyDescent="0.25">
      <c r="C1857"/>
      <c r="D1857"/>
    </row>
    <row r="1858" spans="3:4" ht="15.75" x14ac:dyDescent="0.25">
      <c r="C1858"/>
      <c r="D1858"/>
    </row>
    <row r="1859" spans="3:4" ht="15.75" x14ac:dyDescent="0.25">
      <c r="C1859"/>
      <c r="D1859"/>
    </row>
    <row r="1860" spans="3:4" ht="15.75" x14ac:dyDescent="0.25">
      <c r="C1860"/>
      <c r="D1860"/>
    </row>
    <row r="1861" spans="3:4" ht="15.75" x14ac:dyDescent="0.25">
      <c r="C1861"/>
      <c r="D1861"/>
    </row>
    <row r="1862" spans="3:4" ht="15.75" x14ac:dyDescent="0.25">
      <c r="C1862"/>
      <c r="D1862"/>
    </row>
    <row r="1863" spans="3:4" ht="15.75" x14ac:dyDescent="0.25">
      <c r="C1863"/>
      <c r="D1863"/>
    </row>
    <row r="1864" spans="3:4" ht="15.75" x14ac:dyDescent="0.25">
      <c r="C1864"/>
      <c r="D1864"/>
    </row>
    <row r="1865" spans="3:4" ht="15.75" x14ac:dyDescent="0.25">
      <c r="C1865"/>
      <c r="D1865"/>
    </row>
    <row r="1866" spans="3:4" ht="15.75" x14ac:dyDescent="0.25">
      <c r="C1866"/>
      <c r="D1866"/>
    </row>
    <row r="1867" spans="3:4" ht="15.75" x14ac:dyDescent="0.25">
      <c r="C1867"/>
      <c r="D1867"/>
    </row>
    <row r="1868" spans="3:4" ht="15.75" x14ac:dyDescent="0.25">
      <c r="C1868"/>
      <c r="D1868"/>
    </row>
    <row r="1869" spans="3:4" ht="15.75" x14ac:dyDescent="0.25">
      <c r="C1869"/>
      <c r="D1869"/>
    </row>
    <row r="1870" spans="3:4" ht="15.75" x14ac:dyDescent="0.25">
      <c r="C1870"/>
      <c r="D1870"/>
    </row>
    <row r="1871" spans="3:4" ht="15.75" x14ac:dyDescent="0.25">
      <c r="C1871"/>
      <c r="D1871"/>
    </row>
    <row r="1872" spans="3:4" ht="15.75" x14ac:dyDescent="0.25">
      <c r="C1872"/>
      <c r="D1872"/>
    </row>
    <row r="1873" spans="3:4" ht="15.75" x14ac:dyDescent="0.25">
      <c r="C1873"/>
      <c r="D1873"/>
    </row>
    <row r="1874" spans="3:4" ht="15.75" x14ac:dyDescent="0.25">
      <c r="C1874"/>
      <c r="D1874"/>
    </row>
    <row r="1875" spans="3:4" ht="15.75" x14ac:dyDescent="0.25">
      <c r="C1875"/>
      <c r="D1875"/>
    </row>
    <row r="1876" spans="3:4" ht="15.75" x14ac:dyDescent="0.25">
      <c r="C1876"/>
      <c r="D1876"/>
    </row>
    <row r="1877" spans="3:4" ht="15.75" x14ac:dyDescent="0.25">
      <c r="C1877"/>
      <c r="D1877"/>
    </row>
    <row r="1878" spans="3:4" ht="15.75" x14ac:dyDescent="0.25">
      <c r="C1878"/>
      <c r="D1878"/>
    </row>
    <row r="1879" spans="3:4" ht="15.75" x14ac:dyDescent="0.25">
      <c r="C1879"/>
      <c r="D1879"/>
    </row>
    <row r="1880" spans="3:4" ht="15.75" x14ac:dyDescent="0.25">
      <c r="C1880"/>
      <c r="D1880"/>
    </row>
    <row r="1881" spans="3:4" ht="15.75" x14ac:dyDescent="0.25">
      <c r="C1881"/>
      <c r="D1881"/>
    </row>
    <row r="1882" spans="3:4" ht="15.75" x14ac:dyDescent="0.25">
      <c r="C1882"/>
      <c r="D1882"/>
    </row>
    <row r="1883" spans="3:4" ht="15.75" x14ac:dyDescent="0.25">
      <c r="C1883"/>
      <c r="D1883"/>
    </row>
    <row r="1884" spans="3:4" ht="15.75" x14ac:dyDescent="0.25">
      <c r="C1884"/>
      <c r="D1884"/>
    </row>
    <row r="1885" spans="3:4" ht="15.75" x14ac:dyDescent="0.25">
      <c r="C1885"/>
      <c r="D1885"/>
    </row>
    <row r="1886" spans="3:4" ht="15.75" x14ac:dyDescent="0.25">
      <c r="C1886"/>
      <c r="D1886"/>
    </row>
    <row r="1887" spans="3:4" ht="15.75" x14ac:dyDescent="0.25">
      <c r="C1887"/>
      <c r="D1887"/>
    </row>
    <row r="1888" spans="3:4" ht="15.75" x14ac:dyDescent="0.25">
      <c r="C1888"/>
      <c r="D1888"/>
    </row>
    <row r="1889" spans="3:4" ht="15.75" x14ac:dyDescent="0.25">
      <c r="C1889"/>
      <c r="D1889"/>
    </row>
    <row r="1890" spans="3:4" ht="15.75" x14ac:dyDescent="0.25">
      <c r="C1890"/>
      <c r="D1890"/>
    </row>
    <row r="1891" spans="3:4" ht="15.75" x14ac:dyDescent="0.25">
      <c r="C1891"/>
      <c r="D1891"/>
    </row>
    <row r="1892" spans="3:4" ht="15.75" x14ac:dyDescent="0.25">
      <c r="C1892"/>
      <c r="D1892"/>
    </row>
    <row r="1893" spans="3:4" ht="15.75" x14ac:dyDescent="0.25">
      <c r="C1893"/>
      <c r="D1893"/>
    </row>
    <row r="1894" spans="3:4" ht="15.75" x14ac:dyDescent="0.25">
      <c r="C1894"/>
      <c r="D1894"/>
    </row>
    <row r="1895" spans="3:4" ht="15.75" x14ac:dyDescent="0.25">
      <c r="C1895"/>
      <c r="D1895"/>
    </row>
    <row r="1896" spans="3:4" ht="15.75" x14ac:dyDescent="0.25">
      <c r="C1896"/>
      <c r="D1896"/>
    </row>
    <row r="1897" spans="3:4" ht="15.75" x14ac:dyDescent="0.25">
      <c r="C1897"/>
      <c r="D1897"/>
    </row>
    <row r="1898" spans="3:4" ht="15.75" x14ac:dyDescent="0.25">
      <c r="C1898"/>
      <c r="D1898"/>
    </row>
    <row r="1899" spans="3:4" ht="15.75" x14ac:dyDescent="0.25">
      <c r="C1899"/>
      <c r="D1899"/>
    </row>
    <row r="1900" spans="3:4" ht="15.75" x14ac:dyDescent="0.25">
      <c r="C1900"/>
      <c r="D1900"/>
    </row>
    <row r="1901" spans="3:4" ht="15.75" x14ac:dyDescent="0.25">
      <c r="C1901"/>
      <c r="D1901"/>
    </row>
    <row r="1902" spans="3:4" ht="15.75" x14ac:dyDescent="0.25">
      <c r="C1902"/>
      <c r="D1902"/>
    </row>
    <row r="1903" spans="3:4" ht="15.75" x14ac:dyDescent="0.25">
      <c r="C1903"/>
      <c r="D1903"/>
    </row>
    <row r="1904" spans="3:4" ht="15.75" x14ac:dyDescent="0.25">
      <c r="C1904"/>
      <c r="D1904"/>
    </row>
    <row r="1905" spans="3:4" ht="15.75" x14ac:dyDescent="0.25">
      <c r="C1905"/>
      <c r="D1905"/>
    </row>
    <row r="1906" spans="3:4" ht="15.75" x14ac:dyDescent="0.25">
      <c r="C1906"/>
      <c r="D1906"/>
    </row>
    <row r="1907" spans="3:4" ht="15.75" x14ac:dyDescent="0.25">
      <c r="C1907"/>
      <c r="D1907"/>
    </row>
    <row r="1908" spans="3:4" ht="15.75" x14ac:dyDescent="0.25">
      <c r="C1908"/>
      <c r="D1908"/>
    </row>
    <row r="1909" spans="3:4" ht="15.75" x14ac:dyDescent="0.25">
      <c r="C1909"/>
      <c r="D1909"/>
    </row>
    <row r="1910" spans="3:4" ht="15.75" x14ac:dyDescent="0.25">
      <c r="C1910"/>
      <c r="D1910"/>
    </row>
    <row r="1911" spans="3:4" ht="15.75" x14ac:dyDescent="0.25">
      <c r="C1911"/>
      <c r="D1911"/>
    </row>
    <row r="1912" spans="3:4" ht="15.75" x14ac:dyDescent="0.25">
      <c r="C1912"/>
      <c r="D1912"/>
    </row>
    <row r="1913" spans="3:4" ht="15.75" x14ac:dyDescent="0.25">
      <c r="C1913"/>
      <c r="D1913"/>
    </row>
    <row r="1914" spans="3:4" ht="15.75" x14ac:dyDescent="0.25">
      <c r="C1914"/>
      <c r="D1914"/>
    </row>
    <row r="1915" spans="3:4" ht="15.75" x14ac:dyDescent="0.25">
      <c r="C1915"/>
      <c r="D1915"/>
    </row>
    <row r="1916" spans="3:4" ht="15.75" x14ac:dyDescent="0.25">
      <c r="C1916"/>
      <c r="D1916"/>
    </row>
    <row r="1917" spans="3:4" ht="15.75" x14ac:dyDescent="0.25">
      <c r="C1917"/>
      <c r="D1917"/>
    </row>
    <row r="1918" spans="3:4" ht="15.75" x14ac:dyDescent="0.25">
      <c r="C1918"/>
      <c r="D1918"/>
    </row>
    <row r="1919" spans="3:4" ht="15.75" x14ac:dyDescent="0.25">
      <c r="C1919"/>
      <c r="D1919"/>
    </row>
    <row r="1920" spans="3:4" ht="15.75" x14ac:dyDescent="0.25">
      <c r="C1920"/>
      <c r="D1920"/>
    </row>
    <row r="1921" spans="3:4" ht="15.75" x14ac:dyDescent="0.25">
      <c r="C1921"/>
      <c r="D1921"/>
    </row>
    <row r="1922" spans="3:4" ht="15.75" x14ac:dyDescent="0.25">
      <c r="C1922"/>
      <c r="D1922"/>
    </row>
    <row r="1923" spans="3:4" ht="15.75" x14ac:dyDescent="0.25">
      <c r="C1923"/>
      <c r="D1923"/>
    </row>
    <row r="1924" spans="3:4" ht="15.75" x14ac:dyDescent="0.25">
      <c r="C1924"/>
      <c r="D1924"/>
    </row>
    <row r="1925" spans="3:4" ht="15.75" x14ac:dyDescent="0.25">
      <c r="C1925"/>
      <c r="D1925"/>
    </row>
    <row r="1926" spans="3:4" ht="15.75" x14ac:dyDescent="0.25">
      <c r="C1926"/>
      <c r="D1926"/>
    </row>
    <row r="1927" spans="3:4" ht="15.75" x14ac:dyDescent="0.25">
      <c r="C1927"/>
      <c r="D1927"/>
    </row>
    <row r="1928" spans="3:4" ht="15.75" x14ac:dyDescent="0.25">
      <c r="C1928"/>
      <c r="D1928"/>
    </row>
    <row r="1929" spans="3:4" ht="15.75" x14ac:dyDescent="0.25">
      <c r="C1929"/>
      <c r="D1929"/>
    </row>
    <row r="1930" spans="3:4" ht="15.75" x14ac:dyDescent="0.25">
      <c r="C1930"/>
      <c r="D1930"/>
    </row>
    <row r="1931" spans="3:4" ht="15.75" x14ac:dyDescent="0.25">
      <c r="C1931"/>
      <c r="D1931"/>
    </row>
    <row r="1932" spans="3:4" ht="15.75" x14ac:dyDescent="0.25">
      <c r="C1932"/>
      <c r="D1932"/>
    </row>
    <row r="1933" spans="3:4" ht="15.75" x14ac:dyDescent="0.25">
      <c r="C1933"/>
      <c r="D1933"/>
    </row>
    <row r="1934" spans="3:4" ht="15.75" x14ac:dyDescent="0.25">
      <c r="C1934"/>
      <c r="D1934"/>
    </row>
    <row r="1935" spans="3:4" ht="15.75" x14ac:dyDescent="0.25">
      <c r="C1935"/>
      <c r="D1935"/>
    </row>
    <row r="1936" spans="3:4" ht="15.75" x14ac:dyDescent="0.25">
      <c r="C1936"/>
      <c r="D1936"/>
    </row>
    <row r="1937" spans="3:4" ht="15.75" x14ac:dyDescent="0.25">
      <c r="C1937"/>
      <c r="D1937"/>
    </row>
    <row r="1938" spans="3:4" ht="15.75" x14ac:dyDescent="0.25">
      <c r="C1938"/>
      <c r="D1938"/>
    </row>
    <row r="1939" spans="3:4" ht="15.75" x14ac:dyDescent="0.25">
      <c r="C1939"/>
      <c r="D1939"/>
    </row>
    <row r="1940" spans="3:4" ht="15.75" x14ac:dyDescent="0.25">
      <c r="C1940"/>
      <c r="D1940"/>
    </row>
    <row r="1941" spans="3:4" ht="15.75" x14ac:dyDescent="0.25">
      <c r="C1941"/>
      <c r="D1941"/>
    </row>
    <row r="1942" spans="3:4" ht="15.75" x14ac:dyDescent="0.25">
      <c r="C1942"/>
      <c r="D1942"/>
    </row>
    <row r="1943" spans="3:4" ht="15.75" x14ac:dyDescent="0.25">
      <c r="C1943"/>
      <c r="D1943"/>
    </row>
    <row r="1944" spans="3:4" ht="15.75" x14ac:dyDescent="0.25">
      <c r="C1944"/>
      <c r="D1944"/>
    </row>
    <row r="1945" spans="3:4" ht="15.75" x14ac:dyDescent="0.25">
      <c r="C1945"/>
      <c r="D1945"/>
    </row>
    <row r="1946" spans="3:4" ht="15.75" x14ac:dyDescent="0.25">
      <c r="C1946"/>
      <c r="D1946"/>
    </row>
    <row r="1947" spans="3:4" ht="15.75" x14ac:dyDescent="0.25">
      <c r="C1947"/>
      <c r="D1947"/>
    </row>
    <row r="1948" spans="3:4" ht="15.75" x14ac:dyDescent="0.25">
      <c r="C1948"/>
      <c r="D1948"/>
    </row>
    <row r="1949" spans="3:4" ht="15.75" x14ac:dyDescent="0.25">
      <c r="C1949"/>
      <c r="D1949"/>
    </row>
    <row r="1950" spans="3:4" ht="15.75" x14ac:dyDescent="0.25">
      <c r="C1950"/>
      <c r="D1950"/>
    </row>
    <row r="1951" spans="3:4" ht="15.75" x14ac:dyDescent="0.25">
      <c r="C1951"/>
      <c r="D1951"/>
    </row>
    <row r="1952" spans="3:4" ht="15.75" x14ac:dyDescent="0.25">
      <c r="C1952"/>
      <c r="D1952"/>
    </row>
    <row r="1953" spans="3:4" ht="15.75" x14ac:dyDescent="0.25">
      <c r="C1953"/>
      <c r="D1953"/>
    </row>
    <row r="1954" spans="3:4" ht="15.75" x14ac:dyDescent="0.25">
      <c r="C1954"/>
      <c r="D1954"/>
    </row>
    <row r="1955" spans="3:4" ht="15.75" x14ac:dyDescent="0.25">
      <c r="C1955"/>
      <c r="D1955"/>
    </row>
    <row r="1956" spans="3:4" ht="15.75" x14ac:dyDescent="0.25">
      <c r="C1956"/>
      <c r="D1956"/>
    </row>
    <row r="1957" spans="3:4" ht="15.75" x14ac:dyDescent="0.25">
      <c r="C1957"/>
      <c r="D1957"/>
    </row>
    <row r="1958" spans="3:4" ht="15.75" x14ac:dyDescent="0.25">
      <c r="C1958"/>
      <c r="D1958"/>
    </row>
    <row r="1959" spans="3:4" ht="15.75" x14ac:dyDescent="0.25">
      <c r="C1959"/>
      <c r="D1959"/>
    </row>
    <row r="1960" spans="3:4" ht="15.75" x14ac:dyDescent="0.25">
      <c r="C1960"/>
      <c r="D1960"/>
    </row>
    <row r="1961" spans="3:4" ht="15.75" x14ac:dyDescent="0.25">
      <c r="C1961"/>
      <c r="D1961"/>
    </row>
    <row r="1962" spans="3:4" ht="15.75" x14ac:dyDescent="0.25">
      <c r="C1962"/>
      <c r="D1962"/>
    </row>
    <row r="1963" spans="3:4" ht="15.75" x14ac:dyDescent="0.25">
      <c r="C1963"/>
      <c r="D1963"/>
    </row>
    <row r="1964" spans="3:4" ht="15.75" x14ac:dyDescent="0.25">
      <c r="C1964"/>
      <c r="D1964"/>
    </row>
    <row r="1965" spans="3:4" ht="15.75" x14ac:dyDescent="0.25">
      <c r="C1965"/>
      <c r="D1965"/>
    </row>
    <row r="1966" spans="3:4" ht="15.75" x14ac:dyDescent="0.25">
      <c r="C1966"/>
      <c r="D1966"/>
    </row>
    <row r="1967" spans="3:4" ht="15.75" x14ac:dyDescent="0.25">
      <c r="C1967"/>
      <c r="D1967"/>
    </row>
    <row r="1968" spans="3:4" ht="15.75" x14ac:dyDescent="0.25">
      <c r="C1968"/>
      <c r="D1968"/>
    </row>
    <row r="1969" spans="3:4" ht="15.75" x14ac:dyDescent="0.25">
      <c r="C1969"/>
      <c r="D1969"/>
    </row>
    <row r="1970" spans="3:4" ht="15.75" x14ac:dyDescent="0.25">
      <c r="C1970"/>
      <c r="D1970"/>
    </row>
    <row r="1971" spans="3:4" ht="15.75" x14ac:dyDescent="0.25">
      <c r="C1971"/>
      <c r="D1971"/>
    </row>
    <row r="1972" spans="3:4" ht="15.75" x14ac:dyDescent="0.25">
      <c r="C1972"/>
      <c r="D1972"/>
    </row>
    <row r="1973" spans="3:4" ht="15.75" x14ac:dyDescent="0.25">
      <c r="C1973"/>
      <c r="D1973"/>
    </row>
    <row r="1974" spans="3:4" ht="15.75" x14ac:dyDescent="0.25">
      <c r="C1974"/>
      <c r="D1974"/>
    </row>
    <row r="1975" spans="3:4" ht="15.75" x14ac:dyDescent="0.25">
      <c r="C1975"/>
      <c r="D1975"/>
    </row>
    <row r="1976" spans="3:4" ht="15.75" x14ac:dyDescent="0.25">
      <c r="C1976"/>
      <c r="D1976"/>
    </row>
    <row r="1977" spans="3:4" ht="15.75" x14ac:dyDescent="0.25">
      <c r="C1977"/>
      <c r="D1977"/>
    </row>
    <row r="1978" spans="3:4" ht="15.75" x14ac:dyDescent="0.25">
      <c r="C1978"/>
      <c r="D1978"/>
    </row>
    <row r="1979" spans="3:4" ht="15.75" x14ac:dyDescent="0.25">
      <c r="C1979"/>
      <c r="D1979"/>
    </row>
    <row r="1980" spans="3:4" ht="15.75" x14ac:dyDescent="0.25">
      <c r="C1980"/>
      <c r="D1980"/>
    </row>
    <row r="1981" spans="3:4" ht="15.75" x14ac:dyDescent="0.25">
      <c r="C1981"/>
      <c r="D1981"/>
    </row>
    <row r="1982" spans="3:4" ht="15.75" x14ac:dyDescent="0.25">
      <c r="C1982"/>
      <c r="D1982"/>
    </row>
    <row r="1983" spans="3:4" ht="15.75" x14ac:dyDescent="0.25">
      <c r="C1983"/>
      <c r="D1983"/>
    </row>
    <row r="1984" spans="3:4" ht="15.75" x14ac:dyDescent="0.25">
      <c r="C1984"/>
      <c r="D1984"/>
    </row>
    <row r="1985" spans="3:4" ht="15.75" x14ac:dyDescent="0.25">
      <c r="C1985"/>
      <c r="D1985"/>
    </row>
    <row r="1986" spans="3:4" ht="15.75" x14ac:dyDescent="0.25">
      <c r="C1986"/>
      <c r="D1986"/>
    </row>
    <row r="1987" spans="3:4" ht="15.75" x14ac:dyDescent="0.25">
      <c r="C1987"/>
      <c r="D1987"/>
    </row>
    <row r="1988" spans="3:4" ht="15.75" x14ac:dyDescent="0.25">
      <c r="C1988"/>
      <c r="D1988"/>
    </row>
    <row r="1989" spans="3:4" ht="15.75" x14ac:dyDescent="0.25">
      <c r="C1989"/>
      <c r="D1989"/>
    </row>
    <row r="1990" spans="3:4" ht="15.75" x14ac:dyDescent="0.25">
      <c r="C1990"/>
      <c r="D1990"/>
    </row>
    <row r="1991" spans="3:4" ht="15.75" x14ac:dyDescent="0.25">
      <c r="C1991"/>
      <c r="D1991"/>
    </row>
    <row r="1992" spans="3:4" ht="15.75" x14ac:dyDescent="0.25">
      <c r="C1992"/>
      <c r="D1992"/>
    </row>
    <row r="1993" spans="3:4" ht="15.75" x14ac:dyDescent="0.25">
      <c r="C1993"/>
      <c r="D1993"/>
    </row>
    <row r="1994" spans="3:4" ht="15.75" x14ac:dyDescent="0.25">
      <c r="C1994"/>
      <c r="D1994"/>
    </row>
    <row r="1995" spans="3:4" ht="15.75" x14ac:dyDescent="0.25">
      <c r="C1995"/>
      <c r="D1995"/>
    </row>
    <row r="1996" spans="3:4" ht="15.75" x14ac:dyDescent="0.25">
      <c r="C1996"/>
      <c r="D1996"/>
    </row>
    <row r="1997" spans="3:4" ht="15.75" x14ac:dyDescent="0.25">
      <c r="C1997"/>
      <c r="D1997"/>
    </row>
    <row r="1998" spans="3:4" ht="15.75" x14ac:dyDescent="0.25">
      <c r="C1998"/>
      <c r="D1998"/>
    </row>
    <row r="1999" spans="3:4" ht="15.75" x14ac:dyDescent="0.25">
      <c r="C1999"/>
      <c r="D1999"/>
    </row>
    <row r="2000" spans="3:4" ht="15.75" x14ac:dyDescent="0.25">
      <c r="C2000"/>
      <c r="D2000"/>
    </row>
    <row r="2001" spans="3:4" ht="15.75" x14ac:dyDescent="0.25">
      <c r="C2001"/>
      <c r="D2001"/>
    </row>
    <row r="2002" spans="3:4" ht="15.75" x14ac:dyDescent="0.25">
      <c r="C2002"/>
      <c r="D2002"/>
    </row>
    <row r="2003" spans="3:4" ht="15.75" x14ac:dyDescent="0.25">
      <c r="C2003"/>
      <c r="D2003"/>
    </row>
    <row r="2004" spans="3:4" ht="15.75" x14ac:dyDescent="0.25">
      <c r="C2004"/>
      <c r="D2004"/>
    </row>
    <row r="2005" spans="3:4" ht="15.75" x14ac:dyDescent="0.25">
      <c r="C2005"/>
      <c r="D2005"/>
    </row>
    <row r="2006" spans="3:4" ht="15.75" x14ac:dyDescent="0.25">
      <c r="C2006"/>
      <c r="D2006"/>
    </row>
    <row r="2007" spans="3:4" ht="15.75" x14ac:dyDescent="0.25">
      <c r="C2007"/>
      <c r="D2007"/>
    </row>
    <row r="2008" spans="3:4" ht="15.75" x14ac:dyDescent="0.25">
      <c r="C2008"/>
      <c r="D2008"/>
    </row>
    <row r="2009" spans="3:4" ht="15.75" x14ac:dyDescent="0.25">
      <c r="C2009"/>
      <c r="D2009"/>
    </row>
    <row r="2010" spans="3:4" ht="15.75" x14ac:dyDescent="0.25">
      <c r="C2010"/>
      <c r="D2010"/>
    </row>
    <row r="2011" spans="3:4" ht="15.75" x14ac:dyDescent="0.25">
      <c r="C2011"/>
      <c r="D2011"/>
    </row>
    <row r="2012" spans="3:4" ht="15.75" x14ac:dyDescent="0.25">
      <c r="C2012"/>
      <c r="D2012"/>
    </row>
    <row r="2013" spans="3:4" ht="15.75" x14ac:dyDescent="0.25">
      <c r="C2013"/>
      <c r="D2013"/>
    </row>
    <row r="2014" spans="3:4" ht="15.75" x14ac:dyDescent="0.25">
      <c r="C2014"/>
      <c r="D2014"/>
    </row>
    <row r="2015" spans="3:4" ht="15.75" x14ac:dyDescent="0.25">
      <c r="C2015"/>
      <c r="D2015"/>
    </row>
    <row r="2016" spans="3:4" ht="15.75" x14ac:dyDescent="0.25">
      <c r="C2016"/>
      <c r="D2016"/>
    </row>
    <row r="2017" spans="3:4" ht="15.75" x14ac:dyDescent="0.25">
      <c r="C2017"/>
      <c r="D2017"/>
    </row>
    <row r="2018" spans="3:4" ht="15.75" x14ac:dyDescent="0.25">
      <c r="C2018"/>
      <c r="D2018"/>
    </row>
    <row r="2019" spans="3:4" ht="15.75" x14ac:dyDescent="0.25">
      <c r="C2019"/>
      <c r="D2019"/>
    </row>
    <row r="2020" spans="3:4" ht="15.75" x14ac:dyDescent="0.25">
      <c r="C2020"/>
      <c r="D2020"/>
    </row>
    <row r="2021" spans="3:4" ht="15.75" x14ac:dyDescent="0.25">
      <c r="C2021"/>
      <c r="D2021"/>
    </row>
    <row r="2022" spans="3:4" ht="15.75" x14ac:dyDescent="0.25">
      <c r="C2022"/>
      <c r="D2022"/>
    </row>
    <row r="2023" spans="3:4" ht="15.75" x14ac:dyDescent="0.25">
      <c r="C2023"/>
      <c r="D2023"/>
    </row>
    <row r="2024" spans="3:4" ht="15.75" x14ac:dyDescent="0.25">
      <c r="C2024"/>
      <c r="D2024"/>
    </row>
    <row r="2025" spans="3:4" ht="15.75" x14ac:dyDescent="0.25">
      <c r="C2025"/>
      <c r="D2025"/>
    </row>
    <row r="2026" spans="3:4" ht="15.75" x14ac:dyDescent="0.25">
      <c r="C2026"/>
      <c r="D2026"/>
    </row>
    <row r="2027" spans="3:4" ht="15.75" x14ac:dyDescent="0.25">
      <c r="C2027"/>
      <c r="D2027"/>
    </row>
    <row r="2028" spans="3:4" ht="15.75" x14ac:dyDescent="0.25">
      <c r="C2028"/>
      <c r="D2028"/>
    </row>
    <row r="2029" spans="3:4" ht="15.75" x14ac:dyDescent="0.25">
      <c r="C2029"/>
      <c r="D2029"/>
    </row>
    <row r="2030" spans="3:4" ht="15.75" x14ac:dyDescent="0.25">
      <c r="C2030"/>
      <c r="D2030"/>
    </row>
    <row r="2031" spans="3:4" ht="15.75" x14ac:dyDescent="0.25">
      <c r="C2031"/>
      <c r="D2031"/>
    </row>
    <row r="2032" spans="3:4" ht="15.75" x14ac:dyDescent="0.25">
      <c r="C2032"/>
      <c r="D2032"/>
    </row>
    <row r="2033" spans="3:4" ht="15.75" x14ac:dyDescent="0.25">
      <c r="C2033"/>
      <c r="D2033"/>
    </row>
    <row r="2034" spans="3:4" ht="15.75" x14ac:dyDescent="0.25">
      <c r="C2034"/>
      <c r="D2034"/>
    </row>
    <row r="2035" spans="3:4" ht="15.75" x14ac:dyDescent="0.25">
      <c r="C2035"/>
      <c r="D2035"/>
    </row>
    <row r="2036" spans="3:4" ht="15.75" x14ac:dyDescent="0.25">
      <c r="C2036"/>
      <c r="D2036"/>
    </row>
    <row r="2037" spans="3:4" ht="15.75" x14ac:dyDescent="0.25">
      <c r="C2037"/>
      <c r="D2037"/>
    </row>
    <row r="2038" spans="3:4" ht="15.75" x14ac:dyDescent="0.25">
      <c r="C2038"/>
      <c r="D2038"/>
    </row>
    <row r="2039" spans="3:4" ht="15.75" x14ac:dyDescent="0.25">
      <c r="C2039"/>
      <c r="D2039"/>
    </row>
    <row r="2040" spans="3:4" ht="15.75" x14ac:dyDescent="0.25">
      <c r="C2040"/>
      <c r="D2040"/>
    </row>
    <row r="2041" spans="3:4" ht="15.75" x14ac:dyDescent="0.25">
      <c r="C2041"/>
      <c r="D2041"/>
    </row>
    <row r="2042" spans="3:4" ht="15.75" x14ac:dyDescent="0.25">
      <c r="C2042"/>
      <c r="D2042"/>
    </row>
    <row r="2043" spans="3:4" ht="15.75" x14ac:dyDescent="0.25">
      <c r="C2043"/>
      <c r="D2043"/>
    </row>
    <row r="2044" spans="3:4" ht="15.75" x14ac:dyDescent="0.25">
      <c r="C2044"/>
      <c r="D2044"/>
    </row>
    <row r="2045" spans="3:4" ht="15.75" x14ac:dyDescent="0.25">
      <c r="C2045"/>
      <c r="D2045"/>
    </row>
    <row r="2046" spans="3:4" ht="15.75" x14ac:dyDescent="0.25">
      <c r="C2046"/>
      <c r="D2046"/>
    </row>
    <row r="2047" spans="3:4" ht="15.75" x14ac:dyDescent="0.25">
      <c r="C2047"/>
      <c r="D2047"/>
    </row>
    <row r="2048" spans="3:4" ht="15.75" x14ac:dyDescent="0.25">
      <c r="C2048"/>
      <c r="D2048"/>
    </row>
    <row r="2049" spans="3:4" ht="15.75" x14ac:dyDescent="0.25">
      <c r="C2049"/>
      <c r="D2049"/>
    </row>
    <row r="2050" spans="3:4" ht="15.75" x14ac:dyDescent="0.25">
      <c r="C2050"/>
      <c r="D2050"/>
    </row>
    <row r="2051" spans="3:4" ht="15.75" x14ac:dyDescent="0.25">
      <c r="C2051"/>
      <c r="D2051"/>
    </row>
    <row r="2052" spans="3:4" ht="15.75" x14ac:dyDescent="0.25">
      <c r="C2052"/>
      <c r="D2052"/>
    </row>
    <row r="2053" spans="3:4" ht="15.75" x14ac:dyDescent="0.25">
      <c r="C2053"/>
      <c r="D2053"/>
    </row>
    <row r="2054" spans="3:4" ht="15.75" x14ac:dyDescent="0.25">
      <c r="C2054"/>
      <c r="D2054"/>
    </row>
    <row r="2055" spans="3:4" ht="15.75" x14ac:dyDescent="0.25">
      <c r="C2055"/>
      <c r="D2055"/>
    </row>
    <row r="2056" spans="3:4" ht="15.75" x14ac:dyDescent="0.25">
      <c r="C2056"/>
      <c r="D2056"/>
    </row>
    <row r="2057" spans="3:4" ht="15.75" x14ac:dyDescent="0.25">
      <c r="C2057"/>
      <c r="D2057"/>
    </row>
    <row r="2058" spans="3:4" ht="15.75" x14ac:dyDescent="0.25">
      <c r="C2058"/>
      <c r="D2058"/>
    </row>
    <row r="2059" spans="3:4" ht="15.75" x14ac:dyDescent="0.25">
      <c r="C2059"/>
      <c r="D2059"/>
    </row>
    <row r="2060" spans="3:4" ht="15.75" x14ac:dyDescent="0.25">
      <c r="C2060"/>
      <c r="D2060"/>
    </row>
    <row r="2061" spans="3:4" ht="15.75" x14ac:dyDescent="0.25">
      <c r="C2061"/>
      <c r="D2061"/>
    </row>
    <row r="2062" spans="3:4" ht="15.75" x14ac:dyDescent="0.25">
      <c r="C2062"/>
      <c r="D2062"/>
    </row>
    <row r="2063" spans="3:4" ht="15.75" x14ac:dyDescent="0.25">
      <c r="C2063"/>
      <c r="D2063"/>
    </row>
    <row r="2064" spans="3:4" ht="15.75" x14ac:dyDescent="0.25">
      <c r="C2064"/>
      <c r="D2064"/>
    </row>
    <row r="2065" spans="3:4" ht="15.75" x14ac:dyDescent="0.25">
      <c r="C2065"/>
      <c r="D2065"/>
    </row>
    <row r="2066" spans="3:4" ht="15.75" x14ac:dyDescent="0.25">
      <c r="C2066"/>
      <c r="D2066"/>
    </row>
    <row r="2067" spans="3:4" ht="15.75" x14ac:dyDescent="0.25">
      <c r="C2067"/>
      <c r="D2067"/>
    </row>
    <row r="2068" spans="3:4" ht="15.75" x14ac:dyDescent="0.25">
      <c r="C2068"/>
      <c r="D2068"/>
    </row>
    <row r="2069" spans="3:4" ht="15.75" x14ac:dyDescent="0.25">
      <c r="C2069"/>
      <c r="D2069"/>
    </row>
    <row r="2070" spans="3:4" ht="15.75" x14ac:dyDescent="0.25">
      <c r="C2070"/>
      <c r="D2070"/>
    </row>
    <row r="2071" spans="3:4" ht="15.75" x14ac:dyDescent="0.25">
      <c r="C2071"/>
      <c r="D2071"/>
    </row>
    <row r="2072" spans="3:4" ht="15.75" x14ac:dyDescent="0.25">
      <c r="C2072"/>
      <c r="D2072"/>
    </row>
    <row r="2073" spans="3:4" ht="15.75" x14ac:dyDescent="0.25">
      <c r="C2073"/>
      <c r="D2073"/>
    </row>
    <row r="2074" spans="3:4" ht="15.75" x14ac:dyDescent="0.25">
      <c r="C2074"/>
      <c r="D2074"/>
    </row>
    <row r="2075" spans="3:4" ht="15.75" x14ac:dyDescent="0.25">
      <c r="C2075"/>
      <c r="D2075"/>
    </row>
    <row r="2076" spans="3:4" ht="15.75" x14ac:dyDescent="0.25">
      <c r="C2076"/>
      <c r="D2076"/>
    </row>
    <row r="2077" spans="3:4" ht="15.75" x14ac:dyDescent="0.25">
      <c r="C2077"/>
      <c r="D2077"/>
    </row>
    <row r="2078" spans="3:4" ht="15.75" x14ac:dyDescent="0.25">
      <c r="C2078"/>
      <c r="D2078"/>
    </row>
    <row r="2079" spans="3:4" ht="15.75" x14ac:dyDescent="0.25">
      <c r="C2079"/>
      <c r="D2079"/>
    </row>
    <row r="2080" spans="3:4" ht="15.75" x14ac:dyDescent="0.25">
      <c r="C2080"/>
      <c r="D2080"/>
    </row>
    <row r="2081" spans="3:4" ht="15.75" x14ac:dyDescent="0.25">
      <c r="C2081"/>
      <c r="D2081"/>
    </row>
    <row r="2082" spans="3:4" ht="15.75" x14ac:dyDescent="0.25">
      <c r="C2082"/>
      <c r="D2082"/>
    </row>
    <row r="2083" spans="3:4" ht="15.75" x14ac:dyDescent="0.25">
      <c r="C2083"/>
      <c r="D2083"/>
    </row>
    <row r="2084" spans="3:4" ht="15.75" x14ac:dyDescent="0.25">
      <c r="C2084"/>
      <c r="D2084"/>
    </row>
    <row r="2085" spans="3:4" ht="15.75" x14ac:dyDescent="0.25">
      <c r="C2085"/>
      <c r="D2085"/>
    </row>
    <row r="2086" spans="3:4" ht="15.75" x14ac:dyDescent="0.25">
      <c r="C2086"/>
      <c r="D2086"/>
    </row>
    <row r="2087" spans="3:4" ht="15.75" x14ac:dyDescent="0.25">
      <c r="C2087"/>
      <c r="D2087"/>
    </row>
    <row r="2088" spans="3:4" ht="15.75" x14ac:dyDescent="0.25">
      <c r="C2088"/>
      <c r="D2088"/>
    </row>
    <row r="2089" spans="3:4" ht="15.75" x14ac:dyDescent="0.25">
      <c r="C2089"/>
      <c r="D2089"/>
    </row>
    <row r="2090" spans="3:4" ht="15.75" x14ac:dyDescent="0.25">
      <c r="C2090"/>
      <c r="D2090"/>
    </row>
    <row r="2091" spans="3:4" ht="15.75" x14ac:dyDescent="0.25">
      <c r="C2091"/>
      <c r="D2091"/>
    </row>
    <row r="2092" spans="3:4" ht="15.75" x14ac:dyDescent="0.25">
      <c r="C2092"/>
      <c r="D2092"/>
    </row>
    <row r="2093" spans="3:4" ht="15.75" x14ac:dyDescent="0.25">
      <c r="C2093"/>
      <c r="D2093"/>
    </row>
    <row r="2094" spans="3:4" ht="15.75" x14ac:dyDescent="0.25">
      <c r="C2094"/>
      <c r="D2094"/>
    </row>
    <row r="2095" spans="3:4" ht="15.75" x14ac:dyDescent="0.25">
      <c r="C2095"/>
      <c r="D2095"/>
    </row>
    <row r="2096" spans="3:4" ht="15.75" x14ac:dyDescent="0.25">
      <c r="C2096"/>
      <c r="D2096"/>
    </row>
    <row r="2097" spans="3:4" ht="15.75" x14ac:dyDescent="0.25">
      <c r="C2097"/>
      <c r="D2097"/>
    </row>
    <row r="2098" spans="3:4" ht="15.75" x14ac:dyDescent="0.25">
      <c r="C2098"/>
      <c r="D2098"/>
    </row>
    <row r="2099" spans="3:4" ht="15.75" x14ac:dyDescent="0.25">
      <c r="C2099"/>
      <c r="D2099"/>
    </row>
    <row r="2100" spans="3:4" ht="15.75" x14ac:dyDescent="0.25">
      <c r="C2100"/>
      <c r="D2100"/>
    </row>
    <row r="2101" spans="3:4" ht="15.75" x14ac:dyDescent="0.25">
      <c r="C2101"/>
      <c r="D2101"/>
    </row>
    <row r="2102" spans="3:4" ht="15.75" x14ac:dyDescent="0.25">
      <c r="C2102"/>
      <c r="D2102"/>
    </row>
    <row r="2103" spans="3:4" ht="15.75" x14ac:dyDescent="0.25">
      <c r="C2103"/>
      <c r="D2103"/>
    </row>
    <row r="2104" spans="3:4" ht="15.75" x14ac:dyDescent="0.25">
      <c r="C2104"/>
      <c r="D2104"/>
    </row>
    <row r="2105" spans="3:4" ht="15.75" x14ac:dyDescent="0.25">
      <c r="C2105"/>
      <c r="D2105"/>
    </row>
    <row r="2106" spans="3:4" ht="15.75" x14ac:dyDescent="0.25">
      <c r="C2106"/>
      <c r="D2106"/>
    </row>
    <row r="2107" spans="3:4" ht="15.75" x14ac:dyDescent="0.25">
      <c r="C2107"/>
      <c r="D2107"/>
    </row>
    <row r="2108" spans="3:4" ht="15.75" x14ac:dyDescent="0.25">
      <c r="C2108"/>
      <c r="D2108"/>
    </row>
    <row r="2109" spans="3:4" ht="15.75" x14ac:dyDescent="0.25">
      <c r="C2109"/>
      <c r="D2109"/>
    </row>
    <row r="2110" spans="3:4" ht="15.75" x14ac:dyDescent="0.25">
      <c r="C2110"/>
      <c r="D2110"/>
    </row>
    <row r="2111" spans="3:4" ht="15.75" x14ac:dyDescent="0.25">
      <c r="C2111"/>
      <c r="D2111"/>
    </row>
    <row r="2112" spans="3:4" ht="15.75" x14ac:dyDescent="0.25">
      <c r="C2112"/>
      <c r="D2112"/>
    </row>
    <row r="2113" spans="3:4" ht="15.75" x14ac:dyDescent="0.25">
      <c r="C2113"/>
      <c r="D2113"/>
    </row>
    <row r="2114" spans="3:4" ht="15.75" x14ac:dyDescent="0.25">
      <c r="C2114"/>
      <c r="D2114"/>
    </row>
    <row r="2115" spans="3:4" ht="15.75" x14ac:dyDescent="0.25">
      <c r="C2115"/>
      <c r="D2115"/>
    </row>
    <row r="2116" spans="3:4" ht="15.75" x14ac:dyDescent="0.25">
      <c r="C2116"/>
      <c r="D2116"/>
    </row>
    <row r="2117" spans="3:4" ht="15.75" x14ac:dyDescent="0.25">
      <c r="C2117"/>
      <c r="D2117"/>
    </row>
    <row r="2118" spans="3:4" ht="15.75" x14ac:dyDescent="0.25">
      <c r="C2118"/>
      <c r="D2118"/>
    </row>
    <row r="2119" spans="3:4" ht="15.75" x14ac:dyDescent="0.25">
      <c r="C2119"/>
      <c r="D2119"/>
    </row>
    <row r="2120" spans="3:4" ht="15.75" x14ac:dyDescent="0.25">
      <c r="C2120"/>
      <c r="D2120"/>
    </row>
    <row r="2121" spans="3:4" ht="15.75" x14ac:dyDescent="0.25">
      <c r="C2121"/>
      <c r="D2121"/>
    </row>
    <row r="2122" spans="3:4" ht="15.75" x14ac:dyDescent="0.25">
      <c r="C2122"/>
      <c r="D2122"/>
    </row>
    <row r="2123" spans="3:4" ht="15.75" x14ac:dyDescent="0.25">
      <c r="C2123"/>
      <c r="D2123"/>
    </row>
    <row r="2124" spans="3:4" ht="15.75" x14ac:dyDescent="0.25">
      <c r="C2124"/>
      <c r="D2124"/>
    </row>
    <row r="2125" spans="3:4" ht="15.75" x14ac:dyDescent="0.25">
      <c r="C2125"/>
      <c r="D2125"/>
    </row>
    <row r="2126" spans="3:4" ht="15.75" x14ac:dyDescent="0.25">
      <c r="C2126"/>
      <c r="D2126"/>
    </row>
    <row r="2127" spans="3:4" ht="15.75" x14ac:dyDescent="0.25">
      <c r="C2127"/>
      <c r="D2127"/>
    </row>
    <row r="2128" spans="3:4" ht="15.75" x14ac:dyDescent="0.25">
      <c r="C2128"/>
      <c r="D2128"/>
    </row>
    <row r="2129" spans="3:4" ht="15.75" x14ac:dyDescent="0.25">
      <c r="C2129"/>
      <c r="D2129"/>
    </row>
    <row r="2130" spans="3:4" ht="15.75" x14ac:dyDescent="0.25">
      <c r="C2130"/>
      <c r="D2130"/>
    </row>
    <row r="2131" spans="3:4" ht="15.75" x14ac:dyDescent="0.25">
      <c r="C2131"/>
      <c r="D2131"/>
    </row>
    <row r="2132" spans="3:4" ht="15.75" x14ac:dyDescent="0.25">
      <c r="C2132"/>
      <c r="D2132"/>
    </row>
    <row r="2133" spans="3:4" ht="15.75" x14ac:dyDescent="0.25">
      <c r="C2133"/>
      <c r="D2133"/>
    </row>
    <row r="2134" spans="3:4" ht="15.75" x14ac:dyDescent="0.25">
      <c r="C2134"/>
      <c r="D2134"/>
    </row>
    <row r="2135" spans="3:4" ht="15.75" x14ac:dyDescent="0.25">
      <c r="C2135"/>
      <c r="D2135"/>
    </row>
    <row r="2136" spans="3:4" ht="15.75" x14ac:dyDescent="0.25">
      <c r="C2136"/>
      <c r="D2136"/>
    </row>
    <row r="2137" spans="3:4" ht="15.75" x14ac:dyDescent="0.25">
      <c r="C2137"/>
      <c r="D2137"/>
    </row>
    <row r="2138" spans="3:4" ht="15.75" x14ac:dyDescent="0.25">
      <c r="C2138"/>
      <c r="D2138"/>
    </row>
    <row r="2139" spans="3:4" ht="15.75" x14ac:dyDescent="0.25">
      <c r="C2139"/>
      <c r="D2139"/>
    </row>
    <row r="2140" spans="3:4" ht="15.75" x14ac:dyDescent="0.25">
      <c r="C2140"/>
      <c r="D2140"/>
    </row>
    <row r="2141" spans="3:4" ht="15.75" x14ac:dyDescent="0.25">
      <c r="C2141"/>
      <c r="D2141"/>
    </row>
    <row r="2142" spans="3:4" ht="15.75" x14ac:dyDescent="0.25">
      <c r="C2142"/>
      <c r="D2142"/>
    </row>
    <row r="2143" spans="3:4" ht="15.75" x14ac:dyDescent="0.25">
      <c r="C2143"/>
      <c r="D2143"/>
    </row>
    <row r="2144" spans="3:4" ht="15.75" x14ac:dyDescent="0.25">
      <c r="C2144"/>
      <c r="D2144"/>
    </row>
    <row r="2145" spans="3:4" ht="15.75" x14ac:dyDescent="0.25">
      <c r="C2145"/>
      <c r="D2145"/>
    </row>
    <row r="2146" spans="3:4" ht="15.75" x14ac:dyDescent="0.25">
      <c r="C2146"/>
      <c r="D2146"/>
    </row>
    <row r="2147" spans="3:4" ht="15.75" x14ac:dyDescent="0.25">
      <c r="C2147"/>
      <c r="D2147"/>
    </row>
    <row r="2148" spans="3:4" ht="15.75" x14ac:dyDescent="0.25">
      <c r="C2148"/>
      <c r="D2148"/>
    </row>
    <row r="2149" spans="3:4" ht="15.75" x14ac:dyDescent="0.25">
      <c r="C2149"/>
      <c r="D2149"/>
    </row>
    <row r="2150" spans="3:4" ht="15.75" x14ac:dyDescent="0.25">
      <c r="C2150"/>
      <c r="D2150"/>
    </row>
    <row r="2151" spans="3:4" ht="15.75" x14ac:dyDescent="0.25">
      <c r="C2151"/>
      <c r="D2151"/>
    </row>
    <row r="2152" spans="3:4" ht="15.75" x14ac:dyDescent="0.25">
      <c r="C2152"/>
      <c r="D2152"/>
    </row>
    <row r="2153" spans="3:4" ht="15.75" x14ac:dyDescent="0.25">
      <c r="C2153"/>
      <c r="D2153"/>
    </row>
    <row r="2154" spans="3:4" ht="15.75" x14ac:dyDescent="0.25">
      <c r="C2154"/>
      <c r="D2154"/>
    </row>
    <row r="2155" spans="3:4" ht="15.75" x14ac:dyDescent="0.25">
      <c r="C2155"/>
      <c r="D2155"/>
    </row>
    <row r="2156" spans="3:4" ht="15.75" x14ac:dyDescent="0.25">
      <c r="C2156"/>
      <c r="D2156"/>
    </row>
    <row r="2157" spans="3:4" ht="15.75" x14ac:dyDescent="0.25">
      <c r="C2157"/>
      <c r="D2157"/>
    </row>
    <row r="2158" spans="3:4" ht="15.75" x14ac:dyDescent="0.25">
      <c r="C2158"/>
      <c r="D2158"/>
    </row>
    <row r="2159" spans="3:4" ht="15.75" x14ac:dyDescent="0.25">
      <c r="C2159"/>
      <c r="D2159"/>
    </row>
    <row r="2160" spans="3:4" ht="15.75" x14ac:dyDescent="0.25">
      <c r="C2160"/>
      <c r="D2160"/>
    </row>
    <row r="2161" spans="3:4" ht="15.75" x14ac:dyDescent="0.25">
      <c r="C2161"/>
      <c r="D2161"/>
    </row>
    <row r="2162" spans="3:4" ht="15.75" x14ac:dyDescent="0.25">
      <c r="C2162"/>
      <c r="D2162"/>
    </row>
    <row r="2163" spans="3:4" ht="15.75" x14ac:dyDescent="0.25">
      <c r="C2163"/>
      <c r="D2163"/>
    </row>
    <row r="2164" spans="3:4" ht="15.75" x14ac:dyDescent="0.25">
      <c r="C2164"/>
      <c r="D2164"/>
    </row>
    <row r="2165" spans="3:4" ht="15.75" x14ac:dyDescent="0.25">
      <c r="C2165"/>
      <c r="D2165"/>
    </row>
    <row r="2166" spans="3:4" ht="15.75" x14ac:dyDescent="0.25">
      <c r="C2166"/>
      <c r="D2166"/>
    </row>
    <row r="2167" spans="3:4" ht="15.75" x14ac:dyDescent="0.25">
      <c r="C2167"/>
      <c r="D2167"/>
    </row>
    <row r="2168" spans="3:4" ht="15.75" x14ac:dyDescent="0.25">
      <c r="C2168"/>
      <c r="D2168"/>
    </row>
    <row r="2169" spans="3:4" ht="15.75" x14ac:dyDescent="0.25">
      <c r="C2169"/>
      <c r="D2169"/>
    </row>
    <row r="2170" spans="3:4" ht="15.75" x14ac:dyDescent="0.25">
      <c r="C2170"/>
      <c r="D2170"/>
    </row>
    <row r="2171" spans="3:4" ht="15.75" x14ac:dyDescent="0.25">
      <c r="C2171"/>
      <c r="D2171"/>
    </row>
    <row r="2172" spans="3:4" ht="15.75" x14ac:dyDescent="0.25">
      <c r="C2172"/>
      <c r="D2172"/>
    </row>
    <row r="2173" spans="3:4" ht="15.75" x14ac:dyDescent="0.25">
      <c r="C2173"/>
      <c r="D2173"/>
    </row>
    <row r="2174" spans="3:4" ht="15.75" x14ac:dyDescent="0.25">
      <c r="C2174"/>
      <c r="D2174"/>
    </row>
    <row r="2175" spans="3:4" ht="15.75" x14ac:dyDescent="0.25">
      <c r="C2175"/>
      <c r="D2175"/>
    </row>
    <row r="2176" spans="3:4" ht="15.75" x14ac:dyDescent="0.25">
      <c r="C2176"/>
      <c r="D2176"/>
    </row>
    <row r="2177" spans="3:4" ht="15.75" x14ac:dyDescent="0.25">
      <c r="C2177"/>
      <c r="D2177"/>
    </row>
    <row r="2178" spans="3:4" ht="15.75" x14ac:dyDescent="0.25">
      <c r="C2178"/>
      <c r="D2178"/>
    </row>
    <row r="2179" spans="3:4" ht="15.75" x14ac:dyDescent="0.25">
      <c r="C2179"/>
      <c r="D2179"/>
    </row>
    <row r="2180" spans="3:4" ht="15.75" x14ac:dyDescent="0.25">
      <c r="C2180"/>
      <c r="D2180"/>
    </row>
    <row r="2181" spans="3:4" ht="15.75" x14ac:dyDescent="0.25">
      <c r="C2181"/>
      <c r="D2181"/>
    </row>
    <row r="2182" spans="3:4" ht="15.75" x14ac:dyDescent="0.25">
      <c r="C2182"/>
      <c r="D2182"/>
    </row>
    <row r="2183" spans="3:4" ht="15.75" x14ac:dyDescent="0.25">
      <c r="C2183"/>
      <c r="D2183"/>
    </row>
    <row r="2184" spans="3:4" ht="15.75" x14ac:dyDescent="0.25">
      <c r="C2184"/>
      <c r="D2184"/>
    </row>
    <row r="2185" spans="3:4" ht="15.75" x14ac:dyDescent="0.25">
      <c r="C2185"/>
      <c r="D2185"/>
    </row>
    <row r="2186" spans="3:4" ht="15.75" x14ac:dyDescent="0.25">
      <c r="C2186"/>
      <c r="D2186"/>
    </row>
    <row r="2187" spans="3:4" ht="15.75" x14ac:dyDescent="0.25">
      <c r="C2187"/>
      <c r="D2187"/>
    </row>
    <row r="2188" spans="3:4" ht="15.75" x14ac:dyDescent="0.25">
      <c r="C2188"/>
      <c r="D2188"/>
    </row>
    <row r="2189" spans="3:4" ht="15.75" x14ac:dyDescent="0.25">
      <c r="C2189"/>
      <c r="D2189"/>
    </row>
    <row r="2190" spans="3:4" ht="15.75" x14ac:dyDescent="0.25">
      <c r="C2190"/>
      <c r="D2190"/>
    </row>
    <row r="2191" spans="3:4" ht="15.75" x14ac:dyDescent="0.25">
      <c r="C2191"/>
      <c r="D2191"/>
    </row>
    <row r="2192" spans="3:4" ht="15.75" x14ac:dyDescent="0.25">
      <c r="C2192"/>
      <c r="D2192"/>
    </row>
    <row r="2193" spans="3:4" ht="15.75" x14ac:dyDescent="0.25">
      <c r="C2193"/>
      <c r="D2193"/>
    </row>
    <row r="2194" spans="3:4" ht="15.75" x14ac:dyDescent="0.25">
      <c r="C2194"/>
      <c r="D2194"/>
    </row>
    <row r="2195" spans="3:4" ht="15.75" x14ac:dyDescent="0.25">
      <c r="C2195"/>
      <c r="D2195"/>
    </row>
    <row r="2196" spans="3:4" ht="15.75" x14ac:dyDescent="0.25">
      <c r="C2196"/>
      <c r="D2196"/>
    </row>
    <row r="2197" spans="3:4" ht="15.75" x14ac:dyDescent="0.25">
      <c r="C2197"/>
      <c r="D2197"/>
    </row>
    <row r="2198" spans="3:4" ht="15.75" x14ac:dyDescent="0.25">
      <c r="C2198"/>
      <c r="D2198"/>
    </row>
    <row r="2199" spans="3:4" ht="15.75" x14ac:dyDescent="0.25">
      <c r="C2199"/>
      <c r="D2199"/>
    </row>
    <row r="2200" spans="3:4" ht="15.75" x14ac:dyDescent="0.25">
      <c r="C2200"/>
      <c r="D2200"/>
    </row>
    <row r="2201" spans="3:4" ht="15.75" x14ac:dyDescent="0.25">
      <c r="C2201"/>
      <c r="D2201"/>
    </row>
    <row r="2202" spans="3:4" ht="15.75" x14ac:dyDescent="0.25">
      <c r="C2202"/>
      <c r="D2202"/>
    </row>
    <row r="2203" spans="3:4" ht="15.75" x14ac:dyDescent="0.25">
      <c r="C2203"/>
      <c r="D2203"/>
    </row>
    <row r="2204" spans="3:4" ht="15.75" x14ac:dyDescent="0.25">
      <c r="C2204"/>
      <c r="D2204"/>
    </row>
    <row r="2205" spans="3:4" ht="15.75" x14ac:dyDescent="0.25">
      <c r="C2205"/>
      <c r="D2205"/>
    </row>
    <row r="2206" spans="3:4" ht="15.75" x14ac:dyDescent="0.25">
      <c r="C2206"/>
      <c r="D2206"/>
    </row>
    <row r="2207" spans="3:4" ht="15.75" x14ac:dyDescent="0.25">
      <c r="C2207"/>
      <c r="D2207"/>
    </row>
    <row r="2208" spans="3:4" ht="15.75" x14ac:dyDescent="0.25">
      <c r="C2208"/>
      <c r="D2208"/>
    </row>
    <row r="2209" spans="3:4" ht="15.75" x14ac:dyDescent="0.25">
      <c r="C2209"/>
      <c r="D2209"/>
    </row>
    <row r="2210" spans="3:4" ht="15.75" x14ac:dyDescent="0.25">
      <c r="C2210"/>
      <c r="D2210"/>
    </row>
    <row r="2211" spans="3:4" ht="15.75" x14ac:dyDescent="0.25">
      <c r="C2211"/>
      <c r="D2211"/>
    </row>
    <row r="2212" spans="3:4" ht="15.75" x14ac:dyDescent="0.25">
      <c r="C2212"/>
      <c r="D2212"/>
    </row>
    <row r="2213" spans="3:4" ht="15.75" x14ac:dyDescent="0.25">
      <c r="C2213"/>
      <c r="D2213"/>
    </row>
    <row r="2214" spans="3:4" ht="15.75" x14ac:dyDescent="0.25">
      <c r="C2214"/>
      <c r="D2214"/>
    </row>
    <row r="2215" spans="3:4" ht="15.75" x14ac:dyDescent="0.25">
      <c r="C2215"/>
      <c r="D2215"/>
    </row>
    <row r="2216" spans="3:4" ht="15.75" x14ac:dyDescent="0.25">
      <c r="C2216"/>
      <c r="D2216"/>
    </row>
    <row r="2217" spans="3:4" ht="15.75" x14ac:dyDescent="0.25">
      <c r="C2217"/>
      <c r="D2217"/>
    </row>
    <row r="2218" spans="3:4" ht="15.75" x14ac:dyDescent="0.25">
      <c r="C2218"/>
      <c r="D2218"/>
    </row>
    <row r="2219" spans="3:4" ht="15.75" x14ac:dyDescent="0.25">
      <c r="C2219"/>
      <c r="D2219"/>
    </row>
    <row r="2220" spans="3:4" ht="15.75" x14ac:dyDescent="0.25">
      <c r="C2220"/>
      <c r="D2220"/>
    </row>
    <row r="2221" spans="3:4" ht="15.75" x14ac:dyDescent="0.25">
      <c r="C2221"/>
      <c r="D2221"/>
    </row>
    <row r="2222" spans="3:4" ht="15.75" x14ac:dyDescent="0.25">
      <c r="C2222"/>
      <c r="D2222"/>
    </row>
    <row r="2223" spans="3:4" ht="15.75" x14ac:dyDescent="0.25">
      <c r="C2223"/>
      <c r="D2223"/>
    </row>
    <row r="2224" spans="3:4" ht="15.75" x14ac:dyDescent="0.25">
      <c r="C2224"/>
      <c r="D2224"/>
    </row>
    <row r="2225" spans="3:4" ht="15.75" x14ac:dyDescent="0.25">
      <c r="C2225"/>
      <c r="D2225"/>
    </row>
    <row r="2226" spans="3:4" ht="15.75" x14ac:dyDescent="0.25">
      <c r="C2226"/>
      <c r="D2226"/>
    </row>
    <row r="2227" spans="3:4" ht="15.75" x14ac:dyDescent="0.25">
      <c r="C2227"/>
      <c r="D2227"/>
    </row>
    <row r="2228" spans="3:4" ht="15.75" x14ac:dyDescent="0.25">
      <c r="C2228"/>
      <c r="D2228"/>
    </row>
    <row r="2229" spans="3:4" ht="15.75" x14ac:dyDescent="0.25">
      <c r="C2229"/>
      <c r="D2229"/>
    </row>
    <row r="2230" spans="3:4" ht="15.75" x14ac:dyDescent="0.25">
      <c r="C2230"/>
      <c r="D2230"/>
    </row>
    <row r="2231" spans="3:4" ht="15.75" x14ac:dyDescent="0.25">
      <c r="C2231"/>
      <c r="D2231"/>
    </row>
    <row r="2232" spans="3:4" ht="15.75" x14ac:dyDescent="0.25">
      <c r="C2232"/>
      <c r="D2232"/>
    </row>
    <row r="2233" spans="3:4" ht="15.75" x14ac:dyDescent="0.25">
      <c r="C2233"/>
      <c r="D2233"/>
    </row>
    <row r="2234" spans="3:4" ht="15.75" x14ac:dyDescent="0.25">
      <c r="C2234"/>
      <c r="D2234"/>
    </row>
    <row r="2235" spans="3:4" ht="15.75" x14ac:dyDescent="0.25">
      <c r="C2235"/>
      <c r="D2235"/>
    </row>
    <row r="2236" spans="3:4" ht="15.75" x14ac:dyDescent="0.25">
      <c r="C2236"/>
      <c r="D2236"/>
    </row>
    <row r="2237" spans="3:4" ht="15.75" x14ac:dyDescent="0.25">
      <c r="C2237"/>
      <c r="D2237"/>
    </row>
    <row r="2238" spans="3:4" ht="15.75" x14ac:dyDescent="0.25">
      <c r="C2238"/>
      <c r="D2238"/>
    </row>
    <row r="2239" spans="3:4" ht="15.75" x14ac:dyDescent="0.25">
      <c r="C2239"/>
      <c r="D2239"/>
    </row>
    <row r="2240" spans="3:4" ht="15.75" x14ac:dyDescent="0.25">
      <c r="C2240"/>
      <c r="D2240"/>
    </row>
    <row r="2241" spans="3:4" ht="15.75" x14ac:dyDescent="0.25">
      <c r="C2241"/>
      <c r="D2241"/>
    </row>
    <row r="2242" spans="3:4" ht="15.75" x14ac:dyDescent="0.25">
      <c r="C2242"/>
      <c r="D2242"/>
    </row>
    <row r="2243" spans="3:4" ht="15.75" x14ac:dyDescent="0.25">
      <c r="C2243"/>
      <c r="D2243"/>
    </row>
    <row r="2244" spans="3:4" ht="15.75" x14ac:dyDescent="0.25">
      <c r="C2244"/>
      <c r="D2244"/>
    </row>
    <row r="2245" spans="3:4" ht="15.75" x14ac:dyDescent="0.25">
      <c r="C2245"/>
      <c r="D2245"/>
    </row>
    <row r="2246" spans="3:4" ht="15.75" x14ac:dyDescent="0.25">
      <c r="C2246"/>
      <c r="D2246"/>
    </row>
    <row r="2247" spans="3:4" ht="15.75" x14ac:dyDescent="0.25">
      <c r="C2247"/>
      <c r="D2247"/>
    </row>
    <row r="2248" spans="3:4" ht="15.75" x14ac:dyDescent="0.25">
      <c r="C2248"/>
      <c r="D2248"/>
    </row>
    <row r="2249" spans="3:4" ht="15.75" x14ac:dyDescent="0.25">
      <c r="C2249"/>
      <c r="D2249"/>
    </row>
    <row r="2250" spans="3:4" ht="15.75" x14ac:dyDescent="0.25">
      <c r="C2250"/>
      <c r="D2250"/>
    </row>
    <row r="2251" spans="3:4" ht="15.75" x14ac:dyDescent="0.25">
      <c r="C2251"/>
      <c r="D2251"/>
    </row>
    <row r="2252" spans="3:4" ht="15.75" x14ac:dyDescent="0.25">
      <c r="C2252"/>
      <c r="D2252"/>
    </row>
    <row r="2253" spans="3:4" ht="15.75" x14ac:dyDescent="0.25">
      <c r="C2253"/>
      <c r="D2253"/>
    </row>
    <row r="2254" spans="3:4" ht="15.75" x14ac:dyDescent="0.25">
      <c r="C2254"/>
      <c r="D2254"/>
    </row>
    <row r="2255" spans="3:4" ht="15.75" x14ac:dyDescent="0.25">
      <c r="C2255"/>
      <c r="D2255"/>
    </row>
    <row r="2256" spans="3:4" ht="15.75" x14ac:dyDescent="0.25">
      <c r="C2256"/>
      <c r="D2256"/>
    </row>
    <row r="2257" spans="3:4" ht="15.75" x14ac:dyDescent="0.25">
      <c r="C2257"/>
      <c r="D2257"/>
    </row>
    <row r="2258" spans="3:4" ht="15.75" x14ac:dyDescent="0.25">
      <c r="C2258"/>
      <c r="D2258"/>
    </row>
    <row r="2259" spans="3:4" ht="15.75" x14ac:dyDescent="0.25">
      <c r="C2259"/>
      <c r="D2259"/>
    </row>
    <row r="2260" spans="3:4" ht="15.75" x14ac:dyDescent="0.25">
      <c r="C2260"/>
      <c r="D2260"/>
    </row>
    <row r="2261" spans="3:4" ht="15.75" x14ac:dyDescent="0.25">
      <c r="C2261"/>
      <c r="D2261"/>
    </row>
    <row r="2262" spans="3:4" ht="15.75" x14ac:dyDescent="0.25">
      <c r="C2262"/>
      <c r="D2262"/>
    </row>
    <row r="2263" spans="3:4" ht="15.75" x14ac:dyDescent="0.25">
      <c r="C2263"/>
      <c r="D2263"/>
    </row>
    <row r="2264" spans="3:4" ht="15.75" x14ac:dyDescent="0.25">
      <c r="C2264"/>
      <c r="D2264"/>
    </row>
    <row r="2265" spans="3:4" ht="15.75" x14ac:dyDescent="0.25">
      <c r="C2265"/>
      <c r="D2265"/>
    </row>
    <row r="2266" spans="3:4" ht="15.75" x14ac:dyDescent="0.25">
      <c r="C2266"/>
      <c r="D2266"/>
    </row>
    <row r="2267" spans="3:4" ht="15.75" x14ac:dyDescent="0.25">
      <c r="C2267"/>
      <c r="D2267"/>
    </row>
    <row r="2268" spans="3:4" ht="15.75" x14ac:dyDescent="0.25">
      <c r="C2268"/>
      <c r="D2268"/>
    </row>
    <row r="2269" spans="3:4" ht="15.75" x14ac:dyDescent="0.25">
      <c r="C2269"/>
      <c r="D2269"/>
    </row>
    <row r="2270" spans="3:4" ht="15.75" x14ac:dyDescent="0.25">
      <c r="C2270"/>
      <c r="D2270"/>
    </row>
    <row r="2271" spans="3:4" ht="15.75" x14ac:dyDescent="0.25">
      <c r="C2271"/>
      <c r="D2271"/>
    </row>
    <row r="2272" spans="3:4" ht="15.75" x14ac:dyDescent="0.25">
      <c r="C2272"/>
      <c r="D2272"/>
    </row>
    <row r="2273" spans="3:4" ht="15.75" x14ac:dyDescent="0.25">
      <c r="C2273"/>
      <c r="D2273"/>
    </row>
    <row r="2274" spans="3:4" ht="15.75" x14ac:dyDescent="0.25">
      <c r="C2274"/>
      <c r="D2274"/>
    </row>
    <row r="2275" spans="3:4" ht="15.75" x14ac:dyDescent="0.25">
      <c r="C2275"/>
      <c r="D2275"/>
    </row>
    <row r="2276" spans="3:4" ht="15.75" x14ac:dyDescent="0.25">
      <c r="C2276"/>
      <c r="D2276"/>
    </row>
    <row r="2277" spans="3:4" ht="15.75" x14ac:dyDescent="0.25">
      <c r="C2277"/>
      <c r="D2277"/>
    </row>
    <row r="2278" spans="3:4" ht="15.75" x14ac:dyDescent="0.25">
      <c r="C2278"/>
      <c r="D2278"/>
    </row>
    <row r="2279" spans="3:4" ht="15.75" x14ac:dyDescent="0.25">
      <c r="C2279"/>
      <c r="D2279"/>
    </row>
    <row r="2280" spans="3:4" ht="15.75" x14ac:dyDescent="0.25">
      <c r="C2280"/>
      <c r="D2280"/>
    </row>
    <row r="2281" spans="3:4" ht="15.75" x14ac:dyDescent="0.25">
      <c r="C2281"/>
      <c r="D2281"/>
    </row>
    <row r="2282" spans="3:4" ht="15.75" x14ac:dyDescent="0.25">
      <c r="C2282"/>
      <c r="D2282"/>
    </row>
    <row r="2283" spans="3:4" ht="15.75" x14ac:dyDescent="0.25">
      <c r="C2283"/>
      <c r="D2283"/>
    </row>
    <row r="2284" spans="3:4" ht="15.75" x14ac:dyDescent="0.25">
      <c r="C2284"/>
      <c r="D2284"/>
    </row>
    <row r="2285" spans="3:4" ht="15.75" x14ac:dyDescent="0.25">
      <c r="C2285"/>
      <c r="D2285"/>
    </row>
    <row r="2286" spans="3:4" ht="15.75" x14ac:dyDescent="0.25">
      <c r="C2286"/>
      <c r="D2286"/>
    </row>
    <row r="2287" spans="3:4" ht="15.75" x14ac:dyDescent="0.25">
      <c r="C2287"/>
      <c r="D2287"/>
    </row>
    <row r="2288" spans="3:4" ht="15.75" x14ac:dyDescent="0.25">
      <c r="C2288"/>
      <c r="D2288"/>
    </row>
    <row r="2289" spans="3:4" ht="15.75" x14ac:dyDescent="0.25">
      <c r="C2289"/>
      <c r="D2289"/>
    </row>
    <row r="2290" spans="3:4" ht="15.75" x14ac:dyDescent="0.25">
      <c r="C2290"/>
      <c r="D2290"/>
    </row>
    <row r="2291" spans="3:4" ht="15.75" x14ac:dyDescent="0.25">
      <c r="C2291"/>
      <c r="D2291"/>
    </row>
    <row r="2292" spans="3:4" ht="15.75" x14ac:dyDescent="0.25">
      <c r="C2292"/>
      <c r="D2292"/>
    </row>
    <row r="2293" spans="3:4" ht="15.75" x14ac:dyDescent="0.25">
      <c r="C2293"/>
      <c r="D2293"/>
    </row>
    <row r="2294" spans="3:4" ht="15.75" x14ac:dyDescent="0.25">
      <c r="C2294"/>
      <c r="D2294"/>
    </row>
    <row r="2295" spans="3:4" ht="15.75" x14ac:dyDescent="0.25">
      <c r="C2295"/>
      <c r="D2295"/>
    </row>
    <row r="2296" spans="3:4" ht="15.75" x14ac:dyDescent="0.25">
      <c r="C2296"/>
      <c r="D2296"/>
    </row>
    <row r="2297" spans="3:4" ht="15.75" x14ac:dyDescent="0.25">
      <c r="C2297"/>
      <c r="D2297"/>
    </row>
    <row r="2298" spans="3:4" ht="15.75" x14ac:dyDescent="0.25">
      <c r="C2298"/>
      <c r="D2298"/>
    </row>
    <row r="2299" spans="3:4" ht="15.75" x14ac:dyDescent="0.25">
      <c r="C2299"/>
      <c r="D2299"/>
    </row>
    <row r="2300" spans="3:4" ht="15.75" x14ac:dyDescent="0.25">
      <c r="C2300"/>
      <c r="D2300"/>
    </row>
    <row r="2301" spans="3:4" ht="15.75" x14ac:dyDescent="0.25">
      <c r="C2301"/>
      <c r="D2301"/>
    </row>
    <row r="2302" spans="3:4" ht="15.75" x14ac:dyDescent="0.25">
      <c r="C2302"/>
      <c r="D2302"/>
    </row>
    <row r="2303" spans="3:4" ht="15.75" x14ac:dyDescent="0.25">
      <c r="C2303"/>
      <c r="D2303"/>
    </row>
    <row r="2304" spans="3:4" ht="15.75" x14ac:dyDescent="0.25">
      <c r="C2304"/>
      <c r="D2304"/>
    </row>
    <row r="2305" spans="3:4" ht="15.75" x14ac:dyDescent="0.25">
      <c r="C2305"/>
      <c r="D2305"/>
    </row>
    <row r="2306" spans="3:4" ht="15.75" x14ac:dyDescent="0.25">
      <c r="C2306"/>
      <c r="D2306"/>
    </row>
    <row r="2307" spans="3:4" ht="15.75" x14ac:dyDescent="0.25">
      <c r="C2307"/>
      <c r="D2307"/>
    </row>
    <row r="2308" spans="3:4" ht="15.75" x14ac:dyDescent="0.25">
      <c r="C2308"/>
      <c r="D2308"/>
    </row>
    <row r="2309" spans="3:4" ht="15.75" x14ac:dyDescent="0.25">
      <c r="C2309"/>
      <c r="D2309"/>
    </row>
    <row r="2310" spans="3:4" ht="15.75" x14ac:dyDescent="0.25">
      <c r="C2310"/>
      <c r="D2310"/>
    </row>
    <row r="2311" spans="3:4" ht="15.75" x14ac:dyDescent="0.25">
      <c r="C2311"/>
      <c r="D2311"/>
    </row>
    <row r="2312" spans="3:4" ht="15.75" x14ac:dyDescent="0.25">
      <c r="C2312"/>
      <c r="D2312"/>
    </row>
    <row r="2313" spans="3:4" ht="15.75" x14ac:dyDescent="0.25">
      <c r="C2313"/>
      <c r="D2313"/>
    </row>
    <row r="2314" spans="3:4" ht="15.75" x14ac:dyDescent="0.25">
      <c r="C2314"/>
      <c r="D2314"/>
    </row>
    <row r="2315" spans="3:4" ht="15.75" x14ac:dyDescent="0.25">
      <c r="C2315"/>
      <c r="D2315"/>
    </row>
    <row r="2316" spans="3:4" ht="15.75" x14ac:dyDescent="0.25">
      <c r="C2316"/>
      <c r="D2316"/>
    </row>
    <row r="2317" spans="3:4" ht="15.75" x14ac:dyDescent="0.25">
      <c r="C2317"/>
      <c r="D2317"/>
    </row>
    <row r="2318" spans="3:4" ht="15.75" x14ac:dyDescent="0.25">
      <c r="C2318"/>
      <c r="D2318"/>
    </row>
    <row r="2319" spans="3:4" ht="15.75" x14ac:dyDescent="0.25">
      <c r="C2319"/>
      <c r="D2319"/>
    </row>
    <row r="2320" spans="3:4" ht="15.75" x14ac:dyDescent="0.25">
      <c r="C2320"/>
      <c r="D2320"/>
    </row>
    <row r="2321" spans="3:4" ht="15.75" x14ac:dyDescent="0.25">
      <c r="C2321"/>
      <c r="D2321"/>
    </row>
    <row r="2322" spans="3:4" ht="15.75" x14ac:dyDescent="0.25">
      <c r="C2322"/>
      <c r="D2322"/>
    </row>
    <row r="2323" spans="3:4" ht="15.75" x14ac:dyDescent="0.25">
      <c r="C2323"/>
      <c r="D2323"/>
    </row>
    <row r="2324" spans="3:4" ht="15.75" x14ac:dyDescent="0.25">
      <c r="C2324"/>
      <c r="D2324"/>
    </row>
    <row r="2325" spans="3:4" ht="15.75" x14ac:dyDescent="0.25">
      <c r="C2325"/>
      <c r="D2325"/>
    </row>
    <row r="2326" spans="3:4" ht="15.75" x14ac:dyDescent="0.25">
      <c r="C2326"/>
      <c r="D2326"/>
    </row>
    <row r="2327" spans="3:4" ht="15.75" x14ac:dyDescent="0.25">
      <c r="C2327"/>
      <c r="D2327"/>
    </row>
    <row r="2328" spans="3:4" ht="15.75" x14ac:dyDescent="0.25">
      <c r="C2328"/>
      <c r="D2328"/>
    </row>
    <row r="2329" spans="3:4" ht="15.75" x14ac:dyDescent="0.25">
      <c r="C2329"/>
      <c r="D2329"/>
    </row>
    <row r="2330" spans="3:4" ht="15.75" x14ac:dyDescent="0.25">
      <c r="C2330"/>
      <c r="D2330"/>
    </row>
    <row r="2331" spans="3:4" ht="15.75" x14ac:dyDescent="0.25">
      <c r="C2331"/>
      <c r="D2331"/>
    </row>
    <row r="2332" spans="3:4" ht="15.75" x14ac:dyDescent="0.25">
      <c r="C2332"/>
      <c r="D2332"/>
    </row>
    <row r="2333" spans="3:4" ht="15.75" x14ac:dyDescent="0.25">
      <c r="C2333"/>
      <c r="D2333"/>
    </row>
    <row r="2334" spans="3:4" ht="15.75" x14ac:dyDescent="0.25">
      <c r="C2334"/>
      <c r="D2334"/>
    </row>
    <row r="2335" spans="3:4" ht="15.75" x14ac:dyDescent="0.25">
      <c r="C2335"/>
      <c r="D2335"/>
    </row>
    <row r="2336" spans="3:4" ht="15.75" x14ac:dyDescent="0.25">
      <c r="C2336"/>
      <c r="D2336"/>
    </row>
    <row r="2337" spans="3:4" ht="15.75" x14ac:dyDescent="0.25">
      <c r="C2337"/>
      <c r="D2337"/>
    </row>
    <row r="2338" spans="3:4" ht="15.75" x14ac:dyDescent="0.25">
      <c r="C2338"/>
      <c r="D2338"/>
    </row>
    <row r="2339" spans="3:4" ht="15.75" x14ac:dyDescent="0.25">
      <c r="C2339"/>
      <c r="D2339"/>
    </row>
    <row r="2340" spans="3:4" ht="15.75" x14ac:dyDescent="0.25">
      <c r="C2340"/>
      <c r="D2340"/>
    </row>
    <row r="2341" spans="3:4" ht="15.75" x14ac:dyDescent="0.25">
      <c r="C2341"/>
      <c r="D2341"/>
    </row>
    <row r="2342" spans="3:4" ht="15.75" x14ac:dyDescent="0.25">
      <c r="C2342"/>
      <c r="D2342"/>
    </row>
    <row r="2343" spans="3:4" ht="15.75" x14ac:dyDescent="0.25">
      <c r="C2343"/>
      <c r="D2343"/>
    </row>
    <row r="2344" spans="3:4" ht="15.75" x14ac:dyDescent="0.25">
      <c r="C2344"/>
      <c r="D2344"/>
    </row>
    <row r="2345" spans="3:4" ht="15.75" x14ac:dyDescent="0.25">
      <c r="C2345"/>
      <c r="D2345"/>
    </row>
    <row r="2346" spans="3:4" ht="15.75" x14ac:dyDescent="0.25">
      <c r="C2346"/>
      <c r="D2346"/>
    </row>
    <row r="2347" spans="3:4" ht="15.75" x14ac:dyDescent="0.25">
      <c r="C2347"/>
      <c r="D2347"/>
    </row>
    <row r="2348" spans="3:4" ht="15.75" x14ac:dyDescent="0.25">
      <c r="C2348"/>
      <c r="D2348"/>
    </row>
    <row r="2349" spans="3:4" ht="15.75" x14ac:dyDescent="0.25">
      <c r="C2349"/>
      <c r="D2349"/>
    </row>
    <row r="2350" spans="3:4" ht="15.75" x14ac:dyDescent="0.25">
      <c r="C2350"/>
      <c r="D2350"/>
    </row>
    <row r="2351" spans="3:4" ht="15.75" x14ac:dyDescent="0.25">
      <c r="C2351"/>
      <c r="D2351"/>
    </row>
    <row r="2352" spans="3:4" ht="15.75" x14ac:dyDescent="0.25">
      <c r="C2352"/>
      <c r="D2352"/>
    </row>
    <row r="2353" spans="3:4" ht="15.75" x14ac:dyDescent="0.25">
      <c r="C2353"/>
      <c r="D2353"/>
    </row>
    <row r="2354" spans="3:4" ht="15.75" x14ac:dyDescent="0.25">
      <c r="C2354"/>
      <c r="D2354"/>
    </row>
    <row r="2355" spans="3:4" ht="15.75" x14ac:dyDescent="0.25">
      <c r="C2355"/>
      <c r="D2355"/>
    </row>
    <row r="2356" spans="3:4" ht="15.75" x14ac:dyDescent="0.25">
      <c r="C2356"/>
      <c r="D2356"/>
    </row>
    <row r="2357" spans="3:4" ht="15.75" x14ac:dyDescent="0.25">
      <c r="C2357"/>
      <c r="D2357"/>
    </row>
    <row r="2358" spans="3:4" ht="15.75" x14ac:dyDescent="0.25">
      <c r="C2358"/>
      <c r="D2358"/>
    </row>
    <row r="2359" spans="3:4" ht="15.75" x14ac:dyDescent="0.25">
      <c r="C2359"/>
      <c r="D2359"/>
    </row>
    <row r="2360" spans="3:4" ht="15.75" x14ac:dyDescent="0.25">
      <c r="C2360"/>
      <c r="D2360"/>
    </row>
    <row r="2361" spans="3:4" ht="15.75" x14ac:dyDescent="0.25">
      <c r="C2361"/>
      <c r="D2361"/>
    </row>
    <row r="2362" spans="3:4" ht="15.75" x14ac:dyDescent="0.25">
      <c r="C2362"/>
      <c r="D2362"/>
    </row>
    <row r="2363" spans="3:4" ht="15.75" x14ac:dyDescent="0.25">
      <c r="C2363"/>
      <c r="D2363"/>
    </row>
    <row r="2364" spans="3:4" ht="15.75" x14ac:dyDescent="0.25">
      <c r="C2364"/>
      <c r="D2364"/>
    </row>
    <row r="2365" spans="3:4" ht="15.75" x14ac:dyDescent="0.25">
      <c r="C2365"/>
      <c r="D2365"/>
    </row>
    <row r="2366" spans="3:4" ht="15.75" x14ac:dyDescent="0.25">
      <c r="C2366"/>
      <c r="D2366"/>
    </row>
    <row r="2367" spans="3:4" ht="15.75" x14ac:dyDescent="0.25">
      <c r="C2367"/>
      <c r="D2367"/>
    </row>
    <row r="2368" spans="3:4" ht="15.75" x14ac:dyDescent="0.25">
      <c r="C2368"/>
      <c r="D2368"/>
    </row>
    <row r="2369" spans="3:4" ht="15.75" x14ac:dyDescent="0.25">
      <c r="C2369"/>
      <c r="D2369"/>
    </row>
    <row r="2370" spans="3:4" ht="15.75" x14ac:dyDescent="0.25">
      <c r="C2370"/>
      <c r="D2370"/>
    </row>
    <row r="2371" spans="3:4" ht="15.75" x14ac:dyDescent="0.25">
      <c r="C2371"/>
      <c r="D2371"/>
    </row>
    <row r="2372" spans="3:4" ht="15.75" x14ac:dyDescent="0.25">
      <c r="C2372"/>
      <c r="D2372"/>
    </row>
    <row r="2373" spans="3:4" ht="15.75" x14ac:dyDescent="0.25">
      <c r="C2373"/>
      <c r="D2373"/>
    </row>
    <row r="2374" spans="3:4" ht="15.75" x14ac:dyDescent="0.25">
      <c r="C2374"/>
      <c r="D2374"/>
    </row>
    <row r="2375" spans="3:4" ht="15.75" x14ac:dyDescent="0.25">
      <c r="C2375"/>
      <c r="D2375"/>
    </row>
    <row r="2376" spans="3:4" ht="15.75" x14ac:dyDescent="0.25">
      <c r="C2376"/>
      <c r="D2376"/>
    </row>
    <row r="2377" spans="3:4" ht="15.75" x14ac:dyDescent="0.25">
      <c r="C2377"/>
      <c r="D2377"/>
    </row>
    <row r="2378" spans="3:4" ht="15.75" x14ac:dyDescent="0.25">
      <c r="C2378"/>
      <c r="D2378"/>
    </row>
    <row r="2379" spans="3:4" ht="15.75" x14ac:dyDescent="0.25">
      <c r="C2379"/>
      <c r="D2379"/>
    </row>
    <row r="2380" spans="3:4" ht="15.75" x14ac:dyDescent="0.25">
      <c r="C2380"/>
      <c r="D2380"/>
    </row>
    <row r="2381" spans="3:4" ht="15.75" x14ac:dyDescent="0.25">
      <c r="C2381"/>
      <c r="D2381"/>
    </row>
    <row r="2382" spans="3:4" ht="15.75" x14ac:dyDescent="0.25">
      <c r="C2382"/>
      <c r="D2382"/>
    </row>
    <row r="2383" spans="3:4" ht="15.75" x14ac:dyDescent="0.25">
      <c r="C2383"/>
      <c r="D2383"/>
    </row>
    <row r="2384" spans="3:4" ht="15.75" x14ac:dyDescent="0.25">
      <c r="C2384"/>
      <c r="D2384"/>
    </row>
    <row r="2385" spans="3:4" ht="15.75" x14ac:dyDescent="0.25">
      <c r="C2385"/>
      <c r="D2385"/>
    </row>
    <row r="2386" spans="3:4" ht="15.75" x14ac:dyDescent="0.25">
      <c r="C2386"/>
      <c r="D2386"/>
    </row>
    <row r="2387" spans="3:4" ht="15.75" x14ac:dyDescent="0.25">
      <c r="C2387"/>
      <c r="D2387"/>
    </row>
    <row r="2388" spans="3:4" ht="15.75" x14ac:dyDescent="0.25">
      <c r="C2388"/>
      <c r="D2388"/>
    </row>
    <row r="2389" spans="3:4" ht="15.75" x14ac:dyDescent="0.25">
      <c r="C2389"/>
      <c r="D2389"/>
    </row>
    <row r="2390" spans="3:4" ht="15.75" x14ac:dyDescent="0.25">
      <c r="C2390"/>
      <c r="D2390"/>
    </row>
    <row r="2391" spans="3:4" ht="15.75" x14ac:dyDescent="0.25">
      <c r="C2391"/>
      <c r="D2391"/>
    </row>
    <row r="2392" spans="3:4" ht="15.75" x14ac:dyDescent="0.25">
      <c r="C2392"/>
      <c r="D2392"/>
    </row>
    <row r="2393" spans="3:4" ht="15.75" x14ac:dyDescent="0.25">
      <c r="C2393"/>
      <c r="D2393"/>
    </row>
    <row r="2394" spans="3:4" ht="15.75" x14ac:dyDescent="0.25">
      <c r="C2394"/>
      <c r="D2394"/>
    </row>
    <row r="2395" spans="3:4" ht="15.75" x14ac:dyDescent="0.25">
      <c r="C2395"/>
      <c r="D2395"/>
    </row>
    <row r="2396" spans="3:4" ht="15.75" x14ac:dyDescent="0.25">
      <c r="C2396"/>
      <c r="D2396"/>
    </row>
    <row r="2397" spans="3:4" ht="15.75" x14ac:dyDescent="0.25">
      <c r="C2397"/>
      <c r="D2397"/>
    </row>
    <row r="2398" spans="3:4" ht="15.75" x14ac:dyDescent="0.25">
      <c r="C2398"/>
      <c r="D2398"/>
    </row>
    <row r="2399" spans="3:4" ht="15.75" x14ac:dyDescent="0.25">
      <c r="C2399"/>
      <c r="D2399"/>
    </row>
    <row r="2400" spans="3:4" ht="15.75" x14ac:dyDescent="0.25">
      <c r="C2400"/>
      <c r="D2400"/>
    </row>
    <row r="2401" spans="3:4" ht="15.75" x14ac:dyDescent="0.25">
      <c r="C2401"/>
      <c r="D2401"/>
    </row>
    <row r="2402" spans="3:4" ht="15.75" x14ac:dyDescent="0.25">
      <c r="C2402"/>
      <c r="D2402"/>
    </row>
    <row r="2403" spans="3:4" ht="15.75" x14ac:dyDescent="0.25">
      <c r="C2403"/>
      <c r="D2403"/>
    </row>
    <row r="2404" spans="3:4" ht="15.75" x14ac:dyDescent="0.25">
      <c r="C2404"/>
      <c r="D2404"/>
    </row>
    <row r="2405" spans="3:4" ht="15.75" x14ac:dyDescent="0.25">
      <c r="C2405"/>
      <c r="D2405"/>
    </row>
    <row r="2406" spans="3:4" ht="15.75" x14ac:dyDescent="0.25">
      <c r="C2406"/>
      <c r="D2406"/>
    </row>
    <row r="2407" spans="3:4" ht="15.75" x14ac:dyDescent="0.25">
      <c r="C2407"/>
      <c r="D2407"/>
    </row>
    <row r="2408" spans="3:4" ht="15.75" x14ac:dyDescent="0.25">
      <c r="C2408"/>
      <c r="D2408"/>
    </row>
    <row r="2409" spans="3:4" ht="15.75" x14ac:dyDescent="0.25">
      <c r="C2409"/>
      <c r="D2409"/>
    </row>
    <row r="2410" spans="3:4" ht="15.75" x14ac:dyDescent="0.25">
      <c r="C2410"/>
      <c r="D2410"/>
    </row>
    <row r="2411" spans="3:4" ht="15.75" x14ac:dyDescent="0.25">
      <c r="C2411"/>
      <c r="D2411"/>
    </row>
    <row r="2412" spans="3:4" ht="15.75" x14ac:dyDescent="0.25">
      <c r="C2412"/>
      <c r="D2412"/>
    </row>
    <row r="2413" spans="3:4" ht="15.75" x14ac:dyDescent="0.25">
      <c r="C2413"/>
      <c r="D2413"/>
    </row>
    <row r="2414" spans="3:4" ht="15.75" x14ac:dyDescent="0.25">
      <c r="C2414"/>
      <c r="D2414"/>
    </row>
    <row r="2415" spans="3:4" ht="15.75" x14ac:dyDescent="0.25">
      <c r="C2415"/>
      <c r="D2415"/>
    </row>
    <row r="2416" spans="3:4" ht="15.75" x14ac:dyDescent="0.25">
      <c r="C2416"/>
      <c r="D2416"/>
    </row>
    <row r="2417" spans="3:4" ht="15.75" x14ac:dyDescent="0.25">
      <c r="C2417"/>
      <c r="D2417"/>
    </row>
    <row r="2418" spans="3:4" ht="15.75" x14ac:dyDescent="0.25">
      <c r="C2418"/>
      <c r="D2418"/>
    </row>
    <row r="2419" spans="3:4" ht="15.75" x14ac:dyDescent="0.25">
      <c r="C2419"/>
      <c r="D2419"/>
    </row>
    <row r="2420" spans="3:4" ht="15.75" x14ac:dyDescent="0.25">
      <c r="C2420"/>
      <c r="D2420"/>
    </row>
    <row r="2421" spans="3:4" ht="15.75" x14ac:dyDescent="0.25">
      <c r="C2421"/>
      <c r="D2421"/>
    </row>
    <row r="2422" spans="3:4" ht="15.75" x14ac:dyDescent="0.25">
      <c r="C2422"/>
      <c r="D2422"/>
    </row>
    <row r="2423" spans="3:4" ht="15.75" x14ac:dyDescent="0.25">
      <c r="C2423"/>
      <c r="D2423"/>
    </row>
    <row r="2424" spans="3:4" ht="15.75" x14ac:dyDescent="0.25">
      <c r="C2424"/>
      <c r="D2424"/>
    </row>
    <row r="2425" spans="3:4" ht="15.75" x14ac:dyDescent="0.25">
      <c r="C2425"/>
      <c r="D2425"/>
    </row>
    <row r="2426" spans="3:4" ht="15.75" x14ac:dyDescent="0.25">
      <c r="C2426"/>
      <c r="D2426"/>
    </row>
    <row r="2427" spans="3:4" ht="15.75" x14ac:dyDescent="0.25">
      <c r="C2427"/>
      <c r="D2427"/>
    </row>
    <row r="2428" spans="3:4" ht="15.75" x14ac:dyDescent="0.25">
      <c r="C2428"/>
      <c r="D2428"/>
    </row>
    <row r="2429" spans="3:4" ht="15.75" x14ac:dyDescent="0.25">
      <c r="C2429"/>
      <c r="D2429"/>
    </row>
    <row r="2430" spans="3:4" ht="15.75" x14ac:dyDescent="0.25">
      <c r="C2430"/>
      <c r="D2430"/>
    </row>
    <row r="2431" spans="3:4" ht="15.75" x14ac:dyDescent="0.25">
      <c r="C2431"/>
      <c r="D2431"/>
    </row>
    <row r="2432" spans="3:4" ht="15.75" x14ac:dyDescent="0.25">
      <c r="C2432"/>
      <c r="D2432"/>
    </row>
    <row r="2433" spans="3:4" ht="15.75" x14ac:dyDescent="0.25">
      <c r="C2433"/>
      <c r="D2433"/>
    </row>
    <row r="2434" spans="3:4" ht="15.75" x14ac:dyDescent="0.25">
      <c r="C2434"/>
      <c r="D2434"/>
    </row>
    <row r="2435" spans="3:4" ht="15.75" x14ac:dyDescent="0.25">
      <c r="C2435"/>
      <c r="D2435"/>
    </row>
    <row r="2436" spans="3:4" ht="15.75" x14ac:dyDescent="0.25">
      <c r="C2436"/>
      <c r="D2436"/>
    </row>
    <row r="2437" spans="3:4" ht="15.75" x14ac:dyDescent="0.25">
      <c r="C2437"/>
      <c r="D2437"/>
    </row>
    <row r="2438" spans="3:4" ht="15.75" x14ac:dyDescent="0.25">
      <c r="C2438"/>
      <c r="D2438"/>
    </row>
    <row r="2439" spans="3:4" ht="15.75" x14ac:dyDescent="0.25">
      <c r="C2439"/>
      <c r="D2439"/>
    </row>
    <row r="2440" spans="3:4" ht="15.75" x14ac:dyDescent="0.25">
      <c r="C2440"/>
      <c r="D2440"/>
    </row>
    <row r="2441" spans="3:4" ht="15.75" x14ac:dyDescent="0.25">
      <c r="C2441"/>
      <c r="D2441"/>
    </row>
    <row r="2442" spans="3:4" ht="15.75" x14ac:dyDescent="0.25">
      <c r="C2442"/>
      <c r="D2442"/>
    </row>
    <row r="2443" spans="3:4" ht="15.75" x14ac:dyDescent="0.25">
      <c r="C2443"/>
      <c r="D2443"/>
    </row>
    <row r="2444" spans="3:4" ht="15.75" x14ac:dyDescent="0.25">
      <c r="C2444"/>
      <c r="D2444"/>
    </row>
    <row r="2445" spans="3:4" ht="15.75" x14ac:dyDescent="0.25">
      <c r="C2445"/>
      <c r="D2445"/>
    </row>
    <row r="2446" spans="3:4" ht="15.75" x14ac:dyDescent="0.25">
      <c r="C2446"/>
      <c r="D2446"/>
    </row>
    <row r="2447" spans="3:4" ht="15.75" x14ac:dyDescent="0.25">
      <c r="C2447"/>
      <c r="D2447"/>
    </row>
    <row r="2448" spans="3:4" ht="15.75" x14ac:dyDescent="0.25">
      <c r="C2448"/>
      <c r="D2448"/>
    </row>
    <row r="2449" spans="3:4" ht="15.75" x14ac:dyDescent="0.25">
      <c r="C2449"/>
      <c r="D2449"/>
    </row>
    <row r="2450" spans="3:4" ht="15.75" x14ac:dyDescent="0.25">
      <c r="C2450"/>
      <c r="D2450"/>
    </row>
    <row r="2451" spans="3:4" ht="15.75" x14ac:dyDescent="0.25">
      <c r="C2451"/>
      <c r="D2451"/>
    </row>
    <row r="2452" spans="3:4" ht="15.75" x14ac:dyDescent="0.25">
      <c r="C2452"/>
      <c r="D2452"/>
    </row>
    <row r="2453" spans="3:4" ht="15.75" x14ac:dyDescent="0.25">
      <c r="C2453"/>
      <c r="D2453"/>
    </row>
    <row r="2454" spans="3:4" ht="15.75" x14ac:dyDescent="0.25">
      <c r="C2454"/>
      <c r="D2454"/>
    </row>
    <row r="2455" spans="3:4" ht="15.75" x14ac:dyDescent="0.25">
      <c r="C2455"/>
      <c r="D2455"/>
    </row>
    <row r="2456" spans="3:4" ht="15.75" x14ac:dyDescent="0.25">
      <c r="C2456"/>
      <c r="D2456"/>
    </row>
    <row r="2457" spans="3:4" ht="15.75" x14ac:dyDescent="0.25">
      <c r="C2457"/>
      <c r="D2457"/>
    </row>
    <row r="2458" spans="3:4" ht="15.75" x14ac:dyDescent="0.25">
      <c r="C2458"/>
      <c r="D2458"/>
    </row>
    <row r="2459" spans="3:4" ht="15.75" x14ac:dyDescent="0.25">
      <c r="C2459"/>
      <c r="D2459"/>
    </row>
    <row r="2460" spans="3:4" ht="15.75" x14ac:dyDescent="0.25">
      <c r="C2460"/>
      <c r="D2460"/>
    </row>
    <row r="2461" spans="3:4" ht="15.75" x14ac:dyDescent="0.25">
      <c r="C2461"/>
      <c r="D2461"/>
    </row>
    <row r="2462" spans="3:4" ht="15.75" x14ac:dyDescent="0.25">
      <c r="C2462"/>
      <c r="D2462"/>
    </row>
    <row r="2463" spans="3:4" ht="15.75" x14ac:dyDescent="0.25">
      <c r="C2463"/>
      <c r="D2463"/>
    </row>
    <row r="2464" spans="3:4" ht="15.75" x14ac:dyDescent="0.25">
      <c r="C2464"/>
      <c r="D2464"/>
    </row>
    <row r="2465" spans="3:4" ht="15.75" x14ac:dyDescent="0.25">
      <c r="C2465"/>
      <c r="D2465"/>
    </row>
    <row r="2466" spans="3:4" ht="15.75" x14ac:dyDescent="0.25">
      <c r="C2466"/>
      <c r="D2466"/>
    </row>
    <row r="2467" spans="3:4" ht="15.75" x14ac:dyDescent="0.25">
      <c r="C2467"/>
      <c r="D2467"/>
    </row>
    <row r="2468" spans="3:4" ht="15.75" x14ac:dyDescent="0.25">
      <c r="C2468"/>
      <c r="D2468"/>
    </row>
    <row r="2469" spans="3:4" ht="15.75" x14ac:dyDescent="0.25">
      <c r="C2469"/>
      <c r="D2469"/>
    </row>
    <row r="2470" spans="3:4" ht="15.75" x14ac:dyDescent="0.25">
      <c r="C2470"/>
      <c r="D2470"/>
    </row>
    <row r="2471" spans="3:4" ht="15.75" x14ac:dyDescent="0.25">
      <c r="C2471"/>
      <c r="D2471"/>
    </row>
    <row r="2472" spans="3:4" ht="15.75" x14ac:dyDescent="0.25">
      <c r="C2472"/>
      <c r="D2472"/>
    </row>
    <row r="2473" spans="3:4" ht="15.75" x14ac:dyDescent="0.25">
      <c r="C2473"/>
      <c r="D2473"/>
    </row>
    <row r="2474" spans="3:4" ht="15.75" x14ac:dyDescent="0.25">
      <c r="C2474"/>
      <c r="D2474"/>
    </row>
    <row r="2475" spans="3:4" ht="15.75" x14ac:dyDescent="0.25">
      <c r="C2475"/>
      <c r="D2475"/>
    </row>
    <row r="2476" spans="3:4" ht="15.75" x14ac:dyDescent="0.25">
      <c r="C2476"/>
      <c r="D2476"/>
    </row>
    <row r="2477" spans="3:4" ht="15.75" x14ac:dyDescent="0.25">
      <c r="C2477"/>
      <c r="D2477"/>
    </row>
    <row r="2478" spans="3:4" ht="15.75" x14ac:dyDescent="0.25">
      <c r="C2478"/>
      <c r="D2478"/>
    </row>
    <row r="2479" spans="3:4" ht="15.75" x14ac:dyDescent="0.25">
      <c r="C2479"/>
      <c r="D2479"/>
    </row>
    <row r="2480" spans="3:4" ht="15.75" x14ac:dyDescent="0.25">
      <c r="C2480"/>
      <c r="D2480"/>
    </row>
    <row r="2481" spans="3:4" ht="15.75" x14ac:dyDescent="0.25">
      <c r="C2481"/>
      <c r="D2481"/>
    </row>
    <row r="2482" spans="3:4" ht="15.75" x14ac:dyDescent="0.25">
      <c r="C2482"/>
      <c r="D2482"/>
    </row>
    <row r="2483" spans="3:4" ht="15.75" x14ac:dyDescent="0.25">
      <c r="C2483"/>
      <c r="D2483"/>
    </row>
    <row r="2484" spans="3:4" ht="15.75" x14ac:dyDescent="0.25">
      <c r="C2484"/>
      <c r="D2484"/>
    </row>
    <row r="2485" spans="3:4" ht="15.75" x14ac:dyDescent="0.25">
      <c r="C2485"/>
      <c r="D2485"/>
    </row>
    <row r="2486" spans="3:4" ht="15.75" x14ac:dyDescent="0.25">
      <c r="C2486"/>
      <c r="D2486"/>
    </row>
    <row r="2487" spans="3:4" ht="15.75" x14ac:dyDescent="0.25">
      <c r="C2487"/>
      <c r="D2487"/>
    </row>
    <row r="2488" spans="3:4" ht="15.75" x14ac:dyDescent="0.25">
      <c r="C2488"/>
      <c r="D2488"/>
    </row>
    <row r="2489" spans="3:4" ht="15.75" x14ac:dyDescent="0.25">
      <c r="C2489"/>
      <c r="D2489"/>
    </row>
    <row r="2490" spans="3:4" ht="15.75" x14ac:dyDescent="0.25">
      <c r="C2490"/>
      <c r="D2490"/>
    </row>
    <row r="2491" spans="3:4" ht="15.75" x14ac:dyDescent="0.25">
      <c r="C2491"/>
      <c r="D2491"/>
    </row>
    <row r="2492" spans="3:4" ht="15.75" x14ac:dyDescent="0.25">
      <c r="C2492"/>
      <c r="D2492"/>
    </row>
    <row r="2493" spans="3:4" ht="15.75" x14ac:dyDescent="0.25">
      <c r="C2493"/>
      <c r="D2493"/>
    </row>
    <row r="2494" spans="3:4" ht="15.75" x14ac:dyDescent="0.25">
      <c r="C2494"/>
      <c r="D2494"/>
    </row>
    <row r="2495" spans="3:4" ht="15.75" x14ac:dyDescent="0.25">
      <c r="C2495"/>
      <c r="D2495"/>
    </row>
    <row r="2496" spans="3:4" ht="15.75" x14ac:dyDescent="0.25">
      <c r="C2496"/>
      <c r="D2496"/>
    </row>
    <row r="2497" spans="3:4" ht="15.75" x14ac:dyDescent="0.25">
      <c r="C2497"/>
      <c r="D2497"/>
    </row>
    <row r="2498" spans="3:4" ht="15.75" x14ac:dyDescent="0.25">
      <c r="C2498"/>
      <c r="D2498"/>
    </row>
    <row r="2499" spans="3:4" ht="15.75" x14ac:dyDescent="0.25">
      <c r="C2499"/>
      <c r="D2499"/>
    </row>
    <row r="2500" spans="3:4" ht="15.75" x14ac:dyDescent="0.25">
      <c r="C2500"/>
      <c r="D2500"/>
    </row>
    <row r="2501" spans="3:4" ht="15.75" x14ac:dyDescent="0.25">
      <c r="C2501"/>
      <c r="D2501"/>
    </row>
    <row r="2502" spans="3:4" ht="15.75" x14ac:dyDescent="0.25">
      <c r="C2502"/>
      <c r="D2502"/>
    </row>
    <row r="2503" spans="3:4" ht="15.75" x14ac:dyDescent="0.25">
      <c r="C2503"/>
      <c r="D2503"/>
    </row>
    <row r="2504" spans="3:4" ht="15.75" x14ac:dyDescent="0.25">
      <c r="C2504"/>
      <c r="D2504"/>
    </row>
    <row r="2505" spans="3:4" ht="15.75" x14ac:dyDescent="0.25">
      <c r="C2505"/>
      <c r="D2505"/>
    </row>
    <row r="2506" spans="3:4" ht="15.75" x14ac:dyDescent="0.25">
      <c r="C2506"/>
      <c r="D2506"/>
    </row>
    <row r="2507" spans="3:4" ht="15.75" x14ac:dyDescent="0.25">
      <c r="C2507"/>
      <c r="D2507"/>
    </row>
    <row r="2508" spans="3:4" ht="15.75" x14ac:dyDescent="0.25">
      <c r="C2508"/>
      <c r="D2508"/>
    </row>
    <row r="2509" spans="3:4" ht="15.75" x14ac:dyDescent="0.25">
      <c r="C2509"/>
      <c r="D2509"/>
    </row>
    <row r="2510" spans="3:4" ht="15.75" x14ac:dyDescent="0.25">
      <c r="C2510"/>
      <c r="D2510"/>
    </row>
    <row r="2511" spans="3:4" ht="15.75" x14ac:dyDescent="0.25">
      <c r="C2511"/>
      <c r="D2511"/>
    </row>
    <row r="2512" spans="3:4" ht="15.75" x14ac:dyDescent="0.25">
      <c r="C2512"/>
      <c r="D2512"/>
    </row>
    <row r="2513" spans="3:4" ht="15.75" x14ac:dyDescent="0.25">
      <c r="C2513"/>
      <c r="D2513"/>
    </row>
    <row r="2514" spans="3:4" ht="15.75" x14ac:dyDescent="0.25">
      <c r="C2514"/>
      <c r="D2514"/>
    </row>
    <row r="2515" spans="3:4" ht="15.75" x14ac:dyDescent="0.25">
      <c r="C2515"/>
      <c r="D2515"/>
    </row>
    <row r="2516" spans="3:4" ht="15.75" x14ac:dyDescent="0.25">
      <c r="C2516"/>
      <c r="D2516"/>
    </row>
    <row r="2517" spans="3:4" ht="15.75" x14ac:dyDescent="0.25">
      <c r="C2517"/>
      <c r="D2517"/>
    </row>
    <row r="2518" spans="3:4" ht="15.75" x14ac:dyDescent="0.25">
      <c r="C2518"/>
      <c r="D2518"/>
    </row>
    <row r="2519" spans="3:4" ht="15.75" x14ac:dyDescent="0.25">
      <c r="C2519"/>
      <c r="D2519"/>
    </row>
    <row r="2520" spans="3:4" ht="15.75" x14ac:dyDescent="0.25">
      <c r="C2520"/>
      <c r="D2520"/>
    </row>
    <row r="2521" spans="3:4" ht="15.75" x14ac:dyDescent="0.25">
      <c r="C2521"/>
      <c r="D2521"/>
    </row>
    <row r="2522" spans="3:4" ht="15.75" x14ac:dyDescent="0.25">
      <c r="C2522"/>
      <c r="D2522"/>
    </row>
    <row r="2523" spans="3:4" ht="15.75" x14ac:dyDescent="0.25">
      <c r="C2523"/>
      <c r="D2523"/>
    </row>
    <row r="2524" spans="3:4" ht="15.75" x14ac:dyDescent="0.25">
      <c r="C2524"/>
      <c r="D2524"/>
    </row>
    <row r="2525" spans="3:4" ht="15.75" x14ac:dyDescent="0.25">
      <c r="C2525"/>
      <c r="D2525"/>
    </row>
    <row r="2526" spans="3:4" ht="15.75" x14ac:dyDescent="0.25">
      <c r="C2526"/>
      <c r="D2526"/>
    </row>
    <row r="2527" spans="3:4" ht="15.75" x14ac:dyDescent="0.25">
      <c r="C2527"/>
      <c r="D2527"/>
    </row>
    <row r="2528" spans="3:4" ht="15.75" x14ac:dyDescent="0.25">
      <c r="C2528"/>
      <c r="D2528"/>
    </row>
    <row r="2529" spans="3:4" ht="15.75" x14ac:dyDescent="0.25">
      <c r="C2529"/>
      <c r="D2529"/>
    </row>
    <row r="2530" spans="3:4" ht="15.75" x14ac:dyDescent="0.25">
      <c r="C2530"/>
      <c r="D2530"/>
    </row>
    <row r="2531" spans="3:4" ht="15.75" x14ac:dyDescent="0.25">
      <c r="C2531"/>
      <c r="D2531"/>
    </row>
    <row r="2532" spans="3:4" ht="15.75" x14ac:dyDescent="0.25">
      <c r="C2532"/>
      <c r="D2532"/>
    </row>
    <row r="2533" spans="3:4" ht="15.75" x14ac:dyDescent="0.25">
      <c r="C2533"/>
      <c r="D2533"/>
    </row>
    <row r="2534" spans="3:4" ht="15.75" x14ac:dyDescent="0.25">
      <c r="C2534"/>
      <c r="D2534"/>
    </row>
    <row r="2535" spans="3:4" ht="15.75" x14ac:dyDescent="0.25">
      <c r="C2535"/>
      <c r="D2535"/>
    </row>
    <row r="2536" spans="3:4" ht="15.75" x14ac:dyDescent="0.25">
      <c r="C2536"/>
      <c r="D2536"/>
    </row>
    <row r="2537" spans="3:4" ht="15.75" x14ac:dyDescent="0.25">
      <c r="C2537"/>
      <c r="D2537"/>
    </row>
  </sheetData>
  <pageMargins left="0.7" right="0.7" top="0.75" bottom="0.75" header="0.3" footer="0.3"/>
  <pageSetup orientation="portrait" r:id="rId20"/>
  <drawing r:id="rId21"/>
  <extLst>
    <ext xmlns:x14="http://schemas.microsoft.com/office/spreadsheetml/2009/9/main" uri="{78C0D931-6437-407d-A8EE-F0AAD7539E65}">
      <x14:conditionalFormattings>
        <x14:conditionalFormatting xmlns:xm="http://schemas.microsoft.com/office/excel/2006/main" pivot="1">
          <x14:cfRule type="iconSet" priority="3" id="{CD7AF3A7-7200-4B7F-8062-7CC225B14868}">
            <x14:iconSet custom="1">
              <x14:cfvo type="percent">
                <xm:f>0</xm:f>
              </x14:cfvo>
              <x14:cfvo type="percent" gte="0">
                <xm:f>0</xm:f>
              </x14:cfvo>
              <x14:cfvo type="percent">
                <xm:f>30</xm:f>
              </x14:cfvo>
              <x14:cfIcon iconSet="3TrafficLights1" iconId="2"/>
              <x14:cfIcon iconSet="3TrafficLights1" iconId="1"/>
              <x14:cfIcon iconSet="3TrafficLights1" iconId="0"/>
            </x14:iconSet>
          </x14:cfRule>
          <xm:sqref>D11:F24</xm:sqref>
        </x14:conditionalFormatting>
        <x14:conditionalFormatting xmlns:xm="http://schemas.microsoft.com/office/excel/2006/main" pivot="1">
          <x14:cfRule type="iconSet" priority="2" id="{62FCEF5E-C4F1-43C9-9887-07FC91D69403}">
            <x14:iconSet custom="1">
              <x14:cfvo type="percent">
                <xm:f>0</xm:f>
              </x14:cfvo>
              <x14:cfvo type="percent" gte="0">
                <xm:f>0</xm:f>
              </x14:cfvo>
              <x14:cfvo type="percent">
                <xm:f>30</xm:f>
              </x14:cfvo>
              <x14:cfIcon iconSet="3TrafficLights1" iconId="2"/>
              <x14:cfIcon iconSet="3TrafficLights1" iconId="1"/>
              <x14:cfIcon iconSet="3TrafficLights1" iconId="0"/>
            </x14:iconSet>
          </x14:cfRule>
          <xm:sqref>L11:N20</xm:sqref>
        </x14:conditionalFormatting>
        <x14:conditionalFormatting xmlns:xm="http://schemas.microsoft.com/office/excel/2006/main" pivot="1">
          <x14:cfRule type="iconSet" priority="1" id="{27AA8C6B-5E0A-424B-B531-2098B9D4C445}">
            <x14:iconSet custom="1">
              <x14:cfvo type="percent">
                <xm:f>0</xm:f>
              </x14:cfvo>
              <x14:cfvo type="percent" gte="0">
                <xm:f>0</xm:f>
              </x14:cfvo>
              <x14:cfvo type="percent">
                <xm:f>30</xm:f>
              </x14:cfvo>
              <x14:cfIcon iconSet="3TrafficLights1" iconId="2"/>
              <x14:cfIcon iconSet="3TrafficLights1" iconId="1"/>
              <x14:cfIcon iconSet="3TrafficLights1" iconId="0"/>
            </x14:iconSet>
          </x14:cfRule>
          <xm:sqref>S11:U17</xm:sqref>
        </x14:conditionalFormatting>
      </x14:conditionalFormattings>
    </ext>
    <ext xmlns:x14="http://schemas.microsoft.com/office/spreadsheetml/2009/9/main" uri="{A8765BA9-456A-4dab-B4F3-ACF838C121DE}">
      <x14:slicerList>
        <x14:slicer r:id="rId22"/>
      </x14:slicerList>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9</vt:i4>
      </vt:variant>
    </vt:vector>
  </HeadingPairs>
  <TitlesOfParts>
    <vt:vector size="24" baseType="lpstr">
      <vt:lpstr>Guide</vt:lpstr>
      <vt:lpstr>HRP</vt:lpstr>
      <vt:lpstr>Sheet1</vt:lpstr>
      <vt:lpstr>DATABASE</vt:lpstr>
      <vt:lpstr>Site_DB</vt:lpstr>
      <vt:lpstr>Indicator Summary  Eng</vt:lpstr>
      <vt:lpstr>Indicator Summary MM </vt:lpstr>
      <vt:lpstr>HRP Calculations</vt:lpstr>
      <vt:lpstr>Analysis</vt:lpstr>
      <vt:lpstr>Quarterly Dashboard</vt:lpstr>
      <vt:lpstr>Kachin</vt:lpstr>
      <vt:lpstr>Rakhine</vt:lpstr>
      <vt:lpstr>Shan(n)</vt:lpstr>
      <vt:lpstr>By Camps</vt:lpstr>
      <vt:lpstr>Lookup</vt:lpstr>
      <vt:lpstr>'HRP Calculations'!Print_Area</vt:lpstr>
      <vt:lpstr>Kachin!Print_Area</vt:lpstr>
      <vt:lpstr>Rakhine!Print_Area</vt:lpstr>
      <vt:lpstr>'Shan(n)'!Print_Area</vt:lpstr>
      <vt:lpstr>State_list</vt:lpstr>
      <vt:lpstr>Statestart_1</vt:lpstr>
      <vt:lpstr>TSps</vt:lpstr>
      <vt:lpstr>Tsps_look</vt:lpstr>
      <vt:lpstr>Tsps_lookstart</vt:lpstr>
    </vt:vector>
  </TitlesOfParts>
  <Manager/>
  <Company>UNICEF</Company>
  <LinksUpToDate>false</LinksUpToDate>
  <SharedDoc>false</SharedDoc>
  <HyperlinkBase/>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James Robertson</dc:creator>
  <cp:keywords/>
  <dc:description/>
  <cp:lastModifiedBy>Mee Mee Thaw</cp:lastModifiedBy>
  <cp:revision/>
  <cp:lastPrinted>2018-06-07T16:36:05Z</cp:lastPrinted>
  <dcterms:created xsi:type="dcterms:W3CDTF">2016-05-30T15:30:45Z</dcterms:created>
  <dcterms:modified xsi:type="dcterms:W3CDTF">2018-06-18T03:38:25Z</dcterms:modified>
  <cp:category/>
  <cp:contentStatus/>
</cp:coreProperties>
</file>